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usepa-my.sharepoint.com/personal/stanfield_kelley_epa_gov/Documents/Desktop/12DCP Docket Uploads/To Lock/"/>
    </mc:Choice>
  </mc:AlternateContent>
  <xr:revisionPtr revIDLastSave="54" documentId="8_{C41D562A-AE36-4DDF-9B03-0439CD255FE9}" xr6:coauthVersionLast="47" xr6:coauthVersionMax="47" xr10:uidLastSave="{52B5B5F6-F54F-448B-98E7-55F2D4C28C94}"/>
  <bookViews>
    <workbookView xWindow="-120" yWindow="-120" windowWidth="29040" windowHeight="15720" xr2:uid="{CA379B46-5AB2-478E-BF62-0A179A72D550}"/>
  </bookViews>
  <sheets>
    <sheet name="Cover Page" sheetId="49" r:id="rId1"/>
    <sheet name="README" sheetId="44" r:id="rId2"/>
    <sheet name="Calculation Summary" sheetId="46" r:id="rId3"/>
    <sheet name="Dashboard" sheetId="31" r:id="rId4"/>
    <sheet name="Bridge Table" sheetId="45" r:id="rId5"/>
    <sheet name="Risk Reduction" sheetId="40" r:id="rId6"/>
    <sheet name="Dermal Exposure" sheetId="42" r:id="rId7"/>
    <sheet name="Health Data" sheetId="39" r:id="rId8"/>
    <sheet name="Inhalation Exposure" sheetId="37" r:id="rId9"/>
    <sheet name="List Values" sheetId="35" r:id="rId10"/>
    <sheet name="Exposure Factors" sheetId="38" r:id="rId11"/>
  </sheets>
  <definedNames>
    <definedName name="_2017NEI_Nonpoint_TSCA_Chem_List">#REF!</definedName>
    <definedName name="_2017NEI_tsca_chemicals_wSCCdetail_Query">#REF!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localSheetId="0" hidden="1">100</definedName>
    <definedName name="_AtRisk_SimSetting_ConvergenceTestingPeriod" hidden="1">10</definedName>
    <definedName name="_AtRisk_SimSetting_ConvergenceTolerance" localSheetId="0" hidden="1">0.03</definedName>
    <definedName name="_AtRisk_SimSetting_ConvergenceTolerance" hidden="1">0.01</definedName>
    <definedName name="_AtRisk_SimSetting_CorrelationEnabledState" hidden="1">1</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localSheetId="0" hidden="1">-1</definedName>
    <definedName name="_AtRisk_SimSetting_MultipleCPUCount" hidden="1">8</definedName>
    <definedName name="_AtRisk_SimSetting_MultipleCPUManualCount" hidden="1">8</definedName>
    <definedName name="_AtRisk_SimSetting_MultipleCPUMode" localSheetId="0" hidden="1">1</definedName>
    <definedName name="_AtRisk_SimSetting_MultipleCPUMode" hidden="1">2</definedName>
    <definedName name="_AtRisk_SimSetting_MultipleCPUModeV8" localSheetId="0" hidden="1">1</definedName>
    <definedName name="_AtRisk_SimSetting_MultipleCPUModeV8" hidden="1">2</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0</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15</definedName>
    <definedName name="_AtRisk_SimSetting_ReportOptionReportsFileType" hidden="1">1</definedName>
    <definedName name="_AtRisk_SimSetting_ReportOptionSelectiveQR" hidden="1">FALSE</definedName>
    <definedName name="_AtRisk_SimSetting_ReportsList" hidden="1">15</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4" hidden="1">'Bridge Table'!$B$7:$AC$8</definedName>
    <definedName name="_xlnm._FilterDatabase" localSheetId="2" hidden="1">'Calculation Summary'!$A$2:$C$2</definedName>
    <definedName name="_xlnm._FilterDatabase" localSheetId="3" hidden="1">Dashboard!$A$1:$T$95</definedName>
    <definedName name="_xlnm._FilterDatabase" localSheetId="6" hidden="1">'Dermal Exposure'!$A$5:$U$5</definedName>
    <definedName name="_xlnm._FilterDatabase" localSheetId="10" hidden="1">'Exposure Factors'!$B$3:$E$23</definedName>
    <definedName name="_xlnm._FilterDatabase" localSheetId="7" hidden="1">'Health Data'!$A$1:$Q$25</definedName>
    <definedName name="_xlnm._FilterDatabase" localSheetId="8" hidden="1">'Inhalation Exposure'!$B$5:$T$47</definedName>
    <definedName name="_xlnm._FilterDatabase" localSheetId="9" hidden="1">'List Values'!$B$2:$C$2</definedName>
    <definedName name="_xlnm._FilterDatabase" localSheetId="1" hidden="1">README!$A$6:$B$6</definedName>
    <definedName name="_xlnm._FilterDatabase" localSheetId="5" hidden="1">'Risk Reduction'!$A$1:$AB$66</definedName>
    <definedName name="AT">#REF!</definedName>
    <definedName name="AT_50th_non_cancer">#REF!</definedName>
    <definedName name="AT_50th_non_cancer_DC">#REF!</definedName>
    <definedName name="AT_95th_non_cancer">#REF!</definedName>
    <definedName name="AT_95th_non_cancer_DC">#REF!</definedName>
    <definedName name="AT_AC" localSheetId="0">#REF!</definedName>
    <definedName name="AT_AC">'List Values'!$K$46</definedName>
    <definedName name="AT_AC_DC">#REF!</definedName>
    <definedName name="AT_ADC_high" localSheetId="0">#REF!</definedName>
    <definedName name="AT_ADC_high">'List Values'!$K$37</definedName>
    <definedName name="AT_ADC_I">'List Values'!$K$43</definedName>
    <definedName name="AT_ADC_mid" localSheetId="0">#REF!</definedName>
    <definedName name="AT_ADC_mid">'List Values'!$K$36</definedName>
    <definedName name="AT_cancer">#REF!</definedName>
    <definedName name="AT_cancer_DC">#REF!</definedName>
    <definedName name="AT_CRD_high">'List Values'!$K$40</definedName>
    <definedName name="AT_CRD_I">'List Values'!$K$45</definedName>
    <definedName name="AT_CRD_mid">'List Values'!$K$39</definedName>
    <definedName name="AT_LADC" localSheetId="0">#REF!</definedName>
    <definedName name="AT_LADC">'List Values'!$K$38</definedName>
    <definedName name="AT_LCRD">'List Values'!$K$41</definedName>
    <definedName name="AWD">#REF!</definedName>
    <definedName name="AWD_DC_50th">#REF!</definedName>
    <definedName name="AWD_DC_95th">#REF!</definedName>
    <definedName name="Breathing_Ratio">'List Values'!$K$42</definedName>
    <definedName name="BW_default">'Exposure Factors'!$C$6</definedName>
    <definedName name="BW_women">'Exposure Factors'!$D$6</definedName>
    <definedName name="CASRN">#REF!</definedName>
    <definedName name="ED">#REF!</definedName>
    <definedName name="ED_24">'List Values'!$K$30</definedName>
    <definedName name="ED_8">'List Values'!$K$29</definedName>
    <definedName name="ED_AC">#REF!</definedName>
    <definedName name="ED_AC_DC">#REF!</definedName>
    <definedName name="ED_chronic">#REF!</definedName>
    <definedName name="ED_chronic_DC">#REF!</definedName>
    <definedName name="EF" localSheetId="0">#REF!</definedName>
    <definedName name="EF">'List Values'!$K$31</definedName>
    <definedName name="EF_C">'List Values'!$K$32</definedName>
    <definedName name="EF_I">'List Values'!$K$44</definedName>
    <definedName name="EF_I_LGT">'List Values'!$K$47</definedName>
    <definedName name="EF_I_MLGT">'List Values'!$K$48</definedName>
    <definedName name="EF_I_MT">'List Values'!$K$49</definedName>
    <definedName name="EG">#REF!</definedName>
    <definedName name="Exposure_Drop_down" localSheetId="7">'Health Data'!$M$11:$M$11</definedName>
    <definedName name="LT">'List Values'!$K$35</definedName>
    <definedName name="MW">'List Values'!$J$19</definedName>
    <definedName name="Pal_Workbook_GUID" localSheetId="0" hidden="1">"SK39RLEDQA2L46YW8H5SUKN3"</definedName>
    <definedName name="Pal_Workbook_GUID" hidden="1">"QFFA8IQU6YFGRFCXE7L4LIWR"</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localSheetId="0" hidden="1">TRUE</definedName>
    <definedName name="RiskMultipleCPUSupportEnabled" hidden="1">FALSE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localSheetId="0" hidden="1">TRUE</definedName>
    <definedName name="RiskUseMultipleCPUs" hidden="1">FALSE</definedName>
    <definedName name="solver_adj" localSheetId="5" hidden="1">'Risk Reduction'!#REF!</definedName>
    <definedName name="solver_cvg" localSheetId="5" hidden="1">0.0001</definedName>
    <definedName name="solver_drv" localSheetId="5" hidden="1">1</definedName>
    <definedName name="solver_eng" localSheetId="5" hidden="1">1</definedName>
    <definedName name="solver_est" localSheetId="5" hidden="1">1</definedName>
    <definedName name="solver_itr" localSheetId="5" hidden="1">2147483647</definedName>
    <definedName name="solver_mip" localSheetId="5" hidden="1">2147483647</definedName>
    <definedName name="solver_mni" localSheetId="5" hidden="1">30</definedName>
    <definedName name="solver_mrt" localSheetId="5" hidden="1">0.075</definedName>
    <definedName name="solver_msl" localSheetId="5" hidden="1">2</definedName>
    <definedName name="solver_neg" localSheetId="5" hidden="1">1</definedName>
    <definedName name="solver_nod" localSheetId="5" hidden="1">2147483647</definedName>
    <definedName name="solver_num" localSheetId="5" hidden="1">0</definedName>
    <definedName name="solver_nwt" localSheetId="5" hidden="1">1</definedName>
    <definedName name="solver_opt" localSheetId="5" hidden="1">'Risk Reduction'!#REF!</definedName>
    <definedName name="solver_pre" localSheetId="5" hidden="1">0.000001</definedName>
    <definedName name="solver_rbv" localSheetId="5" hidden="1">1</definedName>
    <definedName name="solver_rlx" localSheetId="5" hidden="1">2</definedName>
    <definedName name="solver_rsd" localSheetId="5" hidden="1">0</definedName>
    <definedName name="solver_scl" localSheetId="5" hidden="1">1</definedName>
    <definedName name="solver_sho" localSheetId="5" hidden="1">2</definedName>
    <definedName name="solver_ssz" localSheetId="5" hidden="1">100</definedName>
    <definedName name="solver_tim" localSheetId="5" hidden="1">2147483647</definedName>
    <definedName name="solver_tol" localSheetId="5" hidden="1">0.01</definedName>
    <definedName name="solver_typ" localSheetId="5" hidden="1">3</definedName>
    <definedName name="solver_val" localSheetId="5" hidden="1">1</definedName>
    <definedName name="solver_ver" localSheetId="5" hidden="1">3</definedName>
    <definedName name="ug_per_mg">'List Values'!$J$26</definedName>
    <definedName name="what">#REF!</definedName>
    <definedName name="WY_50th">#REF!</definedName>
    <definedName name="WY_50th_DC">#REF!</definedName>
    <definedName name="WY_95th">#REF!</definedName>
    <definedName name="WY_95th_DC">#REF!</definedName>
    <definedName name="WY_CT_default">'Exposure Factors'!$C$10</definedName>
    <definedName name="WY_CT_women">'Exposure Factors'!$D$10</definedName>
    <definedName name="WY_HE_default">'Exposure Factors'!$C$9</definedName>
    <definedName name="WY_HE_women">'Exposure Factors'!$D$9</definedName>
    <definedName name="WY_high" localSheetId="0">#REF!</definedName>
    <definedName name="WY_high">'List Values'!$K$34</definedName>
    <definedName name="WY_mid" localSheetId="0">#REF!</definedName>
    <definedName name="WY_mid">'List Values'!$K$33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 i="42" l="1"/>
  <c r="O12" i="42"/>
  <c r="P12" i="42"/>
  <c r="Q12" i="42"/>
  <c r="R12" i="42"/>
  <c r="S12" i="42"/>
  <c r="T12" i="42"/>
  <c r="U12" i="42"/>
  <c r="N13" i="42"/>
  <c r="O13" i="42"/>
  <c r="P13" i="42"/>
  <c r="Q13" i="42"/>
  <c r="R13" i="42"/>
  <c r="S13" i="42"/>
  <c r="T13" i="42"/>
  <c r="U13" i="42"/>
  <c r="N14" i="42"/>
  <c r="O14" i="42"/>
  <c r="P14" i="42"/>
  <c r="Q14" i="42"/>
  <c r="R14" i="42"/>
  <c r="S14" i="42"/>
  <c r="T14" i="42"/>
  <c r="U14" i="42"/>
  <c r="K11" i="37"/>
  <c r="J23" i="35"/>
  <c r="W27" i="40"/>
  <c r="J26" i="40"/>
  <c r="H26" i="40"/>
  <c r="F26" i="40"/>
  <c r="D26" i="40"/>
  <c r="W25" i="40"/>
  <c r="J25" i="40"/>
  <c r="W24" i="40"/>
  <c r="U24" i="40"/>
  <c r="T24" i="40"/>
  <c r="S24" i="40"/>
  <c r="J24" i="40"/>
  <c r="H24" i="40"/>
  <c r="F24" i="40"/>
  <c r="D24" i="40"/>
  <c r="W23" i="40"/>
  <c r="J23" i="40"/>
  <c r="W22" i="40"/>
  <c r="U22" i="40"/>
  <c r="T22" i="40"/>
  <c r="S22" i="40"/>
  <c r="J22" i="40"/>
  <c r="H22" i="40"/>
  <c r="F22" i="40"/>
  <c r="D22" i="40"/>
  <c r="S12" i="40"/>
  <c r="J12" i="40"/>
  <c r="S4" i="40"/>
  <c r="R28" i="45"/>
  <c r="Q28" i="45"/>
  <c r="P28" i="45"/>
  <c r="O28" i="45"/>
  <c r="R27" i="45"/>
  <c r="Q27" i="45"/>
  <c r="P27" i="45"/>
  <c r="R26" i="45"/>
  <c r="Q26" i="45"/>
  <c r="P26" i="45"/>
  <c r="O26" i="45"/>
  <c r="R25" i="45"/>
  <c r="Q25" i="45"/>
  <c r="P25" i="45"/>
  <c r="Q24" i="31"/>
  <c r="O24" i="31"/>
  <c r="N24" i="31"/>
  <c r="F24" i="31"/>
  <c r="D24" i="31"/>
  <c r="C24" i="31"/>
  <c r="E12" i="31"/>
  <c r="N4" i="31"/>
  <c r="Q25" i="31"/>
  <c r="F25" i="31"/>
  <c r="J27" i="40"/>
  <c r="W26" i="40"/>
  <c r="U26" i="40"/>
  <c r="T26" i="40"/>
  <c r="S26" i="40"/>
  <c r="K43" i="35"/>
  <c r="L32" i="37" s="1"/>
  <c r="K42" i="35"/>
  <c r="J38" i="37" s="1"/>
  <c r="K38" i="35"/>
  <c r="Q29" i="37" s="1"/>
  <c r="K37" i="35"/>
  <c r="K36" i="35"/>
  <c r="D7" i="38"/>
  <c r="C7" i="38"/>
  <c r="Q11" i="37" l="1"/>
  <c r="P23" i="37"/>
  <c r="P13" i="37"/>
  <c r="P25" i="37"/>
  <c r="K13" i="37"/>
  <c r="K25" i="37"/>
  <c r="W25" i="37" s="1"/>
  <c r="K9" i="37"/>
  <c r="Q13" i="37"/>
  <c r="K27" i="37"/>
  <c r="Q17" i="37"/>
  <c r="K23" i="37"/>
  <c r="W23" i="37" s="1"/>
  <c r="N29" i="37"/>
  <c r="P9" i="37"/>
  <c r="K17" i="37"/>
  <c r="P27" i="37"/>
  <c r="P29" i="37"/>
  <c r="P11" i="37"/>
  <c r="O29" i="37"/>
  <c r="Q9" i="37"/>
  <c r="P17" i="37"/>
  <c r="K29" i="37"/>
  <c r="L9" i="37"/>
  <c r="L13" i="37"/>
  <c r="L17" i="37"/>
  <c r="L23" i="37"/>
  <c r="X23" i="37" s="1"/>
  <c r="L25" i="37"/>
  <c r="X25" i="37" s="1"/>
  <c r="L27" i="37"/>
  <c r="X27" i="37" s="1"/>
  <c r="L29" i="37"/>
  <c r="M9" i="37"/>
  <c r="M11" i="37"/>
  <c r="M13" i="37"/>
  <c r="M17" i="37"/>
  <c r="M23" i="37"/>
  <c r="M25" i="37"/>
  <c r="Y25" i="37" s="1"/>
  <c r="M27" i="37"/>
  <c r="M29" i="37"/>
  <c r="L11" i="37"/>
  <c r="N9" i="37"/>
  <c r="N11" i="37"/>
  <c r="N13" i="37"/>
  <c r="N17" i="37"/>
  <c r="N23" i="37"/>
  <c r="Z23" i="37" s="1"/>
  <c r="N25" i="37"/>
  <c r="Z25" i="37" s="1"/>
  <c r="N27" i="37"/>
  <c r="Z27" i="37" s="1"/>
  <c r="O9" i="37"/>
  <c r="O11" i="37"/>
  <c r="O13" i="37"/>
  <c r="O17" i="37"/>
  <c r="O23" i="37"/>
  <c r="O25" i="37"/>
  <c r="O27" i="37"/>
  <c r="Q23" i="37"/>
  <c r="Q25" i="37"/>
  <c r="Q27" i="37"/>
  <c r="J9" i="37"/>
  <c r="J11" i="37"/>
  <c r="J13" i="37"/>
  <c r="J17" i="37"/>
  <c r="J23" i="37"/>
  <c r="J25" i="37"/>
  <c r="J27" i="37"/>
  <c r="V27" i="37" s="1"/>
  <c r="J29" i="37"/>
  <c r="L10" i="37"/>
  <c r="L33" i="37"/>
  <c r="K12" i="37"/>
  <c r="W12" i="37" s="1"/>
  <c r="K24" i="37"/>
  <c r="W24" i="37" s="1"/>
  <c r="K19" i="37"/>
  <c r="W19" i="37" s="1"/>
  <c r="W27" i="37"/>
  <c r="K20" i="37"/>
  <c r="W20" i="37" s="1"/>
  <c r="K21" i="37"/>
  <c r="W21" i="37" s="1"/>
  <c r="K22" i="37"/>
  <c r="W22" i="37" s="1"/>
  <c r="K38" i="37"/>
  <c r="W38" i="37" s="1"/>
  <c r="K18" i="37"/>
  <c r="W18" i="37" s="1"/>
  <c r="K26" i="37"/>
  <c r="W26" i="37" s="1"/>
  <c r="O38" i="37"/>
  <c r="AA38" i="37" s="1"/>
  <c r="N38" i="37"/>
  <c r="Z38" i="37" s="1"/>
  <c r="N26" i="37"/>
  <c r="Z26" i="37" s="1"/>
  <c r="N24" i="37"/>
  <c r="Z24" i="37" s="1"/>
  <c r="N22" i="37"/>
  <c r="Z22" i="37" s="1"/>
  <c r="N21" i="37"/>
  <c r="Z21" i="37" s="1"/>
  <c r="N20" i="37"/>
  <c r="Z20" i="37" s="1"/>
  <c r="N19" i="37"/>
  <c r="Z19" i="37" s="1"/>
  <c r="N18" i="37"/>
  <c r="Z18" i="37" s="1"/>
  <c r="N12" i="37"/>
  <c r="Z12" i="37" s="1"/>
  <c r="Q38" i="37"/>
  <c r="Q26" i="37"/>
  <c r="Q24" i="37"/>
  <c r="Q22" i="37"/>
  <c r="Q21" i="37"/>
  <c r="Q20" i="37"/>
  <c r="Q19" i="37"/>
  <c r="Q18" i="37"/>
  <c r="Q12" i="37"/>
  <c r="P38" i="37"/>
  <c r="P26" i="37"/>
  <c r="P24" i="37"/>
  <c r="P22" i="37"/>
  <c r="P21" i="37"/>
  <c r="P20" i="37"/>
  <c r="P19" i="37"/>
  <c r="P18" i="37"/>
  <c r="P12" i="37"/>
  <c r="V38" i="37"/>
  <c r="M38" i="37"/>
  <c r="Y27" i="37"/>
  <c r="M26" i="37"/>
  <c r="Y26" i="37" s="1"/>
  <c r="M24" i="37"/>
  <c r="Y24" i="37" s="1"/>
  <c r="Y23" i="37"/>
  <c r="M22" i="37"/>
  <c r="Y22" i="37" s="1"/>
  <c r="M21" i="37"/>
  <c r="Y21" i="37" s="1"/>
  <c r="M20" i="37"/>
  <c r="Y20" i="37" s="1"/>
  <c r="M19" i="37"/>
  <c r="Y19" i="37" s="1"/>
  <c r="M18" i="37"/>
  <c r="Y18" i="37" s="1"/>
  <c r="M12" i="37"/>
  <c r="Y12" i="37" s="1"/>
  <c r="L38" i="37"/>
  <c r="X38" i="37" s="1"/>
  <c r="L26" i="37"/>
  <c r="X26" i="37" s="1"/>
  <c r="L24" i="37"/>
  <c r="X24" i="37" s="1"/>
  <c r="L22" i="37"/>
  <c r="X22" i="37" s="1"/>
  <c r="L21" i="37"/>
  <c r="X21" i="37" s="1"/>
  <c r="L20" i="37"/>
  <c r="X20" i="37" s="1"/>
  <c r="L19" i="37"/>
  <c r="X19" i="37" s="1"/>
  <c r="L18" i="37"/>
  <c r="X18" i="37" s="1"/>
  <c r="L12" i="37"/>
  <c r="X12" i="37" s="1"/>
  <c r="O12" i="37"/>
  <c r="AA12" i="37" s="1"/>
  <c r="O18" i="37"/>
  <c r="AA18" i="37" s="1"/>
  <c r="O19" i="37"/>
  <c r="AA19" i="37" s="1"/>
  <c r="O20" i="37"/>
  <c r="AA20" i="37" s="1"/>
  <c r="O21" i="37"/>
  <c r="AA21" i="37" s="1"/>
  <c r="O22" i="37"/>
  <c r="AA22" i="37" s="1"/>
  <c r="AA23" i="37"/>
  <c r="O24" i="37"/>
  <c r="AA24" i="37" s="1"/>
  <c r="AA25" i="37"/>
  <c r="O26" i="37"/>
  <c r="AA26" i="37" s="1"/>
  <c r="AA27" i="37"/>
  <c r="J12" i="37"/>
  <c r="J18" i="37"/>
  <c r="J19" i="37"/>
  <c r="J20" i="37"/>
  <c r="J21" i="37"/>
  <c r="J22" i="37"/>
  <c r="V23" i="37"/>
  <c r="J24" i="37"/>
  <c r="V25" i="37"/>
  <c r="J26" i="37"/>
  <c r="V24" i="37" l="1"/>
  <c r="V12" i="37"/>
  <c r="V22" i="37"/>
  <c r="Y38" i="37"/>
  <c r="V20" i="37"/>
  <c r="V21" i="37"/>
  <c r="V19" i="37"/>
  <c r="V26" i="37"/>
  <c r="V18" i="37"/>
  <c r="I10" i="39" l="1"/>
  <c r="S6" i="42"/>
  <c r="S7" i="42"/>
  <c r="S8" i="42"/>
  <c r="S9" i="42"/>
  <c r="S10" i="42"/>
  <c r="S11" i="42"/>
  <c r="T6" i="42"/>
  <c r="U6" i="42"/>
  <c r="T7" i="42"/>
  <c r="U7" i="42"/>
  <c r="T8" i="42"/>
  <c r="U8" i="42"/>
  <c r="T9" i="42"/>
  <c r="U9" i="42"/>
  <c r="T10" i="42"/>
  <c r="U10" i="42"/>
  <c r="T11" i="42"/>
  <c r="U11" i="42"/>
  <c r="R6" i="42"/>
  <c r="R7" i="42"/>
  <c r="R8" i="42"/>
  <c r="R9" i="42"/>
  <c r="R10" i="42"/>
  <c r="R11" i="42"/>
  <c r="P6" i="42"/>
  <c r="Q6" i="42"/>
  <c r="P7" i="42"/>
  <c r="Q7" i="42"/>
  <c r="P8" i="42"/>
  <c r="Q8" i="42"/>
  <c r="P9" i="42"/>
  <c r="Q9" i="42"/>
  <c r="P10" i="42"/>
  <c r="Q10" i="42"/>
  <c r="P11" i="42"/>
  <c r="Q11" i="42"/>
  <c r="O6" i="42"/>
  <c r="O7" i="42"/>
  <c r="O8" i="42"/>
  <c r="O9" i="42"/>
  <c r="O10" i="42"/>
  <c r="O11" i="42"/>
  <c r="N6" i="42"/>
  <c r="N7" i="42"/>
  <c r="N8" i="42"/>
  <c r="N9" i="42"/>
  <c r="N10" i="42"/>
  <c r="N11" i="42"/>
  <c r="AC38" i="37" l="1"/>
  <c r="AC27" i="37"/>
  <c r="AC26" i="37"/>
  <c r="AC25" i="37"/>
  <c r="AC24" i="37"/>
  <c r="AC23" i="37"/>
  <c r="AC22" i="37"/>
  <c r="AC21" i="37"/>
  <c r="AC20" i="37"/>
  <c r="AC19" i="37"/>
  <c r="AC18" i="37"/>
  <c r="AC12" i="37"/>
  <c r="AB38" i="37"/>
  <c r="AB27" i="37"/>
  <c r="AB26" i="37"/>
  <c r="AB25" i="37"/>
  <c r="AB24" i="37"/>
  <c r="AB23" i="37"/>
  <c r="AB22" i="37"/>
  <c r="AB21" i="37"/>
  <c r="AB20" i="37"/>
  <c r="AB19" i="37"/>
  <c r="AB18" i="37"/>
  <c r="AB12" i="37"/>
  <c r="J11" i="40"/>
  <c r="J10" i="40"/>
  <c r="J13" i="40"/>
  <c r="E13" i="31"/>
  <c r="E10" i="31"/>
  <c r="E11" i="31"/>
  <c r="N4" i="45" l="1"/>
  <c r="W10" i="40" l="1"/>
  <c r="W11" i="40"/>
  <c r="X10" i="40"/>
  <c r="V10" i="40"/>
  <c r="U10" i="40"/>
  <c r="U12" i="40" s="1"/>
  <c r="Y10" i="40"/>
  <c r="Y12" i="40" s="1"/>
  <c r="U11" i="40"/>
  <c r="U13" i="40" s="1"/>
  <c r="Y11" i="40"/>
  <c r="Y13" i="40" s="1"/>
  <c r="X11" i="40"/>
  <c r="V11" i="40"/>
  <c r="T10" i="31"/>
  <c r="S10" i="31"/>
  <c r="R10" i="31"/>
  <c r="R24" i="31" s="1"/>
  <c r="Q11" i="31"/>
  <c r="Q10" i="31"/>
  <c r="P10" i="31"/>
  <c r="P11" i="31"/>
  <c r="T11" i="31"/>
  <c r="S11" i="31"/>
  <c r="R11" i="31"/>
  <c r="R25" i="31" s="1"/>
  <c r="AA9" i="45"/>
  <c r="N13" i="39"/>
  <c r="N30" i="31"/>
  <c r="V12" i="40" l="1"/>
  <c r="Y22" i="40" s="1"/>
  <c r="X22" i="40"/>
  <c r="X26" i="40"/>
  <c r="X12" i="40"/>
  <c r="Y26" i="40" s="1"/>
  <c r="V13" i="40"/>
  <c r="Y23" i="40" s="1"/>
  <c r="X23" i="40"/>
  <c r="X25" i="40"/>
  <c r="W13" i="40"/>
  <c r="Y25" i="40" s="1"/>
  <c r="X13" i="40"/>
  <c r="Y27" i="40" s="1"/>
  <c r="X27" i="40"/>
  <c r="W12" i="40"/>
  <c r="Y24" i="40" s="1"/>
  <c r="X24" i="40"/>
  <c r="Y16" i="40"/>
  <c r="Y14" i="40"/>
  <c r="X16" i="40"/>
  <c r="AA26" i="40" s="1"/>
  <c r="X14" i="40"/>
  <c r="Z26" i="40" s="1"/>
  <c r="Y15" i="40"/>
  <c r="Y17" i="40"/>
  <c r="V17" i="40"/>
  <c r="AA23" i="40" s="1"/>
  <c r="V15" i="40"/>
  <c r="Z23" i="40" s="1"/>
  <c r="W15" i="40"/>
  <c r="Z25" i="40" s="1"/>
  <c r="W17" i="40"/>
  <c r="AA25" i="40" s="1"/>
  <c r="U17" i="40"/>
  <c r="U15" i="40"/>
  <c r="U14" i="40"/>
  <c r="U16" i="40"/>
  <c r="V14" i="40"/>
  <c r="Z22" i="40" s="1"/>
  <c r="V16" i="40"/>
  <c r="AA22" i="40" s="1"/>
  <c r="X15" i="40"/>
  <c r="Z27" i="40" s="1"/>
  <c r="X17" i="40"/>
  <c r="AA27" i="40" s="1"/>
  <c r="W14" i="40"/>
  <c r="Z24" i="40" s="1"/>
  <c r="W16" i="40"/>
  <c r="AA24" i="40" s="1"/>
  <c r="J31" i="37" l="1"/>
  <c r="J34" i="37"/>
  <c r="K30" i="37"/>
  <c r="K32" i="37"/>
  <c r="K34" i="37"/>
  <c r="K37" i="37"/>
  <c r="W37" i="37" s="1"/>
  <c r="J32" i="37"/>
  <c r="J30" i="37"/>
  <c r="J36" i="37"/>
  <c r="K33" i="37"/>
  <c r="W33" i="37" s="1"/>
  <c r="J33" i="37"/>
  <c r="V33" i="37" s="1"/>
  <c r="J37" i="37"/>
  <c r="V37" i="37" s="1"/>
  <c r="K35" i="37"/>
  <c r="J35" i="37"/>
  <c r="K31" i="37"/>
  <c r="K36" i="37"/>
  <c r="V9" i="37"/>
  <c r="J8" i="37"/>
  <c r="W13" i="37"/>
  <c r="W9" i="37"/>
  <c r="K8" i="37"/>
  <c r="J16" i="37"/>
  <c r="K16" i="37"/>
  <c r="K28" i="37"/>
  <c r="J28" i="37"/>
  <c r="K14" i="37"/>
  <c r="J14" i="37"/>
  <c r="K15" i="37"/>
  <c r="K7" i="37"/>
  <c r="J15" i="37"/>
  <c r="J7" i="37"/>
  <c r="J10" i="37"/>
  <c r="K10" i="37"/>
  <c r="K6" i="37"/>
  <c r="K39" i="37"/>
  <c r="J39" i="37"/>
  <c r="J6" i="37"/>
  <c r="K46" i="37"/>
  <c r="K47" i="37"/>
  <c r="J46" i="37"/>
  <c r="J47" i="37"/>
  <c r="K43" i="37"/>
  <c r="J42" i="37"/>
  <c r="J43" i="37"/>
  <c r="K42" i="37"/>
  <c r="J40" i="37"/>
  <c r="J41" i="37"/>
  <c r="K40" i="37"/>
  <c r="K41" i="37"/>
  <c r="J45" i="37"/>
  <c r="K44" i="37"/>
  <c r="K45" i="37"/>
  <c r="J44" i="37"/>
  <c r="U30" i="40"/>
  <c r="Y30" i="40" s="1"/>
  <c r="T30" i="40"/>
  <c r="H30" i="40"/>
  <c r="M5" i="45"/>
  <c r="L5" i="45"/>
  <c r="K5" i="45"/>
  <c r="AC10" i="45"/>
  <c r="AB10" i="45"/>
  <c r="AA10" i="45"/>
  <c r="Z10" i="45"/>
  <c r="O37" i="31"/>
  <c r="N37" i="31"/>
  <c r="Q31" i="31"/>
  <c r="Q30" i="31"/>
  <c r="O30" i="31"/>
  <c r="Q19" i="31"/>
  <c r="Q18" i="31"/>
  <c r="O18" i="31"/>
  <c r="N18" i="31"/>
  <c r="D37" i="31"/>
  <c r="K12" i="40" l="1"/>
  <c r="F12" i="31"/>
  <c r="M159" i="45"/>
  <c r="M145" i="45"/>
  <c r="M157" i="45"/>
  <c r="M135" i="45"/>
  <c r="M147" i="45"/>
  <c r="M133" i="45"/>
  <c r="N145" i="45"/>
  <c r="N75" i="45"/>
  <c r="N47" i="45"/>
  <c r="N157" i="45"/>
  <c r="N121" i="45"/>
  <c r="N123" i="45"/>
  <c r="N73" i="45"/>
  <c r="N45" i="45"/>
  <c r="N135" i="45"/>
  <c r="N111" i="45"/>
  <c r="N35" i="45"/>
  <c r="N109" i="45"/>
  <c r="N99" i="45"/>
  <c r="N33" i="45"/>
  <c r="N147" i="45"/>
  <c r="N97" i="45"/>
  <c r="N133" i="45"/>
  <c r="N159" i="45"/>
  <c r="L133" i="45"/>
  <c r="L159" i="45"/>
  <c r="L157" i="45"/>
  <c r="L135" i="45"/>
  <c r="L147" i="45"/>
  <c r="L145" i="45"/>
  <c r="W44" i="37"/>
  <c r="V42" i="37"/>
  <c r="V45" i="37"/>
  <c r="W43" i="37"/>
  <c r="W34" i="37"/>
  <c r="K159" i="45"/>
  <c r="K147" i="45"/>
  <c r="K135" i="45"/>
  <c r="K121" i="45"/>
  <c r="K99" i="45"/>
  <c r="K111" i="45"/>
  <c r="K157" i="45"/>
  <c r="K145" i="45"/>
  <c r="K133" i="45"/>
  <c r="K109" i="45"/>
  <c r="K97" i="45"/>
  <c r="K75" i="45"/>
  <c r="O27" i="45"/>
  <c r="K47" i="45"/>
  <c r="K35" i="45"/>
  <c r="K123" i="45"/>
  <c r="K73" i="45"/>
  <c r="K45" i="45"/>
  <c r="K33" i="45"/>
  <c r="O25" i="45"/>
  <c r="W41" i="37"/>
  <c r="V47" i="37"/>
  <c r="V46" i="37"/>
  <c r="V41" i="37"/>
  <c r="W47" i="37"/>
  <c r="W46" i="37"/>
  <c r="V34" i="37"/>
  <c r="V44" i="37"/>
  <c r="W42" i="37"/>
  <c r="W45" i="37"/>
  <c r="V43" i="37"/>
  <c r="V6" i="37"/>
  <c r="W7" i="37"/>
  <c r="W16" i="37"/>
  <c r="V32" i="37"/>
  <c r="V39" i="37"/>
  <c r="W15" i="37"/>
  <c r="V29" i="37"/>
  <c r="V16" i="37"/>
  <c r="V13" i="37"/>
  <c r="V11" i="37"/>
  <c r="W36" i="37"/>
  <c r="W40" i="37"/>
  <c r="W6" i="37"/>
  <c r="V14" i="37"/>
  <c r="W29" i="37"/>
  <c r="W10" i="37"/>
  <c r="W11" i="37"/>
  <c r="V28" i="37"/>
  <c r="W31" i="37"/>
  <c r="V36" i="37"/>
  <c r="W32" i="37"/>
  <c r="W39" i="37"/>
  <c r="V40" i="37"/>
  <c r="V10" i="37"/>
  <c r="W14" i="37"/>
  <c r="W28" i="37"/>
  <c r="V35" i="37"/>
  <c r="W30" i="37"/>
  <c r="W17" i="37"/>
  <c r="V7" i="37"/>
  <c r="V17" i="37"/>
  <c r="W35" i="37"/>
  <c r="V30" i="37"/>
  <c r="V15" i="37"/>
  <c r="V31" i="37"/>
  <c r="V8" i="37"/>
  <c r="W8" i="37"/>
  <c r="L97" i="45"/>
  <c r="L99" i="45"/>
  <c r="F11" i="31"/>
  <c r="F10" i="31"/>
  <c r="K11" i="40"/>
  <c r="F13" i="31"/>
  <c r="K10" i="40"/>
  <c r="K13" i="40"/>
  <c r="M123" i="45"/>
  <c r="M109" i="45"/>
  <c r="M121" i="45"/>
  <c r="M111" i="45"/>
  <c r="L109" i="45"/>
  <c r="L111" i="45"/>
  <c r="L121" i="45"/>
  <c r="L123" i="45"/>
  <c r="L75" i="45"/>
  <c r="L73" i="45"/>
  <c r="L35" i="45"/>
  <c r="L47" i="45"/>
  <c r="L33" i="45"/>
  <c r="L45" i="45"/>
  <c r="M35" i="45"/>
  <c r="M47" i="45"/>
  <c r="M33" i="45"/>
  <c r="M45" i="45"/>
  <c r="K22" i="40" l="1"/>
  <c r="L22" i="40" s="1"/>
  <c r="K23" i="40"/>
  <c r="O23" i="40" s="1"/>
  <c r="C37" i="31"/>
  <c r="C30" i="31"/>
  <c r="C18" i="31"/>
  <c r="F30" i="40"/>
  <c r="E30" i="40"/>
  <c r="M23" i="40" l="1"/>
  <c r="N23" i="40"/>
  <c r="M22" i="40"/>
  <c r="N22" i="40"/>
  <c r="O22" i="40"/>
  <c r="P23" i="40"/>
  <c r="L23" i="40"/>
  <c r="P22" i="40"/>
  <c r="M4" i="45"/>
  <c r="L4" i="45"/>
  <c r="K4" i="45"/>
  <c r="R124" i="45"/>
  <c r="R10" i="45"/>
  <c r="R12" i="45"/>
  <c r="Q124" i="45"/>
  <c r="Q12" i="45"/>
  <c r="Q10" i="45"/>
  <c r="P124" i="45"/>
  <c r="P12" i="45"/>
  <c r="P10" i="45"/>
  <c r="O124" i="45"/>
  <c r="P5" i="45"/>
  <c r="P8" i="45" s="1"/>
  <c r="K45" i="35"/>
  <c r="J22" i="31"/>
  <c r="D30" i="31"/>
  <c r="D18" i="31"/>
  <c r="G19" i="31" s="1"/>
  <c r="X28" i="40"/>
  <c r="K28" i="40"/>
  <c r="F31" i="31"/>
  <c r="F30" i="31"/>
  <c r="F18" i="31"/>
  <c r="F19" i="31"/>
  <c r="AB9" i="45"/>
  <c r="Q5" i="45"/>
  <c r="Q8" i="45" s="1"/>
  <c r="K39" i="35"/>
  <c r="K41" i="35"/>
  <c r="K40" i="35"/>
  <c r="P10" i="39"/>
  <c r="N5" i="45" s="1"/>
  <c r="R5" i="45" s="1"/>
  <c r="Z9" i="45"/>
  <c r="O5" i="45"/>
  <c r="O8" i="45" s="1"/>
  <c r="O12" i="45"/>
  <c r="O10" i="45"/>
  <c r="X20" i="40"/>
  <c r="K20" i="40"/>
  <c r="S16" i="40"/>
  <c r="S14" i="40"/>
  <c r="J35" i="31"/>
  <c r="J28" i="31"/>
  <c r="J16" i="31"/>
  <c r="I60" i="40"/>
  <c r="T60" i="40"/>
  <c r="S60" i="40"/>
  <c r="N92" i="31"/>
  <c r="J60" i="40"/>
  <c r="D6" i="38"/>
  <c r="AC9" i="45"/>
  <c r="K17" i="45" l="1"/>
  <c r="K19" i="45"/>
  <c r="K43" i="45"/>
  <c r="K67" i="45"/>
  <c r="K63" i="45"/>
  <c r="K107" i="45"/>
  <c r="K59" i="45"/>
  <c r="K23" i="45"/>
  <c r="K55" i="45"/>
  <c r="K79" i="45"/>
  <c r="K51" i="45"/>
  <c r="K105" i="45"/>
  <c r="K61" i="45"/>
  <c r="K21" i="45"/>
  <c r="K57" i="45"/>
  <c r="K53" i="45"/>
  <c r="K65" i="45"/>
  <c r="K41" i="45"/>
  <c r="K77" i="45"/>
  <c r="K49" i="45"/>
  <c r="K31" i="45"/>
  <c r="K25" i="45"/>
  <c r="K115" i="45"/>
  <c r="K95" i="45"/>
  <c r="K91" i="45"/>
  <c r="K153" i="45"/>
  <c r="K15" i="45"/>
  <c r="K131" i="45"/>
  <c r="K85" i="45"/>
  <c r="K143" i="45"/>
  <c r="K113" i="45"/>
  <c r="K117" i="45"/>
  <c r="K37" i="45"/>
  <c r="K149" i="45"/>
  <c r="K155" i="45"/>
  <c r="K151" i="45"/>
  <c r="K93" i="45"/>
  <c r="K71" i="45"/>
  <c r="K69" i="45"/>
  <c r="K27" i="45"/>
  <c r="K129" i="45"/>
  <c r="K29" i="45"/>
  <c r="K103" i="45"/>
  <c r="K81" i="45"/>
  <c r="K139" i="45"/>
  <c r="K127" i="45"/>
  <c r="K125" i="45"/>
  <c r="K89" i="45"/>
  <c r="K137" i="45"/>
  <c r="K9" i="45"/>
  <c r="K39" i="45"/>
  <c r="K119" i="45"/>
  <c r="K87" i="45"/>
  <c r="K83" i="45"/>
  <c r="K161" i="45"/>
  <c r="K163" i="45"/>
  <c r="K141" i="45"/>
  <c r="K13" i="45"/>
  <c r="K11" i="45"/>
  <c r="K101" i="45"/>
  <c r="N105" i="45"/>
  <c r="N79" i="45"/>
  <c r="N67" i="45"/>
  <c r="N59" i="45"/>
  <c r="N51" i="45"/>
  <c r="N43" i="45"/>
  <c r="N23" i="45"/>
  <c r="N77" i="45"/>
  <c r="N65" i="45"/>
  <c r="N57" i="45"/>
  <c r="N49" i="45"/>
  <c r="N41" i="45"/>
  <c r="N21" i="45"/>
  <c r="N63" i="45"/>
  <c r="N55" i="45"/>
  <c r="N107" i="45"/>
  <c r="N61" i="45"/>
  <c r="N53" i="45"/>
  <c r="G18" i="31"/>
  <c r="O30" i="37"/>
  <c r="O31" i="37"/>
  <c r="AA31" i="37" s="1"/>
  <c r="O32" i="37"/>
  <c r="O33" i="37"/>
  <c r="AA33" i="37" s="1"/>
  <c r="O34" i="37"/>
  <c r="O35" i="37"/>
  <c r="O36" i="37"/>
  <c r="O37" i="37"/>
  <c r="AA37" i="37" s="1"/>
  <c r="N30" i="37"/>
  <c r="N31" i="37"/>
  <c r="Z31" i="37" s="1"/>
  <c r="N32" i="37"/>
  <c r="N33" i="37"/>
  <c r="Z33" i="37" s="1"/>
  <c r="N34" i="37"/>
  <c r="N35" i="37"/>
  <c r="N36" i="37"/>
  <c r="N37" i="37"/>
  <c r="Z37" i="37" s="1"/>
  <c r="Q37" i="37"/>
  <c r="AC37" i="37" s="1"/>
  <c r="P37" i="37"/>
  <c r="AB37" i="37" s="1"/>
  <c r="P30" i="37"/>
  <c r="AB30" i="37" s="1"/>
  <c r="P31" i="37"/>
  <c r="AB31" i="37" s="1"/>
  <c r="P32" i="37"/>
  <c r="AB32" i="37" s="1"/>
  <c r="P33" i="37"/>
  <c r="AB33" i="37" s="1"/>
  <c r="P34" i="37"/>
  <c r="AB34" i="37" s="1"/>
  <c r="P35" i="37"/>
  <c r="P36" i="37"/>
  <c r="AB36" i="37" s="1"/>
  <c r="Q30" i="37"/>
  <c r="AC30" i="37" s="1"/>
  <c r="Q31" i="37"/>
  <c r="AC31" i="37" s="1"/>
  <c r="Q32" i="37"/>
  <c r="AC32" i="37" s="1"/>
  <c r="Q33" i="37"/>
  <c r="AC33" i="37" s="1"/>
  <c r="Q34" i="37"/>
  <c r="AC34" i="37" s="1"/>
  <c r="Q35" i="37"/>
  <c r="Q36" i="37"/>
  <c r="AC36" i="37" s="1"/>
  <c r="L30" i="37"/>
  <c r="L31" i="37"/>
  <c r="X31" i="37" s="1"/>
  <c r="X33" i="37"/>
  <c r="L34" i="37"/>
  <c r="L89" i="45" s="1"/>
  <c r="L35" i="37"/>
  <c r="L36" i="37"/>
  <c r="L37" i="37"/>
  <c r="X37" i="37" s="1"/>
  <c r="M30" i="37"/>
  <c r="M31" i="37"/>
  <c r="Y31" i="37" s="1"/>
  <c r="M32" i="37"/>
  <c r="M33" i="37"/>
  <c r="Y33" i="37" s="1"/>
  <c r="M34" i="37"/>
  <c r="L91" i="45" s="1"/>
  <c r="M35" i="37"/>
  <c r="M36" i="37"/>
  <c r="M37" i="37"/>
  <c r="Y37" i="37" s="1"/>
  <c r="M10" i="37"/>
  <c r="L19" i="45" s="1"/>
  <c r="N8" i="37"/>
  <c r="Z9" i="37"/>
  <c r="AA9" i="37"/>
  <c r="AA13" i="37"/>
  <c r="O8" i="37"/>
  <c r="AB9" i="37"/>
  <c r="Q8" i="37"/>
  <c r="N15" i="45" s="1"/>
  <c r="AC9" i="37"/>
  <c r="P8" i="37"/>
  <c r="N13" i="45" s="1"/>
  <c r="AC13" i="37"/>
  <c r="X9" i="37"/>
  <c r="L8" i="37"/>
  <c r="Y9" i="37"/>
  <c r="M8" i="37"/>
  <c r="L16" i="37"/>
  <c r="N28" i="37"/>
  <c r="Z28" i="37" s="1"/>
  <c r="N16" i="37"/>
  <c r="O28" i="37"/>
  <c r="AA28" i="37" s="1"/>
  <c r="O16" i="37"/>
  <c r="P28" i="37"/>
  <c r="AB28" i="37" s="1"/>
  <c r="Q16" i="37"/>
  <c r="N31" i="45" s="1"/>
  <c r="Q28" i="37"/>
  <c r="AC28" i="37" s="1"/>
  <c r="P16" i="37"/>
  <c r="N29" i="45" s="1"/>
  <c r="L28" i="37"/>
  <c r="X28" i="37" s="1"/>
  <c r="L17" i="45"/>
  <c r="M28" i="37"/>
  <c r="Y28" i="37" s="1"/>
  <c r="M16" i="37"/>
  <c r="M14" i="37"/>
  <c r="L27" i="45" s="1"/>
  <c r="L14" i="37"/>
  <c r="M15" i="37"/>
  <c r="M7" i="37"/>
  <c r="Y7" i="37" s="1"/>
  <c r="L15" i="37"/>
  <c r="L7" i="37"/>
  <c r="X7" i="37" s="1"/>
  <c r="Q15" i="37"/>
  <c r="Q7" i="37"/>
  <c r="AC7" i="37" s="1"/>
  <c r="P15" i="37"/>
  <c r="P7" i="37"/>
  <c r="AB7" i="37" s="1"/>
  <c r="P14" i="37"/>
  <c r="N25" i="45" s="1"/>
  <c r="Q14" i="37"/>
  <c r="N27" i="45" s="1"/>
  <c r="N15" i="37"/>
  <c r="N7" i="37"/>
  <c r="Z7" i="37" s="1"/>
  <c r="N14" i="37"/>
  <c r="O14" i="37"/>
  <c r="O15" i="37"/>
  <c r="O7" i="37"/>
  <c r="AA7" i="37" s="1"/>
  <c r="N39" i="37"/>
  <c r="Z39" i="37" s="1"/>
  <c r="N6" i="37"/>
  <c r="Z6" i="37" s="1"/>
  <c r="N10" i="37"/>
  <c r="M17" i="45" s="1"/>
  <c r="Q39" i="37"/>
  <c r="N115" i="45" s="1"/>
  <c r="Q6" i="37"/>
  <c r="P39" i="37"/>
  <c r="AB39" i="37" s="1"/>
  <c r="P10" i="37"/>
  <c r="N17" i="45" s="1"/>
  <c r="Q10" i="37"/>
  <c r="N19" i="45" s="1"/>
  <c r="P6" i="37"/>
  <c r="AB6" i="37" s="1"/>
  <c r="O10" i="37"/>
  <c r="M19" i="45" s="1"/>
  <c r="O39" i="37"/>
  <c r="O6" i="37"/>
  <c r="L39" i="37"/>
  <c r="M39" i="37"/>
  <c r="M6" i="37"/>
  <c r="L6" i="37"/>
  <c r="L47" i="37"/>
  <c r="L161" i="45" s="1"/>
  <c r="L42" i="37"/>
  <c r="L129" i="45" s="1"/>
  <c r="L40" i="37"/>
  <c r="L41" i="37"/>
  <c r="L125" i="45" s="1"/>
  <c r="L43" i="37"/>
  <c r="L137" i="45" s="1"/>
  <c r="L44" i="37"/>
  <c r="L141" i="45" s="1"/>
  <c r="L45" i="37"/>
  <c r="L149" i="45" s="1"/>
  <c r="L46" i="37"/>
  <c r="L153" i="45" s="1"/>
  <c r="M99" i="45"/>
  <c r="M75" i="45"/>
  <c r="M73" i="45"/>
  <c r="M97" i="45"/>
  <c r="M47" i="37"/>
  <c r="L163" i="45" s="1"/>
  <c r="M46" i="37"/>
  <c r="L155" i="45" s="1"/>
  <c r="N47" i="37"/>
  <c r="N46" i="37"/>
  <c r="M49" i="45"/>
  <c r="O46" i="37"/>
  <c r="O47" i="37"/>
  <c r="M43" i="45"/>
  <c r="M51" i="45"/>
  <c r="P46" i="37"/>
  <c r="AB46" i="37" s="1"/>
  <c r="P47" i="37"/>
  <c r="AB47" i="37" s="1"/>
  <c r="Q47" i="37"/>
  <c r="AC47" i="37" s="1"/>
  <c r="Q46" i="37"/>
  <c r="AC46" i="37" s="1"/>
  <c r="N42" i="37"/>
  <c r="N43" i="37"/>
  <c r="N41" i="37"/>
  <c r="N40" i="37"/>
  <c r="Z40" i="37" s="1"/>
  <c r="M43" i="37"/>
  <c r="L139" i="45" s="1"/>
  <c r="M42" i="37"/>
  <c r="L131" i="45" s="1"/>
  <c r="M41" i="37"/>
  <c r="L127" i="45" s="1"/>
  <c r="M40" i="37"/>
  <c r="O42" i="37"/>
  <c r="O43" i="37"/>
  <c r="O40" i="37"/>
  <c r="AA40" i="37" s="1"/>
  <c r="O41" i="37"/>
  <c r="P42" i="37"/>
  <c r="AB42" i="37" s="1"/>
  <c r="P43" i="37"/>
  <c r="AB43" i="37" s="1"/>
  <c r="Q42" i="37"/>
  <c r="AC42" i="37" s="1"/>
  <c r="Q43" i="37"/>
  <c r="AC43" i="37" s="1"/>
  <c r="P40" i="37"/>
  <c r="AB40" i="37" s="1"/>
  <c r="Q41" i="37"/>
  <c r="AC41" i="37" s="1"/>
  <c r="P41" i="37"/>
  <c r="AB41" i="37" s="1"/>
  <c r="Q40" i="37"/>
  <c r="AC40" i="37" s="1"/>
  <c r="O44" i="37"/>
  <c r="O45" i="37"/>
  <c r="Q44" i="37"/>
  <c r="AC44" i="37" s="1"/>
  <c r="P44" i="37"/>
  <c r="AB44" i="37" s="1"/>
  <c r="P45" i="37"/>
  <c r="AB45" i="37" s="1"/>
  <c r="Q45" i="37"/>
  <c r="AC45" i="37" s="1"/>
  <c r="M44" i="37"/>
  <c r="L143" i="45" s="1"/>
  <c r="M45" i="37"/>
  <c r="L151" i="45" s="1"/>
  <c r="N45" i="37"/>
  <c r="N44" i="37"/>
  <c r="L8" i="45"/>
  <c r="H18" i="31"/>
  <c r="K18" i="31" s="1"/>
  <c r="M8" i="45"/>
  <c r="K8" i="45"/>
  <c r="N81" i="45" l="1"/>
  <c r="N83" i="45"/>
  <c r="L12" i="40"/>
  <c r="G12" i="31"/>
  <c r="G25" i="31" s="1"/>
  <c r="J25" i="31" s="1"/>
  <c r="AC6" i="37"/>
  <c r="N12" i="40"/>
  <c r="I12" i="31"/>
  <c r="G38" i="31" s="1"/>
  <c r="M12" i="40"/>
  <c r="H12" i="31"/>
  <c r="G31" i="31" s="1"/>
  <c r="N117" i="45"/>
  <c r="N149" i="45"/>
  <c r="N9" i="45"/>
  <c r="N69" i="45"/>
  <c r="N127" i="45"/>
  <c r="N153" i="45"/>
  <c r="N91" i="45"/>
  <c r="N131" i="45"/>
  <c r="N89" i="45"/>
  <c r="N161" i="45"/>
  <c r="N93" i="45"/>
  <c r="Z47" i="37"/>
  <c r="M161" i="45"/>
  <c r="AA43" i="37"/>
  <c r="M139" i="45"/>
  <c r="Z43" i="37"/>
  <c r="M137" i="45"/>
  <c r="AA47" i="37"/>
  <c r="M163" i="45"/>
  <c r="Z34" i="37"/>
  <c r="M89" i="45"/>
  <c r="N95" i="45"/>
  <c r="N139" i="45"/>
  <c r="N119" i="45"/>
  <c r="N101" i="45"/>
  <c r="Z41" i="37"/>
  <c r="M125" i="45"/>
  <c r="AA42" i="37"/>
  <c r="M131" i="45"/>
  <c r="Z42" i="37"/>
  <c r="M129" i="45"/>
  <c r="AA46" i="37"/>
  <c r="M155" i="45"/>
  <c r="N103" i="45"/>
  <c r="N143" i="45"/>
  <c r="N39" i="45"/>
  <c r="N125" i="45"/>
  <c r="Z45" i="37"/>
  <c r="M149" i="45"/>
  <c r="AA44" i="37"/>
  <c r="M143" i="45"/>
  <c r="N11" i="45"/>
  <c r="AA41" i="37"/>
  <c r="M127" i="45"/>
  <c r="N151" i="45"/>
  <c r="N85" i="45"/>
  <c r="N129" i="45"/>
  <c r="Z44" i="37"/>
  <c r="M141" i="45"/>
  <c r="AA45" i="37"/>
  <c r="M151" i="45"/>
  <c r="Z46" i="37"/>
  <c r="M153" i="45"/>
  <c r="AA34" i="37"/>
  <c r="M91" i="45"/>
  <c r="N163" i="45"/>
  <c r="N37" i="45"/>
  <c r="N155" i="45"/>
  <c r="N137" i="45"/>
  <c r="N71" i="45"/>
  <c r="N141" i="45"/>
  <c r="N87" i="45"/>
  <c r="N113" i="45"/>
  <c r="AA10" i="37"/>
  <c r="AA14" i="37"/>
  <c r="Y15" i="37"/>
  <c r="AB17" i="37"/>
  <c r="Y10" i="37"/>
  <c r="AB11" i="37"/>
  <c r="Y17" i="37"/>
  <c r="Z29" i="37"/>
  <c r="AC39" i="37"/>
  <c r="AB14" i="37"/>
  <c r="Y29" i="37"/>
  <c r="Z36" i="37"/>
  <c r="Q9" i="45"/>
  <c r="Z14" i="37"/>
  <c r="X14" i="37"/>
  <c r="X17" i="37"/>
  <c r="AA29" i="37"/>
  <c r="X35" i="37"/>
  <c r="Z30" i="37"/>
  <c r="AA6" i="37"/>
  <c r="Z13" i="37"/>
  <c r="Z11" i="37"/>
  <c r="AA32" i="37"/>
  <c r="AA39" i="37"/>
  <c r="Y6" i="37"/>
  <c r="Y14" i="37"/>
  <c r="Y39" i="37"/>
  <c r="X11" i="37"/>
  <c r="AB29" i="37"/>
  <c r="AC35" i="37"/>
  <c r="AA36" i="37"/>
  <c r="AA15" i="37"/>
  <c r="Z10" i="37"/>
  <c r="X29" i="37"/>
  <c r="X13" i="37"/>
  <c r="Z35" i="37"/>
  <c r="AC10" i="37"/>
  <c r="Z15" i="37"/>
  <c r="AC15" i="37"/>
  <c r="X10" i="37"/>
  <c r="Y35" i="37"/>
  <c r="Y13" i="37"/>
  <c r="AA30" i="37"/>
  <c r="X16" i="37"/>
  <c r="AC11" i="37"/>
  <c r="AB13" i="37"/>
  <c r="Z32" i="37"/>
  <c r="AB15" i="37"/>
  <c r="AB10" i="37"/>
  <c r="AA11" i="37"/>
  <c r="AC14" i="37"/>
  <c r="AC17" i="37"/>
  <c r="AC29" i="37"/>
  <c r="AA17" i="37"/>
  <c r="Z17" i="37"/>
  <c r="Y11" i="37"/>
  <c r="AB35" i="37"/>
  <c r="AA35" i="37"/>
  <c r="M87" i="45"/>
  <c r="Y30" i="37"/>
  <c r="L83" i="45"/>
  <c r="X34" i="37"/>
  <c r="M83" i="45"/>
  <c r="M93" i="45"/>
  <c r="X32" i="37"/>
  <c r="L85" i="45"/>
  <c r="Y34" i="37"/>
  <c r="M95" i="45"/>
  <c r="X36" i="37"/>
  <c r="L93" i="45"/>
  <c r="M85" i="45"/>
  <c r="Y36" i="37"/>
  <c r="L95" i="45"/>
  <c r="Y32" i="37"/>
  <c r="L87" i="45"/>
  <c r="X30" i="37"/>
  <c r="L81" i="45"/>
  <c r="M81" i="45"/>
  <c r="L29" i="45"/>
  <c r="M13" i="45"/>
  <c r="Z8" i="37"/>
  <c r="L15" i="45"/>
  <c r="Y8" i="37"/>
  <c r="M15" i="45"/>
  <c r="AA8" i="37"/>
  <c r="M23" i="45"/>
  <c r="M21" i="45"/>
  <c r="AB8" i="37"/>
  <c r="L21" i="45"/>
  <c r="L13" i="45"/>
  <c r="X8" i="37"/>
  <c r="M29" i="45"/>
  <c r="Z16" i="37"/>
  <c r="AC8" i="37"/>
  <c r="L31" i="45"/>
  <c r="Y16" i="37"/>
  <c r="AB16" i="37"/>
  <c r="AC16" i="37"/>
  <c r="M31" i="45"/>
  <c r="AA16" i="37"/>
  <c r="L23" i="45"/>
  <c r="L69" i="45"/>
  <c r="M71" i="45"/>
  <c r="M69" i="45"/>
  <c r="L71" i="45"/>
  <c r="M63" i="45"/>
  <c r="M103" i="45"/>
  <c r="M27" i="45"/>
  <c r="M57" i="45"/>
  <c r="M79" i="45"/>
  <c r="M77" i="45"/>
  <c r="M25" i="45"/>
  <c r="M101" i="45"/>
  <c r="M53" i="45"/>
  <c r="M55" i="45"/>
  <c r="M65" i="45"/>
  <c r="X47" i="37"/>
  <c r="L65" i="45"/>
  <c r="L55" i="45"/>
  <c r="X42" i="37"/>
  <c r="L57" i="45"/>
  <c r="X39" i="37"/>
  <c r="L113" i="45"/>
  <c r="L103" i="45"/>
  <c r="X46" i="37"/>
  <c r="X15" i="37"/>
  <c r="L25" i="45"/>
  <c r="L77" i="45"/>
  <c r="G11" i="31"/>
  <c r="X6" i="37"/>
  <c r="L9" i="45"/>
  <c r="L79" i="45"/>
  <c r="M61" i="45"/>
  <c r="L10" i="40"/>
  <c r="L41" i="45"/>
  <c r="M67" i="45"/>
  <c r="L105" i="45"/>
  <c r="L67" i="45"/>
  <c r="X45" i="37"/>
  <c r="M59" i="45"/>
  <c r="L101" i="45"/>
  <c r="X44" i="37"/>
  <c r="G10" i="31"/>
  <c r="G24" i="31" s="1"/>
  <c r="J24" i="31" s="1"/>
  <c r="P9" i="45"/>
  <c r="L37" i="45"/>
  <c r="X40" i="37"/>
  <c r="L117" i="45"/>
  <c r="L61" i="45"/>
  <c r="L11" i="40"/>
  <c r="L49" i="45"/>
  <c r="X43" i="37"/>
  <c r="L63" i="45"/>
  <c r="L53" i="45"/>
  <c r="X41" i="37"/>
  <c r="L59" i="45"/>
  <c r="M107" i="45"/>
  <c r="M105" i="45"/>
  <c r="G13" i="31"/>
  <c r="L115" i="45"/>
  <c r="Y46" i="37"/>
  <c r="P11" i="45"/>
  <c r="I11" i="31"/>
  <c r="N10" i="40"/>
  <c r="M10" i="40"/>
  <c r="L43" i="45"/>
  <c r="M9" i="45"/>
  <c r="M39" i="45"/>
  <c r="L39" i="45"/>
  <c r="Y44" i="37"/>
  <c r="H11" i="31"/>
  <c r="M13" i="40"/>
  <c r="N11" i="40"/>
  <c r="Y40" i="37"/>
  <c r="L119" i="45"/>
  <c r="Y42" i="37"/>
  <c r="N13" i="40"/>
  <c r="M119" i="45"/>
  <c r="L107" i="45"/>
  <c r="I10" i="31"/>
  <c r="G37" i="31" s="1"/>
  <c r="Y47" i="37"/>
  <c r="L11" i="45"/>
  <c r="H10" i="31"/>
  <c r="G30" i="31" s="1"/>
  <c r="J30" i="31" s="1"/>
  <c r="M117" i="45"/>
  <c r="M11" i="40"/>
  <c r="H13" i="31"/>
  <c r="H31" i="31" s="1"/>
  <c r="K31" i="31" s="1"/>
  <c r="M11" i="45"/>
  <c r="Y43" i="37"/>
  <c r="I13" i="31"/>
  <c r="H38" i="31" s="1"/>
  <c r="K38" i="31" s="1"/>
  <c r="E92" i="31" s="1"/>
  <c r="M41" i="45"/>
  <c r="M115" i="45"/>
  <c r="Y45" i="37"/>
  <c r="Y41" i="37"/>
  <c r="L13" i="40"/>
  <c r="L51" i="45"/>
  <c r="M37" i="45"/>
  <c r="M113" i="45"/>
  <c r="Q11" i="45"/>
  <c r="O9" i="45"/>
  <c r="X30" i="40"/>
  <c r="S61" i="40" s="1"/>
  <c r="R9" i="45"/>
  <c r="O11" i="45"/>
  <c r="R11" i="45"/>
  <c r="R123" i="45"/>
  <c r="H19" i="31"/>
  <c r="K19" i="31" s="1"/>
  <c r="J19" i="31"/>
  <c r="K27" i="40" l="1"/>
  <c r="L27" i="40" s="1"/>
  <c r="K30" i="40"/>
  <c r="M30" i="40" s="1"/>
  <c r="I63" i="40" s="1"/>
  <c r="K31" i="40"/>
  <c r="P31" i="40" s="1"/>
  <c r="J66" i="40" s="1"/>
  <c r="K26" i="40"/>
  <c r="M26" i="40" s="1"/>
  <c r="K25" i="40"/>
  <c r="L25" i="40" s="1"/>
  <c r="K24" i="40"/>
  <c r="M24" i="40" s="1"/>
  <c r="H25" i="31"/>
  <c r="K25" i="31" s="1"/>
  <c r="I25" i="31"/>
  <c r="I24" i="31"/>
  <c r="H24" i="31"/>
  <c r="K24" i="31" s="1"/>
  <c r="H30" i="31"/>
  <c r="K30" i="31" s="1"/>
  <c r="J31" i="31"/>
  <c r="H37" i="31"/>
  <c r="D93" i="31" s="1"/>
  <c r="X31" i="40"/>
  <c r="T61" i="40" s="1"/>
  <c r="D92" i="31"/>
  <c r="J18" i="31"/>
  <c r="D94" i="31"/>
  <c r="J38" i="31"/>
  <c r="E94" i="31" s="1"/>
  <c r="D95" i="31"/>
  <c r="J37" i="31"/>
  <c r="E95" i="31" s="1"/>
  <c r="S62" i="40"/>
  <c r="AA30" i="40"/>
  <c r="S64" i="40" s="1"/>
  <c r="Z30" i="40"/>
  <c r="S63" i="40" s="1"/>
  <c r="O27" i="40" l="1"/>
  <c r="N27" i="40"/>
  <c r="M27" i="40"/>
  <c r="L31" i="40"/>
  <c r="J62" i="40" s="1"/>
  <c r="M25" i="40"/>
  <c r="O31" i="40"/>
  <c r="J65" i="40" s="1"/>
  <c r="M31" i="40"/>
  <c r="J63" i="40" s="1"/>
  <c r="N31" i="40"/>
  <c r="J64" i="40" s="1"/>
  <c r="J61" i="40"/>
  <c r="P27" i="40"/>
  <c r="N30" i="40"/>
  <c r="I64" i="40" s="1"/>
  <c r="N26" i="40"/>
  <c r="O26" i="40"/>
  <c r="P26" i="40"/>
  <c r="N24" i="40"/>
  <c r="I61" i="40"/>
  <c r="O30" i="40"/>
  <c r="I65" i="40" s="1"/>
  <c r="P30" i="40"/>
  <c r="I66" i="40" s="1"/>
  <c r="L30" i="40"/>
  <c r="I62" i="40" s="1"/>
  <c r="O24" i="40"/>
  <c r="L26" i="40"/>
  <c r="P25" i="40"/>
  <c r="N25" i="40"/>
  <c r="P24" i="40"/>
  <c r="L24" i="40"/>
  <c r="O25" i="40"/>
  <c r="K37" i="31"/>
  <c r="E93" i="31" s="1"/>
  <c r="R31" i="31"/>
  <c r="R38" i="31"/>
  <c r="R19" i="31"/>
  <c r="R37" i="31"/>
  <c r="P92" i="31" s="1"/>
  <c r="R30" i="31"/>
  <c r="R18" i="31"/>
  <c r="O92" i="31" l="1"/>
  <c r="Z31" i="40"/>
  <c r="T63" i="40" s="1"/>
  <c r="AA31" i="40"/>
  <c r="T64" i="40" s="1"/>
  <c r="Y31" i="40"/>
  <c r="T62" i="40" s="1"/>
  <c r="Q123" i="45" l="1"/>
  <c r="P123" i="45"/>
  <c r="O123" i="45"/>
</calcChain>
</file>

<file path=xl/sharedStrings.xml><?xml version="1.0" encoding="utf-8"?>
<sst xmlns="http://schemas.openxmlformats.org/spreadsheetml/2006/main" count="1617" uniqueCount="447">
  <si>
    <t>PUBLIC RELEASE DRAFT</t>
  </si>
  <si>
    <t>Draft Risk Evaluation for 1,2-Dichloropropane</t>
  </si>
  <si>
    <t>Description</t>
  </si>
  <si>
    <t>Supplemental File on 1,2-Dichloropropane Risk Calculations</t>
  </si>
  <si>
    <t>Description of this workbook:</t>
  </si>
  <si>
    <t xml:space="preserve">The risk calculator for 1,2-dichloropropane contains the following spreadsheets: 1) Calculation Summary, 2) Dashboard, 3) Bridge Table, 4) Risk Reduction, 5) Health Data, 6) Dermal Exposure, 7) Inhalation Exposure, 8) List Values, and 9) Exposure Factors. The workbook is designed so that the user need only use/change the input cells in three spreadsheets, the Dashboard, the Bridge Table, and the Risk Reduction, which have tabs colored green and contain the results of the risk calculator. The remaining spreadsheets contain data storage and calculation spreadsheets. </t>
  </si>
  <si>
    <t>Key Worksheets</t>
  </si>
  <si>
    <t>Calculation Summary</t>
  </si>
  <si>
    <t xml:space="preserve">This tab contains a summary of the equations and calculations used for the risk calculator. </t>
  </si>
  <si>
    <t>Dashboard</t>
  </si>
  <si>
    <r>
      <t>This Dashboard is an interactive spreadsheet that allows a user to view exposure results for a selected COU. The user can select a) the desired COU, and b) dermal exposures for the worker type (either an average adult or a woman of childbearing age) from a drop-down menu. The exposure estimates are shown in the “</t>
    </r>
    <r>
      <rPr>
        <i/>
        <sz val="11"/>
        <rFont val="Arial"/>
        <family val="2"/>
      </rPr>
      <t>Exposure Outputs</t>
    </r>
    <r>
      <rPr>
        <sz val="11"/>
        <rFont val="Arial"/>
        <family val="2"/>
      </rPr>
      <t>” section for both inhalation and dermal routes and for high-end and central tendency exposures. For inhalation exposures the columns show results for both worker and occupational non-user (ONU) exposures. The “Risk Estimation” sections are separated into acute, chronic non-cancer and cancer sections. For each section there is a brief description of the hazard endpoint and the hazard value i.e. human equivalent concentration (HEC) for non-cancer effects from inhalation exposure, human equivalent dose (HED) for non-cancer effects from dermal exposure or a slope factor for cancer and the benchmark margins of exposure (MOEs) or benchmark values for cancer risk are provided to the right of the hazard value. The risk estimations show one column for exposures without PPE. Note that health data (e.g., HEC, IUR) are on an 8-hr TWA basis.</t>
    </r>
  </si>
  <si>
    <t>Bridge Table</t>
  </si>
  <si>
    <t xml:space="preserve">The table provides summary of the risk estimates for inhalation and dermal exposures for all occupational exposure scenarios.  Risk estimates that exceed the benchmark (i.e., MOEs less than the benchmark MOE or cancer risks greater than the cancer risk benchmark) are highlighted by bolding the number and shading the cell. </t>
  </si>
  <si>
    <t>Risk Reduction</t>
  </si>
  <si>
    <t>The RR spreadsheet is an expanded version of the Dashboard. Similar to the Dashboard, the Risk Reduction allows the user to select a COU. In the Risk Reduction spreadsheet, the user can also elect to see results for a worker or ONU separately. Additionally, the Heat Map displays all the PPE options. The Risk Reduction spreadsheet includes results without PPE and for each of the PPE options (i.e. APF or PF). The Risk Reduction spreadsheet has a row for each toxicity endpoint, and each row shows the cancer risk or MOE values. Similar to the Dashboard, the RR spreadsheet shades results if the MOE is less than the benchmark MOE or the cancer risk is greater than the benchmark cancer risk.</t>
  </si>
  <si>
    <t>Health Data, 
Dermal Exposure, 
Inhalation Exposure, 
List Values, and 
Exposure Factors</t>
  </si>
  <si>
    <t>As described above the remaining spreadsheets are data storage and calculation spreadsheets. These worksheets store the exposure estimates, health values and store some of the risk calculations. The user does not need to access these worksheets to use the Dashboard and Risk Reduction spreadsheets as described above; all results are automatically loaded into the Dashboard and Risk Reduction spreadsheets.</t>
  </si>
  <si>
    <t>Equations and Calculations Used for Risk Calculator</t>
  </si>
  <si>
    <t>Exposure Type</t>
  </si>
  <si>
    <t>Equation</t>
  </si>
  <si>
    <t>Equation Parameters</t>
  </si>
  <si>
    <r>
      <t>Inhalation Exposure Calculations</t>
    </r>
    <r>
      <rPr>
        <b/>
        <vertAlign val="superscript"/>
        <sz val="10"/>
        <color theme="1"/>
        <rFont val="Calibri"/>
        <family val="2"/>
        <scheme val="minor"/>
      </rPr>
      <t>a</t>
    </r>
  </si>
  <si>
    <t>Acute Concentration (AC) (ppm)</t>
  </si>
  <si>
    <t>8-hr TWA Concentration x ED / AT_AC</t>
  </si>
  <si>
    <t>- ED = 8 hr/day
- AT_AC = 24 hr/day</t>
  </si>
  <si>
    <t>Intermediate Average Daily Concentration (ADC)(ppm)</t>
  </si>
  <si>
    <t>8-hr TWA concentration x ED x EF_I/AT_ADC_I</t>
  </si>
  <si>
    <t>- ED = 8 hr/day
- EF_I = The exposure days in the numerator will typically be 22 days/yr when the total exposure days/yr is &gt;22 days/yr or equal to the total exposure days/yr if the total is &lt;22 days/yr. This maximizes the number of exposure days in the intermediate timeframe, accounting for days off.  However, we may adjust this approach if we have specific information about the OES. For example, if we know that facilities operate using a single, week-long campaign, once per month (i.e., 7 days/month x 12 months). In this case, we would use 7 days for the intermediate exposure days.
- AT_ADC_I= 720 hr (i.e. 30 days x 24 hr/day)</t>
  </si>
  <si>
    <r>
      <t>Chronic Average Daily Concentration (ADC</t>
    </r>
    <r>
      <rPr>
        <vertAlign val="subscript"/>
        <sz val="10"/>
        <color theme="1"/>
        <rFont val="Calibri"/>
        <family val="2"/>
        <scheme val="minor"/>
      </rPr>
      <t>intermediate</t>
    </r>
    <r>
      <rPr>
        <sz val="10"/>
        <color theme="1"/>
        <rFont val="Calibri"/>
        <family val="2"/>
        <scheme val="minor"/>
      </rPr>
      <t>)(ppm)</t>
    </r>
  </si>
  <si>
    <t>8-hr TWA concentration x ED x EF x WY/AT_ADC</t>
  </si>
  <si>
    <t>- ED = 8 hr/day
- EF = 24-250 days depending on OES
- WY = 31 (central tendency) to 40 yr (high-end)
- AT_ADC = 271,560 (central tendency) to 350,400 hr (high-end) (i.e. WY x 365 days/yr x 24 hr/day)</t>
  </si>
  <si>
    <t>Lifetime Average Daily Concentration (LADC)(ppm)</t>
  </si>
  <si>
    <t>8-hr TWA concentration x ED x EF x WY/AT_LADC</t>
  </si>
  <si>
    <t>- ED = 8 hr/day
- EF = 24-250 days depending on OES
- WY = 31 (central tendency) to 40 yr (high-end)
- AT_LADC = 683,280 hr (i.e. 78 yr x 365 days/yr x 24 hr/day)</t>
  </si>
  <si>
    <t>a - Inhalation metrics (AC, intermediate ADC, chronic ADC, LADC) will all be multiplied by a breathing rate ratio of 1.25/0.6125.</t>
  </si>
  <si>
    <t>Non-Cancer Inhalation Exposure Risk Calculations</t>
  </si>
  <si>
    <t>Human Equivalent Concentration (HEC) (ppm)</t>
  </si>
  <si>
    <t>see Health Data tab</t>
  </si>
  <si>
    <t>Benchmark Margin of Exposure (MOE) (unitless)</t>
  </si>
  <si>
    <t>Acute MOE (unitless)</t>
  </si>
  <si>
    <t>HEC / AC</t>
  </si>
  <si>
    <t>The calculated MOE is then compared with the Benchmark MOE; if the calculated MOE is less than the benchmark MOE then there is risk.</t>
  </si>
  <si>
    <t>Chronic, Non-Cancer MOE (unitless)</t>
  </si>
  <si>
    <t>HEC / ADC</t>
  </si>
  <si>
    <t>Cancer Inhalation Exposure Risk Calculations</t>
  </si>
  <si>
    <r>
      <t>Inhalation Unit Risk (ppm</t>
    </r>
    <r>
      <rPr>
        <vertAlign val="superscript"/>
        <sz val="10"/>
        <color theme="1"/>
        <rFont val="Calibri"/>
        <family val="2"/>
        <scheme val="minor"/>
      </rPr>
      <t>-1</t>
    </r>
    <r>
      <rPr>
        <sz val="10"/>
        <color theme="1"/>
        <rFont val="Calibri"/>
        <family val="2"/>
        <scheme val="minor"/>
      </rPr>
      <t>)</t>
    </r>
  </si>
  <si>
    <t>Cancer risk (unitless)</t>
  </si>
  <si>
    <t>IUR x LADC</t>
  </si>
  <si>
    <t xml:space="preserve">Cancer risk in a population (i.e., 1 in XXX). This value is then compared with the cancer risk benchmarks of 10-4 (1-in-1,000) </t>
  </si>
  <si>
    <t>Dermal Exposures</t>
  </si>
  <si>
    <t>Acute Absorbed Dose Rate (AADR) (mg/day)</t>
  </si>
  <si>
    <t>SA x Qu x Fabs x Yderm x FT</t>
  </si>
  <si>
    <r>
      <t>- SA = Surface area of dermal exposure (535 cm</t>
    </r>
    <r>
      <rPr>
        <vertAlign val="superscript"/>
        <sz val="10"/>
        <color theme="1"/>
        <rFont val="Calibri"/>
        <family val="2"/>
        <scheme val="minor"/>
      </rPr>
      <t xml:space="preserve">2 </t>
    </r>
    <r>
      <rPr>
        <sz val="10"/>
        <color theme="1"/>
        <rFont val="Calibri"/>
        <family val="2"/>
        <scheme val="minor"/>
      </rPr>
      <t>for 1-hand and 1,070 cm</t>
    </r>
    <r>
      <rPr>
        <vertAlign val="superscript"/>
        <sz val="10"/>
        <color theme="1"/>
        <rFont val="Calibri"/>
        <family val="2"/>
        <scheme val="minor"/>
      </rPr>
      <t>2</t>
    </r>
    <r>
      <rPr>
        <sz val="10"/>
        <color theme="1"/>
        <rFont val="Calibri"/>
        <family val="2"/>
        <scheme val="minor"/>
      </rPr>
      <t xml:space="preserve"> for 2-hand exposure)
- Qu = Quantity remaining on Skin: 1.4 (central tendency) to 2.1 (high end) mg/cm</t>
    </r>
    <r>
      <rPr>
        <vertAlign val="superscript"/>
        <sz val="10"/>
        <color theme="1"/>
        <rFont val="Calibri"/>
        <family val="2"/>
        <scheme val="minor"/>
      </rPr>
      <t>2</t>
    </r>
    <r>
      <rPr>
        <sz val="10"/>
        <color theme="1"/>
        <rFont val="Calibri"/>
        <family val="2"/>
        <scheme val="minor"/>
      </rPr>
      <t>-event
- Fabs = Fraction absorbed into skin
- Yderm = Concentration of chemical of interest
- FT = Exposure frequency : 1 event/day</t>
    </r>
  </si>
  <si>
    <t>Acute Absorbed Dose (AAD)(mg/kg-day)</t>
  </si>
  <si>
    <t>AADR / BW</t>
  </si>
  <si>
    <t>- BW = Body weight: 80 kg (average adult worker), 72.4 kg (woman of childbearing age)</t>
  </si>
  <si>
    <t xml:space="preserve">Intermediate Absorbed Dose (IAD), Non-Cancer (mg/kg-day) </t>
  </si>
  <si>
    <t>AAD x EF_I x WY / AT</t>
  </si>
  <si>
    <t>- EF_I = The exposure days in the numerator will typically be 22 days/yr when the total exposure days/yr is &gt;22 days/yr or equal to the total exposure days/yr if the total is &lt;22 days/yr. This maximizes the number of exposure days in the intermediate timeframe, accounting for days off.  
- WY = Working years for the intermediate period (yrs)—not used for intermediate 					effects resulting from &lt;1 yr of exposures
- AT = 30 days</t>
  </si>
  <si>
    <t xml:space="preserve">Chronic Absorbed Dose (CAD), Non-Cancer (mg/kg-day) </t>
  </si>
  <si>
    <t>AAD x EF x WY / AT</t>
  </si>
  <si>
    <t>- EF = 250 days
- WY = 31 (central tendency) to 40 yr (high-end)
- AT = 11,315 day (central tendency) to 14,600 day (high-end) (i.e. WY x 365 days/yr)</t>
  </si>
  <si>
    <t xml:space="preserve">Lifetime Chronic Absorbed Dose (LCAD), Cancer (mg/kg-day) </t>
  </si>
  <si>
    <t xml:space="preserve">- EF = 250 days
- WY = 31 (central tendency) to 40 yr (high-end)
- AT = 28,470 day </t>
  </si>
  <si>
    <t>Non-Cancer Dermal Exposure Risk Calculations</t>
  </si>
  <si>
    <t>Human Equivalent Dose (HED) (ppm)</t>
  </si>
  <si>
    <t>HED / AAD</t>
  </si>
  <si>
    <t>HED / CAD</t>
  </si>
  <si>
    <r>
      <t>Dermal Cancer Slope Factor (CSF)(mg/kg-day</t>
    </r>
    <r>
      <rPr>
        <vertAlign val="superscript"/>
        <sz val="10"/>
        <color theme="1"/>
        <rFont val="Calibri"/>
        <family val="2"/>
        <scheme val="minor"/>
      </rPr>
      <t>-1</t>
    </r>
    <r>
      <rPr>
        <sz val="10"/>
        <color theme="1"/>
        <rFont val="Calibri"/>
        <family val="2"/>
        <scheme val="minor"/>
      </rPr>
      <t>)</t>
    </r>
  </si>
  <si>
    <t>CSF x CRD (Cancer)</t>
  </si>
  <si>
    <t>Condition of Use</t>
  </si>
  <si>
    <t>Dermal</t>
  </si>
  <si>
    <t>Select the Condition of Use (select)</t>
  </si>
  <si>
    <t>OES</t>
  </si>
  <si>
    <t>8-hr TWA Exposures</t>
  </si>
  <si>
    <t>Exposure Outputs</t>
  </si>
  <si>
    <t>Category</t>
  </si>
  <si>
    <t>Exposure Level</t>
  </si>
  <si>
    <t>Full-Shift (Eight-Hour) TWA Exposure</t>
  </si>
  <si>
    <t>Acute, Non-Cancer Exposures</t>
  </si>
  <si>
    <t>Intermediate, Non-Cancer Exposures</t>
  </si>
  <si>
    <t>Chronic, Non-Cancer Exposures</t>
  </si>
  <si>
    <t>Chronic, Cancer Exposures</t>
  </si>
  <si>
    <t>Acute Absorbed Dose Rate</t>
  </si>
  <si>
    <t>Acute Absorbed Dose</t>
  </si>
  <si>
    <t>Intermediate Absorbed Dose</t>
  </si>
  <si>
    <t>Chronic Absorbed Dose</t>
  </si>
  <si>
    <t>Lifetime Chronic Absorbed Dose</t>
  </si>
  <si>
    <t>8-hr TWA (ppm)</t>
  </si>
  <si>
    <t>AC 8-hr TWA (ppm)</t>
  </si>
  <si>
    <t>ADC 8-hr TWA (ppm)</t>
  </si>
  <si>
    <t>LADC 8-hr TWA (ppm)</t>
  </si>
  <si>
    <r>
      <t>AADR</t>
    </r>
    <r>
      <rPr>
        <b/>
        <vertAlign val="subscript"/>
        <sz val="10"/>
        <color theme="1"/>
        <rFont val="Calibri"/>
        <family val="2"/>
        <scheme val="minor"/>
      </rPr>
      <t>exp</t>
    </r>
    <r>
      <rPr>
        <b/>
        <sz val="10"/>
        <color theme="1"/>
        <rFont val="Calibri"/>
        <family val="2"/>
        <scheme val="minor"/>
      </rPr>
      <t xml:space="preserve"> (mg/day)</t>
    </r>
  </si>
  <si>
    <t>AAD (mg/kg-day)</t>
  </si>
  <si>
    <t>IAD (mg/kg-day)</t>
  </si>
  <si>
    <t>CAD (mg/kg-day)</t>
  </si>
  <si>
    <t>LCAD (mg/kg-day)</t>
  </si>
  <si>
    <t>Worker</t>
  </si>
  <si>
    <t>Central Tendency</t>
  </si>
  <si>
    <t>Worker, No Gloves</t>
  </si>
  <si>
    <t>ONU</t>
  </si>
  <si>
    <t>High End</t>
  </si>
  <si>
    <t>Risk Estimation for Acute Inhalation Exposures</t>
  </si>
  <si>
    <t>Risk Estimation for Acute, Non-Cancer Dermal Exposures</t>
  </si>
  <si>
    <t>Health Effect, Endpoint and Study</t>
  </si>
  <si>
    <t>HEC (ppm)</t>
  </si>
  <si>
    <t>Benchmark MOE 
(= Total UF)</t>
  </si>
  <si>
    <t>Acute Exposure Estimates</t>
  </si>
  <si>
    <t>HED (mg/kg)</t>
  </si>
  <si>
    <t>Chronic Exposure Estimates</t>
  </si>
  <si>
    <t>Worker MOE</t>
  </si>
  <si>
    <t>ONU MOE</t>
  </si>
  <si>
    <t>Worker MOE, No Gloves</t>
  </si>
  <si>
    <t>Tox1</t>
  </si>
  <si>
    <t>Tox5</t>
  </si>
  <si>
    <t>Risk Estimation for Intermediate, Non-Cancer Inhalation Exposures</t>
  </si>
  <si>
    <t>Risk Estimation for Intermediate, Non-Cancer Dermal Exposures</t>
  </si>
  <si>
    <t>Intermediate Exposure Estimates</t>
  </si>
  <si>
    <t>Tox2</t>
  </si>
  <si>
    <t>Tox6</t>
  </si>
  <si>
    <t>Risk Estimation for Chronic, Non-Cancer Inhalation Exposures</t>
  </si>
  <si>
    <t>Risk Estimation for Chronic, Non-Cancer Dermal Exposures</t>
  </si>
  <si>
    <t>Tox3</t>
  </si>
  <si>
    <t>Tox7</t>
  </si>
  <si>
    <t>Cancer Risks</t>
  </si>
  <si>
    <t>Chronic Cancer Exposure Estimates</t>
  </si>
  <si>
    <t>Risk Estimate</t>
  </si>
  <si>
    <r>
      <t>IUR (ppm)</t>
    </r>
    <r>
      <rPr>
        <b/>
        <vertAlign val="superscript"/>
        <sz val="10"/>
        <color theme="1"/>
        <rFont val="Calibri"/>
        <family val="2"/>
        <scheme val="minor"/>
      </rPr>
      <t>-1</t>
    </r>
  </si>
  <si>
    <t>Benchmark</t>
  </si>
  <si>
    <t xml:space="preserve">Worker </t>
  </si>
  <si>
    <t xml:space="preserve">ONU </t>
  </si>
  <si>
    <r>
      <t>CSF (mg/kg-d)</t>
    </r>
    <r>
      <rPr>
        <b/>
        <vertAlign val="superscript"/>
        <sz val="10"/>
        <color theme="1"/>
        <rFont val="Calibri"/>
        <family val="2"/>
        <scheme val="minor"/>
      </rPr>
      <t>-1</t>
    </r>
  </si>
  <si>
    <t>Tox4</t>
  </si>
  <si>
    <r>
      <t>10</t>
    </r>
    <r>
      <rPr>
        <b/>
        <vertAlign val="superscript"/>
        <sz val="10"/>
        <color theme="1"/>
        <rFont val="Calibri"/>
        <family val="2"/>
        <scheme val="minor"/>
      </rPr>
      <t>-4</t>
    </r>
  </si>
  <si>
    <t>Tox8</t>
  </si>
  <si>
    <t>Inhalation Cancer Risk Estimates</t>
  </si>
  <si>
    <t>Cancer Risk</t>
  </si>
  <si>
    <t>Dermal Cancer Risk Estimates</t>
  </si>
  <si>
    <t>ONU: Central Tendency</t>
  </si>
  <si>
    <t>ONU: High End</t>
  </si>
  <si>
    <t>Worker: Central Tendency</t>
  </si>
  <si>
    <t>Worker: High End</t>
  </si>
  <si>
    <t>Summary of Risk Estimates for Inhalation and Dermal Exposures to Workers by Condition of Use</t>
  </si>
  <si>
    <t>Benchmarks</t>
  </si>
  <si>
    <t>Inhalation
8-hr TWA</t>
  </si>
  <si>
    <t>Respirator APF =</t>
  </si>
  <si>
    <t>Glove PF =</t>
  </si>
  <si>
    <t>Population</t>
  </si>
  <si>
    <t>Exposure Route</t>
  </si>
  <si>
    <t>Life Cycle Stage/ Category</t>
  </si>
  <si>
    <t>Subcategory</t>
  </si>
  <si>
    <t>Occupational Exposure Scenario</t>
  </si>
  <si>
    <t>Exposure Route and Duration</t>
  </si>
  <si>
    <t>Risk Estimates for No PPE</t>
  </si>
  <si>
    <t>Risk Estimates with PPE</t>
  </si>
  <si>
    <t>Select the PPE APF or PF for Each OES, Receptor, and Endpoint</t>
  </si>
  <si>
    <r>
      <t>Cancer (bench­mark = 10</t>
    </r>
    <r>
      <rPr>
        <b/>
        <vertAlign val="superscript"/>
        <sz val="9.5"/>
        <color rgb="FF000000"/>
        <rFont val="Times New Roman"/>
        <family val="1"/>
      </rPr>
      <t>-4</t>
    </r>
    <r>
      <rPr>
        <b/>
        <sz val="9.5"/>
        <color rgb="FF000000"/>
        <rFont val="Times New Roman"/>
        <family val="1"/>
      </rPr>
      <t>)</t>
    </r>
  </si>
  <si>
    <t>Acute Non-cancer</t>
  </si>
  <si>
    <t>Intermediate Non-cancer</t>
  </si>
  <si>
    <t>Chronic Non-cancer</t>
  </si>
  <si>
    <t>Cancer</t>
  </si>
  <si>
    <t>Acute Non-cancer HEC (ppm) and HED (mg/kg-d)</t>
  </si>
  <si>
    <t>Intermediate Non-cancer HEC (ppm) and HED (mg/kg-d)</t>
  </si>
  <si>
    <t>Chronic Non-cancer HEC (ppm) and HED (mg/kg-d)</t>
  </si>
  <si>
    <r>
      <t>Cancer IUR (ppm)</t>
    </r>
    <r>
      <rPr>
        <b/>
        <vertAlign val="superscript"/>
        <sz val="9.5"/>
        <color rgb="FF000000"/>
        <rFont val="Times New Roman"/>
        <family val="1"/>
      </rPr>
      <t>-1</t>
    </r>
    <r>
      <rPr>
        <b/>
        <sz val="9.5"/>
        <color rgb="FF000000"/>
        <rFont val="Times New Roman"/>
        <family val="1"/>
      </rPr>
      <t xml:space="preserve"> and CSF (mg/kg-d)</t>
    </r>
    <r>
      <rPr>
        <b/>
        <vertAlign val="superscript"/>
        <sz val="9.5"/>
        <color rgb="FF000000"/>
        <rFont val="Times New Roman"/>
        <family val="1"/>
      </rPr>
      <t>-1</t>
    </r>
  </si>
  <si>
    <t>1a</t>
  </si>
  <si>
    <t>Inhalation</t>
  </si>
  <si>
    <t>APF</t>
  </si>
  <si>
    <t>High-End</t>
  </si>
  <si>
    <t>HEC = Human Equivalent Concentration</t>
  </si>
  <si>
    <t>HED = Human Equivalent Dose</t>
  </si>
  <si>
    <t>1b</t>
  </si>
  <si>
    <t>IUR = Inhalation unit risk</t>
  </si>
  <si>
    <t>CSF = Cancer slope factor</t>
  </si>
  <si>
    <t>1c</t>
  </si>
  <si>
    <t>1d</t>
  </si>
  <si>
    <t>PF</t>
  </si>
  <si>
    <t>1aa</t>
  </si>
  <si>
    <t>N/A</t>
  </si>
  <si>
    <t>Manufacture / Import</t>
  </si>
  <si>
    <t>Import</t>
  </si>
  <si>
    <t>Repackaging</t>
  </si>
  <si>
    <t>Processing / Repackaging</t>
  </si>
  <si>
    <t>4a</t>
  </si>
  <si>
    <t>Processing / As a Reactant</t>
  </si>
  <si>
    <t>Intermediate in all other basic organic chemical manufacturing / Intermediate in all other chemical product and preparation manufacturing / Recycling</t>
  </si>
  <si>
    <t>4b</t>
  </si>
  <si>
    <t>4c</t>
  </si>
  <si>
    <t>4d</t>
  </si>
  <si>
    <t>4aa</t>
  </si>
  <si>
    <t>Industrial Use / Non-incorporative activities</t>
  </si>
  <si>
    <t>Processing aids, not otherwise listed</t>
  </si>
  <si>
    <t>Commercial use / Other use</t>
  </si>
  <si>
    <t>Laboratory chemical</t>
  </si>
  <si>
    <t>Disposal / Disposal</t>
  </si>
  <si>
    <t>Disposal</t>
  </si>
  <si>
    <t>Inhalation Exposure</t>
  </si>
  <si>
    <t>Exposure Type 
(select)</t>
  </si>
  <si>
    <t>HJgh End</t>
  </si>
  <si>
    <t>Risk Estimation for Inhalation Exposures</t>
  </si>
  <si>
    <t>Risk Estimation for Dermal Exposures</t>
  </si>
  <si>
    <t>Risk Type</t>
  </si>
  <si>
    <t>Toxicity Endpoint</t>
  </si>
  <si>
    <t>Study</t>
  </si>
  <si>
    <t>No Respirator</t>
  </si>
  <si>
    <t>APF = 10</t>
  </si>
  <si>
    <t>APF = 25</t>
  </si>
  <si>
    <t>APF = 50</t>
  </si>
  <si>
    <t>APF = 1,000</t>
  </si>
  <si>
    <t>APF = 10,000</t>
  </si>
  <si>
    <t>No Gloves</t>
  </si>
  <si>
    <t>PF = 5</t>
  </si>
  <si>
    <t>PF = 10</t>
  </si>
  <si>
    <t>PF = 20</t>
  </si>
  <si>
    <t>Acute, Non-Cancer</t>
  </si>
  <si>
    <t>Intermediate</t>
  </si>
  <si>
    <t>Chronic, Non-Cancer</t>
  </si>
  <si>
    <r>
      <t>IUR (ppm)</t>
    </r>
    <r>
      <rPr>
        <b/>
        <vertAlign val="superscript"/>
        <sz val="10"/>
        <rFont val="Calibri"/>
        <family val="2"/>
        <scheme val="minor"/>
      </rPr>
      <t>-1</t>
    </r>
  </si>
  <si>
    <r>
      <t>CSF (mg/kg-d)</t>
    </r>
    <r>
      <rPr>
        <b/>
        <vertAlign val="superscript"/>
        <sz val="10"/>
        <rFont val="Calibri"/>
        <family val="2"/>
        <scheme val="minor"/>
      </rPr>
      <t>-1</t>
    </r>
  </si>
  <si>
    <t>Chronic, Cancer</t>
  </si>
  <si>
    <t>No Gloves 
(PF = 1)</t>
  </si>
  <si>
    <t>Protective Gloves 
(PF = 5)</t>
  </si>
  <si>
    <t>Protective Gloves 
(Commercial uses, PF = 10)</t>
  </si>
  <si>
    <t>=</t>
  </si>
  <si>
    <t>Protective Gloves 
(Industrial uses, PF = 20)</t>
  </si>
  <si>
    <t>Risk Calculations</t>
  </si>
  <si>
    <t>Calculated High-End Doses</t>
  </si>
  <si>
    <t>Calculated Central Tendency Doses</t>
  </si>
  <si>
    <t>Acute MOE</t>
  </si>
  <si>
    <t>Intermediate MOE</t>
  </si>
  <si>
    <t>Chronic, Non Cancer MOE</t>
  </si>
  <si>
    <t>Chronic Cancer MOE</t>
  </si>
  <si>
    <t>Lookup Name</t>
  </si>
  <si>
    <r>
      <t>AADR</t>
    </r>
    <r>
      <rPr>
        <b/>
        <vertAlign val="subscript"/>
        <sz val="11"/>
        <color theme="1"/>
        <rFont val="Calibri"/>
        <family val="2"/>
        <scheme val="minor"/>
      </rPr>
      <t>exp</t>
    </r>
    <r>
      <rPr>
        <b/>
        <sz val="11"/>
        <color theme="1"/>
        <rFont val="Calibri"/>
        <family val="2"/>
        <scheme val="minor"/>
      </rPr>
      <t xml:space="preserve"> (mg/day)</t>
    </r>
  </si>
  <si>
    <r>
      <t>AAD</t>
    </r>
    <r>
      <rPr>
        <b/>
        <vertAlign val="subscript"/>
        <sz val="11"/>
        <rFont val="Calibri"/>
        <family val="2"/>
        <scheme val="minor"/>
      </rPr>
      <t xml:space="preserve">1,2-DCP </t>
    </r>
    <r>
      <rPr>
        <b/>
        <sz val="11"/>
        <rFont val="Calibri"/>
        <family val="2"/>
        <scheme val="minor"/>
      </rPr>
      <t>(mg/kg-day)</t>
    </r>
  </si>
  <si>
    <r>
      <t>IAD</t>
    </r>
    <r>
      <rPr>
        <b/>
        <vertAlign val="subscript"/>
        <sz val="11"/>
        <rFont val="Calibri"/>
        <family val="2"/>
        <scheme val="minor"/>
      </rPr>
      <t>1,2-DCP</t>
    </r>
    <r>
      <rPr>
        <b/>
        <sz val="11"/>
        <rFont val="Calibri"/>
        <family val="2"/>
        <scheme val="minor"/>
      </rPr>
      <t xml:space="preserve"> (mg/kg-day)</t>
    </r>
  </si>
  <si>
    <r>
      <t>CAD</t>
    </r>
    <r>
      <rPr>
        <b/>
        <vertAlign val="subscript"/>
        <sz val="11"/>
        <rFont val="Calibri"/>
        <family val="2"/>
        <scheme val="minor"/>
      </rPr>
      <t>1,2-DCP</t>
    </r>
    <r>
      <rPr>
        <b/>
        <sz val="11"/>
        <rFont val="Calibri"/>
        <family val="2"/>
        <scheme val="minor"/>
      </rPr>
      <t xml:space="preserve"> (mg/kg-day)</t>
    </r>
  </si>
  <si>
    <r>
      <t>LCAD</t>
    </r>
    <r>
      <rPr>
        <b/>
        <vertAlign val="subscript"/>
        <sz val="11"/>
        <rFont val="Calibri"/>
        <family val="2"/>
        <scheme val="minor"/>
      </rPr>
      <t>1,2-DCP</t>
    </r>
    <r>
      <rPr>
        <b/>
        <sz val="11"/>
        <rFont val="Calibri"/>
        <family val="2"/>
        <scheme val="minor"/>
      </rPr>
      <t xml:space="preserve"> (mg/kg-day)</t>
    </r>
  </si>
  <si>
    <t>Look-up Values and Risk Parameter Values</t>
  </si>
  <si>
    <t>Based on health data provided on 5/5/2026</t>
  </si>
  <si>
    <t>IUR per ppm = IUR per ug/m3 x 1000 x MW/24.45</t>
  </si>
  <si>
    <t>Acute and Chronic, Non-Cancer Parameters</t>
  </si>
  <si>
    <t>Cancer Parameters</t>
  </si>
  <si>
    <t>Look-up Table Values</t>
  </si>
  <si>
    <t>Code</t>
  </si>
  <si>
    <t>Uncertainty Factors (UFs) for Benchmark MOE</t>
  </si>
  <si>
    <r>
      <t>IUR (ppm)</t>
    </r>
    <r>
      <rPr>
        <b/>
        <vertAlign val="superscript"/>
        <sz val="11"/>
        <color theme="1"/>
        <rFont val="Calibri"/>
        <family val="2"/>
        <scheme val="minor"/>
      </rPr>
      <t>-1</t>
    </r>
  </si>
  <si>
    <t>Exposure Percentiles</t>
  </si>
  <si>
    <t>Target Cancer Risk Level</t>
  </si>
  <si>
    <t>CNS depression in rats</t>
  </si>
  <si>
    <t>Kirk,1995, 688858</t>
  </si>
  <si>
    <t>--</t>
  </si>
  <si>
    <t>Nasial lesions in rats</t>
  </si>
  <si>
    <t>Dow Chemical 1988, 3065001/688893</t>
  </si>
  <si>
    <t>NTP, 1986, 67963; Umeda, 2010, 866039</t>
  </si>
  <si>
    <t>HEC conversion factor</t>
  </si>
  <si>
    <t>Cancer Parameter</t>
  </si>
  <si>
    <t>ppm per mg/m3</t>
  </si>
  <si>
    <t>HED (mg/kg-d)</t>
  </si>
  <si>
    <r>
      <t>CSF (mg/kg-d)</t>
    </r>
    <r>
      <rPr>
        <b/>
        <vertAlign val="superscript"/>
        <sz val="11"/>
        <color theme="1"/>
        <rFont val="Calibri"/>
        <family val="2"/>
        <scheme val="minor"/>
      </rPr>
      <t>-1</t>
    </r>
  </si>
  <si>
    <t>1,2-DCP MW</t>
  </si>
  <si>
    <t>g/mol</t>
  </si>
  <si>
    <t>Kirk et al 1995, 688858</t>
  </si>
  <si>
    <t>Molar Volume</t>
  </si>
  <si>
    <t>L/mol</t>
  </si>
  <si>
    <t>Data for Risk Graph on Dashboard</t>
  </si>
  <si>
    <t>Occupational Non-user</t>
  </si>
  <si>
    <t>8-hr TWA Exposures Worker Type
(select) Exposure Estimates</t>
  </si>
  <si>
    <t>Exposure Scenario</t>
  </si>
  <si>
    <t>Exposure Frequency</t>
  </si>
  <si>
    <t>Eight Hour TWA Exposures</t>
  </si>
  <si>
    <t>Datapoints</t>
  </si>
  <si>
    <t>Sources &amp; Notes</t>
  </si>
  <si>
    <t>Data Type</t>
  </si>
  <si>
    <t>(day/yr)</t>
  </si>
  <si>
    <r>
      <t>C</t>
    </r>
    <r>
      <rPr>
        <b/>
        <vertAlign val="subscript"/>
        <sz val="10"/>
        <rFont val="Calibri"/>
        <family val="2"/>
        <scheme val="minor"/>
      </rPr>
      <t>8-hr TWA</t>
    </r>
    <r>
      <rPr>
        <b/>
        <sz val="10"/>
        <rFont val="Calibri"/>
        <family val="2"/>
        <scheme val="minor"/>
      </rPr>
      <t xml:space="preserve"> (ppm)</t>
    </r>
  </si>
  <si>
    <r>
      <t>AC</t>
    </r>
    <r>
      <rPr>
        <b/>
        <vertAlign val="subscript"/>
        <sz val="10"/>
        <rFont val="Calibri"/>
        <family val="2"/>
        <scheme val="minor"/>
      </rPr>
      <t>24-hr TWA</t>
    </r>
    <r>
      <rPr>
        <b/>
        <sz val="10"/>
        <rFont val="Calibri"/>
        <family val="2"/>
        <scheme val="minor"/>
      </rPr>
      <t xml:space="preserve"> (ppm)</t>
    </r>
  </si>
  <si>
    <r>
      <t>ADC</t>
    </r>
    <r>
      <rPr>
        <b/>
        <vertAlign val="subscript"/>
        <sz val="10"/>
        <rFont val="Calibri"/>
        <family val="2"/>
        <scheme val="minor"/>
      </rPr>
      <t>24-hr TWA</t>
    </r>
    <r>
      <rPr>
        <b/>
        <sz val="10"/>
        <rFont val="Calibri"/>
        <family val="2"/>
        <scheme val="minor"/>
      </rPr>
      <t xml:space="preserve"> (ppm)</t>
    </r>
  </si>
  <si>
    <r>
      <t>LADC</t>
    </r>
    <r>
      <rPr>
        <b/>
        <vertAlign val="subscript"/>
        <sz val="10"/>
        <rFont val="Calibri"/>
        <family val="2"/>
        <scheme val="minor"/>
      </rPr>
      <t>24-hr TWA</t>
    </r>
    <r>
      <rPr>
        <b/>
        <sz val="10"/>
        <rFont val="Calibri"/>
        <family val="2"/>
        <scheme val="minor"/>
      </rPr>
      <t xml:space="preserve"> (ppm)</t>
    </r>
  </si>
  <si>
    <t>8-hr TWA</t>
  </si>
  <si>
    <t>PBZ Monitoring Data</t>
  </si>
  <si>
    <t>1bb</t>
  </si>
  <si>
    <t>1cc</t>
  </si>
  <si>
    <t>1dd</t>
  </si>
  <si>
    <t>PDC Test Order Data for Manufacturing as a Byproduct</t>
  </si>
  <si>
    <t>PDC Test Order Data - Pooled samples across Manufacturing as a byproduct and Processing as a reactant OES</t>
  </si>
  <si>
    <t>PDC Test Order and Existing Data for Manufacturing as a Byproduct</t>
  </si>
  <si>
    <t xml:space="preserve">Logistics technician analogous data from PDC Test Order for manufacturing and processing as a reactant. </t>
  </si>
  <si>
    <t>-</t>
  </si>
  <si>
    <t>PDC Test Order data for processing as a reactant.</t>
  </si>
  <si>
    <t>4bb</t>
  </si>
  <si>
    <t>4cc</t>
  </si>
  <si>
    <t>4dd</t>
  </si>
  <si>
    <t>PDC Test Order and Existing Data for processing as a reactant</t>
  </si>
  <si>
    <t xml:space="preserve">Analogous 1,2-DCP data for logistics technicians at byproduct manufacturing facilities. </t>
  </si>
  <si>
    <t xml:space="preserve">1,2-DCP area landfill data. Number of samples were not specified. </t>
  </si>
  <si>
    <t>Area monitoring data</t>
  </si>
  <si>
    <t xml:space="preserve">Analogous 1,2-DCP data for remediation contractors at byproduct manufacturing facilities. </t>
  </si>
  <si>
    <t xml:space="preserve">Analogous 1,2-DCP data for remediation contractors at byproduct manufacturing facilities. ONU data were not provided; used the central tendency worker 8-hr TWA to assess exposures. </t>
  </si>
  <si>
    <t>Exposure Data Types</t>
  </si>
  <si>
    <t>Dermal Exposure Scenario</t>
  </si>
  <si>
    <t>Monitoring Data</t>
  </si>
  <si>
    <t>Modeled Data</t>
  </si>
  <si>
    <t>Worker Type</t>
  </si>
  <si>
    <t>Average Adult Worker</t>
  </si>
  <si>
    <t>BMDL Percentile</t>
  </si>
  <si>
    <t>1,2-DCP</t>
  </si>
  <si>
    <t>Assigned Protection Factor</t>
  </si>
  <si>
    <t>MW</t>
  </si>
  <si>
    <t>OSHA PEL</t>
  </si>
  <si>
    <t>ppm</t>
  </si>
  <si>
    <r>
      <t>mg/m</t>
    </r>
    <r>
      <rPr>
        <vertAlign val="superscript"/>
        <sz val="10"/>
        <rFont val="Calibri"/>
        <family val="2"/>
      </rPr>
      <t>3</t>
    </r>
  </si>
  <si>
    <t>Unit Conversions</t>
  </si>
  <si>
    <t>Micrograms to milligrams</t>
  </si>
  <si>
    <r>
      <rPr>
        <sz val="10"/>
        <rFont val="Calibri"/>
        <family val="2"/>
      </rPr>
      <t>μ</t>
    </r>
    <r>
      <rPr>
        <sz val="10"/>
        <rFont val="Arial"/>
        <family val="2"/>
      </rPr>
      <t>g/mg</t>
    </r>
  </si>
  <si>
    <t>Parameter Name</t>
  </si>
  <si>
    <t>Symbol</t>
  </si>
  <si>
    <t>Value</t>
  </si>
  <si>
    <t>Unit</t>
  </si>
  <si>
    <t>Occupational Exposure Duration (8-hr)</t>
  </si>
  <si>
    <t>ED_8</t>
  </si>
  <si>
    <t xml:space="preserve">hr/day </t>
  </si>
  <si>
    <t>Continuous Exposure Duration (24-hr)</t>
  </si>
  <si>
    <t>ED_24</t>
  </si>
  <si>
    <t xml:space="preserve">Occupational Exposure Frequency </t>
  </si>
  <si>
    <t>EF</t>
  </si>
  <si>
    <t xml:space="preserve">day/yr </t>
  </si>
  <si>
    <t>Continuous Exposure Frequency</t>
  </si>
  <si>
    <t>EF_C</t>
  </si>
  <si>
    <t>Working Years Per Lifetime (Mid)</t>
  </si>
  <si>
    <t>WY_mid</t>
  </si>
  <si>
    <t xml:space="preserve">yr </t>
  </si>
  <si>
    <t>Working Years Per Lifetime (High)</t>
  </si>
  <si>
    <t>WY_high</t>
  </si>
  <si>
    <t>Lifetime Years for LADC</t>
  </si>
  <si>
    <t>LT</t>
  </si>
  <si>
    <t>Averaging time For ADC (Mid), non-cancer occupational</t>
  </si>
  <si>
    <t>AT_ADC_mid</t>
  </si>
  <si>
    <t xml:space="preserve">hr </t>
  </si>
  <si>
    <t>Averaging time For ADC (High), non-cancer occupational</t>
  </si>
  <si>
    <t>AT_ADC_high</t>
  </si>
  <si>
    <t>Averaging time For LADC, cancer occupational</t>
  </si>
  <si>
    <t>AT_LADC</t>
  </si>
  <si>
    <t>Averaging time for CRD (Mid), non-cancer continuous</t>
  </si>
  <si>
    <t>AT_CRD_mid</t>
  </si>
  <si>
    <t>day</t>
  </si>
  <si>
    <t>Averaging time for CRD (High), non-cancer continuous</t>
  </si>
  <si>
    <t>AT_CRD_high</t>
  </si>
  <si>
    <t>Averaging time for LCRD, cancer continuous</t>
  </si>
  <si>
    <t>AT_LCRD</t>
  </si>
  <si>
    <t>Breathing Ratio</t>
  </si>
  <si>
    <t>Breathing_Ratio</t>
  </si>
  <si>
    <t>Averaging time For ADC Intermediate, non-cancer occupational</t>
  </si>
  <si>
    <t>AT_ADC_I</t>
  </si>
  <si>
    <t>Exposure Days - Intermediate</t>
  </si>
  <si>
    <t>EF_I</t>
  </si>
  <si>
    <t>Averaging time for CRD (Intermediate), non-cancer continuous</t>
  </si>
  <si>
    <t>AT_CRD_I</t>
  </si>
  <si>
    <t>Acute Averaging Time</t>
  </si>
  <si>
    <t>AT_AC</t>
  </si>
  <si>
    <t>Exposure Days - Intermediate LGT</t>
  </si>
  <si>
    <t>EF_I_LGT</t>
  </si>
  <si>
    <t>Exposure Days - Intermediate Marine LGT</t>
  </si>
  <si>
    <t>EF_I_MLGT</t>
  </si>
  <si>
    <t>Exposure Days - Intermediate MT</t>
  </si>
  <si>
    <t>EF_I_MT</t>
  </si>
  <si>
    <t>Exposure Factors</t>
  </si>
  <si>
    <t>Woman of Childbearing Age</t>
  </si>
  <si>
    <t>Characterization of Value</t>
  </si>
  <si>
    <t>Body Weight, BW (kg)</t>
  </si>
  <si>
    <r>
      <t>1 Hand Surface Area (cm</t>
    </r>
    <r>
      <rPr>
        <b/>
        <vertAlign val="superscript"/>
        <sz val="11"/>
        <color theme="1"/>
        <rFont val="Calibri"/>
        <family val="2"/>
        <scheme val="minor"/>
      </rPr>
      <t>2</t>
    </r>
    <r>
      <rPr>
        <b/>
        <sz val="11"/>
        <color theme="1"/>
        <rFont val="Calibri"/>
        <family val="2"/>
        <scheme val="minor"/>
      </rPr>
      <t>)</t>
    </r>
  </si>
  <si>
    <r>
      <t>2 Hand Surface Area (cm</t>
    </r>
    <r>
      <rPr>
        <b/>
        <vertAlign val="superscript"/>
        <sz val="11"/>
        <color theme="1"/>
        <rFont val="Calibri"/>
        <family val="2"/>
        <scheme val="minor"/>
      </rPr>
      <t>2</t>
    </r>
    <r>
      <rPr>
        <b/>
        <sz val="11"/>
        <color theme="1"/>
        <rFont val="Calibri"/>
        <family val="2"/>
        <scheme val="minor"/>
      </rPr>
      <t>)</t>
    </r>
  </si>
  <si>
    <t>Working Years - High-End (yr)</t>
  </si>
  <si>
    <t>Working Years - Central Tendency (yr)</t>
  </si>
  <si>
    <t>Lifetime</t>
  </si>
  <si>
    <t>Woman of Childbearing Age Exposure Factors:</t>
  </si>
  <si>
    <t>Body Weight:</t>
  </si>
  <si>
    <t>From the Exposure Factors Handbook Table 8-5: Mean and Percentile Body Weights (kg) for Females Derived from NHANES (1990-2006) (1)</t>
  </si>
  <si>
    <t>Age 16 to &lt;21 years: 65.9 kg (mean)</t>
  </si>
  <si>
    <t>Age 21 to &lt;30 years: 71.9 kg (mean)</t>
  </si>
  <si>
    <t>Age 30 to &lt;40 years: 74.8 kg (mean)</t>
  </si>
  <si>
    <t>Age 40 to &lt;50 years: 77.1 kg (mean)</t>
  </si>
  <si>
    <t>(1) U.S. Environmental Protection Agency (EPA). (2011) Exposure Factors Handbook: 2011 Edition. National Center for Environmental Assessment, Washington, DC; EPA/600/R-09/052F. Available from the National Technical Information Service, Springfield, VA, and online at http://www.epa.gov/ncea/efh.</t>
  </si>
  <si>
    <t>1e</t>
  </si>
  <si>
    <t>1f</t>
  </si>
  <si>
    <t>1ee</t>
  </si>
  <si>
    <t>1ff</t>
  </si>
  <si>
    <t>3a</t>
  </si>
  <si>
    <t>3aa</t>
  </si>
  <si>
    <t>3b</t>
  </si>
  <si>
    <t>3bb</t>
  </si>
  <si>
    <t>3c</t>
  </si>
  <si>
    <t>3cc</t>
  </si>
  <si>
    <t>3d</t>
  </si>
  <si>
    <t>3dd</t>
  </si>
  <si>
    <t>3e</t>
  </si>
  <si>
    <t>3ee</t>
  </si>
  <si>
    <t>8a</t>
  </si>
  <si>
    <t>8b</t>
  </si>
  <si>
    <t>8c</t>
  </si>
  <si>
    <t>8d</t>
  </si>
  <si>
    <t xml:space="preserve">1,2-DCP analogous data for logistics technicians at manufacturing and processing sites (test order data). </t>
  </si>
  <si>
    <t xml:space="preserve">Test order analogous data for Analytical Technologists from PDC test order. This SEG was designated as an ONU in manufacturing laboratory settings. </t>
  </si>
  <si>
    <t>Domestic Manufacture</t>
  </si>
  <si>
    <t>Manufacturing / Domestic Manufacture</t>
  </si>
  <si>
    <t xml:space="preserve">Analogous ONU data from PDC Test Order for manufacturing and processing as a reactant. Samples were collected in marine terminal and railcar areas. </t>
  </si>
  <si>
    <t>Lookup Code</t>
  </si>
  <si>
    <t>Manufacture (Laboratory Technician) (OES #1)</t>
  </si>
  <si>
    <t>Manufacture (Laboratory Technician - pooled samples) (OES #1)</t>
  </si>
  <si>
    <t>Manufacture (Logistics Technician) (OES #1)</t>
  </si>
  <si>
    <t>Manufacture (Logistics Technician - pooled samples) (OES #1)</t>
  </si>
  <si>
    <t>Manufacture (Processing Operator) (OES #1)</t>
  </si>
  <si>
    <t>Manufacture (Maintenance Technician - infrequent work schedule) (OES #1)</t>
  </si>
  <si>
    <t>Processing as a Reactant (Laboratory Technician) (OES #3)</t>
  </si>
  <si>
    <t>Processing as a Reactant (Logistics Technician) (OES #3)</t>
  </si>
  <si>
    <t>Processing as a Reactant (Marine Logistics Technician) (OES #3)</t>
  </si>
  <si>
    <t>Processing as a Reactant (Processing Operator) (OES #3)</t>
  </si>
  <si>
    <t>Processing as a Reactant (Maintenance Technician - Infrequent work schedule) (OES #3)</t>
  </si>
  <si>
    <t>Manufacture (OES #1)</t>
  </si>
  <si>
    <t>Processing as a reactant (OES #3)</t>
  </si>
  <si>
    <t>Processing Aid – Non-Incorporative Activities (OES #4)</t>
  </si>
  <si>
    <t>SEG Crosswalk</t>
  </si>
  <si>
    <t>OES (SEG)</t>
  </si>
  <si>
    <t>Commercial Use as a Laboratory Chemical (OES #5)</t>
  </si>
  <si>
    <t>Processing Aid – Non-Incorporative Activities (Logistics Technician) (OES #4)</t>
  </si>
  <si>
    <t>Processing Aid – Non-Incorporative Activities (Laboratory Technician) (OES #4)</t>
  </si>
  <si>
    <t>Processing Aid – Non-Incorporative Activities (Processing Operator) (OES #4)</t>
  </si>
  <si>
    <t>Processing Aid – Non-Incorporative Activities (Maintenance Technician) (OES #4)</t>
  </si>
  <si>
    <t>Manufacture (Logistics Technician)  (OES #1)</t>
  </si>
  <si>
    <t>Manufacture (ONU) (OES #1)</t>
  </si>
  <si>
    <t>Processing as a Reactant (Maintenance Technician - infrequent work schedule) (OES #3)</t>
  </si>
  <si>
    <t>Processing as a Reactant (OES #3)</t>
  </si>
  <si>
    <t>Processing as a Reactant (ONU) (OES #3)</t>
  </si>
  <si>
    <t>Processing Aid – Non-Incorporative Activities  (Laboratory Technician) (OES #4)</t>
  </si>
  <si>
    <t>Processing Aid – Non-Incorporative Activities  (Logistics Technician) (OES #4)</t>
  </si>
  <si>
    <t>Processing Aid – Non-Incorporative Activities  (Processing Operator) (OES #4)</t>
  </si>
  <si>
    <t>Processing Aid – Non-Incorporative Activities  (Maintenance Technician) (OES #4)</t>
  </si>
  <si>
    <t>Processing Aid – Non-Incorporative Activities (ONU) (OES #4)</t>
  </si>
  <si>
    <t>Import/Processing-Repackaging (OES #2)</t>
  </si>
  <si>
    <t>Disposal to Incineration (OES #7)</t>
  </si>
  <si>
    <t>Disposal to Landfill (OES #8)</t>
  </si>
  <si>
    <t>Disposal to POTW and non-POTW WWT (OES #9, 10)</t>
  </si>
  <si>
    <t>Remediation (OES #11)</t>
  </si>
  <si>
    <t>July 2026</t>
  </si>
  <si>
    <t>CASRN 78-87-5</t>
  </si>
  <si>
    <t>Draft Occupational Risk Calculator for 1,2-Dichloropropane</t>
  </si>
  <si>
    <t>Analogous data from laboratory technicians at manufacturing and processing sites from PDC test order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</si>
</sst>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0.000"/>
    <numFmt numFmtId="166" formatCode="0.0E+00"/>
    <numFmt numFmtId="167" formatCode="0.0000"/>
    <numFmt numFmtId="168" formatCode="0.0%"/>
    <numFmt numFmtId="169" formatCode="#,##0.000"/>
  </numFmts>
  <fonts count="65"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4"/>
      <color theme="1"/>
      <name val="Calibri"/>
      <family val="2"/>
      <scheme val="minor"/>
    </font>
    <font>
      <b/>
      <vertAlign val="superscript"/>
      <sz val="11"/>
      <color theme="1"/>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b/>
      <vertAlign val="subscript"/>
      <sz val="10"/>
      <name val="Calibri"/>
      <family val="2"/>
      <scheme val="minor"/>
    </font>
    <font>
      <b/>
      <sz val="16"/>
      <name val="Calibri"/>
      <family val="2"/>
      <scheme val="minor"/>
    </font>
    <font>
      <sz val="10"/>
      <name val="Calibri"/>
      <family val="2"/>
      <scheme val="minor"/>
    </font>
    <font>
      <b/>
      <vertAlign val="superscript"/>
      <sz val="10"/>
      <color theme="1"/>
      <name val="Calibri"/>
      <family val="2"/>
      <scheme val="minor"/>
    </font>
    <font>
      <sz val="11"/>
      <color theme="0" tint="-4.9989318521683403E-2"/>
      <name val="Calibri"/>
      <family val="2"/>
      <scheme val="minor"/>
    </font>
    <font>
      <b/>
      <vertAlign val="subscript"/>
      <sz val="10"/>
      <color theme="1"/>
      <name val="Calibri"/>
      <family val="2"/>
      <scheme val="minor"/>
    </font>
    <font>
      <sz val="11"/>
      <color rgb="FFFF0000"/>
      <name val="Calibri"/>
      <family val="2"/>
      <scheme val="minor"/>
    </font>
    <font>
      <u/>
      <sz val="11"/>
      <color theme="1"/>
      <name val="Calibri"/>
      <family val="2"/>
      <scheme val="minor"/>
    </font>
    <font>
      <sz val="11"/>
      <color theme="1"/>
      <name val="Calibri"/>
      <family val="2"/>
      <scheme val="minor"/>
    </font>
    <font>
      <i/>
      <sz val="11"/>
      <color theme="1"/>
      <name val="Calibri"/>
      <family val="2"/>
      <scheme val="minor"/>
    </font>
    <font>
      <b/>
      <sz val="11"/>
      <color rgb="FFFF0000"/>
      <name val="Calibri"/>
      <family val="2"/>
      <scheme val="minor"/>
    </font>
    <font>
      <b/>
      <sz val="10"/>
      <color rgb="FF000000"/>
      <name val="Calibri"/>
      <family val="2"/>
      <scheme val="minor"/>
    </font>
    <font>
      <b/>
      <i/>
      <sz val="16"/>
      <name val="Calibri"/>
      <family val="2"/>
      <scheme val="minor"/>
    </font>
    <font>
      <sz val="14"/>
      <name val="Calibri"/>
      <family val="2"/>
      <scheme val="minor"/>
    </font>
    <font>
      <b/>
      <i/>
      <sz val="14"/>
      <name val="Calibri"/>
      <family val="2"/>
      <scheme val="minor"/>
    </font>
    <font>
      <b/>
      <sz val="14"/>
      <name val="Calibri"/>
      <family val="2"/>
      <scheme val="minor"/>
    </font>
    <font>
      <b/>
      <sz val="11"/>
      <color theme="9" tint="0.79998168889431442"/>
      <name val="Calibri"/>
      <family val="2"/>
      <scheme val="minor"/>
    </font>
    <font>
      <b/>
      <i/>
      <sz val="10"/>
      <name val="Calibri"/>
      <family val="2"/>
      <scheme val="minor"/>
    </font>
    <font>
      <b/>
      <sz val="10"/>
      <color theme="8" tint="0.79998168889431442"/>
      <name val="Calibri"/>
      <family val="2"/>
      <scheme val="minor"/>
    </font>
    <font>
      <u/>
      <sz val="10"/>
      <color theme="1"/>
      <name val="Calibri"/>
      <family val="2"/>
      <scheme val="minor"/>
    </font>
    <font>
      <sz val="10"/>
      <color rgb="FFFF0000"/>
      <name val="Calibri"/>
      <family val="2"/>
      <scheme val="minor"/>
    </font>
    <font>
      <sz val="10"/>
      <color theme="0" tint="-4.9989318521683403E-2"/>
      <name val="Calibri"/>
      <family val="2"/>
      <scheme val="minor"/>
    </font>
    <font>
      <sz val="10"/>
      <name val="Arial"/>
      <family val="2"/>
    </font>
    <font>
      <sz val="10"/>
      <name val="Calibri"/>
      <family val="2"/>
    </font>
    <font>
      <vertAlign val="superscript"/>
      <sz val="10"/>
      <name val="Calibri"/>
      <family val="2"/>
    </font>
    <font>
      <b/>
      <sz val="12"/>
      <name val="Calibri"/>
      <family val="2"/>
    </font>
    <font>
      <b/>
      <vertAlign val="subscript"/>
      <sz val="11"/>
      <color theme="1"/>
      <name val="Calibri"/>
      <family val="2"/>
      <scheme val="minor"/>
    </font>
    <font>
      <b/>
      <vertAlign val="subscript"/>
      <sz val="11"/>
      <name val="Calibri"/>
      <family val="2"/>
      <scheme val="minor"/>
    </font>
    <font>
      <b/>
      <sz val="10"/>
      <name val="Calibri"/>
      <family val="2"/>
    </font>
    <font>
      <sz val="8"/>
      <name val="Calibri"/>
      <family val="2"/>
      <scheme val="minor"/>
    </font>
    <font>
      <b/>
      <sz val="11"/>
      <color theme="1"/>
      <name val="Arial"/>
      <family val="2"/>
    </font>
    <font>
      <sz val="11"/>
      <color theme="1"/>
      <name val="Arial"/>
      <family val="2"/>
    </font>
    <font>
      <sz val="11"/>
      <name val="Arial"/>
      <family val="2"/>
    </font>
    <font>
      <b/>
      <sz val="11"/>
      <color rgb="FFFF0000"/>
      <name val="Arial"/>
      <family val="2"/>
    </font>
    <font>
      <b/>
      <sz val="11"/>
      <color theme="1"/>
      <name val="Times New Roman"/>
      <family val="1"/>
    </font>
    <font>
      <sz val="11"/>
      <color theme="1"/>
      <name val="Times New Roman"/>
      <family val="1"/>
    </font>
    <font>
      <b/>
      <sz val="12"/>
      <color theme="1"/>
      <name val="Times New Roman"/>
      <family val="1"/>
    </font>
    <font>
      <b/>
      <sz val="9.5"/>
      <color theme="1"/>
      <name val="Times New Roman"/>
      <family val="1"/>
    </font>
    <font>
      <b/>
      <sz val="9.5"/>
      <color rgb="FF000000"/>
      <name val="Times New Roman"/>
      <family val="1"/>
    </font>
    <font>
      <b/>
      <vertAlign val="superscript"/>
      <sz val="9.5"/>
      <color rgb="FF000000"/>
      <name val="Times New Roman"/>
      <family val="1"/>
    </font>
    <font>
      <sz val="9.5"/>
      <color theme="1"/>
      <name val="Times New Roman"/>
      <family val="1"/>
    </font>
    <font>
      <sz val="9.5"/>
      <color rgb="FF000000"/>
      <name val="Times New Roman"/>
      <family val="1"/>
    </font>
    <font>
      <sz val="10"/>
      <color theme="1"/>
      <name val="Times New Roman"/>
      <family val="1"/>
    </font>
    <font>
      <sz val="9.5"/>
      <name val="Times New Roman"/>
      <family val="1"/>
    </font>
    <font>
      <b/>
      <vertAlign val="superscript"/>
      <sz val="10"/>
      <name val="Calibri"/>
      <family val="2"/>
      <scheme val="minor"/>
    </font>
    <font>
      <i/>
      <sz val="11"/>
      <name val="Arial"/>
      <family val="2"/>
    </font>
    <font>
      <vertAlign val="superscript"/>
      <sz val="10"/>
      <color theme="1"/>
      <name val="Calibri"/>
      <family val="2"/>
      <scheme val="minor"/>
    </font>
    <font>
      <b/>
      <sz val="16"/>
      <color rgb="FF000000"/>
      <name val="Times New Roman"/>
      <family val="1"/>
    </font>
    <font>
      <b/>
      <sz val="10"/>
      <color rgb="FFFF0000"/>
      <name val="Calibri"/>
      <family val="2"/>
      <scheme val="minor"/>
    </font>
    <font>
      <sz val="14"/>
      <color rgb="FFFF0000"/>
      <name val="Times New Roman"/>
      <family val="1"/>
    </font>
    <font>
      <vertAlign val="subscript"/>
      <sz val="10"/>
      <color theme="1"/>
      <name val="Calibri"/>
      <family val="2"/>
      <scheme val="minor"/>
    </font>
    <font>
      <b/>
      <sz val="10"/>
      <color theme="1"/>
      <name val="Times New Roman"/>
      <family val="1"/>
    </font>
    <font>
      <sz val="11"/>
      <color rgb="FF000000"/>
      <name val="Calibri"/>
      <family val="2"/>
      <scheme val="minor"/>
    </font>
    <font>
      <b/>
      <sz val="14"/>
      <color theme="1"/>
      <name val="Times New Roman"/>
      <family val="1"/>
    </font>
    <font>
      <sz val="12"/>
      <color theme="1"/>
      <name val="Times New Roman"/>
      <family val="1"/>
    </font>
  </fonts>
  <fills count="23">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8" tint="0.39994506668294322"/>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0"/>
        <bgColor theme="4" tint="0.79998168889431442"/>
      </patternFill>
    </fill>
    <fill>
      <patternFill patternType="solid">
        <fgColor theme="9" tint="-0.249977111117893"/>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8" tint="-0.249977111117893"/>
        <bgColor indexed="64"/>
      </patternFill>
    </fill>
    <fill>
      <patternFill patternType="solid">
        <fgColor theme="0" tint="-0.249977111117893"/>
        <bgColor indexed="64"/>
      </patternFill>
    </fill>
    <fill>
      <patternFill patternType="solid">
        <fgColor rgb="FFD9D9D9"/>
        <bgColor indexed="64"/>
      </patternFill>
    </fill>
    <fill>
      <patternFill patternType="solid">
        <fgColor theme="4" tint="0.59996337778862885"/>
        <bgColor indexed="64"/>
      </patternFill>
    </fill>
    <fill>
      <patternFill patternType="solid">
        <fgColor theme="2" tint="-0.24994659260841701"/>
        <bgColor indexed="64"/>
      </patternFill>
    </fill>
    <fill>
      <patternFill patternType="solid">
        <fgColor theme="0" tint="-0.2499465926084170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6" tint="0.39994506668294322"/>
        <bgColor indexed="64"/>
      </patternFill>
    </fill>
    <fill>
      <patternFill patternType="solid">
        <fgColor rgb="FFFFFF00"/>
        <bgColor indexed="64"/>
      </patternFill>
    </fill>
    <fill>
      <patternFill patternType="solid">
        <fgColor theme="6" tint="0.79998168889431442"/>
        <bgColor indexed="64"/>
      </patternFill>
    </fill>
  </fills>
  <borders count="1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dashed">
        <color auto="1"/>
      </bottom>
      <diagonal/>
    </border>
    <border>
      <left/>
      <right/>
      <top/>
      <bottom style="dashed">
        <color auto="1"/>
      </bottom>
      <diagonal/>
    </border>
    <border>
      <left/>
      <right style="thin">
        <color auto="1"/>
      </right>
      <top/>
      <bottom style="dashed">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14996795556505021"/>
      </left>
      <right/>
      <top style="thin">
        <color theme="0" tint="-0.14996795556505021"/>
      </top>
      <bottom style="thin">
        <color theme="0" tint="-0.1499679555650502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bottom style="medium">
        <color auto="1"/>
      </bottom>
      <diagonal/>
    </border>
    <border>
      <left style="thin">
        <color auto="1"/>
      </left>
      <right style="thin">
        <color auto="1"/>
      </right>
      <top style="thin">
        <color auto="1"/>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bottom style="medium">
        <color auto="1"/>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indexed="64"/>
      </right>
      <top/>
      <bottom/>
      <diagonal/>
    </border>
    <border>
      <left style="thin">
        <color indexed="64"/>
      </left>
      <right style="medium">
        <color indexed="64"/>
      </right>
      <top/>
      <bottom style="medium">
        <color indexed="64"/>
      </bottom>
      <diagonal/>
    </border>
    <border>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indexed="64"/>
      </left>
      <right style="medium">
        <color auto="1"/>
      </right>
      <top style="thin">
        <color indexed="64"/>
      </top>
      <bottom style="medium">
        <color indexed="64"/>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diagonal/>
    </border>
    <border>
      <left/>
      <right/>
      <top style="medium">
        <color auto="1"/>
      </top>
      <bottom style="thin">
        <color auto="1"/>
      </bottom>
      <diagonal/>
    </border>
    <border>
      <left style="thin">
        <color theme="0" tint="-0.14996795556505021"/>
      </left>
      <right style="thin">
        <color theme="0" tint="-0.14996795556505021"/>
      </right>
      <top/>
      <bottom style="thin">
        <color theme="0" tint="-0.1499679555650502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top style="medium">
        <color auto="1"/>
      </top>
      <bottom/>
      <diagonal/>
    </border>
    <border>
      <left/>
      <right style="thin">
        <color indexed="64"/>
      </right>
      <top style="medium">
        <color auto="1"/>
      </top>
      <bottom style="thin">
        <color auto="1"/>
      </bottom>
      <diagonal/>
    </border>
    <border>
      <left/>
      <right style="thin">
        <color indexed="64"/>
      </right>
      <top style="medium">
        <color indexed="64"/>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auto="1"/>
      </right>
      <top/>
      <bottom style="medium">
        <color indexed="64"/>
      </bottom>
      <diagonal/>
    </border>
    <border>
      <left style="hair">
        <color indexed="64"/>
      </left>
      <right style="hair">
        <color indexed="64"/>
      </right>
      <top style="medium">
        <color auto="1"/>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diagonal/>
    </border>
    <border>
      <left style="medium">
        <color indexed="64"/>
      </left>
      <right style="hair">
        <color indexed="64"/>
      </right>
      <top style="hair">
        <color indexed="64"/>
      </top>
      <bottom style="medium">
        <color indexed="64"/>
      </bottom>
      <diagonal/>
    </border>
    <border>
      <left style="medium">
        <color indexed="64"/>
      </left>
      <right/>
      <top style="thin">
        <color indexed="64"/>
      </top>
      <bottom style="medium">
        <color indexed="64"/>
      </bottom>
      <diagonal/>
    </border>
    <border>
      <left style="medium">
        <color auto="1"/>
      </left>
      <right/>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auto="1"/>
      </left>
      <right style="medium">
        <color indexed="64"/>
      </right>
      <top style="medium">
        <color auto="1"/>
      </top>
      <bottom style="medium">
        <color auto="1"/>
      </bottom>
      <diagonal/>
    </border>
    <border>
      <left style="medium">
        <color auto="1"/>
      </left>
      <right/>
      <top/>
      <bottom style="thin">
        <color auto="1"/>
      </bottom>
      <diagonal/>
    </border>
    <border>
      <left style="medium">
        <color indexed="64"/>
      </left>
      <right/>
      <top/>
      <bottom style="medium">
        <color indexed="64"/>
      </bottom>
      <diagonal/>
    </border>
    <border>
      <left style="thin">
        <color auto="1"/>
      </left>
      <right/>
      <top style="medium">
        <color auto="1"/>
      </top>
      <bottom/>
      <diagonal/>
    </border>
    <border>
      <left style="thin">
        <color auto="1"/>
      </left>
      <right/>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medium">
        <color indexed="64"/>
      </left>
      <right style="medium">
        <color indexed="64"/>
      </right>
      <top/>
      <bottom style="double">
        <color indexed="64"/>
      </bottom>
      <diagonal/>
    </border>
    <border>
      <left/>
      <right style="medium">
        <color indexed="64"/>
      </right>
      <top/>
      <bottom style="double">
        <color indexed="64"/>
      </bottom>
      <diagonal/>
    </border>
    <border>
      <left style="medium">
        <color indexed="64"/>
      </left>
      <right style="medium">
        <color indexed="64"/>
      </right>
      <top style="double">
        <color indexed="64"/>
      </top>
      <bottom/>
      <diagonal/>
    </border>
    <border>
      <left/>
      <right style="medium">
        <color indexed="64"/>
      </right>
      <top style="double">
        <color indexed="64"/>
      </top>
      <bottom/>
      <diagonal/>
    </border>
    <border>
      <left/>
      <right style="thin">
        <color auto="1"/>
      </right>
      <top style="thin">
        <color auto="1"/>
      </top>
      <bottom style="thin">
        <color auto="1"/>
      </bottom>
      <diagonal/>
    </border>
    <border>
      <left style="hair">
        <color indexed="64"/>
      </left>
      <right style="hair">
        <color indexed="64"/>
      </right>
      <top/>
      <bottom style="medium">
        <color indexed="64"/>
      </bottom>
      <diagonal/>
    </border>
    <border>
      <left/>
      <right style="hair">
        <color indexed="64"/>
      </right>
      <top style="medium">
        <color indexed="64"/>
      </top>
      <bottom/>
      <diagonal/>
    </border>
    <border>
      <left/>
      <right style="hair">
        <color indexed="64"/>
      </right>
      <top/>
      <bottom style="medium">
        <color indexed="64"/>
      </bottom>
      <diagonal/>
    </border>
    <border>
      <left/>
      <right style="hair">
        <color indexed="64"/>
      </right>
      <top/>
      <bottom/>
      <diagonal/>
    </border>
    <border>
      <left style="medium">
        <color indexed="64"/>
      </left>
      <right style="medium">
        <color indexed="64"/>
      </right>
      <top style="medium">
        <color indexed="64"/>
      </top>
      <bottom style="thin">
        <color theme="1"/>
      </bottom>
      <diagonal/>
    </border>
    <border>
      <left style="medium">
        <color indexed="64"/>
      </left>
      <right style="medium">
        <color indexed="64"/>
      </right>
      <top style="thin">
        <color theme="1"/>
      </top>
      <bottom style="medium">
        <color indexed="64"/>
      </bottom>
      <diagonal/>
    </border>
    <border>
      <left/>
      <right style="thin">
        <color indexed="64"/>
      </right>
      <top style="medium">
        <color indexed="64"/>
      </top>
      <bottom/>
      <diagonal/>
    </border>
    <border>
      <left style="hair">
        <color indexed="64"/>
      </left>
      <right/>
      <top style="medium">
        <color indexed="64"/>
      </top>
      <bottom/>
      <diagonal/>
    </border>
    <border>
      <left style="hair">
        <color indexed="64"/>
      </left>
      <right/>
      <top/>
      <bottom/>
      <diagonal/>
    </border>
    <border>
      <left style="hair">
        <color indexed="64"/>
      </left>
      <right/>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style="thin">
        <color indexed="64"/>
      </left>
      <right style="medium">
        <color indexed="64"/>
      </right>
      <top/>
      <bottom/>
      <diagonal/>
    </border>
    <border>
      <left style="medium">
        <color auto="1"/>
      </left>
      <right style="medium">
        <color indexed="64"/>
      </right>
      <top style="thin">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4">
    <xf numFmtId="0" fontId="0" fillId="0" borderId="0"/>
    <xf numFmtId="9" fontId="18" fillId="0" borderId="0" applyFont="0" applyFill="0" applyBorder="0" applyAlignment="0" applyProtection="0"/>
    <xf numFmtId="0" fontId="32" fillId="0" borderId="0"/>
    <xf numFmtId="43" fontId="18" fillId="0" borderId="0" applyFont="0" applyFill="0" applyBorder="0" applyAlignment="0" applyProtection="0"/>
  </cellStyleXfs>
  <cellXfs count="766">
    <xf numFmtId="0" fontId="0" fillId="0" borderId="0" xfId="0"/>
    <xf numFmtId="0" fontId="59" fillId="0" borderId="0" xfId="0" applyFont="1" applyAlignment="1" applyProtection="1">
      <alignment horizontal="center"/>
    </xf>
    <xf numFmtId="0" fontId="0" fillId="0" borderId="0" xfId="0" applyProtection="1"/>
    <xf numFmtId="49" fontId="59" fillId="0" borderId="0" xfId="0" applyNumberFormat="1" applyFont="1" applyAlignment="1" applyProtection="1">
      <alignment horizontal="center"/>
    </xf>
    <xf numFmtId="0" fontId="0" fillId="0" borderId="0" xfId="0" applyAlignment="1" applyProtection="1">
      <alignment horizontal="center"/>
    </xf>
    <xf numFmtId="0" fontId="57" fillId="0" borderId="0" xfId="0" applyFont="1" applyAlignment="1" applyProtection="1">
      <alignment horizontal="center" wrapText="1"/>
    </xf>
    <xf numFmtId="0" fontId="63" fillId="3" borderId="0" xfId="0" applyFont="1" applyFill="1" applyAlignment="1" applyProtection="1">
      <alignment horizontal="center" vertical="center"/>
    </xf>
    <xf numFmtId="0" fontId="64" fillId="0" borderId="0" xfId="0" applyFont="1" applyAlignment="1" applyProtection="1">
      <alignment horizontal="center"/>
    </xf>
    <xf numFmtId="49" fontId="46" fillId="0" borderId="0" xfId="0" applyNumberFormat="1" applyFont="1" applyAlignment="1" applyProtection="1">
      <alignment horizontal="left"/>
    </xf>
    <xf numFmtId="0" fontId="1" fillId="0" borderId="0" xfId="0" applyFont="1" applyAlignment="1" applyProtection="1">
      <alignment horizontal="center"/>
    </xf>
    <xf numFmtId="0" fontId="3" fillId="0" borderId="0" xfId="0" applyFont="1" applyAlignment="1" applyProtection="1">
      <alignment horizontal="center" vertical="center"/>
    </xf>
    <xf numFmtId="0" fontId="0" fillId="0" borderId="0" xfId="0" applyAlignment="1" applyProtection="1">
      <alignment vertical="center"/>
    </xf>
    <xf numFmtId="0" fontId="40" fillId="15" borderId="31" xfId="0" applyFont="1" applyFill="1" applyBorder="1" applyAlignment="1" applyProtection="1">
      <alignment vertical="center"/>
    </xf>
    <xf numFmtId="0" fontId="41" fillId="15" borderId="31" xfId="0" applyFont="1" applyFill="1" applyBorder="1" applyAlignment="1" applyProtection="1">
      <alignment vertical="center"/>
    </xf>
    <xf numFmtId="0" fontId="42" fillId="0" borderId="86" xfId="0" applyFont="1" applyBorder="1" applyAlignment="1" applyProtection="1">
      <alignment horizontal="center" vertical="center" wrapText="1"/>
    </xf>
    <xf numFmtId="0" fontId="42" fillId="0" borderId="87" xfId="0" applyFont="1" applyBorder="1" applyAlignment="1" applyProtection="1">
      <alignment horizontal="center" vertical="center" wrapText="1"/>
    </xf>
    <xf numFmtId="0" fontId="0" fillId="0" borderId="0" xfId="0" applyAlignment="1" applyProtection="1">
      <alignment horizontal="center" vertical="center"/>
    </xf>
    <xf numFmtId="0" fontId="42" fillId="0" borderId="88"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0" fillId="16" borderId="90" xfId="0" applyFont="1" applyFill="1" applyBorder="1" applyAlignment="1" applyProtection="1">
      <alignment horizontal="center" vertical="center"/>
    </xf>
    <xf numFmtId="0" fontId="40" fillId="16" borderId="91" xfId="0" applyFont="1" applyFill="1" applyBorder="1" applyAlignment="1" applyProtection="1">
      <alignment horizontal="center" vertical="center"/>
    </xf>
    <xf numFmtId="0" fontId="40" fillId="13" borderId="90" xfId="0" applyFont="1" applyFill="1" applyBorder="1" applyAlignment="1" applyProtection="1">
      <alignment horizontal="left" vertical="center"/>
    </xf>
    <xf numFmtId="0" fontId="41" fillId="3" borderId="91" xfId="0" applyFont="1" applyFill="1" applyBorder="1" applyAlignment="1" applyProtection="1">
      <alignment horizontal="left" vertical="center"/>
    </xf>
    <xf numFmtId="0" fontId="40" fillId="17" borderId="90" xfId="0" applyFont="1" applyFill="1" applyBorder="1" applyAlignment="1" applyProtection="1">
      <alignment vertical="center"/>
    </xf>
    <xf numFmtId="0" fontId="42" fillId="0" borderId="91" xfId="0" applyFont="1" applyBorder="1" applyAlignment="1" applyProtection="1">
      <alignment vertical="center" wrapText="1"/>
    </xf>
    <xf numFmtId="0" fontId="40" fillId="17" borderId="90" xfId="0" applyFont="1" applyFill="1" applyBorder="1" applyAlignment="1" applyProtection="1">
      <alignment horizontal="left" vertical="center"/>
    </xf>
    <xf numFmtId="0" fontId="40" fillId="17" borderId="92" xfId="0" applyFont="1" applyFill="1" applyBorder="1" applyAlignment="1" applyProtection="1">
      <alignment horizontal="left" vertical="center" wrapText="1"/>
    </xf>
    <xf numFmtId="0" fontId="42" fillId="0" borderId="93" xfId="0" applyFont="1" applyBorder="1" applyAlignment="1" applyProtection="1">
      <alignment vertical="center" wrapText="1"/>
    </xf>
    <xf numFmtId="0" fontId="40" fillId="0" borderId="0" xfId="0" applyFont="1" applyAlignment="1" applyProtection="1">
      <alignment horizontal="left" vertical="center" wrapText="1"/>
    </xf>
    <xf numFmtId="0" fontId="41" fillId="0" borderId="0" xfId="0" applyFont="1" applyAlignment="1" applyProtection="1">
      <alignment vertical="top" wrapText="1"/>
    </xf>
    <xf numFmtId="0" fontId="43" fillId="0" borderId="0" xfId="0" quotePrefix="1" applyFont="1" applyAlignment="1" applyProtection="1">
      <alignment vertical="center"/>
    </xf>
    <xf numFmtId="0" fontId="8" fillId="0" borderId="0" xfId="0" applyFont="1" applyProtection="1"/>
    <xf numFmtId="0" fontId="7" fillId="0" borderId="0" xfId="0" applyFont="1" applyProtection="1"/>
    <xf numFmtId="0" fontId="8" fillId="6" borderId="0" xfId="0" applyFont="1" applyFill="1" applyAlignment="1" applyProtection="1">
      <alignment horizontal="center"/>
    </xf>
    <xf numFmtId="0" fontId="8" fillId="22" borderId="0" xfId="0" applyFont="1" applyFill="1" applyAlignment="1" applyProtection="1">
      <alignment horizontal="left"/>
    </xf>
    <xf numFmtId="0" fontId="7" fillId="0" borderId="0" xfId="0" applyFont="1" applyAlignment="1" applyProtection="1">
      <alignment vertical="center"/>
    </xf>
    <xf numFmtId="0" fontId="7" fillId="0" borderId="0" xfId="0" quotePrefix="1" applyFont="1" applyAlignment="1" applyProtection="1">
      <alignment vertical="center" wrapText="1"/>
    </xf>
    <xf numFmtId="0" fontId="7" fillId="0" borderId="0" xfId="0" quotePrefix="1" applyFont="1" applyAlignment="1" applyProtection="1">
      <alignment wrapText="1"/>
    </xf>
    <xf numFmtId="0" fontId="7" fillId="0" borderId="0" xfId="0" applyFont="1" applyAlignment="1" applyProtection="1">
      <alignment horizontal="left" vertical="center"/>
    </xf>
    <xf numFmtId="0" fontId="7" fillId="0" borderId="0" xfId="0" applyFont="1" applyAlignment="1" applyProtection="1">
      <alignment horizontal="left" wrapText="1"/>
    </xf>
    <xf numFmtId="0" fontId="7" fillId="0" borderId="0" xfId="0" applyFont="1" applyAlignment="1" applyProtection="1">
      <alignment horizontal="left"/>
    </xf>
    <xf numFmtId="0" fontId="8" fillId="0" borderId="0" xfId="0" applyFont="1" applyAlignment="1" applyProtection="1">
      <alignment horizontal="left"/>
    </xf>
    <xf numFmtId="0" fontId="7" fillId="0" borderId="0" xfId="0" quotePrefix="1" applyFont="1" applyAlignment="1" applyProtection="1">
      <alignment horizontal="left"/>
    </xf>
    <xf numFmtId="0" fontId="0" fillId="3" borderId="0" xfId="0" applyFill="1" applyAlignment="1" applyProtection="1">
      <alignment vertical="center"/>
    </xf>
    <xf numFmtId="0" fontId="0" fillId="3" borderId="0" xfId="0" applyFill="1" applyAlignment="1" applyProtection="1">
      <alignment horizontal="center" vertical="center"/>
    </xf>
    <xf numFmtId="0" fontId="2" fillId="3" borderId="0" xfId="0" applyFont="1" applyFill="1" applyAlignment="1" applyProtection="1">
      <alignment vertical="center"/>
    </xf>
    <xf numFmtId="0" fontId="2" fillId="3" borderId="0" xfId="0" applyFont="1" applyFill="1" applyAlignment="1" applyProtection="1">
      <alignment horizontal="center" vertical="center"/>
    </xf>
    <xf numFmtId="0" fontId="24" fillId="4" borderId="50" xfId="0" applyFont="1" applyFill="1" applyBorder="1" applyAlignment="1" applyProtection="1">
      <alignment horizontal="center" vertical="center" wrapText="1"/>
    </xf>
    <xf numFmtId="0" fontId="24" fillId="3" borderId="71" xfId="0" applyFont="1" applyFill="1" applyBorder="1" applyAlignment="1" applyProtection="1">
      <alignment horizontal="center" vertical="center" wrapText="1"/>
    </xf>
    <xf numFmtId="0" fontId="24" fillId="3" borderId="0" xfId="0" applyFont="1" applyFill="1" applyAlignment="1" applyProtection="1">
      <alignment vertical="center" wrapText="1"/>
    </xf>
    <xf numFmtId="0" fontId="24" fillId="4" borderId="50" xfId="0" applyFont="1" applyFill="1" applyBorder="1" applyAlignment="1" applyProtection="1">
      <alignment horizontal="center" vertical="center" wrapText="1"/>
    </xf>
    <xf numFmtId="0" fontId="24" fillId="4" borderId="51" xfId="0" applyFont="1" applyFill="1" applyBorder="1" applyAlignment="1" applyProtection="1">
      <alignment horizontal="center" vertical="center" wrapText="1"/>
    </xf>
    <xf numFmtId="0" fontId="25" fillId="4" borderId="80" xfId="0" applyFont="1" applyFill="1" applyBorder="1" applyAlignment="1" applyProtection="1">
      <alignment horizontal="center" vertical="center" wrapText="1"/>
    </xf>
    <xf numFmtId="0" fontId="25" fillId="3" borderId="71" xfId="0" applyFont="1" applyFill="1" applyBorder="1" applyAlignment="1" applyProtection="1">
      <alignment horizontal="center" vertical="center" wrapText="1"/>
    </xf>
    <xf numFmtId="0" fontId="25" fillId="3" borderId="0" xfId="0" applyFont="1" applyFill="1" applyAlignment="1" applyProtection="1">
      <alignment horizontal="center" vertical="center" wrapText="1"/>
    </xf>
    <xf numFmtId="0" fontId="25" fillId="4" borderId="10" xfId="0" applyFont="1" applyFill="1" applyBorder="1" applyAlignment="1" applyProtection="1">
      <alignment horizontal="center" vertical="center" wrapText="1"/>
    </xf>
    <xf numFmtId="0" fontId="25" fillId="4" borderId="43" xfId="0" applyFont="1" applyFill="1" applyBorder="1" applyAlignment="1" applyProtection="1">
      <alignment horizontal="center" vertical="center" wrapText="1"/>
    </xf>
    <xf numFmtId="0" fontId="12" fillId="2" borderId="70" xfId="0" applyFont="1" applyFill="1" applyBorder="1" applyAlignment="1" applyProtection="1">
      <alignment horizontal="center" vertical="center" wrapText="1"/>
    </xf>
    <xf numFmtId="0" fontId="23" fillId="3" borderId="71" xfId="0" applyFont="1" applyFill="1" applyBorder="1" applyAlignment="1" applyProtection="1">
      <alignment vertical="center" wrapText="1"/>
    </xf>
    <xf numFmtId="9" fontId="23" fillId="0" borderId="0" xfId="1" applyFont="1" applyFill="1" applyBorder="1" applyAlignment="1" applyProtection="1">
      <alignment horizontal="center" vertical="center"/>
    </xf>
    <xf numFmtId="0" fontId="12" fillId="2" borderId="81" xfId="0" applyFont="1" applyFill="1" applyBorder="1" applyAlignment="1" applyProtection="1">
      <alignment horizontal="center" vertical="center" wrapText="1"/>
    </xf>
    <xf numFmtId="0" fontId="12" fillId="2" borderId="76" xfId="0" applyFont="1" applyFill="1" applyBorder="1" applyAlignment="1" applyProtection="1">
      <alignment horizontal="center" vertical="center" wrapText="1"/>
    </xf>
    <xf numFmtId="0" fontId="3" fillId="3" borderId="0" xfId="0" applyFont="1" applyFill="1" applyAlignment="1" applyProtection="1">
      <alignment horizontal="left" vertical="center"/>
    </xf>
    <xf numFmtId="0" fontId="2" fillId="3" borderId="0" xfId="0" applyFont="1" applyFill="1" applyAlignment="1" applyProtection="1">
      <alignment vertical="center" wrapText="1"/>
    </xf>
    <xf numFmtId="0" fontId="2" fillId="3" borderId="0" xfId="0" applyFont="1" applyFill="1" applyAlignment="1" applyProtection="1">
      <alignment horizontal="left" vertical="center" wrapText="1"/>
    </xf>
    <xf numFmtId="0" fontId="2" fillId="3" borderId="0" xfId="0" applyFont="1" applyFill="1" applyAlignment="1" applyProtection="1">
      <alignment horizontal="left" vertical="center" wrapText="1"/>
    </xf>
    <xf numFmtId="0" fontId="7" fillId="3" borderId="0" xfId="0" applyFont="1" applyFill="1" applyAlignment="1" applyProtection="1">
      <alignment vertical="center" wrapText="1"/>
    </xf>
    <xf numFmtId="0" fontId="12" fillId="3" borderId="0" xfId="0" applyFont="1" applyFill="1" applyAlignment="1" applyProtection="1">
      <alignment vertical="center" wrapText="1"/>
    </xf>
    <xf numFmtId="0" fontId="22" fillId="3" borderId="0" xfId="0" applyFont="1" applyFill="1" applyAlignment="1" applyProtection="1">
      <alignment vertical="center"/>
    </xf>
    <xf numFmtId="0" fontId="6" fillId="3" borderId="0" xfId="0" applyFont="1" applyFill="1" applyAlignment="1" applyProtection="1">
      <alignment vertical="center"/>
    </xf>
    <xf numFmtId="0" fontId="26" fillId="3" borderId="0" xfId="0" applyFont="1" applyFill="1" applyAlignment="1" applyProtection="1">
      <alignment vertical="center"/>
    </xf>
    <xf numFmtId="0" fontId="26" fillId="3" borderId="0" xfId="0" applyFont="1" applyFill="1" applyAlignment="1" applyProtection="1">
      <alignment horizontal="center" vertical="center"/>
    </xf>
    <xf numFmtId="0" fontId="9" fillId="5" borderId="16" xfId="0" applyFont="1" applyFill="1" applyBorder="1" applyAlignment="1" applyProtection="1">
      <alignment horizontal="center" vertical="center"/>
    </xf>
    <xf numFmtId="0" fontId="9" fillId="5" borderId="14" xfId="0" applyFont="1" applyFill="1" applyBorder="1" applyAlignment="1" applyProtection="1">
      <alignment horizontal="center" vertical="center" wrapText="1"/>
    </xf>
    <xf numFmtId="0" fontId="9" fillId="5" borderId="14" xfId="0" applyFont="1" applyFill="1" applyBorder="1" applyAlignment="1" applyProtection="1">
      <alignment horizontal="center" vertical="center" wrapText="1"/>
    </xf>
    <xf numFmtId="0" fontId="9" fillId="5" borderId="18" xfId="0" applyFont="1" applyFill="1" applyBorder="1" applyAlignment="1" applyProtection="1">
      <alignment horizontal="center" vertical="center" wrapText="1"/>
    </xf>
    <xf numFmtId="0" fontId="9" fillId="3" borderId="0" xfId="0" applyFont="1" applyFill="1" applyAlignment="1" applyProtection="1">
      <alignment horizontal="center" vertical="center" wrapText="1"/>
    </xf>
    <xf numFmtId="0" fontId="9" fillId="5" borderId="14" xfId="0" applyFont="1" applyFill="1" applyBorder="1" applyAlignment="1" applyProtection="1">
      <alignment horizontal="center" vertical="center"/>
    </xf>
    <xf numFmtId="0" fontId="9" fillId="5" borderId="21" xfId="0" applyFont="1" applyFill="1" applyBorder="1" applyAlignment="1" applyProtection="1">
      <alignment horizontal="center" vertical="center"/>
    </xf>
    <xf numFmtId="0" fontId="9" fillId="5" borderId="15" xfId="0" applyFont="1" applyFill="1" applyBorder="1" applyAlignment="1" applyProtection="1">
      <alignment horizontal="center" vertical="center" wrapText="1"/>
    </xf>
    <xf numFmtId="0" fontId="9" fillId="5" borderId="15" xfId="0" applyFont="1" applyFill="1" applyBorder="1" applyAlignment="1" applyProtection="1">
      <alignment horizontal="center" vertical="center" wrapText="1"/>
    </xf>
    <xf numFmtId="0" fontId="9" fillId="5" borderId="22" xfId="0" applyFont="1" applyFill="1" applyBorder="1" applyAlignment="1" applyProtection="1">
      <alignment horizontal="center" vertical="center" wrapText="1"/>
    </xf>
    <xf numFmtId="0" fontId="9" fillId="5" borderId="19" xfId="0" applyFont="1" applyFill="1" applyBorder="1" applyAlignment="1" applyProtection="1">
      <alignment horizontal="center" vertical="center"/>
    </xf>
    <xf numFmtId="0" fontId="9" fillId="5" borderId="1" xfId="0" applyFont="1" applyFill="1" applyBorder="1" applyAlignment="1" applyProtection="1">
      <alignment horizontal="center" vertical="center"/>
    </xf>
    <xf numFmtId="0" fontId="9" fillId="5" borderId="1" xfId="0" applyFont="1" applyFill="1" applyBorder="1" applyAlignment="1" applyProtection="1">
      <alignment horizontal="center" vertical="center" wrapText="1"/>
    </xf>
    <xf numFmtId="0" fontId="9" fillId="5" borderId="20" xfId="0" applyFont="1" applyFill="1" applyBorder="1" applyAlignment="1" applyProtection="1">
      <alignment horizontal="center" vertical="center" wrapText="1"/>
    </xf>
    <xf numFmtId="0" fontId="7" fillId="2" borderId="34" xfId="0" applyFont="1" applyFill="1" applyBorder="1" applyAlignment="1" applyProtection="1">
      <alignment horizontal="center" vertical="center"/>
    </xf>
    <xf numFmtId="0" fontId="7" fillId="3" borderId="24" xfId="0" applyFont="1" applyFill="1" applyBorder="1" applyAlignment="1" applyProtection="1">
      <alignment horizontal="center" vertical="center" wrapText="1"/>
    </xf>
    <xf numFmtId="165" fontId="12" fillId="3" borderId="1" xfId="0" applyNumberFormat="1" applyFont="1" applyFill="1" applyBorder="1" applyAlignment="1" applyProtection="1">
      <alignment horizontal="center" vertical="center"/>
    </xf>
    <xf numFmtId="165" fontId="12" fillId="3" borderId="20" xfId="0" applyNumberFormat="1" applyFont="1" applyFill="1" applyBorder="1" applyAlignment="1" applyProtection="1">
      <alignment horizontal="center" vertical="center"/>
    </xf>
    <xf numFmtId="165" fontId="12" fillId="3" borderId="0" xfId="0" applyNumberFormat="1" applyFont="1" applyFill="1" applyAlignment="1" applyProtection="1">
      <alignment horizontal="center" vertical="center"/>
    </xf>
    <xf numFmtId="0" fontId="7" fillId="2" borderId="19" xfId="0" applyFont="1" applyFill="1" applyBorder="1" applyAlignment="1" applyProtection="1">
      <alignment horizontal="center" vertical="center"/>
    </xf>
    <xf numFmtId="0" fontId="7" fillId="3" borderId="1" xfId="0" applyFont="1" applyFill="1" applyBorder="1" applyAlignment="1" applyProtection="1">
      <alignment vertical="center"/>
    </xf>
    <xf numFmtId="3" fontId="12" fillId="3" borderId="1" xfId="0" applyNumberFormat="1" applyFont="1" applyFill="1" applyBorder="1" applyAlignment="1" applyProtection="1">
      <alignment horizontal="center" vertical="center" wrapText="1"/>
    </xf>
    <xf numFmtId="3" fontId="12" fillId="3" borderId="20" xfId="0" applyNumberFormat="1" applyFont="1" applyFill="1" applyBorder="1" applyAlignment="1" applyProtection="1">
      <alignment horizontal="center" vertical="center" wrapText="1"/>
    </xf>
    <xf numFmtId="0" fontId="7" fillId="2" borderId="19" xfId="0" applyFont="1" applyFill="1" applyBorder="1" applyAlignment="1" applyProtection="1">
      <alignment horizontal="center" vertical="center"/>
    </xf>
    <xf numFmtId="0" fontId="7" fillId="3" borderId="1" xfId="0" applyFont="1" applyFill="1" applyBorder="1" applyAlignment="1" applyProtection="1">
      <alignment horizontal="center" vertical="center" wrapText="1"/>
    </xf>
    <xf numFmtId="0" fontId="7" fillId="2" borderId="21" xfId="0" applyFont="1" applyFill="1" applyBorder="1" applyAlignment="1" applyProtection="1">
      <alignment horizontal="center" vertical="center"/>
    </xf>
    <xf numFmtId="0" fontId="7" fillId="3" borderId="15" xfId="0" applyFont="1" applyFill="1" applyBorder="1" applyAlignment="1" applyProtection="1">
      <alignment vertical="center"/>
    </xf>
    <xf numFmtId="3" fontId="12" fillId="3" borderId="15" xfId="0" applyNumberFormat="1" applyFont="1" applyFill="1" applyBorder="1" applyAlignment="1" applyProtection="1">
      <alignment horizontal="center" vertical="center" wrapText="1"/>
    </xf>
    <xf numFmtId="3" fontId="12" fillId="3" borderId="22" xfId="0" applyNumberFormat="1" applyFont="1" applyFill="1" applyBorder="1" applyAlignment="1" applyProtection="1">
      <alignment horizontal="center" vertical="center" wrapText="1"/>
    </xf>
    <xf numFmtId="0" fontId="3" fillId="3" borderId="0" xfId="0" applyFont="1" applyFill="1" applyAlignment="1" applyProtection="1">
      <alignment horizontal="center" vertical="center" wrapText="1"/>
    </xf>
    <xf numFmtId="0" fontId="2" fillId="3" borderId="0" xfId="0" applyFont="1" applyFill="1" applyAlignment="1" applyProtection="1">
      <alignment horizontal="center" vertical="center" wrapText="1"/>
    </xf>
    <xf numFmtId="0" fontId="7" fillId="2" borderId="21" xfId="0" applyFont="1" applyFill="1" applyBorder="1" applyAlignment="1" applyProtection="1">
      <alignment horizontal="center" vertical="center"/>
    </xf>
    <xf numFmtId="0" fontId="7" fillId="3" borderId="15" xfId="0" applyFont="1" applyFill="1" applyBorder="1" applyAlignment="1" applyProtection="1">
      <alignment horizontal="center" vertical="center" wrapText="1"/>
    </xf>
    <xf numFmtId="165" fontId="12" fillId="3" borderId="15" xfId="0" applyNumberFormat="1" applyFont="1" applyFill="1" applyBorder="1" applyAlignment="1" applyProtection="1">
      <alignment horizontal="center" vertical="center"/>
    </xf>
    <xf numFmtId="165" fontId="12" fillId="3" borderId="22" xfId="0" applyNumberFormat="1" applyFont="1" applyFill="1" applyBorder="1" applyAlignment="1" applyProtection="1">
      <alignment horizontal="center" vertical="center"/>
    </xf>
    <xf numFmtId="0" fontId="11" fillId="3" borderId="0" xfId="0" applyFont="1" applyFill="1" applyAlignment="1" applyProtection="1">
      <alignment vertical="center"/>
    </xf>
    <xf numFmtId="0" fontId="11" fillId="3" borderId="30" xfId="0" applyFont="1" applyFill="1" applyBorder="1" applyAlignment="1" applyProtection="1">
      <alignment vertical="center"/>
    </xf>
    <xf numFmtId="0" fontId="3" fillId="3" borderId="30" xfId="0" applyFont="1" applyFill="1" applyBorder="1" applyAlignment="1" applyProtection="1">
      <alignment vertical="center" wrapText="1"/>
    </xf>
    <xf numFmtId="0" fontId="9" fillId="5" borderId="16" xfId="0" applyFont="1" applyFill="1" applyBorder="1" applyAlignment="1" applyProtection="1">
      <alignment horizontal="center" vertical="center" wrapText="1"/>
    </xf>
    <xf numFmtId="0" fontId="9" fillId="5" borderId="25" xfId="0" applyFont="1" applyFill="1" applyBorder="1" applyAlignment="1" applyProtection="1">
      <alignment horizontal="center" vertical="center"/>
    </xf>
    <xf numFmtId="0" fontId="9" fillId="5" borderId="17" xfId="0" applyFont="1" applyFill="1" applyBorder="1" applyAlignment="1" applyProtection="1">
      <alignment horizontal="center" vertical="center" wrapText="1"/>
    </xf>
    <xf numFmtId="0" fontId="9" fillId="5" borderId="18" xfId="0" applyFont="1" applyFill="1" applyBorder="1" applyAlignment="1" applyProtection="1">
      <alignment horizontal="center" vertical="center" wrapText="1"/>
    </xf>
    <xf numFmtId="0" fontId="9" fillId="8" borderId="59" xfId="0" applyFont="1" applyFill="1" applyBorder="1" applyAlignment="1" applyProtection="1">
      <alignment horizontal="center" vertical="center" wrapText="1"/>
    </xf>
    <xf numFmtId="0" fontId="9" fillId="8" borderId="18" xfId="0" applyFont="1" applyFill="1" applyBorder="1" applyAlignment="1" applyProtection="1">
      <alignment horizontal="center" vertical="center" wrapText="1"/>
    </xf>
    <xf numFmtId="0" fontId="9" fillId="5" borderId="44" xfId="0" applyFont="1" applyFill="1" applyBorder="1" applyAlignment="1" applyProtection="1">
      <alignment horizontal="center" vertical="center" wrapText="1"/>
    </xf>
    <xf numFmtId="0" fontId="9" fillId="3" borderId="0" xfId="0" applyFont="1" applyFill="1" applyAlignment="1" applyProtection="1">
      <alignment vertical="center" wrapText="1"/>
    </xf>
    <xf numFmtId="0" fontId="9" fillId="5" borderId="21" xfId="0" applyFont="1" applyFill="1" applyBorder="1" applyAlignment="1" applyProtection="1">
      <alignment horizontal="center" vertical="center" wrapText="1"/>
    </xf>
    <xf numFmtId="0" fontId="9" fillId="5" borderId="36" xfId="0" applyFont="1" applyFill="1" applyBorder="1" applyAlignment="1" applyProtection="1">
      <alignment horizontal="center" vertical="center"/>
    </xf>
    <xf numFmtId="0" fontId="9" fillId="5" borderId="29" xfId="0" applyFont="1" applyFill="1" applyBorder="1" applyAlignment="1" applyProtection="1">
      <alignment horizontal="center" vertical="center" wrapText="1"/>
    </xf>
    <xf numFmtId="0" fontId="9" fillId="5" borderId="21" xfId="0" applyFont="1" applyFill="1" applyBorder="1" applyAlignment="1" applyProtection="1">
      <alignment horizontal="center" vertical="center" wrapText="1"/>
    </xf>
    <xf numFmtId="0" fontId="9" fillId="5" borderId="61" xfId="0" applyFont="1" applyFill="1" applyBorder="1" applyAlignment="1" applyProtection="1">
      <alignment horizontal="center" vertical="center" wrapText="1"/>
    </xf>
    <xf numFmtId="0" fontId="9" fillId="5" borderId="29" xfId="0" applyFont="1" applyFill="1" applyBorder="1" applyAlignment="1" applyProtection="1">
      <alignment horizontal="center" vertical="center" wrapText="1"/>
    </xf>
    <xf numFmtId="0" fontId="9" fillId="5" borderId="22" xfId="0" applyFont="1" applyFill="1" applyBorder="1" applyAlignment="1" applyProtection="1">
      <alignment horizontal="center" vertical="center" wrapText="1"/>
    </xf>
    <xf numFmtId="0" fontId="9" fillId="5" borderId="45" xfId="0" applyFont="1" applyFill="1" applyBorder="1" applyAlignment="1" applyProtection="1">
      <alignment horizontal="center" vertical="center" wrapText="1"/>
    </xf>
    <xf numFmtId="0" fontId="2" fillId="3" borderId="0" xfId="0" applyFont="1" applyFill="1" applyAlignment="1" applyProtection="1">
      <alignment horizontal="center" vertical="center" wrapText="1"/>
    </xf>
    <xf numFmtId="0" fontId="12" fillId="2" borderId="16" xfId="0" applyFont="1" applyFill="1" applyBorder="1" applyAlignment="1" applyProtection="1">
      <alignment horizontal="center" vertical="center" wrapText="1"/>
    </xf>
    <xf numFmtId="164" fontId="0" fillId="3" borderId="25" xfId="0" applyNumberFormat="1" applyFill="1" applyBorder="1" applyAlignment="1" applyProtection="1">
      <alignment horizontal="center" vertical="center"/>
    </xf>
    <xf numFmtId="0" fontId="7" fillId="3" borderId="14" xfId="0" applyFont="1" applyFill="1" applyBorder="1" applyAlignment="1" applyProtection="1">
      <alignment vertical="center"/>
    </xf>
    <xf numFmtId="0" fontId="8" fillId="3" borderId="17" xfId="0" applyFont="1" applyFill="1" applyBorder="1" applyAlignment="1" applyProtection="1">
      <alignment horizontal="center" vertical="center"/>
    </xf>
    <xf numFmtId="1" fontId="12" fillId="0" borderId="16" xfId="0" applyNumberFormat="1" applyFont="1" applyBorder="1" applyAlignment="1" applyProtection="1">
      <alignment horizontal="center" vertical="center"/>
    </xf>
    <xf numFmtId="2" fontId="12" fillId="0" borderId="18" xfId="0" applyNumberFormat="1" applyFont="1" applyBorder="1" applyAlignment="1" applyProtection="1">
      <alignment horizontal="center" vertical="center"/>
    </xf>
    <xf numFmtId="2" fontId="12" fillId="3" borderId="0" xfId="0" applyNumberFormat="1" applyFont="1" applyFill="1" applyAlignment="1" applyProtection="1">
      <alignment horizontal="center" vertical="center"/>
    </xf>
    <xf numFmtId="1" fontId="12" fillId="0" borderId="59" xfId="0" applyNumberFormat="1" applyFont="1" applyBorder="1" applyAlignment="1" applyProtection="1">
      <alignment horizontal="center" vertical="center"/>
    </xf>
    <xf numFmtId="2" fontId="12" fillId="0" borderId="17" xfId="0" applyNumberFormat="1" applyFont="1" applyBorder="1" applyAlignment="1" applyProtection="1">
      <alignment horizontal="center" vertical="center"/>
    </xf>
    <xf numFmtId="164" fontId="0" fillId="3" borderId="26" xfId="0" applyNumberFormat="1" applyFill="1" applyBorder="1" applyAlignment="1" applyProtection="1">
      <alignment horizontal="center" vertical="center"/>
    </xf>
    <xf numFmtId="3" fontId="9" fillId="0" borderId="27" xfId="0" applyNumberFormat="1" applyFont="1" applyBorder="1" applyAlignment="1" applyProtection="1">
      <alignment horizontal="center" vertical="center"/>
    </xf>
    <xf numFmtId="2" fontId="12" fillId="0" borderId="57" xfId="0" applyNumberFormat="1" applyFont="1" applyBorder="1" applyAlignment="1" applyProtection="1">
      <alignment horizontal="center" vertical="center"/>
    </xf>
    <xf numFmtId="0" fontId="12" fillId="2" borderId="21" xfId="0" applyFont="1" applyFill="1" applyBorder="1" applyAlignment="1" applyProtection="1">
      <alignment horizontal="center" vertical="center" wrapText="1"/>
    </xf>
    <xf numFmtId="164" fontId="0" fillId="3" borderId="36" xfId="0" applyNumberFormat="1" applyFill="1" applyBorder="1" applyAlignment="1" applyProtection="1">
      <alignment horizontal="center" vertical="center"/>
    </xf>
    <xf numFmtId="0" fontId="8" fillId="3" borderId="29" xfId="0" applyFont="1" applyFill="1" applyBorder="1" applyAlignment="1" applyProtection="1">
      <alignment horizontal="center" vertical="center"/>
    </xf>
    <xf numFmtId="1" fontId="12" fillId="0" borderId="21" xfId="0" applyNumberFormat="1" applyFont="1" applyBorder="1" applyAlignment="1" applyProtection="1">
      <alignment horizontal="center" vertical="center"/>
    </xf>
    <xf numFmtId="2" fontId="12" fillId="0" borderId="22" xfId="0" applyNumberFormat="1" applyFont="1" applyBorder="1" applyAlignment="1" applyProtection="1">
      <alignment horizontal="center" vertical="center"/>
    </xf>
    <xf numFmtId="2" fontId="12" fillId="0" borderId="61" xfId="0" applyNumberFormat="1" applyFont="1" applyBorder="1" applyAlignment="1" applyProtection="1">
      <alignment horizontal="center" vertical="center"/>
    </xf>
    <xf numFmtId="2" fontId="12" fillId="0" borderId="29" xfId="0" applyNumberFormat="1" applyFont="1" applyBorder="1" applyAlignment="1" applyProtection="1">
      <alignment horizontal="center" vertical="center"/>
    </xf>
    <xf numFmtId="3" fontId="9" fillId="0" borderId="22" xfId="0" applyNumberFormat="1" applyFont="1" applyBorder="1" applyAlignment="1" applyProtection="1">
      <alignment horizontal="center" vertical="center"/>
    </xf>
    <xf numFmtId="2" fontId="12" fillId="0" borderId="45" xfId="0" applyNumberFormat="1" applyFont="1" applyBorder="1" applyAlignment="1" applyProtection="1">
      <alignment horizontal="center" vertical="center"/>
    </xf>
    <xf numFmtId="0" fontId="12" fillId="3" borderId="0" xfId="0" applyFont="1" applyFill="1" applyAlignment="1" applyProtection="1">
      <alignment horizontal="center" vertical="center" wrapText="1"/>
    </xf>
    <xf numFmtId="2" fontId="12" fillId="3" borderId="0" xfId="0" applyNumberFormat="1" applyFont="1" applyFill="1" applyAlignment="1" applyProtection="1">
      <alignment horizontal="center" vertical="center" wrapText="1"/>
    </xf>
    <xf numFmtId="2" fontId="12" fillId="3" borderId="0" xfId="0" applyNumberFormat="1" applyFont="1" applyFill="1" applyAlignment="1" applyProtection="1">
      <alignment horizontal="left" vertical="center"/>
    </xf>
    <xf numFmtId="1" fontId="3" fillId="3" borderId="0" xfId="0" applyNumberFormat="1" applyFont="1" applyFill="1" applyAlignment="1" applyProtection="1">
      <alignment horizontal="center" vertical="center" wrapText="1"/>
    </xf>
    <xf numFmtId="0" fontId="2" fillId="3" borderId="30" xfId="0" applyFont="1" applyFill="1" applyBorder="1" applyAlignment="1" applyProtection="1">
      <alignment horizontal="center" vertical="center" wrapText="1"/>
    </xf>
    <xf numFmtId="0" fontId="3" fillId="3" borderId="0" xfId="0" applyFont="1" applyFill="1" applyAlignment="1" applyProtection="1">
      <alignment vertical="center" wrapText="1"/>
    </xf>
    <xf numFmtId="0" fontId="9" fillId="8" borderId="14" xfId="0" applyFont="1" applyFill="1" applyBorder="1" applyAlignment="1" applyProtection="1">
      <alignment horizontal="center" vertical="center" wrapText="1"/>
    </xf>
    <xf numFmtId="0" fontId="9" fillId="5" borderId="32" xfId="0" applyFont="1" applyFill="1" applyBorder="1" applyAlignment="1" applyProtection="1">
      <alignment horizontal="center" vertical="center" wrapText="1"/>
    </xf>
    <xf numFmtId="169" fontId="0" fillId="3" borderId="26" xfId="0" applyNumberFormat="1" applyFill="1" applyBorder="1" applyAlignment="1" applyProtection="1">
      <alignment horizontal="center" vertical="center"/>
    </xf>
    <xf numFmtId="3" fontId="9" fillId="0" borderId="82" xfId="0" applyNumberFormat="1" applyFont="1" applyBorder="1" applyAlignment="1" applyProtection="1">
      <alignment horizontal="center" vertical="center"/>
    </xf>
    <xf numFmtId="164" fontId="12" fillId="0" borderId="34" xfId="0" applyNumberFormat="1" applyFont="1" applyBorder="1" applyAlignment="1" applyProtection="1">
      <alignment horizontal="center" vertical="center"/>
    </xf>
    <xf numFmtId="164" fontId="12" fillId="0" borderId="28" xfId="0" applyNumberFormat="1" applyFont="1" applyBorder="1" applyAlignment="1" applyProtection="1">
      <alignment horizontal="center" vertical="center"/>
    </xf>
    <xf numFmtId="164" fontId="12" fillId="0" borderId="0" xfId="0" applyNumberFormat="1" applyFont="1" applyAlignment="1" applyProtection="1">
      <alignment horizontal="center" vertical="center"/>
    </xf>
    <xf numFmtId="164" fontId="12" fillId="0" borderId="59" xfId="0" applyNumberFormat="1" applyFont="1" applyBorder="1" applyAlignment="1" applyProtection="1">
      <alignment horizontal="center" vertical="center"/>
    </xf>
    <xf numFmtId="164" fontId="12" fillId="0" borderId="6" xfId="0" applyNumberFormat="1" applyFont="1" applyBorder="1" applyAlignment="1" applyProtection="1">
      <alignment horizontal="center" vertical="center"/>
    </xf>
    <xf numFmtId="2" fontId="0" fillId="3" borderId="26" xfId="0" applyNumberFormat="1" applyFill="1" applyBorder="1" applyAlignment="1" applyProtection="1">
      <alignment horizontal="center" vertical="center"/>
    </xf>
    <xf numFmtId="169" fontId="0" fillId="3" borderId="36" xfId="0" applyNumberFormat="1" applyFill="1" applyBorder="1" applyAlignment="1" applyProtection="1">
      <alignment horizontal="center" vertical="center"/>
    </xf>
    <xf numFmtId="3" fontId="9" fillId="0" borderId="29" xfId="0" applyNumberFormat="1" applyFont="1" applyBorder="1" applyAlignment="1" applyProtection="1">
      <alignment horizontal="center" vertical="center"/>
    </xf>
    <xf numFmtId="164" fontId="12" fillId="0" borderId="21" xfId="0" applyNumberFormat="1" applyFont="1" applyBorder="1" applyAlignment="1" applyProtection="1">
      <alignment horizontal="center" vertical="center"/>
    </xf>
    <xf numFmtId="164" fontId="12" fillId="0" borderId="22" xfId="0" applyNumberFormat="1" applyFont="1" applyBorder="1" applyAlignment="1" applyProtection="1">
      <alignment horizontal="center" vertical="center"/>
    </xf>
    <xf numFmtId="164" fontId="12" fillId="0" borderId="61" xfId="0" applyNumberFormat="1" applyFont="1" applyBorder="1" applyAlignment="1" applyProtection="1">
      <alignment horizontal="center" vertical="center"/>
    </xf>
    <xf numFmtId="164" fontId="12" fillId="0" borderId="29" xfId="0" applyNumberFormat="1" applyFont="1" applyBorder="1" applyAlignment="1" applyProtection="1">
      <alignment horizontal="center" vertical="center"/>
    </xf>
    <xf numFmtId="2" fontId="0" fillId="3" borderId="36" xfId="0" applyNumberFormat="1" applyFill="1" applyBorder="1" applyAlignment="1" applyProtection="1">
      <alignment horizontal="center" vertical="center"/>
    </xf>
    <xf numFmtId="0" fontId="12" fillId="3" borderId="0" xfId="0" applyFont="1" applyFill="1" applyAlignment="1" applyProtection="1">
      <alignment vertical="center"/>
    </xf>
    <xf numFmtId="0" fontId="9" fillId="5" borderId="32" xfId="0" applyFont="1" applyFill="1" applyBorder="1" applyAlignment="1" applyProtection="1">
      <alignment horizontal="center" vertical="center" wrapText="1"/>
    </xf>
    <xf numFmtId="0" fontId="9" fillId="5" borderId="85" xfId="0" applyFont="1" applyFill="1" applyBorder="1" applyAlignment="1" applyProtection="1">
      <alignment horizontal="center" vertical="center" wrapText="1"/>
    </xf>
    <xf numFmtId="165" fontId="0" fillId="3" borderId="26" xfId="0" applyNumberFormat="1" applyFill="1" applyBorder="1" applyAlignment="1" applyProtection="1">
      <alignment horizontal="center" vertical="center"/>
    </xf>
    <xf numFmtId="2" fontId="12" fillId="0" borderId="16" xfId="0" applyNumberFormat="1" applyFont="1" applyBorder="1" applyAlignment="1" applyProtection="1">
      <alignment horizontal="center" vertical="center"/>
    </xf>
    <xf numFmtId="2" fontId="12" fillId="0" borderId="59" xfId="0" applyNumberFormat="1" applyFont="1" applyBorder="1" applyAlignment="1" applyProtection="1">
      <alignment horizontal="center" vertical="center"/>
    </xf>
    <xf numFmtId="2" fontId="12" fillId="0" borderId="6" xfId="0" applyNumberFormat="1" applyFont="1" applyBorder="1" applyAlignment="1" applyProtection="1">
      <alignment horizontal="center" vertical="center"/>
    </xf>
    <xf numFmtId="165" fontId="0" fillId="3" borderId="36" xfId="0" applyNumberFormat="1" applyFill="1" applyBorder="1" applyAlignment="1" applyProtection="1">
      <alignment horizontal="center" vertical="center"/>
    </xf>
    <xf numFmtId="2" fontId="12" fillId="0" borderId="21" xfId="0" applyNumberFormat="1" applyFont="1" applyBorder="1" applyAlignment="1" applyProtection="1">
      <alignment horizontal="center" vertical="center"/>
    </xf>
    <xf numFmtId="1" fontId="9" fillId="3" borderId="0" xfId="0" applyNumberFormat="1" applyFont="1" applyFill="1" applyAlignment="1" applyProtection="1">
      <alignment horizontal="center" vertical="center" wrapText="1"/>
    </xf>
    <xf numFmtId="0" fontId="9" fillId="5" borderId="50" xfId="0" applyFont="1" applyFill="1" applyBorder="1" applyAlignment="1" applyProtection="1">
      <alignment horizontal="center" vertical="center" wrapText="1"/>
    </xf>
    <xf numFmtId="0" fontId="9" fillId="5" borderId="51" xfId="0" applyFont="1" applyFill="1" applyBorder="1" applyAlignment="1" applyProtection="1">
      <alignment horizontal="center" vertical="center" wrapText="1"/>
    </xf>
    <xf numFmtId="0" fontId="9" fillId="5" borderId="35" xfId="0" applyFont="1" applyFill="1" applyBorder="1" applyAlignment="1" applyProtection="1">
      <alignment horizontal="center" vertical="center" wrapText="1"/>
    </xf>
    <xf numFmtId="0" fontId="8" fillId="5" borderId="39" xfId="0" applyFont="1" applyFill="1" applyBorder="1" applyAlignment="1" applyProtection="1">
      <alignment horizontal="center" wrapText="1"/>
    </xf>
    <xf numFmtId="0" fontId="8" fillId="5" borderId="40" xfId="0" applyFont="1" applyFill="1" applyBorder="1" applyAlignment="1" applyProtection="1">
      <alignment horizontal="center" vertical="center"/>
    </xf>
    <xf numFmtId="0" fontId="9" fillId="5" borderId="40" xfId="0" applyFont="1" applyFill="1" applyBorder="1" applyAlignment="1" applyProtection="1">
      <alignment horizontal="center" vertical="center" wrapText="1"/>
    </xf>
    <xf numFmtId="0" fontId="9" fillId="5" borderId="60" xfId="0" applyFont="1" applyFill="1" applyBorder="1" applyAlignment="1" applyProtection="1">
      <alignment horizontal="center" vertical="center" wrapText="1"/>
    </xf>
    <xf numFmtId="0" fontId="9" fillId="5" borderId="62" xfId="0" applyFont="1" applyFill="1" applyBorder="1" applyAlignment="1" applyProtection="1">
      <alignment horizontal="center" vertical="center" wrapText="1"/>
    </xf>
    <xf numFmtId="0" fontId="8" fillId="5" borderId="25" xfId="0" applyFont="1" applyFill="1" applyBorder="1" applyAlignment="1" applyProtection="1">
      <alignment horizontal="center" vertical="center" wrapText="1"/>
    </xf>
    <xf numFmtId="0" fontId="9" fillId="5" borderId="25" xfId="0" applyFont="1" applyFill="1" applyBorder="1" applyAlignment="1" applyProtection="1">
      <alignment vertical="center"/>
    </xf>
    <xf numFmtId="0" fontId="8" fillId="5" borderId="27" xfId="0" applyFont="1" applyFill="1" applyBorder="1" applyAlignment="1" applyProtection="1">
      <alignment horizontal="center" vertical="center"/>
    </xf>
    <xf numFmtId="0" fontId="9" fillId="5" borderId="46" xfId="0" applyFont="1" applyFill="1" applyBorder="1" applyAlignment="1" applyProtection="1">
      <alignment horizontal="center" vertical="center" wrapText="1"/>
    </xf>
    <xf numFmtId="166" fontId="0" fillId="3" borderId="26" xfId="0" applyNumberFormat="1" applyFill="1" applyBorder="1" applyAlignment="1" applyProtection="1">
      <alignment horizontal="center" vertical="center"/>
    </xf>
    <xf numFmtId="49" fontId="8" fillId="0" borderId="28" xfId="0" applyNumberFormat="1" applyFont="1" applyBorder="1" applyAlignment="1" applyProtection="1">
      <alignment horizontal="center" vertical="center" wrapText="1"/>
    </xf>
    <xf numFmtId="2" fontId="12" fillId="3" borderId="34" xfId="0" applyNumberFormat="1" applyFont="1" applyFill="1" applyBorder="1" applyAlignment="1" applyProtection="1">
      <alignment horizontal="center" vertical="center"/>
    </xf>
    <xf numFmtId="0" fontId="12" fillId="0" borderId="28" xfId="0" applyFont="1" applyBorder="1" applyAlignment="1" applyProtection="1">
      <alignment horizontal="center" vertical="center" wrapText="1"/>
    </xf>
    <xf numFmtId="2" fontId="12" fillId="3" borderId="9" xfId="0" applyNumberFormat="1" applyFont="1" applyFill="1" applyBorder="1" applyAlignment="1" applyProtection="1">
      <alignment horizontal="center" vertical="center"/>
    </xf>
    <xf numFmtId="0" fontId="12" fillId="0" borderId="6" xfId="0" applyFont="1" applyBorder="1" applyAlignment="1" applyProtection="1">
      <alignment horizontal="center" vertical="center" wrapText="1"/>
    </xf>
    <xf numFmtId="11" fontId="7" fillId="3" borderId="14" xfId="0" applyNumberFormat="1" applyFont="1" applyFill="1" applyBorder="1" applyAlignment="1" applyProtection="1">
      <alignment horizontal="center" vertical="center"/>
    </xf>
    <xf numFmtId="49" fontId="8" fillId="0" borderId="18" xfId="0" applyNumberFormat="1" applyFont="1" applyBorder="1" applyAlignment="1" applyProtection="1">
      <alignment horizontal="center" vertical="center" wrapText="1"/>
    </xf>
    <xf numFmtId="0" fontId="0" fillId="3" borderId="44" xfId="0" applyFill="1" applyBorder="1" applyAlignment="1" applyProtection="1">
      <alignment horizontal="center" vertical="center"/>
    </xf>
    <xf numFmtId="166" fontId="0" fillId="3" borderId="36" xfId="0" applyNumberFormat="1" applyFill="1" applyBorder="1" applyAlignment="1" applyProtection="1">
      <alignment horizontal="center" vertical="center"/>
    </xf>
    <xf numFmtId="49" fontId="8" fillId="0" borderId="22" xfId="0" applyNumberFormat="1" applyFont="1" applyBorder="1" applyAlignment="1" applyProtection="1">
      <alignment horizontal="center" vertical="center" wrapText="1"/>
    </xf>
    <xf numFmtId="167" fontId="12" fillId="3" borderId="21" xfId="0" applyNumberFormat="1" applyFont="1" applyFill="1" applyBorder="1" applyAlignment="1" applyProtection="1">
      <alignment horizontal="center" vertical="center"/>
    </xf>
    <xf numFmtId="0" fontId="12" fillId="0" borderId="22" xfId="0" applyFont="1" applyBorder="1" applyAlignment="1" applyProtection="1">
      <alignment horizontal="center" vertical="center" wrapText="1"/>
    </xf>
    <xf numFmtId="167" fontId="12" fillId="3" borderId="61" xfId="0" applyNumberFormat="1" applyFont="1" applyFill="1" applyBorder="1" applyAlignment="1" applyProtection="1">
      <alignment horizontal="center" vertical="center"/>
    </xf>
    <xf numFmtId="0" fontId="12" fillId="0" borderId="29" xfId="0" applyFont="1" applyBorder="1" applyAlignment="1" applyProtection="1">
      <alignment horizontal="center" vertical="center" wrapText="1"/>
    </xf>
    <xf numFmtId="11" fontId="7" fillId="3" borderId="15" xfId="0" applyNumberFormat="1" applyFont="1" applyFill="1" applyBorder="1" applyAlignment="1" applyProtection="1">
      <alignment horizontal="center" vertical="center"/>
    </xf>
    <xf numFmtId="49" fontId="8" fillId="0" borderId="22" xfId="0" applyNumberFormat="1" applyFont="1" applyBorder="1" applyAlignment="1" applyProtection="1">
      <alignment horizontal="center" vertical="center" wrapText="1"/>
    </xf>
    <xf numFmtId="0" fontId="0" fillId="3" borderId="45" xfId="0" applyFill="1" applyBorder="1" applyAlignment="1" applyProtection="1">
      <alignment horizontal="center" vertical="center"/>
    </xf>
    <xf numFmtId="0" fontId="7" fillId="3" borderId="0" xfId="0" applyFont="1" applyFill="1" applyAlignment="1" applyProtection="1">
      <alignment horizontal="center" vertical="center"/>
    </xf>
    <xf numFmtId="0" fontId="8" fillId="3" borderId="0" xfId="0" applyFont="1" applyFill="1" applyAlignment="1" applyProtection="1">
      <alignment horizontal="center" vertical="center" wrapText="1"/>
    </xf>
    <xf numFmtId="167" fontId="12" fillId="3" borderId="0" xfId="0" applyNumberFormat="1" applyFont="1" applyFill="1" applyAlignment="1" applyProtection="1">
      <alignment horizontal="center" vertical="center"/>
    </xf>
    <xf numFmtId="0" fontId="7" fillId="3" borderId="0" xfId="0" applyFont="1" applyFill="1" applyAlignment="1" applyProtection="1">
      <alignment vertical="center"/>
    </xf>
    <xf numFmtId="0" fontId="16" fillId="3" borderId="0" xfId="0" applyFont="1" applyFill="1" applyAlignment="1" applyProtection="1">
      <alignment horizontal="center" vertical="center"/>
    </xf>
    <xf numFmtId="0" fontId="14" fillId="3" borderId="0" xfId="0" applyFont="1" applyFill="1" applyAlignment="1" applyProtection="1">
      <alignment vertical="center" wrapText="1"/>
    </xf>
    <xf numFmtId="0" fontId="14" fillId="3" borderId="0" xfId="0" applyFont="1" applyFill="1" applyAlignment="1" applyProtection="1">
      <alignment vertical="center"/>
    </xf>
    <xf numFmtId="0" fontId="16" fillId="3" borderId="0" xfId="0" applyFont="1" applyFill="1" applyAlignment="1" applyProtection="1">
      <alignment vertical="center"/>
    </xf>
    <xf numFmtId="0" fontId="16" fillId="3" borderId="0" xfId="0" applyFont="1" applyFill="1" applyAlignment="1" applyProtection="1">
      <alignment vertical="center" wrapText="1"/>
    </xf>
    <xf numFmtId="2" fontId="0" fillId="3" borderId="0" xfId="0" applyNumberFormat="1" applyFill="1" applyAlignment="1" applyProtection="1">
      <alignment horizontal="center" vertical="center"/>
    </xf>
    <xf numFmtId="0" fontId="0" fillId="12" borderId="1" xfId="0" applyFill="1" applyBorder="1" applyAlignment="1" applyProtection="1">
      <alignment horizontal="center" vertical="center"/>
    </xf>
    <xf numFmtId="0" fontId="0" fillId="5" borderId="1" xfId="0" applyFill="1" applyBorder="1" applyAlignment="1" applyProtection="1">
      <alignment vertical="center"/>
    </xf>
    <xf numFmtId="11" fontId="0" fillId="3" borderId="1" xfId="0" applyNumberFormat="1" applyFill="1" applyBorder="1" applyAlignment="1" applyProtection="1">
      <alignment horizontal="center" vertical="center"/>
    </xf>
    <xf numFmtId="0" fontId="0" fillId="3" borderId="1" xfId="0" applyFill="1" applyBorder="1" applyAlignment="1" applyProtection="1">
      <alignment horizontal="center" vertical="center"/>
    </xf>
    <xf numFmtId="0" fontId="20" fillId="3" borderId="0" xfId="0" applyFont="1" applyFill="1" applyAlignment="1" applyProtection="1">
      <alignment horizontal="center"/>
    </xf>
    <xf numFmtId="0" fontId="0" fillId="3" borderId="0" xfId="0" applyFill="1" applyProtection="1"/>
    <xf numFmtId="0" fontId="61" fillId="3" borderId="0" xfId="0" applyFont="1" applyFill="1" applyProtection="1"/>
    <xf numFmtId="0" fontId="45" fillId="3" borderId="0" xfId="0" applyFont="1" applyFill="1" applyProtection="1"/>
    <xf numFmtId="0" fontId="52" fillId="3" borderId="0" xfId="0" applyFont="1" applyFill="1" applyProtection="1"/>
    <xf numFmtId="0" fontId="44" fillId="3" borderId="50" xfId="0" applyFont="1" applyFill="1" applyBorder="1" applyAlignment="1" applyProtection="1">
      <alignment horizontal="center"/>
    </xf>
    <xf numFmtId="0" fontId="44" fillId="3" borderId="63" xfId="0" applyFont="1" applyFill="1" applyBorder="1" applyAlignment="1" applyProtection="1">
      <alignment horizontal="center"/>
    </xf>
    <xf numFmtId="0" fontId="44" fillId="3" borderId="51" xfId="0" applyFont="1" applyFill="1" applyBorder="1" applyAlignment="1" applyProtection="1">
      <alignment horizontal="center"/>
    </xf>
    <xf numFmtId="0" fontId="0" fillId="3" borderId="0" xfId="0" applyFill="1" applyAlignment="1" applyProtection="1">
      <alignment wrapText="1"/>
    </xf>
    <xf numFmtId="1" fontId="45" fillId="11" borderId="79" xfId="0" applyNumberFormat="1" applyFont="1" applyFill="1" applyBorder="1" applyAlignment="1" applyProtection="1">
      <alignment horizontal="center"/>
    </xf>
    <xf numFmtId="11" fontId="45" fillId="11" borderId="79" xfId="0" applyNumberFormat="1" applyFont="1" applyFill="1" applyBorder="1" applyAlignment="1" applyProtection="1">
      <alignment horizontal="center"/>
    </xf>
    <xf numFmtId="0" fontId="44" fillId="3" borderId="63" xfId="0" applyFont="1" applyFill="1" applyBorder="1" applyAlignment="1" applyProtection="1">
      <alignment horizontal="center"/>
    </xf>
    <xf numFmtId="0" fontId="44" fillId="3" borderId="51" xfId="0" applyFont="1" applyFill="1" applyBorder="1" applyAlignment="1" applyProtection="1">
      <alignment horizontal="center"/>
    </xf>
    <xf numFmtId="0" fontId="45" fillId="11" borderId="79" xfId="0" applyFont="1" applyFill="1" applyBorder="1" applyAlignment="1" applyProtection="1">
      <alignment horizontal="center"/>
    </xf>
    <xf numFmtId="3" fontId="45" fillId="11" borderId="79" xfId="0" applyNumberFormat="1" applyFont="1" applyFill="1" applyBorder="1" applyAlignment="1" applyProtection="1">
      <alignment horizontal="center"/>
    </xf>
    <xf numFmtId="0" fontId="1" fillId="3" borderId="50" xfId="0" applyFont="1" applyFill="1" applyBorder="1" applyAlignment="1" applyProtection="1">
      <alignment horizontal="right"/>
    </xf>
    <xf numFmtId="0" fontId="0" fillId="18" borderId="63" xfId="0" applyFill="1" applyBorder="1" applyAlignment="1" applyProtection="1">
      <alignment horizontal="center"/>
    </xf>
    <xf numFmtId="0" fontId="46" fillId="3" borderId="0" xfId="0" applyFont="1" applyFill="1" applyAlignment="1" applyProtection="1">
      <alignment vertical="center"/>
    </xf>
    <xf numFmtId="0" fontId="1" fillId="3" borderId="55" xfId="0" applyFont="1" applyFill="1" applyBorder="1" applyAlignment="1" applyProtection="1">
      <alignment horizontal="right"/>
    </xf>
    <xf numFmtId="0" fontId="61" fillId="9" borderId="47" xfId="0" applyFont="1" applyFill="1" applyBorder="1" applyAlignment="1" applyProtection="1">
      <alignment horizontal="center" vertical="center" wrapText="1"/>
    </xf>
    <xf numFmtId="0" fontId="47" fillId="9" borderId="47" xfId="0" applyFont="1" applyFill="1" applyBorder="1" applyAlignment="1" applyProtection="1">
      <alignment horizontal="center" vertical="center" wrapText="1"/>
    </xf>
    <xf numFmtId="0" fontId="47" fillId="19" borderId="47" xfId="0" applyFont="1" applyFill="1" applyBorder="1" applyAlignment="1" applyProtection="1">
      <alignment horizontal="center" vertical="center" wrapText="1"/>
    </xf>
    <xf numFmtId="0" fontId="48" fillId="19" borderId="47" xfId="0" applyFont="1" applyFill="1" applyBorder="1" applyAlignment="1" applyProtection="1">
      <alignment horizontal="center" vertical="center" wrapText="1"/>
    </xf>
    <xf numFmtId="0" fontId="48" fillId="19" borderId="50" xfId="0" applyFont="1" applyFill="1" applyBorder="1" applyAlignment="1" applyProtection="1">
      <alignment horizontal="center" vertical="center" wrapText="1"/>
    </xf>
    <xf numFmtId="0" fontId="48" fillId="19" borderId="63" xfId="0" applyFont="1" applyFill="1" applyBorder="1" applyAlignment="1" applyProtection="1">
      <alignment horizontal="center" vertical="center" wrapText="1"/>
    </xf>
    <xf numFmtId="0" fontId="48" fillId="19" borderId="51" xfId="0" applyFont="1" applyFill="1" applyBorder="1" applyAlignment="1" applyProtection="1">
      <alignment horizontal="center" vertical="center" wrapText="1"/>
    </xf>
    <xf numFmtId="0" fontId="1" fillId="18" borderId="50" xfId="0" applyFont="1" applyFill="1" applyBorder="1" applyAlignment="1" applyProtection="1">
      <alignment horizontal="center"/>
    </xf>
    <xf numFmtId="0" fontId="1" fillId="18" borderId="63" xfId="0" applyFont="1" applyFill="1" applyBorder="1" applyAlignment="1" applyProtection="1">
      <alignment horizontal="center"/>
    </xf>
    <xf numFmtId="0" fontId="1" fillId="18" borderId="51" xfId="0" applyFont="1" applyFill="1" applyBorder="1" applyAlignment="1" applyProtection="1">
      <alignment horizontal="center"/>
    </xf>
    <xf numFmtId="0" fontId="1" fillId="3" borderId="0" xfId="0" applyFont="1" applyFill="1" applyAlignment="1" applyProtection="1">
      <alignment wrapText="1"/>
    </xf>
    <xf numFmtId="0" fontId="61" fillId="9" borderId="52" xfId="0" applyFont="1" applyFill="1" applyBorder="1" applyAlignment="1" applyProtection="1">
      <alignment horizontal="center" vertical="center" wrapText="1"/>
    </xf>
    <xf numFmtId="0" fontId="47" fillId="9" borderId="52" xfId="0" applyFont="1" applyFill="1" applyBorder="1" applyAlignment="1" applyProtection="1">
      <alignment horizontal="center" vertical="center" wrapText="1"/>
    </xf>
    <xf numFmtId="0" fontId="47" fillId="19" borderId="52" xfId="0" applyFont="1" applyFill="1" applyBorder="1" applyAlignment="1" applyProtection="1">
      <alignment horizontal="center" vertical="center" wrapText="1"/>
    </xf>
    <xf numFmtId="0" fontId="48" fillId="19" borderId="52" xfId="0" applyFont="1" applyFill="1" applyBorder="1" applyAlignment="1" applyProtection="1">
      <alignment horizontal="center" vertical="center" wrapText="1"/>
    </xf>
    <xf numFmtId="0" fontId="48" fillId="19" borderId="57" xfId="0" applyFont="1" applyFill="1" applyBorder="1" applyAlignment="1" applyProtection="1">
      <alignment horizontal="center" vertical="center" wrapText="1"/>
    </xf>
    <xf numFmtId="0" fontId="48" fillId="19" borderId="76" xfId="0" applyFont="1" applyFill="1" applyBorder="1" applyAlignment="1" applyProtection="1">
      <alignment horizontal="center" vertical="center" wrapText="1"/>
    </xf>
    <xf numFmtId="0" fontId="48" fillId="19" borderId="52" xfId="0" applyFont="1" applyFill="1" applyBorder="1" applyAlignment="1" applyProtection="1">
      <alignment horizontal="center" vertical="center" wrapText="1"/>
    </xf>
    <xf numFmtId="0" fontId="48" fillId="19" borderId="33" xfId="0" applyFont="1" applyFill="1" applyBorder="1" applyAlignment="1" applyProtection="1">
      <alignment horizontal="center" vertical="center" wrapText="1"/>
    </xf>
    <xf numFmtId="0" fontId="48" fillId="19" borderId="25" xfId="0" applyFont="1" applyFill="1" applyBorder="1" applyAlignment="1" applyProtection="1">
      <alignment horizontal="center" vertical="center" wrapText="1"/>
    </xf>
    <xf numFmtId="0" fontId="48" fillId="19" borderId="27" xfId="0" applyFont="1" applyFill="1" applyBorder="1" applyAlignment="1" applyProtection="1">
      <alignment horizontal="center" vertical="center" wrapText="1"/>
    </xf>
    <xf numFmtId="0" fontId="52" fillId="20" borderId="79" xfId="0" applyFont="1" applyFill="1" applyBorder="1" applyAlignment="1" applyProtection="1">
      <alignment horizontal="center"/>
    </xf>
    <xf numFmtId="0" fontId="50" fillId="0" borderId="79" xfId="0" applyFont="1" applyBorder="1" applyAlignment="1" applyProtection="1">
      <alignment horizontal="center"/>
    </xf>
    <xf numFmtId="0" fontId="50" fillId="3" borderId="47" xfId="0" applyFont="1" applyFill="1" applyBorder="1" applyAlignment="1" applyProtection="1">
      <alignment horizontal="center" vertical="top" wrapText="1"/>
    </xf>
    <xf numFmtId="0" fontId="53" fillId="0" borderId="47" xfId="0" applyFont="1" applyBorder="1" applyAlignment="1" applyProtection="1">
      <alignment horizontal="center" vertical="center" wrapText="1"/>
    </xf>
    <xf numFmtId="0" fontId="50" fillId="3" borderId="47" xfId="0" applyFont="1" applyFill="1" applyBorder="1" applyAlignment="1" applyProtection="1">
      <alignment horizontal="center" vertical="center" wrapText="1"/>
    </xf>
    <xf numFmtId="0" fontId="50" fillId="0" borderId="47" xfId="0" applyFont="1" applyBorder="1" applyAlignment="1" applyProtection="1">
      <alignment horizontal="center" vertical="center" wrapText="1"/>
    </xf>
    <xf numFmtId="0" fontId="50" fillId="0" borderId="56" xfId="0" applyFont="1" applyBorder="1" applyAlignment="1" applyProtection="1">
      <alignment horizontal="center" vertical="center" wrapText="1"/>
    </xf>
    <xf numFmtId="2" fontId="50" fillId="0" borderId="47" xfId="0" applyNumberFormat="1" applyFont="1" applyBorder="1" applyAlignment="1" applyProtection="1">
      <alignment horizontal="center" vertical="center" wrapText="1"/>
    </xf>
    <xf numFmtId="11" fontId="51" fillId="0" borderId="47" xfId="0" applyNumberFormat="1" applyFont="1" applyBorder="1" applyAlignment="1" applyProtection="1">
      <alignment horizontal="center" vertical="center" wrapText="1"/>
    </xf>
    <xf numFmtId="2" fontId="50" fillId="3" borderId="37" xfId="0" applyNumberFormat="1" applyFont="1" applyFill="1" applyBorder="1" applyAlignment="1" applyProtection="1">
      <alignment horizontal="center" vertical="center" wrapText="1"/>
    </xf>
    <xf numFmtId="11" fontId="50" fillId="3" borderId="37" xfId="0" applyNumberFormat="1" applyFont="1" applyFill="1" applyBorder="1" applyAlignment="1" applyProtection="1">
      <alignment horizontal="center" vertical="center" wrapText="1"/>
    </xf>
    <xf numFmtId="0" fontId="0" fillId="3" borderId="33" xfId="0" applyFill="1" applyBorder="1" applyAlignment="1" applyProtection="1">
      <alignment horizontal="center" vertical="center"/>
    </xf>
    <xf numFmtId="0" fontId="0" fillId="3" borderId="25" xfId="0" applyFill="1" applyBorder="1" applyAlignment="1" applyProtection="1">
      <alignment horizontal="center" vertical="center"/>
    </xf>
    <xf numFmtId="0" fontId="0" fillId="3" borderId="27" xfId="0" applyFill="1" applyBorder="1" applyAlignment="1" applyProtection="1">
      <alignment horizontal="center" vertical="center"/>
    </xf>
    <xf numFmtId="0" fontId="0" fillId="3" borderId="79" xfId="0" applyFill="1" applyBorder="1" applyProtection="1"/>
    <xf numFmtId="0" fontId="0" fillId="3" borderId="79" xfId="0" applyFill="1" applyBorder="1" applyAlignment="1" applyProtection="1">
      <alignment horizontal="center"/>
    </xf>
    <xf numFmtId="2" fontId="0" fillId="3" borderId="79" xfId="0" applyNumberFormat="1" applyFill="1" applyBorder="1" applyAlignment="1" applyProtection="1">
      <alignment horizontal="center"/>
    </xf>
    <xf numFmtId="166" fontId="0" fillId="3" borderId="79" xfId="0" applyNumberFormat="1" applyFill="1" applyBorder="1" applyAlignment="1" applyProtection="1">
      <alignment horizontal="center"/>
    </xf>
    <xf numFmtId="0" fontId="50" fillId="3" borderId="57" xfId="0" applyFont="1" applyFill="1" applyBorder="1" applyAlignment="1" applyProtection="1">
      <alignment horizontal="center" vertical="top" wrapText="1"/>
    </xf>
    <xf numFmtId="0" fontId="53" fillId="0" borderId="57" xfId="0" applyFont="1" applyBorder="1" applyAlignment="1" applyProtection="1">
      <alignment horizontal="center" vertical="center" wrapText="1"/>
    </xf>
    <xf numFmtId="0" fontId="50" fillId="3" borderId="57" xfId="0" applyFont="1" applyFill="1" applyBorder="1" applyAlignment="1" applyProtection="1">
      <alignment horizontal="center" vertical="center" wrapText="1"/>
    </xf>
    <xf numFmtId="0" fontId="50" fillId="0" borderId="57" xfId="0" applyFont="1" applyBorder="1" applyAlignment="1" applyProtection="1">
      <alignment horizontal="center" vertical="center" wrapText="1"/>
    </xf>
    <xf numFmtId="0" fontId="50" fillId="0" borderId="76" xfId="0" applyFont="1" applyBorder="1" applyAlignment="1" applyProtection="1">
      <alignment horizontal="center" vertical="center" wrapText="1"/>
    </xf>
    <xf numFmtId="2" fontId="50" fillId="0" borderId="52" xfId="0" applyNumberFormat="1" applyFont="1" applyBorder="1" applyAlignment="1" applyProtection="1">
      <alignment horizontal="center" vertical="center" wrapText="1"/>
    </xf>
    <xf numFmtId="11" fontId="51" fillId="0" borderId="52" xfId="0" applyNumberFormat="1" applyFont="1" applyBorder="1" applyAlignment="1" applyProtection="1">
      <alignment horizontal="center" vertical="center" wrapText="1"/>
    </xf>
    <xf numFmtId="0" fontId="50" fillId="3" borderId="76" xfId="0" applyFont="1" applyFill="1" applyBorder="1" applyAlignment="1" applyProtection="1">
      <alignment horizontal="center" vertical="center" wrapText="1"/>
    </xf>
    <xf numFmtId="0" fontId="0" fillId="3" borderId="71" xfId="0" applyFill="1" applyBorder="1" applyAlignment="1" applyProtection="1">
      <alignment horizontal="center" vertical="center"/>
    </xf>
    <xf numFmtId="0" fontId="0" fillId="3" borderId="26" xfId="0" applyFill="1" applyBorder="1" applyAlignment="1" applyProtection="1">
      <alignment horizontal="center" vertical="center"/>
    </xf>
    <xf numFmtId="0" fontId="0" fillId="3" borderId="37" xfId="0" applyFill="1" applyBorder="1" applyAlignment="1" applyProtection="1">
      <alignment horizontal="center" vertical="center"/>
    </xf>
    <xf numFmtId="0" fontId="0" fillId="3" borderId="32" xfId="0" applyFill="1" applyBorder="1" applyAlignment="1" applyProtection="1">
      <alignment horizontal="center" vertical="center"/>
    </xf>
    <xf numFmtId="0" fontId="0" fillId="3" borderId="31" xfId="0" applyFill="1" applyBorder="1" applyAlignment="1" applyProtection="1">
      <alignment horizontal="center" vertical="center"/>
    </xf>
    <xf numFmtId="0" fontId="0" fillId="3" borderId="85" xfId="0" applyFill="1" applyBorder="1" applyAlignment="1" applyProtection="1">
      <alignment horizontal="center" vertical="center"/>
    </xf>
    <xf numFmtId="0" fontId="0" fillId="3" borderId="55" xfId="0" applyFill="1" applyBorder="1" applyAlignment="1" applyProtection="1">
      <alignment horizontal="left"/>
    </xf>
    <xf numFmtId="0" fontId="0" fillId="3" borderId="58" xfId="0" applyFill="1" applyBorder="1" applyAlignment="1" applyProtection="1">
      <alignment horizontal="left"/>
    </xf>
    <xf numFmtId="0" fontId="0" fillId="3" borderId="56" xfId="0" applyFill="1" applyBorder="1" applyAlignment="1" applyProtection="1">
      <alignment horizontal="left"/>
    </xf>
    <xf numFmtId="0" fontId="50" fillId="0" borderId="94" xfId="0" applyFont="1" applyBorder="1" applyAlignment="1" applyProtection="1">
      <alignment horizontal="center" vertical="center" wrapText="1"/>
    </xf>
    <xf numFmtId="0" fontId="50" fillId="0" borderId="95" xfId="0" applyFont="1" applyBorder="1" applyAlignment="1" applyProtection="1">
      <alignment horizontal="center" vertical="center" wrapText="1"/>
    </xf>
    <xf numFmtId="0" fontId="50" fillId="3" borderId="95" xfId="0" applyFont="1" applyFill="1" applyBorder="1" applyAlignment="1" applyProtection="1">
      <alignment horizontal="center" vertical="center" wrapText="1"/>
    </xf>
    <xf numFmtId="0" fontId="0" fillId="3" borderId="80" xfId="0" applyFill="1" applyBorder="1" applyAlignment="1" applyProtection="1">
      <alignment horizontal="center" vertical="center"/>
    </xf>
    <xf numFmtId="0" fontId="0" fillId="3" borderId="24" xfId="0" applyFill="1" applyBorder="1" applyAlignment="1" applyProtection="1">
      <alignment horizontal="center" vertical="center"/>
    </xf>
    <xf numFmtId="0" fontId="0" fillId="3" borderId="74" xfId="0" applyFill="1" applyBorder="1" applyAlignment="1" applyProtection="1">
      <alignment horizontal="center" vertical="center"/>
    </xf>
    <xf numFmtId="0" fontId="0" fillId="3" borderId="71" xfId="0" applyFill="1" applyBorder="1" applyAlignment="1" applyProtection="1">
      <alignment horizontal="left"/>
    </xf>
    <xf numFmtId="0" fontId="0" fillId="3" borderId="0" xfId="0" applyFill="1" applyAlignment="1" applyProtection="1">
      <alignment horizontal="left"/>
    </xf>
    <xf numFmtId="0" fontId="0" fillId="3" borderId="37" xfId="0" applyFill="1" applyBorder="1" applyAlignment="1" applyProtection="1">
      <alignment horizontal="left"/>
    </xf>
    <xf numFmtId="0" fontId="50" fillId="0" borderId="96" xfId="0" applyFont="1" applyBorder="1" applyAlignment="1" applyProtection="1">
      <alignment horizontal="center" vertical="center" wrapText="1"/>
    </xf>
    <xf numFmtId="0" fontId="50" fillId="3" borderId="37" xfId="0" applyFont="1" applyFill="1" applyBorder="1" applyAlignment="1" applyProtection="1">
      <alignment horizontal="center" vertical="center" wrapText="1"/>
    </xf>
    <xf numFmtId="0" fontId="0" fillId="3" borderId="81" xfId="0" applyFill="1" applyBorder="1" applyAlignment="1" applyProtection="1">
      <alignment horizontal="left"/>
    </xf>
    <xf numFmtId="0" fontId="0" fillId="3" borderId="30" xfId="0" applyFill="1" applyBorder="1" applyAlignment="1" applyProtection="1">
      <alignment horizontal="left"/>
    </xf>
    <xf numFmtId="0" fontId="0" fillId="3" borderId="76" xfId="0" applyFill="1" applyBorder="1" applyAlignment="1" applyProtection="1">
      <alignment horizontal="left"/>
    </xf>
    <xf numFmtId="0" fontId="50" fillId="0" borderId="97" xfId="0" applyFont="1" applyBorder="1" applyAlignment="1" applyProtection="1">
      <alignment horizontal="center" vertical="center" wrapText="1"/>
    </xf>
    <xf numFmtId="11" fontId="51" fillId="3" borderId="37" xfId="0" applyNumberFormat="1" applyFont="1" applyFill="1" applyBorder="1" applyAlignment="1" applyProtection="1">
      <alignment horizontal="center" vertical="center" wrapText="1"/>
    </xf>
    <xf numFmtId="0" fontId="0" fillId="3" borderId="0" xfId="0" quotePrefix="1" applyFill="1" applyProtection="1"/>
    <xf numFmtId="2" fontId="50" fillId="3" borderId="47" xfId="0" applyNumberFormat="1" applyFont="1" applyFill="1" applyBorder="1" applyAlignment="1" applyProtection="1">
      <alignment horizontal="center" vertical="center" wrapText="1"/>
    </xf>
    <xf numFmtId="0" fontId="51" fillId="3" borderId="56" xfId="0" applyFont="1" applyFill="1" applyBorder="1" applyAlignment="1" applyProtection="1">
      <alignment horizontal="center" vertical="center" wrapText="1"/>
    </xf>
    <xf numFmtId="0" fontId="51" fillId="3" borderId="95" xfId="0" applyFont="1" applyFill="1" applyBorder="1" applyAlignment="1" applyProtection="1">
      <alignment horizontal="center" vertical="center" wrapText="1"/>
    </xf>
    <xf numFmtId="0" fontId="50" fillId="3" borderId="79" xfId="0" applyFont="1" applyFill="1" applyBorder="1" applyAlignment="1" applyProtection="1">
      <alignment horizontal="center" vertical="center" wrapText="1"/>
    </xf>
    <xf numFmtId="0" fontId="0" fillId="3" borderId="81" xfId="0" applyFill="1" applyBorder="1" applyAlignment="1" applyProtection="1">
      <alignment horizontal="center" vertical="center"/>
    </xf>
    <xf numFmtId="0" fontId="0" fillId="3" borderId="36" xfId="0" applyFill="1" applyBorder="1" applyAlignment="1" applyProtection="1">
      <alignment horizontal="center" vertical="center"/>
    </xf>
    <xf numFmtId="0" fontId="0" fillId="3" borderId="76" xfId="0" applyFill="1" applyBorder="1" applyAlignment="1" applyProtection="1">
      <alignment horizontal="center" vertical="center"/>
    </xf>
    <xf numFmtId="0" fontId="50" fillId="3" borderId="79" xfId="0" applyFont="1" applyFill="1" applyBorder="1" applyAlignment="1" applyProtection="1">
      <alignment horizontal="center"/>
    </xf>
    <xf numFmtId="0" fontId="53" fillId="3" borderId="47" xfId="0" applyFont="1" applyFill="1" applyBorder="1" applyAlignment="1" applyProtection="1">
      <alignment horizontal="center" vertical="center" wrapText="1"/>
    </xf>
    <xf numFmtId="0" fontId="50" fillId="3" borderId="96" xfId="0" applyFont="1" applyFill="1" applyBorder="1" applyAlignment="1" applyProtection="1">
      <alignment horizontal="center" vertical="center" wrapText="1"/>
    </xf>
    <xf numFmtId="0" fontId="50" fillId="3" borderId="97" xfId="0" applyFont="1" applyFill="1" applyBorder="1" applyAlignment="1" applyProtection="1">
      <alignment horizontal="center" vertical="center" wrapText="1"/>
    </xf>
    <xf numFmtId="2" fontId="50" fillId="3" borderId="47" xfId="0" applyNumberFormat="1" applyFont="1" applyFill="1" applyBorder="1" applyAlignment="1" applyProtection="1">
      <alignment horizontal="center" vertical="center" wrapText="1"/>
    </xf>
    <xf numFmtId="11" fontId="51" fillId="3" borderId="47" xfId="0" applyNumberFormat="1" applyFont="1" applyFill="1" applyBorder="1" applyAlignment="1" applyProtection="1">
      <alignment horizontal="center" vertical="center" wrapText="1"/>
    </xf>
    <xf numFmtId="0" fontId="50" fillId="0" borderId="37" xfId="0" applyFont="1" applyBorder="1" applyAlignment="1" applyProtection="1">
      <alignment horizontal="center" vertical="center" wrapText="1"/>
    </xf>
    <xf numFmtId="0" fontId="53" fillId="3" borderId="57" xfId="0" applyFont="1" applyFill="1" applyBorder="1" applyAlignment="1" applyProtection="1">
      <alignment horizontal="center" vertical="center" wrapText="1"/>
    </xf>
    <xf numFmtId="0" fontId="50" fillId="3" borderId="37" xfId="0" applyFont="1" applyFill="1" applyBorder="1" applyAlignment="1" applyProtection="1">
      <alignment horizontal="center" vertical="center" wrapText="1"/>
    </xf>
    <xf numFmtId="2" fontId="50" fillId="3" borderId="52" xfId="0" applyNumberFormat="1" applyFont="1" applyFill="1" applyBorder="1" applyAlignment="1" applyProtection="1">
      <alignment horizontal="center" vertical="center" wrapText="1"/>
    </xf>
    <xf numFmtId="11" fontId="51" fillId="3" borderId="52" xfId="0" applyNumberFormat="1" applyFont="1" applyFill="1" applyBorder="1" applyAlignment="1" applyProtection="1">
      <alignment horizontal="center" vertical="center" wrapText="1"/>
    </xf>
    <xf numFmtId="0" fontId="50" fillId="3" borderId="56" xfId="0" applyFont="1" applyFill="1" applyBorder="1" applyAlignment="1" applyProtection="1">
      <alignment horizontal="center" vertical="center" wrapText="1"/>
    </xf>
    <xf numFmtId="0" fontId="53" fillId="3" borderId="52" xfId="0" applyFont="1" applyFill="1" applyBorder="1" applyAlignment="1" applyProtection="1">
      <alignment horizontal="center" vertical="center" wrapText="1"/>
    </xf>
    <xf numFmtId="0" fontId="53" fillId="0" borderId="79" xfId="0" applyFont="1" applyBorder="1" applyAlignment="1" applyProtection="1">
      <alignment horizontal="center"/>
    </xf>
    <xf numFmtId="0" fontId="53" fillId="0" borderId="112" xfId="0" applyFont="1" applyBorder="1" applyAlignment="1" applyProtection="1">
      <alignment horizontal="center" vertical="center" wrapText="1"/>
    </xf>
    <xf numFmtId="2" fontId="53" fillId="0" borderId="47" xfId="0" applyNumberFormat="1" applyFont="1" applyBorder="1" applyAlignment="1" applyProtection="1">
      <alignment horizontal="center" vertical="center" wrapText="1"/>
    </xf>
    <xf numFmtId="11" fontId="53" fillId="0" borderId="47" xfId="0" applyNumberFormat="1" applyFont="1" applyBorder="1" applyAlignment="1" applyProtection="1">
      <alignment horizontal="center" vertical="center" wrapText="1"/>
    </xf>
    <xf numFmtId="0" fontId="53" fillId="0" borderId="52" xfId="0" applyFont="1" applyBorder="1" applyAlignment="1" applyProtection="1">
      <alignment horizontal="center" vertical="center" wrapText="1"/>
    </xf>
    <xf numFmtId="2" fontId="53" fillId="0" borderId="52" xfId="0" applyNumberFormat="1" applyFont="1" applyBorder="1" applyAlignment="1" applyProtection="1">
      <alignment horizontal="center" vertical="center" wrapText="1"/>
    </xf>
    <xf numFmtId="11" fontId="53" fillId="0" borderId="52" xfId="0" applyNumberFormat="1" applyFont="1" applyBorder="1" applyAlignment="1" applyProtection="1">
      <alignment horizontal="center" vertical="center" wrapText="1"/>
    </xf>
    <xf numFmtId="0" fontId="50" fillId="3" borderId="52" xfId="0" applyFont="1" applyFill="1" applyBorder="1" applyAlignment="1" applyProtection="1">
      <alignment horizontal="center" vertical="top" wrapText="1"/>
    </xf>
    <xf numFmtId="0" fontId="50" fillId="3" borderId="52" xfId="0" applyFont="1" applyFill="1" applyBorder="1" applyAlignment="1" applyProtection="1">
      <alignment horizontal="center" vertical="center" wrapText="1"/>
    </xf>
    <xf numFmtId="0" fontId="50" fillId="3" borderId="94" xfId="0" applyFont="1" applyFill="1" applyBorder="1" applyAlignment="1" applyProtection="1">
      <alignment horizontal="center" vertical="center" wrapText="1"/>
    </xf>
    <xf numFmtId="0" fontId="50" fillId="3" borderId="57" xfId="0" applyFont="1" applyFill="1" applyBorder="1" applyAlignment="1" applyProtection="1">
      <alignment horizontal="center" vertical="center" wrapText="1"/>
    </xf>
    <xf numFmtId="0" fontId="50" fillId="3" borderId="47" xfId="0" applyFont="1" applyFill="1" applyBorder="1" applyAlignment="1" applyProtection="1">
      <alignment horizontal="center" vertical="center"/>
    </xf>
    <xf numFmtId="0" fontId="50" fillId="3" borderId="57" xfId="0" applyFont="1" applyFill="1" applyBorder="1" applyAlignment="1" applyProtection="1">
      <alignment horizontal="center" vertical="center"/>
    </xf>
    <xf numFmtId="0" fontId="50" fillId="0" borderId="37" xfId="0" applyFont="1" applyBorder="1" applyAlignment="1" applyProtection="1">
      <alignment horizontal="center" vertical="center" wrapText="1"/>
    </xf>
    <xf numFmtId="0" fontId="53" fillId="0" borderId="37" xfId="0" applyFont="1" applyBorder="1" applyAlignment="1" applyProtection="1">
      <alignment horizontal="center" vertical="center" wrapText="1"/>
    </xf>
    <xf numFmtId="0" fontId="2" fillId="3" borderId="0" xfId="0" applyFont="1" applyFill="1" applyProtection="1"/>
    <xf numFmtId="0" fontId="2" fillId="3" borderId="71" xfId="0" applyFont="1" applyFill="1" applyBorder="1" applyAlignment="1" applyProtection="1">
      <alignment horizontal="center" vertical="center"/>
    </xf>
    <xf numFmtId="0" fontId="2" fillId="3" borderId="26" xfId="0" applyFont="1" applyFill="1" applyBorder="1" applyAlignment="1" applyProtection="1">
      <alignment horizontal="center" vertical="center"/>
    </xf>
    <xf numFmtId="0" fontId="2" fillId="3" borderId="37" xfId="0" applyFont="1" applyFill="1" applyBorder="1" applyAlignment="1" applyProtection="1">
      <alignment horizontal="center" vertical="center"/>
    </xf>
    <xf numFmtId="0" fontId="2" fillId="0" borderId="0" xfId="0" applyFont="1" applyProtection="1"/>
    <xf numFmtId="0" fontId="50" fillId="0" borderId="76" xfId="0" applyFont="1" applyBorder="1" applyAlignment="1" applyProtection="1">
      <alignment horizontal="center" vertical="center" wrapText="1"/>
    </xf>
    <xf numFmtId="0" fontId="50" fillId="3" borderId="52" xfId="0" applyFont="1" applyFill="1" applyBorder="1" applyAlignment="1" applyProtection="1">
      <alignment horizontal="center" vertical="center"/>
    </xf>
    <xf numFmtId="0" fontId="50" fillId="0" borderId="52" xfId="0" applyFont="1" applyBorder="1" applyAlignment="1" applyProtection="1">
      <alignment horizontal="center" vertical="center" wrapText="1"/>
    </xf>
    <xf numFmtId="0" fontId="50" fillId="3" borderId="95" xfId="0" applyFont="1" applyFill="1" applyBorder="1" applyAlignment="1" applyProtection="1">
      <alignment horizontal="center" vertical="center" wrapText="1"/>
    </xf>
    <xf numFmtId="0" fontId="53" fillId="3" borderId="47" xfId="0" applyFont="1" applyFill="1" applyBorder="1" applyAlignment="1" applyProtection="1">
      <alignment horizontal="center" vertical="top" wrapText="1"/>
    </xf>
    <xf numFmtId="0" fontId="53" fillId="3" borderId="57" xfId="0" applyFont="1" applyFill="1" applyBorder="1" applyAlignment="1" applyProtection="1">
      <alignment horizontal="center" vertical="top" wrapText="1"/>
    </xf>
    <xf numFmtId="0" fontId="50" fillId="3" borderId="76" xfId="0" applyFont="1" applyFill="1" applyBorder="1" applyAlignment="1" applyProtection="1">
      <alignment horizontal="center" vertical="center" wrapText="1"/>
    </xf>
    <xf numFmtId="0" fontId="53" fillId="3" borderId="52" xfId="0" applyFont="1" applyFill="1" applyBorder="1" applyAlignment="1" applyProtection="1">
      <alignment horizontal="center" vertical="top" wrapText="1"/>
    </xf>
    <xf numFmtId="0" fontId="50" fillId="3" borderId="55" xfId="0" applyFont="1" applyFill="1" applyBorder="1" applyAlignment="1" applyProtection="1">
      <alignment horizontal="center" vertical="top" wrapText="1"/>
    </xf>
    <xf numFmtId="0" fontId="50" fillId="3" borderId="71" xfId="0" applyFont="1" applyFill="1" applyBorder="1" applyAlignment="1" applyProtection="1">
      <alignment horizontal="center" vertical="top" wrapText="1"/>
    </xf>
    <xf numFmtId="2" fontId="53" fillId="3" borderId="47" xfId="0" applyNumberFormat="1" applyFont="1" applyFill="1" applyBorder="1" applyAlignment="1" applyProtection="1">
      <alignment horizontal="center" vertical="center" wrapText="1"/>
    </xf>
    <xf numFmtId="11" fontId="53" fillId="3" borderId="47" xfId="0" applyNumberFormat="1" applyFont="1" applyFill="1" applyBorder="1" applyAlignment="1" applyProtection="1">
      <alignment horizontal="center" vertical="center" wrapText="1"/>
    </xf>
    <xf numFmtId="2" fontId="53" fillId="3" borderId="52" xfId="0" applyNumberFormat="1" applyFont="1" applyFill="1" applyBorder="1" applyAlignment="1" applyProtection="1">
      <alignment horizontal="center" vertical="center" wrapText="1"/>
    </xf>
    <xf numFmtId="11" fontId="53" fillId="3" borderId="52" xfId="0" applyNumberFormat="1" applyFont="1" applyFill="1" applyBorder="1" applyAlignment="1" applyProtection="1">
      <alignment horizontal="center" vertical="center" wrapText="1"/>
    </xf>
    <xf numFmtId="0" fontId="50" fillId="3" borderId="81" xfId="0" applyFont="1" applyFill="1" applyBorder="1" applyAlignment="1" applyProtection="1">
      <alignment horizontal="center" vertical="top" wrapText="1"/>
    </xf>
    <xf numFmtId="0" fontId="53" fillId="3" borderId="56" xfId="0" applyFont="1" applyFill="1" applyBorder="1" applyAlignment="1" applyProtection="1">
      <alignment horizontal="center" vertical="top" wrapText="1"/>
    </xf>
    <xf numFmtId="2" fontId="50" fillId="0" borderId="37" xfId="0" applyNumberFormat="1" applyFont="1" applyBorder="1" applyAlignment="1" applyProtection="1">
      <alignment horizontal="center" vertical="center" wrapText="1"/>
    </xf>
    <xf numFmtId="11" fontId="51" fillId="0" borderId="37" xfId="0" applyNumberFormat="1" applyFont="1" applyBorder="1" applyAlignment="1" applyProtection="1">
      <alignment horizontal="center" vertical="center" wrapText="1"/>
    </xf>
    <xf numFmtId="0" fontId="53" fillId="3" borderId="37" xfId="0" applyFont="1" applyFill="1" applyBorder="1" applyAlignment="1" applyProtection="1">
      <alignment horizontal="center" vertical="top" wrapText="1"/>
    </xf>
    <xf numFmtId="0" fontId="53" fillId="3" borderId="76" xfId="0" applyFont="1" applyFill="1" applyBorder="1" applyAlignment="1" applyProtection="1">
      <alignment horizontal="center" vertical="top" wrapText="1"/>
    </xf>
    <xf numFmtId="0" fontId="50" fillId="3" borderId="0" xfId="0" applyFont="1" applyFill="1" applyAlignment="1" applyProtection="1">
      <alignment horizontal="center" vertical="center" wrapText="1"/>
    </xf>
    <xf numFmtId="0" fontId="7" fillId="3" borderId="0" xfId="0" applyFont="1" applyFill="1" applyAlignment="1" applyProtection="1">
      <alignment horizontal="center" vertical="center" wrapText="1"/>
    </xf>
    <xf numFmtId="0" fontId="12" fillId="3" borderId="0" xfId="0" applyFont="1" applyFill="1" applyAlignment="1" applyProtection="1">
      <alignment horizontal="center" vertical="center"/>
    </xf>
    <xf numFmtId="0" fontId="27" fillId="4" borderId="35" xfId="0" applyFont="1" applyFill="1" applyBorder="1" applyAlignment="1" applyProtection="1">
      <alignment horizontal="center" vertical="center" wrapText="1"/>
    </xf>
    <xf numFmtId="0" fontId="27" fillId="4" borderId="62" xfId="0" applyFont="1" applyFill="1" applyBorder="1" applyAlignment="1" applyProtection="1">
      <alignment vertical="center" wrapText="1"/>
    </xf>
    <xf numFmtId="0" fontId="27" fillId="4" borderId="51" xfId="0" applyFont="1" applyFill="1" applyBorder="1" applyAlignment="1" applyProtection="1">
      <alignment vertical="center" wrapText="1"/>
    </xf>
    <xf numFmtId="0" fontId="27" fillId="3" borderId="0" xfId="0" applyFont="1" applyFill="1" applyAlignment="1" applyProtection="1">
      <alignment horizontal="center" vertical="center" wrapText="1"/>
    </xf>
    <xf numFmtId="0" fontId="27" fillId="4" borderId="79" xfId="0" applyFont="1" applyFill="1" applyBorder="1" applyAlignment="1" applyProtection="1">
      <alignment vertical="center" wrapText="1"/>
    </xf>
    <xf numFmtId="0" fontId="9" fillId="4" borderId="34" xfId="0" applyFont="1" applyFill="1" applyBorder="1" applyAlignment="1" applyProtection="1">
      <alignment horizontal="center" vertical="center" wrapText="1"/>
    </xf>
    <xf numFmtId="0" fontId="9" fillId="4" borderId="17" xfId="0" applyFont="1" applyFill="1" applyBorder="1" applyAlignment="1" applyProtection="1">
      <alignment horizontal="center" vertical="center" wrapText="1"/>
    </xf>
    <xf numFmtId="0" fontId="9" fillId="4" borderId="43" xfId="0" applyFont="1" applyFill="1" applyBorder="1" applyAlignment="1" applyProtection="1">
      <alignment horizontal="center" vertical="center" wrapText="1"/>
    </xf>
    <xf numFmtId="0" fontId="9" fillId="4" borderId="84" xfId="0" applyFont="1" applyFill="1" applyBorder="1" applyAlignment="1" applyProtection="1">
      <alignment horizontal="left" vertical="center" wrapText="1"/>
    </xf>
    <xf numFmtId="0" fontId="12" fillId="2" borderId="21" xfId="0" applyFont="1" applyFill="1" applyBorder="1" applyAlignment="1" applyProtection="1">
      <alignment horizontal="center" vertical="center" wrapText="1"/>
    </xf>
    <xf numFmtId="0" fontId="12" fillId="2" borderId="83" xfId="0" applyFont="1" applyFill="1" applyBorder="1" applyAlignment="1" applyProtection="1">
      <alignment horizontal="center" vertical="center" wrapText="1"/>
    </xf>
    <xf numFmtId="0" fontId="12" fillId="2" borderId="45" xfId="0" applyFont="1" applyFill="1" applyBorder="1" applyAlignment="1" applyProtection="1">
      <alignment horizontal="center" vertical="center" wrapText="1"/>
    </xf>
    <xf numFmtId="0" fontId="9" fillId="3" borderId="0" xfId="0" applyFont="1" applyFill="1" applyAlignment="1" applyProtection="1">
      <alignment horizontal="left" vertical="center"/>
    </xf>
    <xf numFmtId="0" fontId="12" fillId="3" borderId="0" xfId="0" applyFont="1" applyFill="1" applyAlignment="1" applyProtection="1">
      <alignment horizontal="left" vertical="center" wrapText="1"/>
    </xf>
    <xf numFmtId="0" fontId="27" fillId="3" borderId="0" xfId="0" applyFont="1" applyFill="1" applyAlignment="1" applyProtection="1">
      <alignment vertical="center"/>
    </xf>
    <xf numFmtId="0" fontId="8" fillId="3" borderId="0" xfId="0" applyFont="1" applyFill="1" applyAlignment="1" applyProtection="1">
      <alignment vertical="center"/>
    </xf>
    <xf numFmtId="0" fontId="9" fillId="5" borderId="33"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9" fillId="5" borderId="15" xfId="0" applyFont="1" applyFill="1" applyBorder="1" applyAlignment="1" applyProtection="1">
      <alignment horizontal="center" vertical="center"/>
    </xf>
    <xf numFmtId="0" fontId="7" fillId="3" borderId="5" xfId="0" applyFont="1" applyFill="1" applyBorder="1" applyAlignment="1" applyProtection="1">
      <alignment horizontal="center" vertical="center"/>
    </xf>
    <xf numFmtId="0" fontId="7" fillId="2" borderId="34" xfId="0" applyFont="1" applyFill="1" applyBorder="1" applyAlignment="1" applyProtection="1">
      <alignment horizontal="center" vertical="center"/>
    </xf>
    <xf numFmtId="0" fontId="7" fillId="3" borderId="24" xfId="0" applyFont="1" applyFill="1" applyBorder="1" applyAlignment="1" applyProtection="1">
      <alignment vertical="center"/>
    </xf>
    <xf numFmtId="165" fontId="12" fillId="3" borderId="24" xfId="0" applyNumberFormat="1" applyFont="1" applyFill="1" applyBorder="1" applyAlignment="1" applyProtection="1">
      <alignment horizontal="center" vertical="center"/>
    </xf>
    <xf numFmtId="165" fontId="12" fillId="3" borderId="28" xfId="0" applyNumberFormat="1" applyFont="1" applyFill="1" applyBorder="1" applyAlignment="1" applyProtection="1">
      <alignment horizontal="center" vertical="center"/>
    </xf>
    <xf numFmtId="0" fontId="7" fillId="3" borderId="6" xfId="0" applyFont="1" applyFill="1" applyBorder="1" applyAlignment="1" applyProtection="1">
      <alignment horizontal="center" vertical="center"/>
    </xf>
    <xf numFmtId="0" fontId="7" fillId="3" borderId="2" xfId="0" applyFont="1" applyFill="1" applyBorder="1" applyAlignment="1" applyProtection="1">
      <alignment horizontal="center" vertical="center" wrapText="1"/>
    </xf>
    <xf numFmtId="168" fontId="7" fillId="2" borderId="19" xfId="0" applyNumberFormat="1" applyFont="1" applyFill="1" applyBorder="1" applyAlignment="1" applyProtection="1">
      <alignment horizontal="center" vertical="center" wrapText="1"/>
    </xf>
    <xf numFmtId="0" fontId="7" fillId="3" borderId="83" xfId="0" applyFont="1" applyFill="1" applyBorder="1" applyAlignment="1" applyProtection="1">
      <alignment horizontal="center" vertical="center" wrapText="1"/>
    </xf>
    <xf numFmtId="168" fontId="7" fillId="2" borderId="21" xfId="0" applyNumberFormat="1" applyFont="1" applyFill="1" applyBorder="1" applyAlignment="1" applyProtection="1">
      <alignment horizontal="center" vertical="center" wrapText="1"/>
    </xf>
    <xf numFmtId="0" fontId="9" fillId="3" borderId="0" xfId="0" applyFont="1" applyFill="1" applyAlignment="1" applyProtection="1">
      <alignment vertical="center"/>
    </xf>
    <xf numFmtId="0" fontId="28" fillId="3" borderId="30" xfId="0" applyFont="1" applyFill="1" applyBorder="1" applyAlignment="1" applyProtection="1">
      <alignment horizontal="center" vertical="center" wrapText="1"/>
    </xf>
    <xf numFmtId="0" fontId="28" fillId="3" borderId="30" xfId="0" applyFont="1" applyFill="1" applyBorder="1" applyAlignment="1" applyProtection="1">
      <alignment horizontal="center" vertical="center" wrapText="1"/>
    </xf>
    <xf numFmtId="0" fontId="9" fillId="3" borderId="30" xfId="0" applyFont="1" applyFill="1" applyBorder="1" applyAlignment="1" applyProtection="1">
      <alignment vertical="center"/>
    </xf>
    <xf numFmtId="0" fontId="8" fillId="3" borderId="47" xfId="0" applyFont="1" applyFill="1" applyBorder="1" applyAlignment="1" applyProtection="1">
      <alignment horizontal="center" vertical="center" wrapText="1"/>
    </xf>
    <xf numFmtId="0" fontId="8" fillId="3" borderId="55" xfId="0" applyFont="1" applyFill="1" applyBorder="1" applyAlignment="1" applyProtection="1">
      <alignment horizontal="center" vertical="center" wrapText="1"/>
    </xf>
    <xf numFmtId="0" fontId="8" fillId="13" borderId="47" xfId="0" applyFont="1" applyFill="1" applyBorder="1" applyAlignment="1" applyProtection="1">
      <alignment horizontal="center" vertical="center"/>
    </xf>
    <xf numFmtId="0" fontId="9" fillId="5" borderId="10" xfId="0" applyFont="1" applyFill="1" applyBorder="1" applyAlignment="1" applyProtection="1">
      <alignment horizontal="center" vertical="center" wrapText="1"/>
    </xf>
    <xf numFmtId="0" fontId="9" fillId="5" borderId="48" xfId="0" applyFont="1" applyFill="1" applyBorder="1" applyAlignment="1" applyProtection="1">
      <alignment horizontal="center" vertical="center" wrapText="1"/>
    </xf>
    <xf numFmtId="0" fontId="9" fillId="5" borderId="43" xfId="0" applyFont="1" applyFill="1" applyBorder="1" applyAlignment="1" applyProtection="1">
      <alignment horizontal="center" vertical="center" wrapText="1"/>
    </xf>
    <xf numFmtId="0" fontId="9" fillId="3" borderId="47" xfId="0" applyFont="1" applyFill="1" applyBorder="1" applyAlignment="1" applyProtection="1">
      <alignment horizontal="center" vertical="center"/>
    </xf>
    <xf numFmtId="0" fontId="9" fillId="3" borderId="56" xfId="0" applyFont="1" applyFill="1" applyBorder="1" applyAlignment="1" applyProtection="1">
      <alignment horizontal="center" vertical="center"/>
    </xf>
    <xf numFmtId="0" fontId="9" fillId="5" borderId="59" xfId="0" applyFont="1" applyFill="1" applyBorder="1" applyAlignment="1" applyProtection="1">
      <alignment horizontal="center" vertical="center" wrapText="1"/>
    </xf>
    <xf numFmtId="0" fontId="9" fillId="5" borderId="63" xfId="0" applyFont="1" applyFill="1" applyBorder="1" applyAlignment="1" applyProtection="1">
      <alignment horizontal="center" vertical="center" wrapText="1"/>
    </xf>
    <xf numFmtId="0" fontId="8" fillId="3" borderId="52" xfId="0" applyFont="1" applyFill="1" applyBorder="1" applyAlignment="1" applyProtection="1">
      <alignment horizontal="center" vertical="center" wrapText="1"/>
    </xf>
    <xf numFmtId="0" fontId="8" fillId="3" borderId="81" xfId="0" applyFont="1" applyFill="1" applyBorder="1" applyAlignment="1" applyProtection="1">
      <alignment horizontal="center" vertical="center" wrapText="1"/>
    </xf>
    <xf numFmtId="0" fontId="8" fillId="13" borderId="57" xfId="0" applyFont="1" applyFill="1" applyBorder="1" applyAlignment="1" applyProtection="1">
      <alignment horizontal="center" vertical="center"/>
    </xf>
    <xf numFmtId="0" fontId="9" fillId="3" borderId="52" xfId="0" applyFont="1" applyFill="1" applyBorder="1" applyAlignment="1" applyProtection="1">
      <alignment horizontal="center" vertical="center"/>
    </xf>
    <xf numFmtId="0" fontId="9" fillId="3" borderId="76" xfId="0" applyFont="1" applyFill="1" applyBorder="1" applyAlignment="1" applyProtection="1">
      <alignment horizontal="center" vertical="center"/>
    </xf>
    <xf numFmtId="0" fontId="9" fillId="5" borderId="61" xfId="0" applyFont="1" applyFill="1" applyBorder="1" applyAlignment="1" applyProtection="1">
      <alignment horizontal="center" vertical="center" wrapText="1"/>
    </xf>
    <xf numFmtId="0" fontId="21" fillId="5" borderId="36" xfId="0" applyFont="1" applyFill="1" applyBorder="1" applyAlignment="1" applyProtection="1">
      <alignment horizontal="center" vertical="center" wrapText="1"/>
    </xf>
    <xf numFmtId="0" fontId="21" fillId="5" borderId="42" xfId="0" applyFont="1" applyFill="1" applyBorder="1" applyAlignment="1" applyProtection="1">
      <alignment horizontal="center" vertical="center" wrapText="1"/>
    </xf>
    <xf numFmtId="0" fontId="12" fillId="3" borderId="37" xfId="0" applyFont="1" applyFill="1" applyBorder="1" applyAlignment="1" applyProtection="1">
      <alignment horizontal="center" vertical="center"/>
    </xf>
    <xf numFmtId="0" fontId="9" fillId="3" borderId="47" xfId="0" applyFont="1" applyFill="1" applyBorder="1" applyAlignment="1" applyProtection="1">
      <alignment horizontal="left" vertical="center" wrapText="1"/>
    </xf>
    <xf numFmtId="0" fontId="12" fillId="3" borderId="55" xfId="0" applyFont="1" applyFill="1" applyBorder="1" applyAlignment="1" applyProtection="1">
      <alignment horizontal="center" vertical="center" wrapText="1"/>
    </xf>
    <xf numFmtId="0" fontId="12" fillId="3" borderId="100" xfId="0" applyFont="1" applyFill="1" applyBorder="1" applyAlignment="1" applyProtection="1">
      <alignment horizontal="center" vertical="center" wrapText="1"/>
    </xf>
    <xf numFmtId="0" fontId="12" fillId="3" borderId="106" xfId="0" applyFont="1" applyFill="1" applyBorder="1" applyAlignment="1" applyProtection="1">
      <alignment horizontal="left" vertical="center" wrapText="1"/>
    </xf>
    <xf numFmtId="0" fontId="7" fillId="13" borderId="57" xfId="0" applyFont="1" applyFill="1" applyBorder="1" applyAlignment="1" applyProtection="1">
      <alignment horizontal="left" vertical="center" wrapText="1"/>
    </xf>
    <xf numFmtId="2" fontId="7" fillId="3" borderId="41" xfId="0" applyNumberFormat="1" applyFont="1" applyFill="1" applyBorder="1" applyAlignment="1" applyProtection="1">
      <alignment horizontal="center" vertical="center"/>
    </xf>
    <xf numFmtId="0" fontId="7" fillId="3" borderId="24" xfId="0" applyFont="1" applyFill="1" applyBorder="1" applyAlignment="1" applyProtection="1">
      <alignment horizontal="left" vertical="center"/>
    </xf>
    <xf numFmtId="0" fontId="8" fillId="3" borderId="18" xfId="0" applyFont="1" applyFill="1" applyBorder="1" applyAlignment="1" applyProtection="1">
      <alignment horizontal="center" vertical="center"/>
    </xf>
    <xf numFmtId="2" fontId="12" fillId="0" borderId="14" xfId="0" applyNumberFormat="1" applyFont="1" applyBorder="1" applyAlignment="1" applyProtection="1">
      <alignment horizontal="center" vertical="center"/>
    </xf>
    <xf numFmtId="0" fontId="12" fillId="3" borderId="47" xfId="0" applyFont="1" applyFill="1" applyBorder="1" applyAlignment="1" applyProtection="1">
      <alignment horizontal="left" vertical="center" wrapText="1"/>
    </xf>
    <xf numFmtId="0" fontId="12" fillId="3" borderId="56" xfId="0" applyFont="1" applyFill="1" applyBorder="1" applyAlignment="1" applyProtection="1">
      <alignment horizontal="center" vertical="center" wrapText="1"/>
    </xf>
    <xf numFmtId="164" fontId="7" fillId="3" borderId="7" xfId="0" applyNumberFormat="1" applyFont="1" applyFill="1" applyBorder="1" applyAlignment="1" applyProtection="1">
      <alignment horizontal="center" vertical="center"/>
    </xf>
    <xf numFmtId="1" fontId="8" fillId="3" borderId="18" xfId="0" applyNumberFormat="1" applyFont="1" applyFill="1" applyBorder="1" applyAlignment="1" applyProtection="1">
      <alignment horizontal="center" vertical="center"/>
    </xf>
    <xf numFmtId="2" fontId="12" fillId="0" borderId="34" xfId="0" applyNumberFormat="1" applyFont="1" applyBorder="1" applyAlignment="1" applyProtection="1">
      <alignment horizontal="center" vertical="center"/>
    </xf>
    <xf numFmtId="2" fontId="12" fillId="0" borderId="24" xfId="0" applyNumberFormat="1" applyFont="1" applyBorder="1" applyAlignment="1" applyProtection="1">
      <alignment horizontal="center" vertical="center"/>
    </xf>
    <xf numFmtId="2" fontId="12" fillId="0" borderId="28" xfId="0" applyNumberFormat="1" applyFont="1" applyBorder="1" applyAlignment="1" applyProtection="1">
      <alignment horizontal="center" vertical="center"/>
    </xf>
    <xf numFmtId="0" fontId="9" fillId="3" borderId="57" xfId="0" applyFont="1" applyFill="1" applyBorder="1" applyAlignment="1" applyProtection="1">
      <alignment horizontal="left" vertical="center" wrapText="1"/>
    </xf>
    <xf numFmtId="0" fontId="12" fillId="3" borderId="71" xfId="0" applyFont="1" applyFill="1" applyBorder="1" applyAlignment="1" applyProtection="1">
      <alignment horizontal="center" vertical="center" wrapText="1"/>
    </xf>
    <xf numFmtId="0" fontId="12" fillId="3" borderId="102" xfId="0" applyFont="1" applyFill="1" applyBorder="1" applyAlignment="1" applyProtection="1">
      <alignment horizontal="center" vertical="center" wrapText="1"/>
    </xf>
    <xf numFmtId="0" fontId="12" fillId="3" borderId="107" xfId="0" applyFont="1" applyFill="1" applyBorder="1" applyAlignment="1" applyProtection="1">
      <alignment horizontal="left" vertical="center" wrapText="1"/>
    </xf>
    <xf numFmtId="2" fontId="7" fillId="3" borderId="38" xfId="0" applyNumberFormat="1" applyFont="1" applyFill="1" applyBorder="1" applyAlignment="1" applyProtection="1">
      <alignment horizontal="center" vertical="center"/>
    </xf>
    <xf numFmtId="0" fontId="7" fillId="3" borderId="15" xfId="0" applyFont="1" applyFill="1" applyBorder="1" applyAlignment="1" applyProtection="1">
      <alignment horizontal="left" vertical="center"/>
    </xf>
    <xf numFmtId="0" fontId="8" fillId="3" borderId="22" xfId="0" applyFont="1" applyFill="1" applyBorder="1" applyAlignment="1" applyProtection="1">
      <alignment horizontal="center" vertical="center"/>
    </xf>
    <xf numFmtId="2" fontId="12" fillId="0" borderId="64" xfId="0" applyNumberFormat="1" applyFont="1" applyBorder="1" applyAlignment="1" applyProtection="1">
      <alignment horizontal="center" vertical="center"/>
    </xf>
    <xf numFmtId="2" fontId="12" fillId="0" borderId="76" xfId="0" applyNumberFormat="1" applyFont="1" applyBorder="1" applyAlignment="1" applyProtection="1">
      <alignment horizontal="center" vertical="center"/>
    </xf>
    <xf numFmtId="0" fontId="12" fillId="3" borderId="52" xfId="0" applyFont="1" applyFill="1" applyBorder="1" applyAlignment="1" applyProtection="1">
      <alignment horizontal="left" vertical="center" wrapText="1"/>
    </xf>
    <xf numFmtId="0" fontId="12" fillId="3" borderId="76" xfId="0" applyFont="1" applyFill="1" applyBorder="1" applyAlignment="1" applyProtection="1">
      <alignment horizontal="center" vertical="center" wrapText="1"/>
    </xf>
    <xf numFmtId="164" fontId="7" fillId="3" borderId="64" xfId="0" applyNumberFormat="1" applyFont="1" applyFill="1" applyBorder="1" applyAlignment="1" applyProtection="1">
      <alignment horizontal="center" vertical="center"/>
    </xf>
    <xf numFmtId="1" fontId="8" fillId="3" borderId="22" xfId="0" applyNumberFormat="1" applyFont="1" applyFill="1" applyBorder="1" applyAlignment="1" applyProtection="1">
      <alignment horizontal="center" vertical="center"/>
    </xf>
    <xf numFmtId="2" fontId="12" fillId="0" borderId="15" xfId="0" applyNumberFormat="1" applyFont="1" applyBorder="1" applyAlignment="1" applyProtection="1">
      <alignment horizontal="center" vertical="center"/>
    </xf>
    <xf numFmtId="0" fontId="12" fillId="3" borderId="37" xfId="0" applyFont="1" applyFill="1" applyBorder="1" applyAlignment="1" applyProtection="1">
      <alignment horizontal="center" vertical="center"/>
    </xf>
    <xf numFmtId="1" fontId="9" fillId="3" borderId="24" xfId="0" applyNumberFormat="1" applyFont="1" applyFill="1" applyBorder="1" applyAlignment="1" applyProtection="1">
      <alignment horizontal="center" vertical="center" wrapText="1"/>
    </xf>
    <xf numFmtId="1" fontId="12" fillId="3" borderId="47" xfId="0" applyNumberFormat="1" applyFont="1" applyFill="1" applyBorder="1" applyAlignment="1" applyProtection="1">
      <alignment horizontal="left" vertical="center" wrapText="1"/>
    </xf>
    <xf numFmtId="1" fontId="9" fillId="3" borderId="18" xfId="0" applyNumberFormat="1" applyFont="1" applyFill="1" applyBorder="1" applyAlignment="1" applyProtection="1">
      <alignment horizontal="center" vertical="center" wrapText="1"/>
    </xf>
    <xf numFmtId="0" fontId="9" fillId="3" borderId="52" xfId="0" applyFont="1" applyFill="1" applyBorder="1" applyAlignment="1" applyProtection="1">
      <alignment horizontal="left" vertical="center" wrapText="1"/>
    </xf>
    <xf numFmtId="0" fontId="12" fillId="3" borderId="81" xfId="0" applyFont="1" applyFill="1" applyBorder="1" applyAlignment="1" applyProtection="1">
      <alignment horizontal="center" vertical="center" wrapText="1"/>
    </xf>
    <xf numFmtId="0" fontId="12" fillId="3" borderId="101" xfId="0" applyFont="1" applyFill="1" applyBorder="1" applyAlignment="1" applyProtection="1">
      <alignment horizontal="center" vertical="center" wrapText="1"/>
    </xf>
    <xf numFmtId="1" fontId="9" fillId="3" borderId="15" xfId="0" applyNumberFormat="1" applyFont="1" applyFill="1" applyBorder="1" applyAlignment="1" applyProtection="1">
      <alignment horizontal="center" vertical="center" wrapText="1"/>
    </xf>
    <xf numFmtId="1" fontId="12" fillId="3" borderId="52" xfId="0" applyNumberFormat="1" applyFont="1" applyFill="1" applyBorder="1" applyAlignment="1" applyProtection="1">
      <alignment horizontal="left" vertical="center" wrapText="1"/>
    </xf>
    <xf numFmtId="1" fontId="9" fillId="3" borderId="42" xfId="0" applyNumberFormat="1" applyFont="1" applyFill="1" applyBorder="1" applyAlignment="1" applyProtection="1">
      <alignment horizontal="center" vertical="center" wrapText="1"/>
    </xf>
    <xf numFmtId="0" fontId="8" fillId="3" borderId="47" xfId="0" applyFont="1" applyFill="1" applyBorder="1" applyAlignment="1" applyProtection="1">
      <alignment horizontal="left" vertical="center" wrapText="1"/>
    </xf>
    <xf numFmtId="1" fontId="12" fillId="3" borderId="57" xfId="0" applyNumberFormat="1" applyFont="1" applyFill="1" applyBorder="1" applyAlignment="1" applyProtection="1">
      <alignment horizontal="left" vertical="center" wrapText="1"/>
    </xf>
    <xf numFmtId="0" fontId="12" fillId="3" borderId="37" xfId="0" applyFont="1" applyFill="1" applyBorder="1" applyAlignment="1" applyProtection="1">
      <alignment horizontal="center" vertical="center" wrapText="1"/>
    </xf>
    <xf numFmtId="0" fontId="8" fillId="3" borderId="52" xfId="0" applyFont="1" applyFill="1" applyBorder="1" applyAlignment="1" applyProtection="1">
      <alignment horizontal="left" vertical="center" wrapText="1"/>
    </xf>
    <xf numFmtId="0" fontId="12" fillId="3" borderId="108" xfId="0" applyFont="1" applyFill="1" applyBorder="1" applyAlignment="1" applyProtection="1">
      <alignment horizontal="left" vertical="center" wrapText="1"/>
    </xf>
    <xf numFmtId="0" fontId="9" fillId="5" borderId="44" xfId="0" applyFont="1" applyFill="1" applyBorder="1" applyAlignment="1" applyProtection="1">
      <alignment horizontal="center" vertical="center" wrapText="1"/>
    </xf>
    <xf numFmtId="0" fontId="9" fillId="5" borderId="105" xfId="0" applyFont="1" applyFill="1" applyBorder="1" applyAlignment="1" applyProtection="1">
      <alignment horizontal="center" vertical="center"/>
    </xf>
    <xf numFmtId="0" fontId="9" fillId="5" borderId="45" xfId="0" applyFont="1" applyFill="1" applyBorder="1" applyAlignment="1" applyProtection="1">
      <alignment horizontal="center" vertical="center" wrapText="1"/>
    </xf>
    <xf numFmtId="0" fontId="9" fillId="5" borderId="64" xfId="0" applyFont="1" applyFill="1" applyBorder="1" applyAlignment="1" applyProtection="1">
      <alignment horizontal="center" vertical="center"/>
    </xf>
    <xf numFmtId="0" fontId="9" fillId="2" borderId="67" xfId="0" applyFont="1" applyFill="1" applyBorder="1" applyAlignment="1" applyProtection="1">
      <alignment horizontal="left" vertical="center" wrapText="1"/>
    </xf>
    <xf numFmtId="0" fontId="29" fillId="3" borderId="65" xfId="0" applyFont="1" applyFill="1" applyBorder="1" applyAlignment="1" applyProtection="1">
      <alignment horizontal="left" vertical="center" wrapText="1"/>
    </xf>
    <xf numFmtId="0" fontId="12" fillId="3" borderId="68" xfId="0" applyFont="1" applyFill="1" applyBorder="1" applyAlignment="1" applyProtection="1">
      <alignment horizontal="left" vertical="center" wrapText="1"/>
    </xf>
    <xf numFmtId="0" fontId="12" fillId="3" borderId="109" xfId="0" applyFont="1" applyFill="1" applyBorder="1" applyAlignment="1" applyProtection="1">
      <alignment horizontal="left" vertical="center" wrapText="1"/>
    </xf>
    <xf numFmtId="0" fontId="7" fillId="13" borderId="57" xfId="0" applyFont="1" applyFill="1" applyBorder="1" applyAlignment="1" applyProtection="1">
      <alignment horizontal="left" vertical="center"/>
    </xf>
    <xf numFmtId="11" fontId="7" fillId="3" borderId="41" xfId="0" applyNumberFormat="1" applyFont="1" applyFill="1" applyBorder="1" applyAlignment="1" applyProtection="1">
      <alignment horizontal="center" vertical="center"/>
    </xf>
    <xf numFmtId="11" fontId="12" fillId="0" borderId="1" xfId="0" applyNumberFormat="1" applyFont="1" applyBorder="1" applyAlignment="1" applyProtection="1">
      <alignment horizontal="center" vertical="center"/>
    </xf>
    <xf numFmtId="11" fontId="12" fillId="0" borderId="20" xfId="0" applyNumberFormat="1" applyFont="1" applyBorder="1" applyAlignment="1" applyProtection="1">
      <alignment horizontal="center" vertical="center"/>
    </xf>
    <xf numFmtId="11" fontId="12" fillId="3" borderId="0" xfId="0" applyNumberFormat="1" applyFont="1" applyFill="1" applyAlignment="1" applyProtection="1">
      <alignment horizontal="center" vertical="center"/>
    </xf>
    <xf numFmtId="0" fontId="29" fillId="3" borderId="113" xfId="0" applyFont="1" applyFill="1" applyBorder="1" applyAlignment="1" applyProtection="1">
      <alignment horizontal="left" vertical="center" wrapText="1"/>
    </xf>
    <xf numFmtId="11" fontId="7" fillId="3" borderId="7" xfId="0" applyNumberFormat="1" applyFont="1" applyFill="1" applyBorder="1" applyAlignment="1" applyProtection="1">
      <alignment horizontal="center" vertical="center"/>
    </xf>
    <xf numFmtId="0" fontId="9" fillId="2" borderId="69" xfId="0" applyFont="1" applyFill="1" applyBorder="1" applyAlignment="1" applyProtection="1">
      <alignment horizontal="left" vertical="center" wrapText="1"/>
    </xf>
    <xf numFmtId="0" fontId="29" fillId="3" borderId="66" xfId="0" applyFont="1" applyFill="1" applyBorder="1" applyAlignment="1" applyProtection="1">
      <alignment horizontal="left" vertical="center" wrapText="1"/>
    </xf>
    <xf numFmtId="0" fontId="12" fillId="3" borderId="99" xfId="0" applyFont="1" applyFill="1" applyBorder="1" applyAlignment="1" applyProtection="1">
      <alignment horizontal="left" vertical="center" wrapText="1"/>
    </xf>
    <xf numFmtId="0" fontId="12" fillId="3" borderId="110" xfId="0" applyFont="1" applyFill="1" applyBorder="1" applyAlignment="1" applyProtection="1">
      <alignment horizontal="left" vertical="center" wrapText="1"/>
    </xf>
    <xf numFmtId="0" fontId="7" fillId="13" borderId="52" xfId="0" applyFont="1" applyFill="1" applyBorder="1" applyAlignment="1" applyProtection="1">
      <alignment horizontal="left" vertical="center"/>
    </xf>
    <xf numFmtId="11" fontId="7" fillId="3" borderId="38" xfId="0" applyNumberFormat="1" applyFont="1" applyFill="1" applyBorder="1" applyAlignment="1" applyProtection="1">
      <alignment horizontal="center" vertical="center"/>
    </xf>
    <xf numFmtId="11" fontId="12" fillId="0" borderId="15" xfId="0" applyNumberFormat="1" applyFont="1" applyBorder="1" applyAlignment="1" applyProtection="1">
      <alignment horizontal="center" vertical="center"/>
    </xf>
    <xf numFmtId="11" fontId="12" fillId="0" borderId="22" xfId="0" applyNumberFormat="1" applyFont="1" applyBorder="1" applyAlignment="1" applyProtection="1">
      <alignment horizontal="center" vertical="center"/>
    </xf>
    <xf numFmtId="0" fontId="29" fillId="3" borderId="114" xfId="0" applyFont="1" applyFill="1" applyBorder="1" applyAlignment="1" applyProtection="1">
      <alignment horizontal="left" vertical="center" wrapText="1"/>
    </xf>
    <xf numFmtId="11" fontId="7" fillId="3" borderId="64" xfId="0" applyNumberFormat="1" applyFont="1" applyFill="1" applyBorder="1" applyAlignment="1" applyProtection="1">
      <alignment horizontal="center" vertical="center"/>
    </xf>
    <xf numFmtId="0" fontId="12" fillId="3" borderId="0" xfId="0" applyFont="1" applyFill="1" applyAlignment="1" applyProtection="1">
      <alignment horizontal="center" vertical="center"/>
    </xf>
    <xf numFmtId="0" fontId="9" fillId="3" borderId="0" xfId="0" applyFont="1" applyFill="1" applyAlignment="1" applyProtection="1">
      <alignment horizontal="left" vertical="center" wrapText="1"/>
    </xf>
    <xf numFmtId="0" fontId="29" fillId="3" borderId="0" xfId="0" applyFont="1" applyFill="1" applyAlignment="1" applyProtection="1">
      <alignment horizontal="left" vertical="center" wrapText="1"/>
    </xf>
    <xf numFmtId="0" fontId="12" fillId="3" borderId="0" xfId="0" applyFont="1" applyFill="1" applyAlignment="1" applyProtection="1">
      <alignment horizontal="left" vertical="center" wrapText="1"/>
    </xf>
    <xf numFmtId="0" fontId="7" fillId="3" borderId="0" xfId="0" applyFont="1" applyFill="1" applyAlignment="1" applyProtection="1">
      <alignment horizontal="left" vertical="center"/>
    </xf>
    <xf numFmtId="2" fontId="7" fillId="3" borderId="0" xfId="0" quotePrefix="1" applyNumberFormat="1" applyFont="1" applyFill="1" applyAlignment="1" applyProtection="1">
      <alignment horizontal="center" vertical="center"/>
    </xf>
    <xf numFmtId="167" fontId="12" fillId="3" borderId="0" xfId="0" quotePrefix="1" applyNumberFormat="1" applyFont="1" applyFill="1" applyAlignment="1" applyProtection="1">
      <alignment horizontal="center" vertical="center"/>
    </xf>
    <xf numFmtId="2" fontId="12" fillId="3" borderId="0" xfId="0" quotePrefix="1" applyNumberFormat="1" applyFont="1" applyFill="1" applyAlignment="1" applyProtection="1">
      <alignment horizontal="center" vertical="center"/>
    </xf>
    <xf numFmtId="11" fontId="7" fillId="3" borderId="0" xfId="0" applyNumberFormat="1" applyFont="1" applyFill="1" applyAlignment="1" applyProtection="1">
      <alignment horizontal="center" vertical="center"/>
    </xf>
    <xf numFmtId="0" fontId="8" fillId="3" borderId="0" xfId="0" applyFont="1" applyFill="1" applyAlignment="1" applyProtection="1">
      <alignment horizontal="center" vertical="center" wrapText="1"/>
    </xf>
    <xf numFmtId="2" fontId="7" fillId="3" borderId="0" xfId="0" applyNumberFormat="1" applyFont="1" applyFill="1" applyAlignment="1" applyProtection="1">
      <alignment horizontal="center" vertical="center"/>
    </xf>
    <xf numFmtId="0" fontId="30" fillId="3" borderId="0" xfId="0" applyFont="1" applyFill="1" applyAlignment="1" applyProtection="1">
      <alignment horizontal="center" vertical="center"/>
    </xf>
    <xf numFmtId="0" fontId="31" fillId="3" borderId="0" xfId="0" applyFont="1" applyFill="1" applyAlignment="1" applyProtection="1">
      <alignment vertical="center" wrapText="1"/>
    </xf>
    <xf numFmtId="0" fontId="31" fillId="3" borderId="0" xfId="0" applyFont="1" applyFill="1" applyAlignment="1" applyProtection="1">
      <alignment vertical="center"/>
    </xf>
    <xf numFmtId="0" fontId="30" fillId="3" borderId="0" xfId="0" applyFont="1" applyFill="1" applyAlignment="1" applyProtection="1">
      <alignment vertical="center" wrapText="1"/>
    </xf>
    <xf numFmtId="0" fontId="30" fillId="3" borderId="0" xfId="0" applyFont="1" applyFill="1" applyAlignment="1" applyProtection="1">
      <alignment horizontal="center" vertical="center" wrapText="1"/>
    </xf>
    <xf numFmtId="0" fontId="8" fillId="12" borderId="1" xfId="0" applyFont="1" applyFill="1" applyBorder="1" applyAlignment="1" applyProtection="1">
      <alignment vertical="center" wrapText="1"/>
    </xf>
    <xf numFmtId="0" fontId="8" fillId="12" borderId="1" xfId="0" applyFont="1" applyFill="1" applyBorder="1" applyAlignment="1" applyProtection="1">
      <alignment horizontal="center" vertical="center"/>
    </xf>
    <xf numFmtId="0" fontId="8" fillId="12" borderId="1" xfId="0" applyFont="1" applyFill="1" applyBorder="1" applyAlignment="1" applyProtection="1">
      <alignment vertical="center"/>
    </xf>
    <xf numFmtId="0" fontId="8" fillId="12" borderId="54" xfId="0" applyFont="1" applyFill="1" applyBorder="1" applyAlignment="1" applyProtection="1">
      <alignment vertical="center" wrapText="1"/>
    </xf>
    <xf numFmtId="11" fontId="7" fillId="3" borderId="1" xfId="0" applyNumberFormat="1" applyFont="1" applyFill="1" applyBorder="1" applyAlignment="1" applyProtection="1">
      <alignment horizontal="center" vertical="center"/>
    </xf>
    <xf numFmtId="0" fontId="21" fillId="5" borderId="1" xfId="0" applyFont="1" applyFill="1" applyBorder="1" applyAlignment="1" applyProtection="1">
      <alignment horizontal="left" vertical="center" wrapText="1"/>
    </xf>
    <xf numFmtId="2" fontId="7" fillId="3" borderId="0" xfId="0" applyNumberFormat="1" applyFont="1" applyFill="1" applyAlignment="1" applyProtection="1">
      <alignment horizontal="center" vertical="center"/>
    </xf>
    <xf numFmtId="0" fontId="7" fillId="0" borderId="0" xfId="0" applyFont="1" applyAlignment="1" applyProtection="1">
      <alignment horizontal="center" vertical="center"/>
    </xf>
    <xf numFmtId="0" fontId="8" fillId="2" borderId="1" xfId="0" applyFont="1" applyFill="1" applyBorder="1" applyAlignment="1" applyProtection="1">
      <alignment horizontal="center"/>
    </xf>
    <xf numFmtId="0" fontId="3" fillId="11" borderId="10" xfId="0" applyFont="1" applyFill="1" applyBorder="1" applyAlignment="1" applyProtection="1">
      <alignment horizontal="center" vertical="center" wrapText="1"/>
    </xf>
    <xf numFmtId="0" fontId="3" fillId="11" borderId="48" xfId="0" applyFont="1" applyFill="1" applyBorder="1" applyAlignment="1" applyProtection="1">
      <alignment horizontal="center" vertical="center" wrapText="1"/>
    </xf>
    <xf numFmtId="0" fontId="3" fillId="11" borderId="43"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xf>
    <xf numFmtId="0" fontId="8" fillId="2" borderId="1" xfId="0" applyFont="1" applyFill="1" applyBorder="1" applyAlignment="1" applyProtection="1">
      <alignment horizontal="center" vertical="center" wrapText="1"/>
    </xf>
    <xf numFmtId="0" fontId="3" fillId="11" borderId="72" xfId="0" applyFont="1" applyFill="1" applyBorder="1" applyAlignment="1" applyProtection="1">
      <alignment horizontal="center" vertical="center" wrapText="1"/>
    </xf>
    <xf numFmtId="0" fontId="3" fillId="11" borderId="3" xfId="0" applyFont="1" applyFill="1" applyBorder="1" applyAlignment="1" applyProtection="1">
      <alignment horizontal="center" vertical="center" wrapText="1"/>
    </xf>
    <xf numFmtId="0" fontId="3" fillId="11" borderId="73" xfId="0" applyFont="1" applyFill="1" applyBorder="1" applyAlignment="1" applyProtection="1">
      <alignment horizontal="center" vertical="center" wrapText="1"/>
    </xf>
    <xf numFmtId="0" fontId="8" fillId="10" borderId="33" xfId="0" applyFont="1" applyFill="1" applyBorder="1" applyAlignment="1" applyProtection="1">
      <alignment horizontal="center" vertical="center" wrapText="1"/>
    </xf>
    <xf numFmtId="0" fontId="1" fillId="10" borderId="56" xfId="0" applyFont="1" applyFill="1" applyBorder="1" applyAlignment="1" applyProtection="1">
      <alignment horizontal="center" vertical="center" wrapText="1"/>
    </xf>
    <xf numFmtId="0" fontId="3" fillId="11" borderId="33" xfId="0" applyFont="1" applyFill="1" applyBorder="1" applyAlignment="1" applyProtection="1">
      <alignment horizontal="center" vertical="center" wrapText="1"/>
    </xf>
    <xf numFmtId="0" fontId="3" fillId="11" borderId="25" xfId="0" applyFont="1" applyFill="1" applyBorder="1" applyAlignment="1" applyProtection="1">
      <alignment horizontal="center" vertical="center" wrapText="1"/>
    </xf>
    <xf numFmtId="0" fontId="3" fillId="11" borderId="27" xfId="0" applyFont="1" applyFill="1" applyBorder="1" applyAlignment="1" applyProtection="1">
      <alignment horizontal="center" vertical="center" wrapText="1"/>
    </xf>
    <xf numFmtId="0" fontId="3" fillId="11" borderId="105" xfId="0" applyFont="1" applyFill="1" applyBorder="1" applyAlignment="1" applyProtection="1">
      <alignment horizontal="center" vertical="center" wrapText="1"/>
    </xf>
    <xf numFmtId="0" fontId="8" fillId="2" borderId="15" xfId="0" applyFont="1" applyFill="1" applyBorder="1" applyAlignment="1" applyProtection="1">
      <alignment horizontal="center" vertical="center" wrapText="1"/>
    </xf>
    <xf numFmtId="0" fontId="0" fillId="0" borderId="34" xfId="0" applyBorder="1" applyAlignment="1" applyProtection="1">
      <alignment horizontal="center" vertical="center" wrapText="1"/>
    </xf>
    <xf numFmtId="0" fontId="0" fillId="3" borderId="28" xfId="0" applyFill="1" applyBorder="1" applyAlignment="1" applyProtection="1">
      <alignment vertical="center" wrapText="1"/>
    </xf>
    <xf numFmtId="165" fontId="2" fillId="3" borderId="19" xfId="0" applyNumberFormat="1" applyFont="1" applyFill="1" applyBorder="1" applyAlignment="1" applyProtection="1">
      <alignment horizontal="center" vertical="center"/>
    </xf>
    <xf numFmtId="165" fontId="2" fillId="3" borderId="1" xfId="0" applyNumberFormat="1" applyFont="1" applyFill="1" applyBorder="1" applyAlignment="1" applyProtection="1">
      <alignment horizontal="center" vertical="center"/>
    </xf>
    <xf numFmtId="165" fontId="2" fillId="3" borderId="20" xfId="0" applyNumberFormat="1" applyFont="1" applyFill="1" applyBorder="1" applyAlignment="1" applyProtection="1">
      <alignment horizontal="center" vertical="center"/>
    </xf>
    <xf numFmtId="165" fontId="2" fillId="3" borderId="98" xfId="0" applyNumberFormat="1" applyFont="1" applyFill="1" applyBorder="1" applyAlignment="1" applyProtection="1">
      <alignment horizontal="center" vertical="center"/>
    </xf>
    <xf numFmtId="0" fontId="0" fillId="3" borderId="20" xfId="0" applyFill="1" applyBorder="1" applyAlignment="1" applyProtection="1">
      <alignment vertical="center" wrapText="1"/>
    </xf>
    <xf numFmtId="0" fontId="0" fillId="0" borderId="19" xfId="0" applyBorder="1" applyAlignment="1" applyProtection="1">
      <alignment horizontal="center" vertical="center" wrapText="1"/>
    </xf>
    <xf numFmtId="0" fontId="0" fillId="0" borderId="20" xfId="0" applyBorder="1" applyAlignment="1" applyProtection="1">
      <alignment vertical="center"/>
    </xf>
    <xf numFmtId="0" fontId="0" fillId="0" borderId="20" xfId="0" applyBorder="1" applyAlignment="1" applyProtection="1">
      <alignment vertical="center" wrapText="1"/>
    </xf>
    <xf numFmtId="0" fontId="0" fillId="0" borderId="20" xfId="0" applyBorder="1" applyAlignment="1" applyProtection="1">
      <alignment wrapText="1"/>
    </xf>
    <xf numFmtId="0" fontId="0" fillId="0" borderId="21" xfId="0" applyBorder="1" applyAlignment="1" applyProtection="1">
      <alignment horizontal="center" vertical="center" wrapText="1"/>
    </xf>
    <xf numFmtId="0" fontId="0" fillId="0" borderId="22" xfId="0" applyBorder="1" applyAlignment="1" applyProtection="1">
      <alignment wrapText="1"/>
    </xf>
    <xf numFmtId="165" fontId="2" fillId="3" borderId="21" xfId="0" applyNumberFormat="1" applyFont="1" applyFill="1" applyBorder="1" applyAlignment="1" applyProtection="1">
      <alignment horizontal="center" vertical="center"/>
    </xf>
    <xf numFmtId="165" fontId="2" fillId="3" borderId="15" xfId="0" applyNumberFormat="1" applyFont="1" applyFill="1" applyBorder="1" applyAlignment="1" applyProtection="1">
      <alignment horizontal="center" vertical="center"/>
    </xf>
    <xf numFmtId="165" fontId="2" fillId="3" borderId="22" xfId="0" applyNumberFormat="1" applyFont="1" applyFill="1" applyBorder="1" applyAlignment="1" applyProtection="1">
      <alignment horizontal="center" vertical="center"/>
    </xf>
    <xf numFmtId="165" fontId="2" fillId="3" borderId="61" xfId="0" applyNumberFormat="1" applyFont="1" applyFill="1" applyBorder="1" applyAlignment="1" applyProtection="1">
      <alignment horizontal="center" vertical="center"/>
    </xf>
    <xf numFmtId="0" fontId="0" fillId="0" borderId="0" xfId="0" applyAlignment="1" applyProtection="1">
      <alignment horizontal="center" vertical="center" wrapText="1"/>
    </xf>
    <xf numFmtId="0" fontId="2" fillId="0" borderId="0" xfId="0" applyFont="1" applyAlignment="1" applyProtection="1">
      <alignment vertical="center"/>
    </xf>
    <xf numFmtId="0" fontId="4" fillId="3" borderId="0" xfId="0" applyFont="1" applyFill="1" applyProtection="1"/>
    <xf numFmtId="0" fontId="16" fillId="3" borderId="8" xfId="0" applyFont="1" applyFill="1" applyBorder="1" applyAlignment="1" applyProtection="1">
      <alignment horizontal="left" wrapText="1"/>
    </xf>
    <xf numFmtId="0" fontId="0" fillId="0" borderId="8" xfId="0" applyBorder="1" applyAlignment="1" applyProtection="1">
      <alignment horizontal="center" wrapText="1"/>
    </xf>
    <xf numFmtId="0" fontId="0" fillId="3" borderId="0" xfId="0" applyFill="1" applyAlignment="1" applyProtection="1">
      <alignment horizontal="center"/>
    </xf>
    <xf numFmtId="0" fontId="1" fillId="3" borderId="54" xfId="0" applyFont="1" applyFill="1" applyBorder="1" applyAlignment="1" applyProtection="1">
      <alignment horizontal="center"/>
    </xf>
    <xf numFmtId="0" fontId="1" fillId="3" borderId="75" xfId="0" applyFont="1" applyFill="1" applyBorder="1" applyAlignment="1" applyProtection="1">
      <alignment horizontal="center"/>
    </xf>
    <xf numFmtId="0" fontId="1" fillId="3" borderId="98" xfId="0" applyFont="1" applyFill="1" applyBorder="1" applyAlignment="1" applyProtection="1">
      <alignment horizontal="center"/>
    </xf>
    <xf numFmtId="0" fontId="1" fillId="3" borderId="1" xfId="0" applyFont="1" applyFill="1" applyBorder="1" applyAlignment="1" applyProtection="1">
      <alignment horizontal="center"/>
    </xf>
    <xf numFmtId="0" fontId="1" fillId="9" borderId="1" xfId="0" applyFont="1" applyFill="1" applyBorder="1" applyAlignment="1" applyProtection="1">
      <alignment horizontal="center" vertical="center" wrapText="1"/>
    </xf>
    <xf numFmtId="0" fontId="1" fillId="3" borderId="2" xfId="0" applyFont="1" applyFill="1" applyBorder="1" applyAlignment="1" applyProtection="1">
      <alignment horizontal="center"/>
    </xf>
    <xf numFmtId="0" fontId="1" fillId="3" borderId="3" xfId="0" applyFont="1" applyFill="1" applyBorder="1" applyAlignment="1" applyProtection="1">
      <alignment horizontal="center"/>
    </xf>
    <xf numFmtId="0" fontId="1" fillId="3" borderId="4" xfId="0" applyFont="1" applyFill="1" applyBorder="1" applyAlignment="1" applyProtection="1">
      <alignment horizontal="center"/>
    </xf>
    <xf numFmtId="0" fontId="0" fillId="3" borderId="1" xfId="0" applyFill="1" applyBorder="1" applyProtection="1"/>
    <xf numFmtId="0" fontId="1" fillId="3" borderId="1" xfId="0" applyFont="1" applyFill="1" applyBorder="1" applyAlignment="1" applyProtection="1">
      <alignment horizontal="center"/>
    </xf>
    <xf numFmtId="0" fontId="3" fillId="3" borderId="1" xfId="0" applyFont="1" applyFill="1" applyBorder="1" applyAlignment="1" applyProtection="1">
      <alignment horizontal="center" wrapText="1"/>
    </xf>
    <xf numFmtId="0" fontId="1" fillId="3" borderId="1" xfId="0" applyFont="1" applyFill="1" applyBorder="1" applyAlignment="1" applyProtection="1">
      <alignment horizontal="center" wrapText="1"/>
    </xf>
    <xf numFmtId="0" fontId="1" fillId="9" borderId="1" xfId="0" applyFont="1" applyFill="1" applyBorder="1" applyAlignment="1" applyProtection="1">
      <alignment horizontal="center" wrapText="1"/>
    </xf>
    <xf numFmtId="0" fontId="1" fillId="3" borderId="11" xfId="0" applyFont="1" applyFill="1" applyBorder="1" applyAlignment="1" applyProtection="1">
      <alignment horizontal="center" wrapText="1"/>
    </xf>
    <xf numFmtId="0" fontId="1" fillId="3" borderId="12" xfId="0" applyFont="1" applyFill="1" applyBorder="1" applyAlignment="1" applyProtection="1">
      <alignment horizontal="center" wrapText="1"/>
    </xf>
    <xf numFmtId="0" fontId="1" fillId="3" borderId="13" xfId="0" applyFont="1" applyFill="1" applyBorder="1" applyAlignment="1" applyProtection="1">
      <alignment horizontal="center" wrapText="1"/>
    </xf>
    <xf numFmtId="0" fontId="1" fillId="3" borderId="1" xfId="0" applyFont="1" applyFill="1" applyBorder="1" applyAlignment="1" applyProtection="1">
      <alignment vertical="center"/>
    </xf>
    <xf numFmtId="0" fontId="0" fillId="3" borderId="1" xfId="0" applyFill="1" applyBorder="1" applyAlignment="1" applyProtection="1">
      <alignment vertical="center"/>
    </xf>
    <xf numFmtId="0" fontId="0" fillId="0" borderId="1" xfId="0" applyBorder="1" applyAlignment="1" applyProtection="1">
      <alignment wrapText="1"/>
    </xf>
    <xf numFmtId="2" fontId="2" fillId="0" borderId="1" xfId="0" applyNumberFormat="1" applyFont="1" applyBorder="1" applyAlignment="1" applyProtection="1">
      <alignment horizontal="center"/>
    </xf>
    <xf numFmtId="1" fontId="2" fillId="0" borderId="1" xfId="0" quotePrefix="1" applyNumberFormat="1" applyFont="1" applyBorder="1" applyAlignment="1" applyProtection="1">
      <alignment horizontal="center"/>
    </xf>
    <xf numFmtId="0" fontId="0" fillId="9" borderId="1" xfId="0" quotePrefix="1" applyFill="1" applyBorder="1" applyAlignment="1" applyProtection="1">
      <alignment horizontal="center"/>
    </xf>
    <xf numFmtId="0" fontId="0" fillId="3" borderId="5" xfId="0" applyFill="1" applyBorder="1" applyProtection="1"/>
    <xf numFmtId="166" fontId="0" fillId="3" borderId="7" xfId="0" applyNumberFormat="1" applyFill="1" applyBorder="1" applyProtection="1"/>
    <xf numFmtId="4" fontId="2" fillId="0" borderId="1" xfId="0" quotePrefix="1" applyNumberFormat="1" applyFont="1" applyBorder="1" applyAlignment="1" applyProtection="1">
      <alignment horizontal="center"/>
    </xf>
    <xf numFmtId="1" fontId="2" fillId="0" borderId="1" xfId="0" applyNumberFormat="1" applyFont="1" applyBorder="1" applyAlignment="1" applyProtection="1">
      <alignment horizontal="center"/>
    </xf>
    <xf numFmtId="0" fontId="0" fillId="3" borderId="1" xfId="0" applyFill="1" applyBorder="1" applyAlignment="1" applyProtection="1">
      <alignment vertical="center" wrapText="1"/>
    </xf>
    <xf numFmtId="0" fontId="17" fillId="3" borderId="1" xfId="0" applyFont="1" applyFill="1" applyBorder="1" applyAlignment="1" applyProtection="1">
      <alignment vertical="center"/>
    </xf>
    <xf numFmtId="0" fontId="2" fillId="3" borderId="1" xfId="0" applyFont="1" applyFill="1" applyBorder="1" applyAlignment="1" applyProtection="1">
      <alignment vertical="center" wrapText="1"/>
    </xf>
    <xf numFmtId="0" fontId="0" fillId="3" borderId="1" xfId="0" applyFill="1" applyBorder="1" applyAlignment="1" applyProtection="1">
      <alignment wrapText="1"/>
    </xf>
    <xf numFmtId="0" fontId="0" fillId="3" borderId="1" xfId="0" quotePrefix="1" applyFill="1" applyBorder="1" applyAlignment="1" applyProtection="1">
      <alignment horizontal="center"/>
    </xf>
    <xf numFmtId="11" fontId="2" fillId="8" borderId="1" xfId="0" quotePrefix="1" applyNumberFormat="1" applyFont="1" applyFill="1" applyBorder="1" applyAlignment="1" applyProtection="1">
      <alignment horizontal="center"/>
    </xf>
    <xf numFmtId="0" fontId="0" fillId="3" borderId="7" xfId="0" applyFill="1" applyBorder="1" applyAlignment="1" applyProtection="1">
      <alignment wrapText="1"/>
    </xf>
    <xf numFmtId="0" fontId="0" fillId="3" borderId="6" xfId="0" applyFill="1" applyBorder="1" applyProtection="1"/>
    <xf numFmtId="0" fontId="0" fillId="3" borderId="8" xfId="0" applyFill="1" applyBorder="1" applyProtection="1"/>
    <xf numFmtId="166" fontId="0" fillId="3" borderId="9" xfId="0" applyNumberFormat="1" applyFill="1" applyBorder="1" applyProtection="1"/>
    <xf numFmtId="0" fontId="1" fillId="3" borderId="0" xfId="0" applyFont="1" applyFill="1" applyAlignment="1" applyProtection="1">
      <alignment vertical="center"/>
    </xf>
    <xf numFmtId="0" fontId="17" fillId="3" borderId="0" xfId="0" applyFont="1" applyFill="1" applyAlignment="1" applyProtection="1">
      <alignment wrapText="1"/>
    </xf>
    <xf numFmtId="0" fontId="0" fillId="3" borderId="0" xfId="0" quotePrefix="1" applyFill="1" applyAlignment="1" applyProtection="1">
      <alignment horizontal="center"/>
    </xf>
    <xf numFmtId="0" fontId="0" fillId="3" borderId="0" xfId="0" applyFill="1" applyAlignment="1" applyProtection="1">
      <alignment horizontal="left" vertical="top"/>
    </xf>
    <xf numFmtId="0" fontId="1" fillId="3" borderId="54" xfId="0" applyFont="1" applyFill="1" applyBorder="1" applyAlignment="1" applyProtection="1">
      <alignment horizontal="center" vertical="center"/>
    </xf>
    <xf numFmtId="0" fontId="1" fillId="3" borderId="75" xfId="0" applyFont="1" applyFill="1" applyBorder="1" applyAlignment="1" applyProtection="1">
      <alignment horizontal="center" vertical="center"/>
    </xf>
    <xf numFmtId="0" fontId="1" fillId="3" borderId="98" xfId="0" applyFont="1" applyFill="1" applyBorder="1" applyAlignment="1" applyProtection="1">
      <alignment horizontal="center" vertical="center"/>
    </xf>
    <xf numFmtId="165" fontId="0" fillId="3" borderId="1" xfId="0" applyNumberFormat="1" applyFill="1" applyBorder="1" applyAlignment="1" applyProtection="1">
      <alignment horizontal="left" vertical="top"/>
    </xf>
    <xf numFmtId="0" fontId="0" fillId="3" borderId="1" xfId="0" applyFill="1" applyBorder="1" applyAlignment="1" applyProtection="1">
      <alignment horizontal="left" vertical="top"/>
    </xf>
    <xf numFmtId="165" fontId="0" fillId="0" borderId="1" xfId="0" applyNumberFormat="1" applyBorder="1" applyAlignment="1" applyProtection="1">
      <alignment horizontal="left" vertical="top"/>
    </xf>
    <xf numFmtId="0" fontId="7" fillId="3" borderId="24" xfId="0" applyFont="1" applyFill="1" applyBorder="1" applyAlignment="1" applyProtection="1">
      <alignment vertical="center" wrapText="1"/>
    </xf>
    <xf numFmtId="0" fontId="2" fillId="0" borderId="1" xfId="0" applyFont="1" applyBorder="1" applyAlignment="1" applyProtection="1">
      <alignment horizontal="center"/>
    </xf>
    <xf numFmtId="165" fontId="0" fillId="3" borderId="1" xfId="0" applyNumberFormat="1" applyFill="1" applyBorder="1" applyAlignment="1" applyProtection="1">
      <alignment horizontal="left" vertical="top"/>
    </xf>
    <xf numFmtId="3" fontId="2" fillId="0" borderId="1" xfId="0" applyNumberFormat="1" applyFont="1" applyBorder="1" applyAlignment="1" applyProtection="1">
      <alignment horizontal="center"/>
    </xf>
    <xf numFmtId="0" fontId="1" fillId="3" borderId="1" xfId="0" applyFont="1" applyFill="1" applyBorder="1" applyAlignment="1" applyProtection="1">
      <alignment horizontal="left" vertical="center"/>
    </xf>
    <xf numFmtId="11" fontId="0" fillId="8" borderId="9" xfId="0" applyNumberFormat="1" applyFill="1" applyBorder="1" applyAlignment="1" applyProtection="1">
      <alignment horizontal="center"/>
    </xf>
    <xf numFmtId="0" fontId="0" fillId="3" borderId="8" xfId="0" applyFill="1" applyBorder="1" applyAlignment="1" applyProtection="1">
      <alignment vertical="top"/>
    </xf>
    <xf numFmtId="0" fontId="2" fillId="3" borderId="2" xfId="0" applyFont="1" applyFill="1" applyBorder="1" applyAlignment="1" applyProtection="1">
      <alignment horizontal="left" vertical="top"/>
    </xf>
    <xf numFmtId="0" fontId="2" fillId="3" borderId="4" xfId="0" applyFont="1" applyFill="1" applyBorder="1" applyAlignment="1" applyProtection="1">
      <alignment horizontal="left" vertical="top"/>
    </xf>
    <xf numFmtId="11" fontId="2" fillId="21" borderId="1" xfId="0" applyNumberFormat="1" applyFont="1" applyFill="1" applyBorder="1" applyAlignment="1" applyProtection="1">
      <alignment horizontal="center" vertical="center"/>
    </xf>
    <xf numFmtId="0" fontId="2" fillId="3" borderId="6" xfId="0" applyFont="1" applyFill="1" applyBorder="1" applyAlignment="1" applyProtection="1">
      <alignment horizontal="left" vertical="top" wrapText="1"/>
    </xf>
    <xf numFmtId="0" fontId="2" fillId="3" borderId="9" xfId="0" applyFont="1" applyFill="1" applyBorder="1" applyAlignment="1" applyProtection="1">
      <alignment horizontal="left" vertical="top" wrapText="1"/>
    </xf>
    <xf numFmtId="165" fontId="2" fillId="3" borderId="1" xfId="0" applyNumberFormat="1" applyFont="1" applyFill="1" applyBorder="1" applyAlignment="1" applyProtection="1">
      <alignment horizontal="center" vertical="center" wrapText="1"/>
    </xf>
    <xf numFmtId="0" fontId="2" fillId="3" borderId="1" xfId="0" applyFont="1" applyFill="1" applyBorder="1" applyAlignment="1" applyProtection="1">
      <alignment horizontal="left" vertical="top"/>
    </xf>
    <xf numFmtId="0" fontId="2" fillId="3" borderId="1" xfId="0" applyFont="1" applyFill="1" applyBorder="1" applyAlignment="1" applyProtection="1">
      <alignment vertical="center"/>
    </xf>
    <xf numFmtId="167" fontId="2" fillId="3" borderId="1" xfId="0" applyNumberFormat="1" applyFont="1" applyFill="1" applyBorder="1" applyAlignment="1" applyProtection="1">
      <alignment horizontal="center" vertical="center"/>
    </xf>
    <xf numFmtId="0" fontId="7" fillId="0" borderId="0" xfId="0" applyFont="1" applyAlignment="1" applyProtection="1">
      <alignment horizontal="center"/>
    </xf>
    <xf numFmtId="0" fontId="8" fillId="2" borderId="16" xfId="0" applyFont="1" applyFill="1" applyBorder="1" applyAlignment="1" applyProtection="1">
      <alignment horizontal="center" vertical="center" wrapText="1"/>
    </xf>
    <xf numFmtId="0" fontId="8" fillId="2" borderId="14" xfId="0" applyFont="1" applyFill="1" applyBorder="1" applyAlignment="1" applyProtection="1">
      <alignment horizontal="center" vertical="center" wrapText="1"/>
    </xf>
    <xf numFmtId="0" fontId="9" fillId="2" borderId="14" xfId="0" applyFont="1" applyFill="1" applyBorder="1" applyAlignment="1" applyProtection="1">
      <alignment horizontal="center" vertical="center" wrapText="1"/>
    </xf>
    <xf numFmtId="0" fontId="8" fillId="2" borderId="17" xfId="0" applyFont="1" applyFill="1" applyBorder="1" applyAlignment="1" applyProtection="1">
      <alignment horizontal="center" vertical="center" wrapText="1"/>
    </xf>
    <xf numFmtId="0" fontId="8" fillId="2" borderId="27" xfId="0" applyFont="1" applyFill="1" applyBorder="1" applyAlignment="1" applyProtection="1">
      <alignment horizontal="center" vertical="center" wrapText="1"/>
    </xf>
    <xf numFmtId="0" fontId="8" fillId="2" borderId="19"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wrapText="1"/>
    </xf>
    <xf numFmtId="0" fontId="8" fillId="2" borderId="54" xfId="0" applyFont="1" applyFill="1" applyBorder="1" applyAlignment="1" applyProtection="1">
      <alignment horizontal="center" vertical="center" wrapText="1"/>
    </xf>
    <xf numFmtId="0" fontId="8" fillId="2" borderId="111" xfId="0" applyFont="1" applyFill="1" applyBorder="1" applyAlignment="1" applyProtection="1">
      <alignment horizontal="center" vertical="center" wrapText="1"/>
    </xf>
    <xf numFmtId="0" fontId="8" fillId="0" borderId="0" xfId="0" applyFont="1" applyAlignment="1" applyProtection="1">
      <alignment vertical="center" wrapText="1"/>
    </xf>
    <xf numFmtId="0" fontId="8" fillId="0" borderId="0" xfId="0" applyFont="1" applyAlignment="1" applyProtection="1">
      <alignment vertical="center"/>
    </xf>
    <xf numFmtId="0" fontId="8" fillId="2" borderId="21" xfId="0" applyFont="1" applyFill="1" applyBorder="1" applyAlignment="1" applyProtection="1">
      <alignment horizontal="center" vertical="center" wrapText="1"/>
    </xf>
    <xf numFmtId="0" fontId="8" fillId="2" borderId="15" xfId="0" applyFont="1" applyFill="1" applyBorder="1" applyAlignment="1" applyProtection="1">
      <alignment horizontal="center" vertical="center" wrapText="1"/>
    </xf>
    <xf numFmtId="0" fontId="8" fillId="2" borderId="29" xfId="0" applyFont="1" applyFill="1" applyBorder="1" applyAlignment="1" applyProtection="1">
      <alignment horizontal="center" vertical="center" wrapText="1"/>
    </xf>
    <xf numFmtId="0" fontId="8" fillId="2" borderId="42" xfId="0" applyFont="1" applyFill="1" applyBorder="1" applyAlignment="1" applyProtection="1">
      <alignment horizontal="center" vertical="center" wrapText="1"/>
    </xf>
    <xf numFmtId="0" fontId="7" fillId="0" borderId="19" xfId="0" applyFont="1" applyBorder="1" applyAlignment="1" applyProtection="1">
      <alignment horizontal="center" vertical="center"/>
    </xf>
    <xf numFmtId="0" fontId="7" fillId="0" borderId="24" xfId="0" applyFont="1" applyBorder="1" applyAlignment="1" applyProtection="1">
      <alignment vertical="center"/>
    </xf>
    <xf numFmtId="0" fontId="7" fillId="0" borderId="1" xfId="0" applyFont="1" applyBorder="1" applyAlignment="1" applyProtection="1">
      <alignment horizontal="center"/>
    </xf>
    <xf numFmtId="0" fontId="7" fillId="0" borderId="1" xfId="0" applyFont="1" applyBorder="1" applyAlignment="1" applyProtection="1">
      <alignment horizontal="center" vertical="center"/>
    </xf>
    <xf numFmtId="165" fontId="12" fillId="0" borderId="1" xfId="0" applyNumberFormat="1" applyFont="1" applyBorder="1" applyAlignment="1" applyProtection="1">
      <alignment horizontal="center" vertical="center"/>
    </xf>
    <xf numFmtId="165" fontId="12" fillId="0" borderId="98" xfId="0" applyNumberFormat="1" applyFont="1" applyBorder="1" applyAlignment="1" applyProtection="1">
      <alignment horizontal="center" vertical="center"/>
    </xf>
    <xf numFmtId="1" fontId="7" fillId="0" borderId="24" xfId="0" quotePrefix="1" applyNumberFormat="1" applyFont="1" applyBorder="1" applyAlignment="1" applyProtection="1">
      <alignment horizontal="center" vertical="center"/>
    </xf>
    <xf numFmtId="0" fontId="7" fillId="0" borderId="2" xfId="0" applyFont="1" applyBorder="1" applyAlignment="1" applyProtection="1">
      <alignment horizontal="left" vertical="top" wrapText="1"/>
    </xf>
    <xf numFmtId="0" fontId="7" fillId="0" borderId="20" xfId="0" applyFont="1" applyBorder="1" applyAlignment="1" applyProtection="1">
      <alignment wrapText="1"/>
    </xf>
    <xf numFmtId="0" fontId="8" fillId="0" borderId="0" xfId="0" applyFont="1" applyAlignment="1" applyProtection="1">
      <alignment horizontal="center" vertical="center" wrapText="1"/>
    </xf>
    <xf numFmtId="0" fontId="8" fillId="0" borderId="0" xfId="0" applyFont="1" applyAlignment="1" applyProtection="1">
      <alignment horizontal="center" vertical="center"/>
    </xf>
    <xf numFmtId="0" fontId="12" fillId="0" borderId="1" xfId="0" applyFont="1" applyBorder="1" applyAlignment="1" applyProtection="1">
      <alignment horizontal="center"/>
    </xf>
    <xf numFmtId="0" fontId="7" fillId="7" borderId="1" xfId="0" applyFont="1" applyFill="1" applyBorder="1" applyAlignment="1" applyProtection="1">
      <alignment horizontal="center" vertical="center"/>
    </xf>
    <xf numFmtId="1" fontId="7" fillId="0" borderId="24" xfId="0" applyNumberFormat="1" applyFont="1" applyBorder="1" applyAlignment="1" applyProtection="1">
      <alignment horizontal="center" vertical="center"/>
    </xf>
    <xf numFmtId="0" fontId="7" fillId="0" borderId="1" xfId="0" applyFont="1" applyBorder="1" applyAlignment="1" applyProtection="1">
      <alignment vertical="top" wrapText="1"/>
    </xf>
    <xf numFmtId="0" fontId="7" fillId="0" borderId="1" xfId="0" applyFont="1" applyBorder="1" applyAlignment="1" applyProtection="1">
      <alignment vertical="center"/>
    </xf>
    <xf numFmtId="0" fontId="7" fillId="0" borderId="6" xfId="0" applyFont="1" applyBorder="1" applyAlignment="1" applyProtection="1">
      <alignment horizontal="center"/>
    </xf>
    <xf numFmtId="165" fontId="12" fillId="0" borderId="24" xfId="0" applyNumberFormat="1" applyFont="1" applyBorder="1" applyAlignment="1" applyProtection="1">
      <alignment horizontal="center" vertical="center"/>
    </xf>
    <xf numFmtId="1" fontId="7" fillId="0" borderId="1" xfId="0" applyNumberFormat="1" applyFont="1" applyBorder="1" applyAlignment="1" applyProtection="1">
      <alignment horizontal="center" vertical="center"/>
    </xf>
    <xf numFmtId="0" fontId="7" fillId="0" borderId="28" xfId="0" applyFont="1" applyBorder="1" applyAlignment="1" applyProtection="1">
      <alignment wrapText="1"/>
    </xf>
    <xf numFmtId="0" fontId="58" fillId="0" borderId="0" xfId="0" applyFont="1" applyProtection="1"/>
    <xf numFmtId="0" fontId="7" fillId="0" borderId="0" xfId="0" applyFont="1" applyAlignment="1" applyProtection="1">
      <alignment horizontal="left" vertical="center" wrapText="1"/>
    </xf>
    <xf numFmtId="1" fontId="7" fillId="0" borderId="54" xfId="0" applyNumberFormat="1" applyFont="1" applyBorder="1" applyAlignment="1" applyProtection="1">
      <alignment horizontal="center" vertical="center"/>
    </xf>
    <xf numFmtId="0" fontId="7" fillId="0" borderId="1" xfId="0" applyFont="1" applyBorder="1" applyAlignment="1" applyProtection="1">
      <alignment horizontal="left" vertical="top" wrapText="1"/>
    </xf>
    <xf numFmtId="0" fontId="7" fillId="0" borderId="74" xfId="0" applyFont="1" applyBorder="1" applyAlignment="1" applyProtection="1">
      <alignment wrapText="1"/>
    </xf>
    <xf numFmtId="0" fontId="7" fillId="0" borderId="53" xfId="0" applyFont="1" applyBorder="1" applyAlignment="1" applyProtection="1">
      <alignment horizontal="center" vertical="center"/>
    </xf>
    <xf numFmtId="0" fontId="7" fillId="0" borderId="115" xfId="0" applyFont="1" applyBorder="1" applyAlignment="1" applyProtection="1">
      <alignment wrapText="1"/>
    </xf>
    <xf numFmtId="4" fontId="7" fillId="0" borderId="1" xfId="0" applyNumberFormat="1" applyFont="1" applyBorder="1" applyAlignment="1" applyProtection="1">
      <alignment horizontal="center" vertical="center"/>
    </xf>
    <xf numFmtId="1" fontId="7" fillId="0" borderId="1" xfId="0" quotePrefix="1" applyNumberFormat="1" applyFont="1" applyBorder="1" applyAlignment="1" applyProtection="1">
      <alignment horizontal="center" vertical="center"/>
    </xf>
    <xf numFmtId="0" fontId="7" fillId="0" borderId="1" xfId="0" applyFont="1" applyBorder="1" applyAlignment="1" applyProtection="1">
      <alignment wrapText="1"/>
    </xf>
    <xf numFmtId="0" fontId="7" fillId="0" borderId="1" xfId="0" applyFont="1" applyBorder="1" applyAlignment="1" applyProtection="1">
      <alignment horizontal="left"/>
    </xf>
    <xf numFmtId="166" fontId="7" fillId="3" borderId="1" xfId="0" applyNumberFormat="1" applyFont="1" applyFill="1" applyBorder="1" applyAlignment="1" applyProtection="1">
      <alignment horizontal="center" vertical="center"/>
    </xf>
    <xf numFmtId="0" fontId="7" fillId="0" borderId="20" xfId="0" applyFont="1" applyBorder="1" applyProtection="1"/>
    <xf numFmtId="4" fontId="7" fillId="0" borderId="98" xfId="0" applyNumberFormat="1" applyFont="1" applyBorder="1" applyAlignment="1" applyProtection="1">
      <alignment horizontal="center" vertical="center"/>
    </xf>
    <xf numFmtId="2" fontId="7" fillId="3" borderId="1" xfId="0" applyNumberFormat="1" applyFont="1" applyFill="1" applyBorder="1" applyAlignment="1" applyProtection="1">
      <alignment horizontal="center" vertical="center"/>
    </xf>
    <xf numFmtId="0" fontId="7" fillId="0" borderId="1" xfId="0" applyFont="1" applyBorder="1" applyProtection="1"/>
    <xf numFmtId="0" fontId="8" fillId="0" borderId="0" xfId="0" applyFont="1" applyAlignment="1" applyProtection="1">
      <alignment horizontal="center" vertical="center" wrapText="1"/>
    </xf>
    <xf numFmtId="0" fontId="8" fillId="0" borderId="0" xfId="0" applyFont="1" applyAlignment="1" applyProtection="1">
      <alignment horizontal="center" vertical="center"/>
    </xf>
    <xf numFmtId="0" fontId="7" fillId="0" borderId="19" xfId="0" applyFont="1" applyBorder="1" applyAlignment="1" applyProtection="1">
      <alignment horizontal="center"/>
    </xf>
    <xf numFmtId="0" fontId="7" fillId="0" borderId="21" xfId="0" applyFont="1" applyBorder="1" applyAlignment="1" applyProtection="1">
      <alignment horizontal="center"/>
    </xf>
    <xf numFmtId="0" fontId="7" fillId="0" borderId="15" xfId="0" applyFont="1" applyBorder="1" applyAlignment="1" applyProtection="1">
      <alignment horizontal="left"/>
    </xf>
    <xf numFmtId="0" fontId="7" fillId="0" borderId="15" xfId="0" applyFont="1" applyBorder="1" applyAlignment="1" applyProtection="1">
      <alignment horizontal="center"/>
    </xf>
    <xf numFmtId="0" fontId="7" fillId="0" borderId="15" xfId="0" applyFont="1" applyBorder="1" applyAlignment="1" applyProtection="1">
      <alignment horizontal="center" vertical="center"/>
    </xf>
    <xf numFmtId="4" fontId="7" fillId="0" borderId="15" xfId="0" applyNumberFormat="1" applyFont="1" applyBorder="1" applyAlignment="1" applyProtection="1">
      <alignment horizontal="center" vertical="center"/>
    </xf>
    <xf numFmtId="1" fontId="7" fillId="0" borderId="15" xfId="0" quotePrefix="1" applyNumberFormat="1" applyFont="1" applyBorder="1" applyAlignment="1" applyProtection="1">
      <alignment horizontal="center" vertical="center"/>
    </xf>
    <xf numFmtId="0" fontId="7" fillId="0" borderId="15" xfId="0" applyFont="1" applyBorder="1" applyAlignment="1" applyProtection="1">
      <alignment wrapText="1"/>
    </xf>
    <xf numFmtId="0" fontId="7" fillId="0" borderId="22" xfId="0" applyFont="1" applyBorder="1" applyAlignment="1" applyProtection="1">
      <alignment wrapText="1"/>
    </xf>
    <xf numFmtId="0" fontId="1" fillId="0" borderId="0" xfId="0" applyFont="1" applyProtection="1"/>
    <xf numFmtId="0" fontId="1" fillId="0" borderId="1" xfId="0" applyFont="1" applyBorder="1" applyProtection="1"/>
    <xf numFmtId="0" fontId="1" fillId="0" borderId="16" xfId="0" applyFont="1" applyBorder="1" applyProtection="1"/>
    <xf numFmtId="0" fontId="1" fillId="0" borderId="18" xfId="0" applyFont="1" applyBorder="1" applyProtection="1"/>
    <xf numFmtId="0" fontId="0" fillId="0" borderId="1" xfId="0" applyBorder="1" applyProtection="1"/>
    <xf numFmtId="1" fontId="62" fillId="0" borderId="1" xfId="0" applyNumberFormat="1" applyFont="1" applyBorder="1" applyAlignment="1" applyProtection="1">
      <alignment horizontal="left" vertical="center" wrapText="1"/>
    </xf>
    <xf numFmtId="0" fontId="0" fillId="0" borderId="19" xfId="0" applyBorder="1" applyAlignment="1" applyProtection="1">
      <alignment vertical="center"/>
    </xf>
    <xf numFmtId="0" fontId="0" fillId="3" borderId="23" xfId="0" applyFill="1" applyBorder="1" applyAlignment="1" applyProtection="1">
      <alignment horizontal="center" vertical="center"/>
    </xf>
    <xf numFmtId="0" fontId="21" fillId="0" borderId="0" xfId="0" applyFont="1" applyAlignment="1" applyProtection="1">
      <alignment horizontal="left" vertical="center" wrapText="1"/>
    </xf>
    <xf numFmtId="0" fontId="1" fillId="0" borderId="103" xfId="0" applyFont="1" applyBorder="1" applyProtection="1"/>
    <xf numFmtId="0" fontId="0" fillId="0" borderId="104" xfId="0" applyBorder="1" applyProtection="1"/>
    <xf numFmtId="0" fontId="1" fillId="0" borderId="44" xfId="0" applyFont="1" applyBorder="1" applyProtection="1"/>
    <xf numFmtId="0" fontId="0" fillId="0" borderId="49" xfId="0" applyBorder="1" applyAlignment="1" applyProtection="1">
      <alignment vertical="center"/>
    </xf>
    <xf numFmtId="9" fontId="0" fillId="0" borderId="46" xfId="0" applyNumberFormat="1" applyBorder="1" applyProtection="1"/>
    <xf numFmtId="9" fontId="0" fillId="0" borderId="45" xfId="0" applyNumberFormat="1" applyBorder="1" applyProtection="1"/>
    <xf numFmtId="0" fontId="7" fillId="0" borderId="0" xfId="0" applyFont="1" applyAlignment="1" applyProtection="1">
      <alignment wrapText="1"/>
    </xf>
    <xf numFmtId="0" fontId="7" fillId="0" borderId="0" xfId="0" applyFont="1" applyAlignment="1" applyProtection="1">
      <alignment vertical="center" wrapText="1"/>
    </xf>
    <xf numFmtId="0" fontId="32" fillId="0" borderId="0" xfId="2" applyProtection="1"/>
    <xf numFmtId="0" fontId="1" fillId="0" borderId="47" xfId="0" applyFont="1" applyBorder="1" applyProtection="1"/>
    <xf numFmtId="0" fontId="33" fillId="0" borderId="16" xfId="2" applyFont="1" applyBorder="1" applyAlignment="1" applyProtection="1">
      <alignment vertical="center" wrapText="1"/>
    </xf>
    <xf numFmtId="0" fontId="7" fillId="3" borderId="14" xfId="0" applyFont="1" applyFill="1" applyBorder="1" applyAlignment="1" applyProtection="1">
      <alignment horizontal="center" vertical="center" wrapText="1"/>
    </xf>
    <xf numFmtId="0" fontId="33" fillId="0" borderId="18" xfId="2" applyFont="1" applyBorder="1" applyAlignment="1" applyProtection="1">
      <alignment vertical="center" wrapText="1"/>
    </xf>
    <xf numFmtId="0" fontId="0" fillId="0" borderId="19" xfId="0" applyBorder="1" applyAlignment="1" applyProtection="1">
      <alignment wrapText="1"/>
    </xf>
    <xf numFmtId="0" fontId="0" fillId="0" borderId="115" xfId="0" applyBorder="1" applyAlignment="1" applyProtection="1">
      <alignment wrapText="1"/>
    </xf>
    <xf numFmtId="0" fontId="0" fillId="0" borderId="46" xfId="0" applyBorder="1" applyProtection="1"/>
    <xf numFmtId="0" fontId="33" fillId="0" borderId="21" xfId="2" applyFont="1" applyBorder="1" applyAlignment="1" applyProtection="1">
      <alignment vertical="center" wrapText="1"/>
    </xf>
    <xf numFmtId="0" fontId="33" fillId="0" borderId="15" xfId="2" applyFont="1" applyBorder="1" applyAlignment="1" applyProtection="1">
      <alignment horizontal="center" vertical="center" wrapText="1"/>
    </xf>
    <xf numFmtId="0" fontId="33" fillId="0" borderId="22" xfId="2" applyFont="1" applyBorder="1" applyAlignment="1" applyProtection="1">
      <alignment vertical="center" wrapText="1"/>
    </xf>
    <xf numFmtId="0" fontId="33" fillId="0" borderId="14" xfId="2" applyFont="1" applyBorder="1" applyAlignment="1" applyProtection="1">
      <alignment horizontal="center" vertical="center" wrapText="1"/>
    </xf>
    <xf numFmtId="0" fontId="0" fillId="0" borderId="21" xfId="0" applyBorder="1" applyAlignment="1" applyProtection="1">
      <alignment wrapText="1"/>
    </xf>
    <xf numFmtId="0" fontId="0" fillId="0" borderId="116" xfId="0" applyBorder="1" applyAlignment="1" applyProtection="1">
      <alignment wrapText="1"/>
    </xf>
    <xf numFmtId="1" fontId="33" fillId="0" borderId="15" xfId="2" applyNumberFormat="1" applyFont="1" applyBorder="1" applyAlignment="1" applyProtection="1">
      <alignment horizontal="center" vertical="center" wrapText="1"/>
    </xf>
    <xf numFmtId="0" fontId="0" fillId="0" borderId="0" xfId="0" applyAlignment="1" applyProtection="1">
      <alignment wrapText="1"/>
    </xf>
    <xf numFmtId="0" fontId="0" fillId="0" borderId="45" xfId="0" applyBorder="1" applyProtection="1"/>
    <xf numFmtId="0" fontId="33" fillId="0" borderId="0" xfId="2" applyFont="1" applyAlignment="1" applyProtection="1">
      <alignment vertical="center" wrapText="1"/>
    </xf>
    <xf numFmtId="1" fontId="33" fillId="0" borderId="0" xfId="2" applyNumberFormat="1" applyFont="1" applyAlignment="1" applyProtection="1">
      <alignment horizontal="center" vertical="center" wrapText="1"/>
    </xf>
    <xf numFmtId="0" fontId="38" fillId="0" borderId="10" xfId="2" applyFont="1" applyBorder="1" applyAlignment="1" applyProtection="1">
      <alignment horizontal="left" vertical="center" wrapText="1"/>
    </xf>
    <xf numFmtId="0" fontId="38" fillId="0" borderId="48" xfId="2" applyFont="1" applyBorder="1" applyAlignment="1" applyProtection="1">
      <alignment horizontal="left" vertical="center" wrapText="1"/>
    </xf>
    <xf numFmtId="0" fontId="38" fillId="0" borderId="43" xfId="2" applyFont="1" applyBorder="1" applyAlignment="1" applyProtection="1">
      <alignment horizontal="left" vertical="center" wrapText="1"/>
    </xf>
    <xf numFmtId="0" fontId="32" fillId="0" borderId="21" xfId="2" applyBorder="1" applyProtection="1"/>
    <xf numFmtId="3" fontId="32" fillId="0" borderId="15" xfId="2" applyNumberFormat="1" applyBorder="1" applyProtection="1"/>
    <xf numFmtId="0" fontId="32" fillId="0" borderId="22" xfId="2" applyBorder="1" applyProtection="1"/>
    <xf numFmtId="0" fontId="35" fillId="14" borderId="77" xfId="2" applyFont="1" applyFill="1" applyBorder="1" applyAlignment="1" applyProtection="1">
      <alignment horizontal="center" vertical="center" wrapText="1"/>
    </xf>
    <xf numFmtId="0" fontId="35" fillId="14" borderId="78" xfId="2" applyFont="1" applyFill="1" applyBorder="1" applyAlignment="1" applyProtection="1">
      <alignment horizontal="center" vertical="center" wrapText="1"/>
    </xf>
    <xf numFmtId="0" fontId="33" fillId="0" borderId="52" xfId="2" applyFont="1" applyBorder="1" applyAlignment="1" applyProtection="1">
      <alignment vertical="center" wrapText="1"/>
    </xf>
    <xf numFmtId="0" fontId="33" fillId="0" borderId="76" xfId="2" applyFont="1" applyBorder="1" applyAlignment="1" applyProtection="1">
      <alignment horizontal="center" vertical="center" wrapText="1"/>
    </xf>
    <xf numFmtId="0" fontId="33" fillId="0" borderId="76" xfId="2" applyFont="1" applyBorder="1" applyAlignment="1" applyProtection="1">
      <alignment vertical="center" wrapText="1"/>
    </xf>
    <xf numFmtId="0" fontId="7" fillId="0" borderId="79" xfId="0" applyFont="1" applyBorder="1" applyAlignment="1" applyProtection="1">
      <alignment horizontal="center"/>
    </xf>
    <xf numFmtId="3" fontId="33" fillId="0" borderId="76" xfId="2" applyNumberFormat="1" applyFont="1" applyBorder="1" applyAlignment="1" applyProtection="1">
      <alignment horizontal="center" vertical="center" wrapText="1"/>
    </xf>
    <xf numFmtId="37" fontId="7" fillId="0" borderId="79" xfId="3" applyNumberFormat="1" applyFont="1" applyFill="1" applyBorder="1" applyAlignment="1" applyProtection="1">
      <alignment horizontal="center" vertical="center"/>
    </xf>
    <xf numFmtId="37" fontId="7" fillId="0" borderId="52" xfId="3" applyNumberFormat="1" applyFont="1" applyFill="1" applyBorder="1" applyAlignment="1" applyProtection="1">
      <alignment horizontal="center" vertical="center"/>
    </xf>
    <xf numFmtId="0" fontId="33" fillId="0" borderId="79" xfId="2" applyFont="1" applyBorder="1" applyAlignment="1" applyProtection="1">
      <alignment vertical="center" wrapText="1"/>
    </xf>
    <xf numFmtId="0" fontId="33" fillId="0" borderId="51" xfId="2" applyFont="1" applyBorder="1" applyAlignment="1" applyProtection="1">
      <alignment horizontal="center" vertical="center" wrapText="1"/>
    </xf>
    <xf numFmtId="0" fontId="33" fillId="0" borderId="51" xfId="2" applyFont="1" applyBorder="1" applyAlignment="1" applyProtection="1">
      <alignment vertical="center" wrapText="1"/>
    </xf>
    <xf numFmtId="0" fontId="1" fillId="6" borderId="79" xfId="0" applyFont="1" applyFill="1" applyBorder="1" applyAlignment="1" applyProtection="1">
      <alignment horizontal="center" vertical="center" wrapText="1"/>
    </xf>
    <xf numFmtId="0" fontId="1" fillId="6" borderId="40" xfId="0" applyFont="1" applyFill="1" applyBorder="1" applyAlignment="1" applyProtection="1">
      <alignment horizontal="center" vertical="center" wrapText="1"/>
    </xf>
    <xf numFmtId="0" fontId="1" fillId="6" borderId="53" xfId="0" applyFont="1" applyFill="1" applyBorder="1" applyAlignment="1" applyProtection="1">
      <alignment horizontal="left" wrapText="1"/>
    </xf>
    <xf numFmtId="0" fontId="0" fillId="3" borderId="34" xfId="0" applyFill="1" applyBorder="1" applyAlignment="1" applyProtection="1">
      <alignment horizontal="center"/>
    </xf>
    <xf numFmtId="164" fontId="0" fillId="3" borderId="24" xfId="0" applyNumberFormat="1" applyFill="1" applyBorder="1" applyAlignment="1" applyProtection="1">
      <alignment horizontal="center"/>
    </xf>
    <xf numFmtId="0" fontId="0" fillId="3" borderId="28" xfId="0" applyFill="1" applyBorder="1" applyProtection="1"/>
    <xf numFmtId="0" fontId="0" fillId="3" borderId="53" xfId="0" applyFill="1" applyBorder="1" applyAlignment="1" applyProtection="1">
      <alignment horizontal="center"/>
    </xf>
    <xf numFmtId="0" fontId="0" fillId="3" borderId="1" xfId="0" applyFill="1" applyBorder="1" applyAlignment="1" applyProtection="1">
      <alignment horizontal="center"/>
    </xf>
    <xf numFmtId="0" fontId="0" fillId="3" borderId="20" xfId="0" applyFill="1" applyBorder="1" applyProtection="1"/>
    <xf numFmtId="3" fontId="0" fillId="0" borderId="19" xfId="0" applyNumberFormat="1" applyBorder="1" applyAlignment="1" applyProtection="1">
      <alignment horizontal="center" vertical="center"/>
    </xf>
    <xf numFmtId="1" fontId="0" fillId="3" borderId="1" xfId="0" applyNumberFormat="1" applyFill="1" applyBorder="1" applyAlignment="1" applyProtection="1">
      <alignment horizontal="center"/>
    </xf>
    <xf numFmtId="0" fontId="0" fillId="3" borderId="19" xfId="0" applyFill="1" applyBorder="1" applyAlignment="1" applyProtection="1">
      <alignment horizontal="center"/>
    </xf>
    <xf numFmtId="0" fontId="1" fillId="6" borderId="70" xfId="0" applyFont="1" applyFill="1" applyBorder="1" applyAlignment="1" applyProtection="1">
      <alignment horizontal="left" wrapText="1"/>
    </xf>
    <xf numFmtId="0" fontId="0" fillId="3" borderId="21" xfId="0" applyFill="1" applyBorder="1" applyAlignment="1" applyProtection="1">
      <alignment horizontal="center"/>
    </xf>
    <xf numFmtId="0" fontId="0" fillId="3" borderId="15" xfId="0" applyFill="1" applyBorder="1" applyAlignment="1" applyProtection="1">
      <alignment horizontal="center"/>
    </xf>
    <xf numFmtId="0" fontId="0" fillId="3" borderId="22" xfId="0" applyFill="1" applyBorder="1" applyProtection="1"/>
    <xf numFmtId="0" fontId="0" fillId="3" borderId="58" xfId="0" applyFill="1" applyBorder="1" applyAlignment="1" applyProtection="1">
      <alignment horizontal="left" vertical="top" wrapText="1"/>
    </xf>
    <xf numFmtId="0" fontId="0" fillId="3" borderId="0" xfId="0" applyFill="1" applyAlignment="1" applyProtection="1">
      <alignment horizontal="left" vertical="top" wrapText="1"/>
    </xf>
    <xf numFmtId="0" fontId="0" fillId="3" borderId="0" xfId="0" applyFill="1" applyAlignment="1" applyProtection="1">
      <alignment horizontal="left" vertical="top" wrapText="1"/>
    </xf>
    <xf numFmtId="0" fontId="1" fillId="3" borderId="0" xfId="0" applyFont="1" applyFill="1" applyProtection="1"/>
    <xf numFmtId="0" fontId="19" fillId="3" borderId="0" xfId="0" applyFont="1" applyFill="1" applyProtection="1"/>
    <xf numFmtId="0" fontId="0" fillId="3" borderId="0" xfId="0" applyFill="1" applyAlignment="1" applyProtection="1">
      <alignment horizontal="left" wrapText="1"/>
    </xf>
  </cellXfs>
  <cellStyles count="4">
    <cellStyle name="Comma" xfId="3" builtinId="3"/>
    <cellStyle name="Normal" xfId="0" builtinId="0"/>
    <cellStyle name="Normal 2" xfId="2" xr:uid="{BC27F4E2-20B8-47A4-9D90-F2F490171813}"/>
    <cellStyle name="Percent" xfId="1" builtinId="5"/>
  </cellStyles>
  <dxfs count="227">
    <dxf>
      <font>
        <color theme="0"/>
      </font>
    </dxf>
    <dxf>
      <fill>
        <patternFill>
          <bgColor theme="0"/>
        </patternFill>
      </fill>
    </dxf>
    <dxf>
      <numFmt numFmtId="166" formatCode="0.0E+00"/>
    </dxf>
    <dxf>
      <numFmt numFmtId="4" formatCode="#,##0.00"/>
    </dxf>
    <dxf>
      <numFmt numFmtId="170" formatCode="#,##0.0"/>
    </dxf>
    <dxf>
      <numFmt numFmtId="3" formatCode="#,##0"/>
    </dxf>
    <dxf>
      <numFmt numFmtId="166" formatCode="0.0E+00"/>
    </dxf>
    <dxf>
      <numFmt numFmtId="4" formatCode="#,##0.00"/>
    </dxf>
    <dxf>
      <numFmt numFmtId="165" formatCode="0.000"/>
    </dxf>
    <dxf>
      <numFmt numFmtId="15" formatCode="0.00E+00"/>
    </dxf>
    <dxf>
      <numFmt numFmtId="166" formatCode="0.0E+00"/>
    </dxf>
    <dxf>
      <numFmt numFmtId="3" formatCode="#,##0"/>
    </dxf>
    <dxf>
      <numFmt numFmtId="164" formatCode="0.0"/>
    </dxf>
    <dxf>
      <numFmt numFmtId="2" formatCode="0.00"/>
    </dxf>
    <dxf>
      <numFmt numFmtId="166" formatCode="0.0E+00"/>
    </dxf>
    <dxf>
      <numFmt numFmtId="166" formatCode="0.0E+00"/>
    </dxf>
    <dxf>
      <numFmt numFmtId="3" formatCode="#,##0"/>
    </dxf>
    <dxf>
      <numFmt numFmtId="164" formatCode="0.0"/>
    </dxf>
    <dxf>
      <numFmt numFmtId="2" formatCode="0.00"/>
    </dxf>
    <dxf>
      <numFmt numFmtId="166" formatCode="0.0E+00"/>
    </dxf>
    <dxf>
      <font>
        <color theme="0"/>
      </font>
    </dxf>
    <dxf>
      <numFmt numFmtId="166" formatCode="0.0E+00"/>
    </dxf>
    <dxf>
      <numFmt numFmtId="3" formatCode="#,##0"/>
    </dxf>
    <dxf>
      <numFmt numFmtId="164" formatCode="0.0"/>
    </dxf>
    <dxf>
      <numFmt numFmtId="2" formatCode="0.00"/>
    </dxf>
    <dxf>
      <numFmt numFmtId="166" formatCode="0.0E+00"/>
    </dxf>
    <dxf>
      <font>
        <color theme="0"/>
      </font>
    </dxf>
    <dxf>
      <numFmt numFmtId="3" formatCode="#,##0"/>
    </dxf>
    <dxf>
      <numFmt numFmtId="166" formatCode="0.0E+00"/>
    </dxf>
    <dxf>
      <numFmt numFmtId="164" formatCode="0.0"/>
    </dxf>
    <dxf>
      <numFmt numFmtId="2" formatCode="0.00"/>
    </dxf>
    <dxf>
      <numFmt numFmtId="166" formatCode="0.0E+00"/>
    </dxf>
    <dxf>
      <font>
        <color theme="0"/>
      </font>
    </dxf>
    <dxf>
      <numFmt numFmtId="166" formatCode="0.0E+00"/>
    </dxf>
    <dxf>
      <numFmt numFmtId="3" formatCode="#,##0"/>
    </dxf>
    <dxf>
      <numFmt numFmtId="164" formatCode="0.0"/>
    </dxf>
    <dxf>
      <numFmt numFmtId="2" formatCode="0.00"/>
    </dxf>
    <dxf>
      <numFmt numFmtId="166" formatCode="0.0E+00"/>
    </dxf>
    <dxf>
      <font>
        <color theme="0"/>
      </font>
    </dxf>
    <dxf>
      <numFmt numFmtId="3" formatCode="#,##0"/>
    </dxf>
    <dxf>
      <numFmt numFmtId="166" formatCode="0.0E+00"/>
    </dxf>
    <dxf>
      <fill>
        <patternFill>
          <bgColor theme="0"/>
        </patternFill>
      </fill>
    </dxf>
    <dxf>
      <numFmt numFmtId="166" formatCode="0.0E+00"/>
    </dxf>
    <dxf>
      <fill>
        <patternFill>
          <bgColor theme="5"/>
        </patternFill>
      </fill>
    </dxf>
    <dxf>
      <numFmt numFmtId="0" formatCode="General"/>
      <fill>
        <patternFill>
          <bgColor rgb="FF00B050"/>
        </patternFill>
      </fill>
    </dxf>
    <dxf>
      <numFmt numFmtId="164" formatCode="0.0"/>
    </dxf>
    <dxf>
      <fill>
        <patternFill>
          <bgColor theme="5"/>
        </patternFill>
      </fill>
    </dxf>
    <dxf>
      <fill>
        <patternFill>
          <bgColor theme="0"/>
        </patternFill>
      </fill>
    </dxf>
    <dxf>
      <numFmt numFmtId="166" formatCode="0.0E+00"/>
    </dxf>
    <dxf>
      <numFmt numFmtId="3" formatCode="#,##0"/>
    </dxf>
    <dxf>
      <numFmt numFmtId="166" formatCode="0.0E+00"/>
    </dxf>
    <dxf>
      <numFmt numFmtId="0" formatCode="General"/>
      <fill>
        <patternFill>
          <bgColor rgb="FF00B050"/>
        </patternFill>
      </fill>
    </dxf>
    <dxf>
      <fill>
        <patternFill>
          <bgColor theme="0"/>
        </patternFill>
      </fill>
    </dxf>
    <dxf>
      <fill>
        <patternFill>
          <bgColor theme="5"/>
        </patternFill>
      </fill>
    </dxf>
    <dxf>
      <numFmt numFmtId="3" formatCode="#,##0"/>
    </dxf>
    <dxf>
      <numFmt numFmtId="166" formatCode="0.0E+00"/>
    </dxf>
    <dxf>
      <fill>
        <patternFill>
          <bgColor theme="5"/>
        </patternFill>
      </fill>
    </dxf>
    <dxf>
      <numFmt numFmtId="170" formatCode="#,##0.0"/>
    </dxf>
    <dxf>
      <numFmt numFmtId="4" formatCode="#,##0.00"/>
    </dxf>
    <dxf>
      <numFmt numFmtId="166" formatCode="0.0E+00"/>
    </dxf>
    <dxf>
      <fill>
        <patternFill>
          <bgColor theme="0"/>
        </patternFill>
      </fill>
    </dxf>
    <dxf>
      <fill>
        <patternFill>
          <bgColor rgb="FF00B050"/>
        </patternFill>
      </fill>
    </dxf>
    <dxf>
      <numFmt numFmtId="0" formatCode="General"/>
      <fill>
        <patternFill>
          <bgColor rgb="FF00B050"/>
        </patternFill>
      </fill>
    </dxf>
    <dxf>
      <fill>
        <patternFill>
          <bgColor theme="5"/>
        </patternFill>
      </fill>
    </dxf>
    <dxf>
      <font>
        <color theme="0"/>
      </font>
    </dxf>
    <dxf>
      <fill>
        <patternFill>
          <bgColor theme="0"/>
        </patternFill>
      </fill>
    </dxf>
    <dxf>
      <numFmt numFmtId="166" formatCode="0.0E+00"/>
    </dxf>
    <dxf>
      <numFmt numFmtId="4" formatCode="#,##0.00"/>
    </dxf>
    <dxf>
      <numFmt numFmtId="170" formatCode="#,##0.0"/>
    </dxf>
    <dxf>
      <numFmt numFmtId="3" formatCode="#,##0"/>
    </dxf>
    <dxf>
      <numFmt numFmtId="166" formatCode="0.0E+00"/>
    </dxf>
    <dxf>
      <numFmt numFmtId="170" formatCode="#,##0.0"/>
    </dxf>
    <dxf>
      <numFmt numFmtId="164" formatCode="0.0"/>
    </dxf>
    <dxf>
      <numFmt numFmtId="2" formatCode="0.00"/>
    </dxf>
    <dxf>
      <numFmt numFmtId="15" formatCode="0.00E+00"/>
    </dxf>
    <dxf>
      <numFmt numFmtId="166" formatCode="0.0E+00"/>
    </dxf>
    <dxf>
      <fill>
        <patternFill>
          <bgColor theme="5"/>
        </patternFill>
      </fill>
    </dxf>
    <dxf>
      <fill>
        <patternFill>
          <bgColor rgb="FF00B050"/>
        </patternFill>
      </fill>
    </dxf>
    <dxf>
      <fill>
        <patternFill>
          <bgColor theme="5"/>
        </patternFill>
      </fill>
    </dxf>
    <dxf>
      <fill>
        <patternFill>
          <bgColor theme="0"/>
        </patternFill>
      </fill>
    </dxf>
    <dxf>
      <numFmt numFmtId="170" formatCode="#,##0.0"/>
    </dxf>
    <dxf>
      <fill>
        <patternFill>
          <bgColor theme="0"/>
        </patternFill>
      </fill>
    </dxf>
    <dxf>
      <numFmt numFmtId="170" formatCode="#,##0.0"/>
    </dxf>
    <dxf>
      <numFmt numFmtId="4" formatCode="#,##0.00"/>
    </dxf>
    <dxf>
      <fill>
        <patternFill>
          <bgColor theme="5"/>
        </patternFill>
      </fill>
    </dxf>
    <dxf>
      <numFmt numFmtId="15" formatCode="0.00E+00"/>
    </dxf>
    <dxf>
      <numFmt numFmtId="169" formatCode="#,##0.000"/>
    </dxf>
    <dxf>
      <numFmt numFmtId="3" formatCode="#,##0"/>
    </dxf>
    <dxf>
      <numFmt numFmtId="3" formatCode="#,##0"/>
    </dxf>
    <dxf>
      <numFmt numFmtId="166" formatCode="0.0E+00"/>
    </dxf>
    <dxf>
      <numFmt numFmtId="170" formatCode="#,##0.0"/>
    </dxf>
    <dxf>
      <fill>
        <patternFill>
          <bgColor theme="5"/>
        </patternFill>
      </fill>
    </dxf>
    <dxf>
      <fill>
        <patternFill>
          <bgColor theme="0"/>
        </patternFill>
      </fill>
    </dxf>
    <dxf>
      <fill>
        <patternFill>
          <bgColor theme="5"/>
        </patternFill>
      </fill>
    </dxf>
    <dxf>
      <fill>
        <patternFill>
          <bgColor theme="0"/>
        </patternFill>
      </fill>
    </dxf>
    <dxf>
      <numFmt numFmtId="166" formatCode="0.0E+00"/>
    </dxf>
    <dxf>
      <numFmt numFmtId="4" formatCode="#,##0.00"/>
    </dxf>
    <dxf>
      <fill>
        <patternFill>
          <bgColor rgb="FF00B050"/>
        </patternFill>
      </fill>
    </dxf>
    <dxf>
      <numFmt numFmtId="166" formatCode="0.0E+00"/>
    </dxf>
    <dxf>
      <numFmt numFmtId="3" formatCode="#,##0"/>
    </dxf>
    <dxf>
      <numFmt numFmtId="170" formatCode="#,##0.0"/>
    </dxf>
    <dxf>
      <numFmt numFmtId="4" formatCode="#,##0.00"/>
    </dxf>
    <dxf>
      <numFmt numFmtId="166" formatCode="0.0E+00"/>
    </dxf>
    <dxf>
      <fill>
        <patternFill>
          <bgColor theme="0"/>
        </patternFill>
      </fill>
    </dxf>
    <dxf>
      <fill>
        <patternFill>
          <bgColor theme="5"/>
        </patternFill>
      </fill>
    </dxf>
    <dxf>
      <numFmt numFmtId="4" formatCode="#,##0.00"/>
    </dxf>
    <dxf>
      <numFmt numFmtId="166" formatCode="0.0E+00"/>
    </dxf>
    <dxf>
      <fill>
        <patternFill>
          <bgColor theme="0"/>
        </patternFill>
      </fill>
    </dxf>
    <dxf>
      <font>
        <color theme="0"/>
      </font>
    </dxf>
    <dxf>
      <numFmt numFmtId="3" formatCode="#,##0"/>
    </dxf>
    <dxf>
      <numFmt numFmtId="166" formatCode="0.0E+00"/>
    </dxf>
    <dxf>
      <numFmt numFmtId="170" formatCode="#,##0.0"/>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numFmt numFmtId="166" formatCode="0.0E+00"/>
    </dxf>
    <dxf>
      <numFmt numFmtId="4" formatCode="#,##0.00"/>
    </dxf>
    <dxf>
      <numFmt numFmtId="170" formatCode="#,##0.0"/>
    </dxf>
    <dxf>
      <numFmt numFmtId="3" formatCode="#,##0"/>
    </dxf>
    <dxf>
      <numFmt numFmtId="166" formatCode="0.0E+00"/>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b/>
        <i val="0"/>
      </font>
      <fill>
        <patternFill>
          <bgColor theme="0" tint="-0.24994659260841701"/>
        </patternFill>
      </fill>
    </dxf>
    <dxf>
      <font>
        <color theme="5"/>
      </font>
      <fill>
        <patternFill>
          <bgColor theme="5" tint="0.59996337778862885"/>
        </patternFill>
      </fill>
    </dxf>
    <dxf>
      <numFmt numFmtId="170" formatCode="#,##0.0"/>
    </dxf>
    <dxf>
      <numFmt numFmtId="4" formatCode="#,##0.00"/>
    </dxf>
    <dxf>
      <numFmt numFmtId="166" formatCode="0.0E+00"/>
    </dxf>
    <dxf>
      <fill>
        <patternFill>
          <bgColor theme="0"/>
        </patternFill>
      </fill>
    </dxf>
    <dxf>
      <numFmt numFmtId="3" formatCode="#,##0"/>
    </dxf>
    <dxf>
      <numFmt numFmtId="166" formatCode="0.0E+00"/>
    </dxf>
    <dxf>
      <numFmt numFmtId="166" formatCode="0.0E+00"/>
    </dxf>
    <dxf>
      <numFmt numFmtId="166" formatCode="0.0E+00"/>
    </dxf>
    <dxf>
      <font>
        <color theme="5"/>
      </font>
      <fill>
        <patternFill>
          <bgColor theme="5" tint="0.79998168889431442"/>
        </patternFill>
      </fill>
    </dxf>
    <dxf>
      <fill>
        <patternFill>
          <bgColor theme="0"/>
        </patternFill>
      </fill>
    </dxf>
    <dxf>
      <numFmt numFmtId="3" formatCode="#,##0"/>
    </dxf>
    <dxf>
      <numFmt numFmtId="170" formatCode="#,##0.0"/>
    </dxf>
    <dxf>
      <numFmt numFmtId="4" formatCode="#,##0.00"/>
    </dxf>
    <dxf>
      <numFmt numFmtId="166" formatCode="0.0E+00"/>
    </dxf>
    <dxf>
      <font>
        <color theme="5"/>
      </font>
      <fill>
        <patternFill>
          <bgColor theme="5" tint="0.79998168889431442"/>
        </patternFill>
      </fill>
    </dxf>
    <dxf>
      <fill>
        <patternFill>
          <bgColor theme="0"/>
        </patternFill>
      </fill>
    </dxf>
    <dxf>
      <font>
        <color theme="5"/>
      </font>
      <fill>
        <patternFill>
          <bgColor theme="5" tint="0.79998168889431442"/>
        </patternFill>
      </fill>
    </dxf>
    <dxf>
      <numFmt numFmtId="166" formatCode="0.0E+00"/>
    </dxf>
    <dxf>
      <numFmt numFmtId="3" formatCode="#,##0"/>
    </dxf>
    <dxf>
      <numFmt numFmtId="170" formatCode="#,##0.0"/>
    </dxf>
    <dxf>
      <numFmt numFmtId="4" formatCode="#,##0.00"/>
    </dxf>
    <dxf>
      <numFmt numFmtId="15" formatCode="0.00E+00"/>
    </dxf>
    <dxf>
      <numFmt numFmtId="4" formatCode="#,##0.00"/>
    </dxf>
    <dxf>
      <fill>
        <patternFill>
          <bgColor theme="0"/>
        </patternFill>
      </fill>
    </dxf>
    <dxf>
      <font>
        <color theme="5"/>
      </font>
      <fill>
        <patternFill>
          <bgColor theme="5" tint="0.79998168889431442"/>
        </patternFill>
      </fill>
    </dxf>
    <dxf>
      <fill>
        <patternFill>
          <bgColor theme="0"/>
        </patternFill>
      </fill>
    </dxf>
    <dxf>
      <numFmt numFmtId="166" formatCode="0.0E+00"/>
    </dxf>
    <dxf>
      <numFmt numFmtId="170" formatCode="#,##0.0"/>
    </dxf>
    <dxf>
      <numFmt numFmtId="3" formatCode="#,##0"/>
    </dxf>
    <dxf>
      <numFmt numFmtId="166" formatCode="0.0E+00"/>
    </dxf>
    <dxf>
      <numFmt numFmtId="4" formatCode="#,##0.00"/>
    </dxf>
    <dxf>
      <numFmt numFmtId="4" formatCode="#,##0.00"/>
    </dxf>
    <dxf>
      <numFmt numFmtId="170" formatCode="#,##0.0"/>
    </dxf>
    <dxf>
      <numFmt numFmtId="3" formatCode="#,##0"/>
    </dxf>
    <dxf>
      <fill>
        <patternFill>
          <bgColor theme="0"/>
        </patternFill>
      </fill>
    </dxf>
    <dxf>
      <numFmt numFmtId="166" formatCode="0.0E+00"/>
    </dxf>
    <dxf>
      <numFmt numFmtId="166" formatCode="0.0E+00"/>
    </dxf>
    <dxf>
      <font>
        <color theme="5"/>
      </font>
      <fill>
        <patternFill>
          <bgColor theme="5" tint="0.79998168889431442"/>
        </patternFill>
      </fill>
    </dxf>
    <dxf>
      <fill>
        <patternFill>
          <bgColor theme="0"/>
        </patternFill>
      </fill>
    </dxf>
    <dxf>
      <numFmt numFmtId="4" formatCode="#,##0.00"/>
    </dxf>
    <dxf>
      <numFmt numFmtId="15" formatCode="0.00E+00"/>
    </dxf>
    <dxf>
      <numFmt numFmtId="166" formatCode="0.0E+00"/>
    </dxf>
    <dxf>
      <font>
        <color theme="5"/>
      </font>
      <fill>
        <patternFill>
          <bgColor theme="5" tint="0.79998168889431442"/>
        </patternFill>
      </fill>
    </dxf>
    <dxf>
      <fill>
        <patternFill>
          <bgColor theme="0"/>
        </patternFill>
      </fill>
    </dxf>
    <dxf>
      <font>
        <color theme="5"/>
      </font>
      <fill>
        <patternFill>
          <bgColor theme="5" tint="0.59996337778862885"/>
        </patternFill>
      </fill>
    </dxf>
    <dxf>
      <numFmt numFmtId="166" formatCode="0.0E+00"/>
    </dxf>
    <dxf>
      <font>
        <color theme="5"/>
      </font>
      <fill>
        <patternFill>
          <bgColor theme="5" tint="0.79998168889431442"/>
        </patternFill>
      </fill>
    </dxf>
    <dxf>
      <fill>
        <patternFill>
          <bgColor theme="0"/>
        </patternFill>
      </fill>
    </dxf>
    <dxf>
      <numFmt numFmtId="166" formatCode="0.0E+00"/>
    </dxf>
    <dxf>
      <numFmt numFmtId="4" formatCode="#,##0.00"/>
    </dxf>
    <dxf>
      <numFmt numFmtId="170" formatCode="#,##0.0"/>
    </dxf>
    <dxf>
      <numFmt numFmtId="3" formatCode="#,##0"/>
    </dxf>
    <dxf>
      <numFmt numFmtId="166" formatCode="0.0E+00"/>
    </dxf>
    <dxf>
      <numFmt numFmtId="3" formatCode="#,##0"/>
    </dxf>
    <dxf>
      <fill>
        <patternFill>
          <bgColor theme="0"/>
        </patternFill>
      </fill>
    </dxf>
    <dxf>
      <numFmt numFmtId="170" formatCode="#,##0.0"/>
    </dxf>
    <dxf>
      <numFmt numFmtId="4" formatCode="#,##0.00"/>
    </dxf>
    <dxf>
      <numFmt numFmtId="166" formatCode="0.0E+00"/>
    </dxf>
    <dxf>
      <font>
        <color theme="0"/>
      </font>
    </dxf>
    <dxf>
      <numFmt numFmtId="166" formatCode="0.0E+00"/>
    </dxf>
    <dxf>
      <fill>
        <patternFill>
          <bgColor theme="0"/>
        </patternFill>
      </fill>
    </dxf>
    <dxf>
      <font>
        <color theme="5"/>
      </font>
      <fill>
        <patternFill>
          <bgColor theme="5" tint="0.79998168889431442"/>
        </patternFill>
      </fill>
    </dxf>
    <dxf>
      <numFmt numFmtId="166" formatCode="0.0E+00"/>
    </dxf>
    <dxf>
      <numFmt numFmtId="3" formatCode="#,##0"/>
    </dxf>
    <dxf>
      <numFmt numFmtId="170" formatCode="#,##0.0"/>
    </dxf>
    <dxf>
      <numFmt numFmtId="4" formatCode="#,##0.00"/>
    </dxf>
    <dxf>
      <font>
        <color theme="5"/>
      </font>
      <fill>
        <patternFill>
          <bgColor theme="5" tint="0.79998168889431442"/>
        </patternFill>
      </fill>
    </dxf>
    <dxf>
      <fill>
        <patternFill>
          <bgColor theme="0"/>
        </patternFill>
      </fill>
    </dxf>
    <dxf>
      <numFmt numFmtId="166" formatCode="0.0E+00"/>
    </dxf>
    <dxf>
      <numFmt numFmtId="166" formatCode="0.0E+00"/>
    </dxf>
    <dxf>
      <numFmt numFmtId="3" formatCode="#,##0"/>
    </dxf>
    <dxf>
      <numFmt numFmtId="170" formatCode="#,##0.0"/>
    </dxf>
    <dxf>
      <numFmt numFmtId="4" formatCode="#,##0.00"/>
    </dxf>
    <dxf>
      <numFmt numFmtId="166" formatCode="0.0E+00"/>
    </dxf>
    <dxf>
      <fill>
        <patternFill>
          <bgColor theme="0"/>
        </patternFill>
      </fill>
    </dxf>
    <dxf>
      <font>
        <color theme="5"/>
      </font>
      <fill>
        <patternFill>
          <bgColor theme="5" tint="0.79998168889431442"/>
        </patternFill>
      </fill>
    </dxf>
    <dxf>
      <font>
        <color theme="0"/>
      </font>
    </dxf>
    <dxf>
      <fill>
        <patternFill>
          <bgColor theme="0"/>
        </patternFill>
      </fill>
    </dxf>
    <dxf>
      <numFmt numFmtId="166" formatCode="0.0E+00"/>
    </dxf>
    <dxf>
      <numFmt numFmtId="4" formatCode="#,##0.00"/>
    </dxf>
    <dxf>
      <numFmt numFmtId="170" formatCode="#,##0.0"/>
    </dxf>
    <dxf>
      <numFmt numFmtId="3" formatCode="#,##0"/>
    </dxf>
    <dxf>
      <numFmt numFmtId="166" formatCode="0.0E+00"/>
    </dxf>
  </dxfs>
  <tableStyles count="0" defaultTableStyle="TableStyleMedium2" defaultPivotStyle="PivotStyleLight16"/>
  <colors>
    <mruColors>
      <color rgb="FFF15A2B"/>
      <color rgb="FFF04B18"/>
      <color rgb="FFD43D0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"Dermal Cancer Risk Estimates"</c:f>
          <c:strCache>
            <c:ptCount val="1"/>
            <c:pt idx="0">
              <c:v>Dermal Cancer Risk Estimates</c:v>
            </c:pt>
          </c:strCache>
        </c:strRef>
      </c:tx>
      <c:layout>
        <c:manualLayout>
          <c:xMode val="edge"/>
          <c:yMode val="edge"/>
          <c:x val="0.36062458254174651"/>
          <c:y val="3.74142531318897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9150842647774607"/>
          <c:y val="0.21054931230848406"/>
          <c:w val="0.59536328249985193"/>
          <c:h val="0.47132178068272318"/>
        </c:manualLayout>
      </c:layout>
      <c:barChart>
        <c:barDir val="bar"/>
        <c:grouping val="stacked"/>
        <c:varyColors val="0"/>
        <c:ser>
          <c:idx val="4"/>
          <c:order val="0"/>
          <c:tx>
            <c:strRef>
              <c:f>Dashboard!$P$91</c:f>
              <c:strCache>
                <c:ptCount val="1"/>
                <c:pt idx="0">
                  <c:v>Central Tendency</c:v>
                </c:pt>
              </c:strCache>
            </c:strRef>
          </c:tx>
          <c:spPr>
            <a:solidFill>
              <a:schemeClr val="accent5"/>
            </a:solidFill>
          </c:spPr>
          <c:invertIfNegative val="0"/>
          <c:cat>
            <c:strRef>
              <c:f>Dashboard!$N$92:$N$92</c:f>
              <c:strCache>
                <c:ptCount val="1"/>
                <c:pt idx="0">
                  <c:v>Worker, No Gloves</c:v>
                </c:pt>
              </c:strCache>
            </c:strRef>
          </c:cat>
          <c:val>
            <c:numRef>
              <c:f>Dashboard!$P$92:$P$92</c:f>
              <c:numCache>
                <c:formatCode>General</c:formatCode>
                <c:ptCount val="1"/>
                <c:pt idx="0">
                  <c:v>1.4238339335787826E-3</c:v>
                </c:pt>
              </c:numCache>
            </c:numRef>
          </c:val>
          <c:extLst>
            <c:ext xmlns:c16="http://schemas.microsoft.com/office/drawing/2014/chart" uri="{C3380CC4-5D6E-409C-BE32-E72D297353CC}">
              <c16:uniqueId val="{0000001F-DE9C-4C75-A1B7-3A3F3DAD2639}"/>
            </c:ext>
          </c:extLst>
        </c:ser>
        <c:dLbls>
          <c:showLegendKey val="0"/>
          <c:showVal val="0"/>
          <c:showCatName val="0"/>
          <c:showSerName val="0"/>
          <c:showPercent val="0"/>
          <c:showBubbleSize val="0"/>
        </c:dLbls>
        <c:gapWidth val="182"/>
        <c:overlap val="100"/>
        <c:axId val="580062808"/>
        <c:axId val="580066744"/>
        <c:extLst>
          <c:ext xmlns:c15="http://schemas.microsoft.com/office/drawing/2012/chart" uri="{02D57815-91ED-43cb-92C2-25804820EDAC}">
            <c15:filteredBarSeries>
              <c15:ser>
                <c:idx val="5"/>
                <c:order val="1"/>
                <c:tx>
                  <c:strRef>
                    <c:extLst>
                      <c:ext uri="{02D57815-91ED-43cb-92C2-25804820EDAC}">
                        <c15:formulaRef>
                          <c15:sqref>Dashboard!$O$91</c15:sqref>
                        </c15:formulaRef>
                      </c:ext>
                    </c:extLst>
                    <c:strCache>
                      <c:ptCount val="1"/>
                      <c:pt idx="0">
                        <c:v>High End</c:v>
                      </c:pt>
                    </c:strCache>
                  </c:strRef>
                </c:tx>
                <c:spPr>
                  <a:solidFill>
                    <a:schemeClr val="accent5">
                      <a:lumMod val="75000"/>
                    </a:schemeClr>
                  </a:solidFill>
                </c:spPr>
                <c:invertIfNegative val="0"/>
                <c:cat>
                  <c:strRef>
                    <c:extLst>
                      <c:ext uri="{02D57815-91ED-43cb-92C2-25804820EDAC}">
                        <c15:formulaRef>
                          <c15:sqref>Dashboard!$N$92:$N$92</c15:sqref>
                        </c15:formulaRef>
                      </c:ext>
                    </c:extLst>
                    <c:strCache>
                      <c:ptCount val="1"/>
                      <c:pt idx="0">
                        <c:v>Worker, No Gloves</c:v>
                      </c:pt>
                    </c:strCache>
                  </c:strRef>
                </c:cat>
                <c:val>
                  <c:numRef>
                    <c:extLst>
                      <c:ext uri="{02D57815-91ED-43cb-92C2-25804820EDAC}">
                        <c15:formulaRef>
                          <c15:sqref>Dashboard!$O$92:$O$92</c15:sqref>
                        </c15:formulaRef>
                      </c:ext>
                    </c:extLst>
                    <c:numCache>
                      <c:formatCode>0.00E+00</c:formatCode>
                      <c:ptCount val="1"/>
                      <c:pt idx="0">
                        <c:v>3.9921388915020182E-3</c:v>
                      </c:pt>
                    </c:numCache>
                  </c:numRef>
                </c:val>
                <c:extLst>
                  <c:ext xmlns:c16="http://schemas.microsoft.com/office/drawing/2014/chart" uri="{C3380CC4-5D6E-409C-BE32-E72D297353CC}">
                    <c16:uniqueId val="{00000020-DE9C-4C75-A1B7-3A3F3DAD2639}"/>
                  </c:ext>
                </c:extLst>
              </c15:ser>
            </c15:filteredBarSeries>
          </c:ext>
        </c:extLst>
      </c:barChart>
      <c:scatterChart>
        <c:scatterStyle val="lineMarker"/>
        <c:varyColors val="0"/>
        <c:ser>
          <c:idx val="3"/>
          <c:order val="4"/>
          <c:tx>
            <c:v>1.00E-04</c:v>
          </c:tx>
          <c:spPr>
            <a:ln w="28575" cap="rnd">
              <a:solidFill>
                <a:srgbClr val="FF0000"/>
              </a:solidFill>
              <a:round/>
            </a:ln>
            <a:effectLst/>
          </c:spPr>
          <c:marker>
            <c:symbol val="none"/>
          </c:marker>
          <c:xVal>
            <c:numLit>
              <c:formatCode>General</c:formatCode>
              <c:ptCount val="6"/>
              <c:pt idx="0">
                <c:v>1E-4</c:v>
              </c:pt>
              <c:pt idx="1">
                <c:v>1E-4</c:v>
              </c:pt>
              <c:pt idx="2">
                <c:v>1E-4</c:v>
              </c:pt>
              <c:pt idx="3">
                <c:v>1E-4</c:v>
              </c:pt>
              <c:pt idx="4">
                <c:v>1E-4</c:v>
              </c:pt>
              <c:pt idx="5">
                <c:v>1E-4</c:v>
              </c:pt>
            </c:numLit>
          </c:xVal>
          <c:yVal>
            <c:numLit>
              <c:formatCode>General</c:formatCode>
              <c:ptCount val="6"/>
              <c:pt idx="0">
                <c:v>7</c:v>
              </c:pt>
              <c:pt idx="1">
                <c:v>5</c:v>
              </c:pt>
              <c:pt idx="2">
                <c:v>4</c:v>
              </c:pt>
              <c:pt idx="3">
                <c:v>3</c:v>
              </c:pt>
              <c:pt idx="4">
                <c:v>2</c:v>
              </c:pt>
              <c:pt idx="5">
                <c:v>0</c:v>
              </c:pt>
            </c:numLit>
          </c:yVal>
          <c:smooth val="0"/>
          <c:extLst>
            <c:ext xmlns:c16="http://schemas.microsoft.com/office/drawing/2014/chart" uri="{C3380CC4-5D6E-409C-BE32-E72D297353CC}">
              <c16:uniqueId val="{0000001E-DE9C-4C75-A1B7-3A3F3DAD2639}"/>
            </c:ext>
          </c:extLst>
        </c:ser>
        <c:dLbls>
          <c:showLegendKey val="0"/>
          <c:showVal val="0"/>
          <c:showCatName val="0"/>
          <c:showSerName val="0"/>
          <c:showPercent val="0"/>
          <c:showBubbleSize val="0"/>
        </c:dLbls>
        <c:axId val="599810312"/>
        <c:axId val="599814248"/>
        <c:extLst>
          <c:ext xmlns:c15="http://schemas.microsoft.com/office/drawing/2012/chart" uri="{02D57815-91ED-43cb-92C2-25804820EDAC}">
            <c15:filteredScatterSeries>
              <c15:ser>
                <c:idx val="1"/>
                <c:order val="2"/>
                <c:tx>
                  <c:v>1.00E-06</c:v>
                </c:tx>
                <c:spPr>
                  <a:ln w="28575" cap="rnd">
                    <a:solidFill>
                      <a:srgbClr val="FF0000"/>
                    </a:solidFill>
                    <a:round/>
                  </a:ln>
                  <a:effectLst/>
                </c:spPr>
                <c:marker>
                  <c:symbol val="none"/>
                </c:marker>
                <c:xVal>
                  <c:numLit>
                    <c:formatCode>General</c:formatCode>
                    <c:ptCount val="6"/>
                    <c:pt idx="0">
                      <c:v>9.9999999999999995E-7</c:v>
                    </c:pt>
                    <c:pt idx="1">
                      <c:v>9.9999999999999995E-7</c:v>
                    </c:pt>
                    <c:pt idx="2">
                      <c:v>9.9999999999999995E-7</c:v>
                    </c:pt>
                    <c:pt idx="3">
                      <c:v>9.9999999999999995E-7</c:v>
                    </c:pt>
                    <c:pt idx="4">
                      <c:v>9.9999999999999995E-7</c:v>
                    </c:pt>
                    <c:pt idx="5">
                      <c:v>9.9999999999999995E-7</c:v>
                    </c:pt>
                  </c:numLit>
                </c:xVal>
                <c:yVal>
                  <c:numLit>
                    <c:formatCode>General</c:formatCode>
                    <c:ptCount val="6"/>
                    <c:pt idx="0">
                      <c:v>7</c:v>
                    </c:pt>
                    <c:pt idx="1">
                      <c:v>5</c:v>
                    </c:pt>
                    <c:pt idx="2">
                      <c:v>4</c:v>
                    </c:pt>
                    <c:pt idx="3">
                      <c:v>3</c:v>
                    </c:pt>
                    <c:pt idx="4">
                      <c:v>2</c:v>
                    </c:pt>
                    <c:pt idx="5">
                      <c:v>0</c:v>
                    </c:pt>
                  </c:numLit>
                </c:yVal>
                <c:smooth val="0"/>
                <c:extLst>
                  <c:ext xmlns:c16="http://schemas.microsoft.com/office/drawing/2014/chart" uri="{C3380CC4-5D6E-409C-BE32-E72D297353CC}">
                    <c16:uniqueId val="{0000001A-DE9C-4C75-A1B7-3A3F3DAD2639}"/>
                  </c:ext>
                </c:extLst>
              </c15:ser>
            </c15:filteredScatterSeries>
            <c15:filteredScatterSeries>
              <c15:ser>
                <c:idx val="2"/>
                <c:order val="3"/>
                <c:tx>
                  <c:v>1.00E-05</c:v>
                </c:tx>
                <c:spPr>
                  <a:ln w="28575" cap="rnd">
                    <a:solidFill>
                      <a:srgbClr val="FF0000"/>
                    </a:solidFill>
                    <a:round/>
                  </a:ln>
                  <a:effectLst/>
                </c:spPr>
                <c:marker>
                  <c:symbol val="none"/>
                </c:marker>
                <c:xVal>
                  <c:numLit>
                    <c:formatCode>General</c:formatCode>
                    <c:ptCount val="6"/>
                    <c:pt idx="0">
                      <c:v>1.0000000000000001E-5</c:v>
                    </c:pt>
                    <c:pt idx="1">
                      <c:v>1.0000000000000001E-5</c:v>
                    </c:pt>
                    <c:pt idx="2">
                      <c:v>1.0000000000000001E-5</c:v>
                    </c:pt>
                    <c:pt idx="3">
                      <c:v>1.0000000000000001E-5</c:v>
                    </c:pt>
                    <c:pt idx="4">
                      <c:v>1.0000000000000001E-5</c:v>
                    </c:pt>
                    <c:pt idx="5">
                      <c:v>1.0000000000000001E-5</c:v>
                    </c:pt>
                  </c:numLit>
                </c:xVal>
                <c:yVal>
                  <c:numLit>
                    <c:formatCode>General</c:formatCode>
                    <c:ptCount val="6"/>
                    <c:pt idx="0">
                      <c:v>7</c:v>
                    </c:pt>
                    <c:pt idx="1">
                      <c:v>5</c:v>
                    </c:pt>
                    <c:pt idx="2">
                      <c:v>4</c:v>
                    </c:pt>
                    <c:pt idx="3">
                      <c:v>3</c:v>
                    </c:pt>
                    <c:pt idx="4">
                      <c:v>2</c:v>
                    </c:pt>
                    <c:pt idx="5">
                      <c:v>0</c:v>
                    </c:pt>
                  </c:numLit>
                </c:yVal>
                <c:smooth val="0"/>
                <c:extLst xmlns:c15="http://schemas.microsoft.com/office/drawing/2012/chart">
                  <c:ext xmlns:c16="http://schemas.microsoft.com/office/drawing/2014/chart" uri="{C3380CC4-5D6E-409C-BE32-E72D297353CC}">
                    <c16:uniqueId val="{0000001C-DE9C-4C75-A1B7-3A3F3DAD2639}"/>
                  </c:ext>
                </c:extLst>
              </c15:ser>
            </c15:filteredScatterSeries>
          </c:ext>
        </c:extLst>
      </c:scatterChart>
      <c:catAx>
        <c:axId val="580062808"/>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0066744"/>
        <c:crosses val="autoZero"/>
        <c:auto val="1"/>
        <c:lblAlgn val="ctr"/>
        <c:lblOffset val="100"/>
        <c:noMultiLvlLbl val="0"/>
      </c:catAx>
      <c:valAx>
        <c:axId val="580066744"/>
        <c:scaling>
          <c:logBase val="10"/>
          <c:orientation val="minMax"/>
          <c:min val="1.0000000000000005E-7"/>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excess risk per million</a:t>
                </a:r>
              </a:p>
            </c:rich>
          </c:tx>
          <c:layout>
            <c:manualLayout>
              <c:xMode val="edge"/>
              <c:yMode val="edge"/>
              <c:x val="0.36584643797039879"/>
              <c:y val="0.91033093796437237"/>
            </c:manualLayout>
          </c:layout>
          <c:overlay val="0"/>
          <c:spPr>
            <a:noFill/>
            <a:ln>
              <a:noFill/>
            </a:ln>
            <a:effectLst/>
          </c:spPr>
        </c:title>
        <c:numFmt formatCode="0.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0062808"/>
        <c:crosses val="autoZero"/>
        <c:crossBetween val="between"/>
      </c:valAx>
      <c:valAx>
        <c:axId val="599814248"/>
        <c:scaling>
          <c:orientation val="minMax"/>
          <c:max val="7"/>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599810312"/>
        <c:crosses val="autoZero"/>
        <c:crossBetween val="midCat"/>
      </c:valAx>
      <c:valAx>
        <c:axId val="599810312"/>
        <c:scaling>
          <c:logBase val="10"/>
          <c:orientation val="minMax"/>
          <c:max val="1"/>
          <c:min val="1.0000000000000005E-7"/>
        </c:scaling>
        <c:delete val="0"/>
        <c:axPos val="t"/>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599814248"/>
        <c:crosses val="max"/>
        <c:crossBetween val="midCat"/>
      </c:valAx>
      <c:spPr>
        <a:noFill/>
        <a:ln>
          <a:solidFill>
            <a:schemeClr val="bg1">
              <a:lumMod val="85000"/>
            </a:schemeClr>
          </a:solidFill>
        </a:ln>
        <a:effectLst/>
      </c:spPr>
    </c:plotArea>
    <c:legend>
      <c:legendPos val="r"/>
      <c:layout>
        <c:manualLayout>
          <c:xMode val="edge"/>
          <c:yMode val="edge"/>
          <c:x val="0.80461981541828131"/>
          <c:y val="0.35022486721558838"/>
          <c:w val="0.18443302702841707"/>
          <c:h val="7.1571289795557907E-2"/>
        </c:manualLayout>
      </c:layout>
      <c:overlay val="0"/>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Inhalation Cancer Risk Estimates</a:t>
            </a:r>
          </a:p>
        </c:rich>
      </c:tx>
      <c:layout>
        <c:manualLayout>
          <c:xMode val="edge"/>
          <c:yMode val="edge"/>
          <c:x val="0.35379421156466734"/>
          <c:y val="5.118886630776833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9150842647774607"/>
          <c:y val="0.21054931230848406"/>
          <c:w val="0.68905621866876288"/>
          <c:h val="0.66282889702806647"/>
        </c:manualLayout>
      </c:layout>
      <c:barChart>
        <c:barDir val="bar"/>
        <c:grouping val="stacked"/>
        <c:varyColors val="0"/>
        <c:ser>
          <c:idx val="0"/>
          <c:order val="0"/>
          <c:tx>
            <c:strRef>
              <c:f>Dashboard!$D$91</c:f>
              <c:strCache>
                <c:ptCount val="1"/>
                <c:pt idx="0">
                  <c:v>Cancer Risk</c:v>
                </c:pt>
              </c:strCache>
            </c:strRef>
          </c:tx>
          <c:spPr>
            <a:solidFill>
              <a:schemeClr val="accent5">
                <a:lumMod val="75000"/>
              </a:schemeClr>
            </a:solidFill>
            <a:ln>
              <a:noFill/>
            </a:ln>
            <a:effectLst/>
          </c:spPr>
          <c:invertIfNegative val="0"/>
          <c:dPt>
            <c:idx val="0"/>
            <c:invertIfNegative val="0"/>
            <c:bubble3D val="0"/>
            <c:spPr>
              <a:solidFill>
                <a:schemeClr val="accent5">
                  <a:lumMod val="75000"/>
                </a:schemeClr>
              </a:solidFill>
              <a:ln>
                <a:noFill/>
              </a:ln>
              <a:effectLst/>
            </c:spPr>
            <c:extLst>
              <c:ext xmlns:c16="http://schemas.microsoft.com/office/drawing/2014/chart" uri="{C3380CC4-5D6E-409C-BE32-E72D297353CC}">
                <c16:uniqueId val="{00000002-BA70-4215-AC58-731F271DC5B6}"/>
              </c:ext>
            </c:extLst>
          </c:dPt>
          <c:dPt>
            <c:idx val="1"/>
            <c:invertIfNegative val="0"/>
            <c:bubble3D val="0"/>
            <c:spPr>
              <a:solidFill>
                <a:schemeClr val="accent5">
                  <a:lumMod val="75000"/>
                </a:schemeClr>
              </a:solidFill>
              <a:ln>
                <a:noFill/>
              </a:ln>
              <a:effectLst/>
            </c:spPr>
            <c:extLst>
              <c:ext xmlns:c16="http://schemas.microsoft.com/office/drawing/2014/chart" uri="{C3380CC4-5D6E-409C-BE32-E72D297353CC}">
                <c16:uniqueId val="{00000004-BA70-4215-AC58-731F271DC5B6}"/>
              </c:ext>
            </c:extLst>
          </c:dPt>
          <c:dPt>
            <c:idx val="2"/>
            <c:invertIfNegative val="0"/>
            <c:bubble3D val="0"/>
            <c:spPr>
              <a:solidFill>
                <a:schemeClr val="accent5">
                  <a:lumMod val="75000"/>
                </a:schemeClr>
              </a:solidFill>
              <a:ln>
                <a:noFill/>
              </a:ln>
              <a:effectLst/>
            </c:spPr>
            <c:extLst>
              <c:ext xmlns:c16="http://schemas.microsoft.com/office/drawing/2014/chart" uri="{C3380CC4-5D6E-409C-BE32-E72D297353CC}">
                <c16:uniqueId val="{00000006-BA70-4215-AC58-731F271DC5B6}"/>
              </c:ext>
            </c:extLst>
          </c:dPt>
          <c:dPt>
            <c:idx val="3"/>
            <c:invertIfNegative val="0"/>
            <c:bubble3D val="0"/>
            <c:spPr>
              <a:solidFill>
                <a:schemeClr val="accent5">
                  <a:lumMod val="75000"/>
                </a:schemeClr>
              </a:solidFill>
              <a:ln>
                <a:noFill/>
              </a:ln>
              <a:effectLst/>
            </c:spPr>
            <c:extLst>
              <c:ext xmlns:c16="http://schemas.microsoft.com/office/drawing/2014/chart" uri="{C3380CC4-5D6E-409C-BE32-E72D297353CC}">
                <c16:uniqueId val="{00000008-BA70-4215-AC58-731F271DC5B6}"/>
              </c:ext>
            </c:extLst>
          </c:dPt>
          <c:cat>
            <c:strLit>
              <c:ptCount val="4"/>
              <c:pt idx="0">
                <c:v>ONU: 95th Percentile</c:v>
              </c:pt>
              <c:pt idx="1">
                <c:v>ONU: 50th Percentile</c:v>
              </c:pt>
              <c:pt idx="2">
                <c:v>Worker: 95th Percentile</c:v>
              </c:pt>
              <c:pt idx="3">
                <c:v>Worker: 50th Percentile</c:v>
              </c:pt>
            </c:strLit>
          </c:cat>
          <c:val>
            <c:numRef>
              <c:f>Dashboard!$D$92:$D$95</c:f>
              <c:numCache>
                <c:formatCode>0.00E+00</c:formatCode>
                <c:ptCount val="4"/>
                <c:pt idx="0">
                  <c:v>7.2992094199233437E-6</c:v>
                </c:pt>
                <c:pt idx="1">
                  <c:v>1.5580721570308408E-6</c:v>
                </c:pt>
                <c:pt idx="2">
                  <c:v>1.0788786862585082E-4</c:v>
                </c:pt>
                <c:pt idx="3">
                  <c:v>1.5721545991080199E-5</c:v>
                </c:pt>
              </c:numCache>
            </c:numRef>
          </c:val>
          <c:extLst>
            <c:ext xmlns:c16="http://schemas.microsoft.com/office/drawing/2014/chart" uri="{C3380CC4-5D6E-409C-BE32-E72D297353CC}">
              <c16:uniqueId val="{00000009-BA70-4215-AC58-731F271DC5B6}"/>
            </c:ext>
          </c:extLst>
        </c:ser>
        <c:dLbls>
          <c:showLegendKey val="0"/>
          <c:showVal val="0"/>
          <c:showCatName val="0"/>
          <c:showSerName val="0"/>
          <c:showPercent val="0"/>
          <c:showBubbleSize val="0"/>
        </c:dLbls>
        <c:gapWidth val="150"/>
        <c:overlap val="100"/>
        <c:axId val="580062808"/>
        <c:axId val="580066744"/>
      </c:barChart>
      <c:scatterChart>
        <c:scatterStyle val="lineMarker"/>
        <c:varyColors val="0"/>
        <c:ser>
          <c:idx val="3"/>
          <c:order val="3"/>
          <c:tx>
            <c:v>1.00E-04</c:v>
          </c:tx>
          <c:spPr>
            <a:ln w="28575" cap="rnd">
              <a:solidFill>
                <a:srgbClr val="FF0000"/>
              </a:solidFill>
              <a:round/>
            </a:ln>
            <a:effectLst/>
          </c:spPr>
          <c:marker>
            <c:symbol val="none"/>
          </c:marker>
          <c:xVal>
            <c:numLit>
              <c:formatCode>General</c:formatCode>
              <c:ptCount val="6"/>
              <c:pt idx="0">
                <c:v>1E-4</c:v>
              </c:pt>
              <c:pt idx="1">
                <c:v>1E-4</c:v>
              </c:pt>
              <c:pt idx="2">
                <c:v>1E-4</c:v>
              </c:pt>
              <c:pt idx="3">
                <c:v>1E-4</c:v>
              </c:pt>
              <c:pt idx="4">
                <c:v>1E-4</c:v>
              </c:pt>
              <c:pt idx="5">
                <c:v>1E-4</c:v>
              </c:pt>
            </c:numLit>
          </c:xVal>
          <c:yVal>
            <c:numLit>
              <c:formatCode>General</c:formatCode>
              <c:ptCount val="6"/>
              <c:pt idx="0">
                <c:v>7</c:v>
              </c:pt>
              <c:pt idx="1">
                <c:v>5</c:v>
              </c:pt>
              <c:pt idx="2">
                <c:v>4</c:v>
              </c:pt>
              <c:pt idx="3">
                <c:v>3</c:v>
              </c:pt>
              <c:pt idx="4">
                <c:v>2</c:v>
              </c:pt>
              <c:pt idx="5">
                <c:v>0</c:v>
              </c:pt>
            </c:numLit>
          </c:yVal>
          <c:smooth val="0"/>
          <c:extLst>
            <c:ext xmlns:c16="http://schemas.microsoft.com/office/drawing/2014/chart" uri="{C3380CC4-5D6E-409C-BE32-E72D297353CC}">
              <c16:uniqueId val="{0000000C-BA70-4215-AC58-731F271DC5B6}"/>
            </c:ext>
          </c:extLst>
        </c:ser>
        <c:dLbls>
          <c:showLegendKey val="0"/>
          <c:showVal val="0"/>
          <c:showCatName val="0"/>
          <c:showSerName val="0"/>
          <c:showPercent val="0"/>
          <c:showBubbleSize val="0"/>
        </c:dLbls>
        <c:axId val="599810312"/>
        <c:axId val="599814248"/>
        <c:extLst>
          <c:ext xmlns:c15="http://schemas.microsoft.com/office/drawing/2012/chart" uri="{02D57815-91ED-43cb-92C2-25804820EDAC}">
            <c15:filteredScatterSeries>
              <c15:ser>
                <c:idx val="1"/>
                <c:order val="1"/>
                <c:tx>
                  <c:v>1.00E-06</c:v>
                </c:tx>
                <c:spPr>
                  <a:ln w="28575" cap="rnd">
                    <a:solidFill>
                      <a:srgbClr val="FF0000"/>
                    </a:solidFill>
                    <a:round/>
                  </a:ln>
                  <a:effectLst/>
                </c:spPr>
                <c:marker>
                  <c:symbol val="none"/>
                </c:marker>
                <c:xVal>
                  <c:numLit>
                    <c:formatCode>General</c:formatCode>
                    <c:ptCount val="6"/>
                    <c:pt idx="0">
                      <c:v>9.9999999999999995E-7</c:v>
                    </c:pt>
                    <c:pt idx="1">
                      <c:v>9.9999999999999995E-7</c:v>
                    </c:pt>
                    <c:pt idx="2">
                      <c:v>9.9999999999999995E-7</c:v>
                    </c:pt>
                    <c:pt idx="3">
                      <c:v>9.9999999999999995E-7</c:v>
                    </c:pt>
                    <c:pt idx="4">
                      <c:v>9.9999999999999995E-7</c:v>
                    </c:pt>
                    <c:pt idx="5">
                      <c:v>9.9999999999999995E-7</c:v>
                    </c:pt>
                  </c:numLit>
                </c:xVal>
                <c:yVal>
                  <c:numLit>
                    <c:formatCode>General</c:formatCode>
                    <c:ptCount val="6"/>
                    <c:pt idx="0">
                      <c:v>7</c:v>
                    </c:pt>
                    <c:pt idx="1">
                      <c:v>5</c:v>
                    </c:pt>
                    <c:pt idx="2">
                      <c:v>4</c:v>
                    </c:pt>
                    <c:pt idx="3">
                      <c:v>3</c:v>
                    </c:pt>
                    <c:pt idx="4">
                      <c:v>2</c:v>
                    </c:pt>
                    <c:pt idx="5">
                      <c:v>0</c:v>
                    </c:pt>
                  </c:numLit>
                </c:yVal>
                <c:smooth val="0"/>
                <c:extLst>
                  <c:ext xmlns:c16="http://schemas.microsoft.com/office/drawing/2014/chart" uri="{C3380CC4-5D6E-409C-BE32-E72D297353CC}">
                    <c16:uniqueId val="{0000000A-BA70-4215-AC58-731F271DC5B6}"/>
                  </c:ext>
                </c:extLst>
              </c15:ser>
            </c15:filteredScatterSeries>
            <c15:filteredScatterSeries>
              <c15:ser>
                <c:idx val="2"/>
                <c:order val="2"/>
                <c:tx>
                  <c:v>1.00E-05</c:v>
                </c:tx>
                <c:spPr>
                  <a:ln w="28575" cap="rnd">
                    <a:solidFill>
                      <a:srgbClr val="FF0000"/>
                    </a:solidFill>
                    <a:round/>
                  </a:ln>
                  <a:effectLst/>
                </c:spPr>
                <c:marker>
                  <c:symbol val="none"/>
                </c:marker>
                <c:xVal>
                  <c:numLit>
                    <c:formatCode>General</c:formatCode>
                    <c:ptCount val="6"/>
                    <c:pt idx="0">
                      <c:v>1.0000000000000001E-5</c:v>
                    </c:pt>
                    <c:pt idx="1">
                      <c:v>1.0000000000000001E-5</c:v>
                    </c:pt>
                    <c:pt idx="2">
                      <c:v>1.0000000000000001E-5</c:v>
                    </c:pt>
                    <c:pt idx="3">
                      <c:v>1.0000000000000001E-5</c:v>
                    </c:pt>
                    <c:pt idx="4">
                      <c:v>1.0000000000000001E-5</c:v>
                    </c:pt>
                    <c:pt idx="5">
                      <c:v>1.0000000000000001E-5</c:v>
                    </c:pt>
                  </c:numLit>
                </c:xVal>
                <c:yVal>
                  <c:numLit>
                    <c:formatCode>General</c:formatCode>
                    <c:ptCount val="6"/>
                    <c:pt idx="0">
                      <c:v>7</c:v>
                    </c:pt>
                    <c:pt idx="1">
                      <c:v>5</c:v>
                    </c:pt>
                    <c:pt idx="2">
                      <c:v>4</c:v>
                    </c:pt>
                    <c:pt idx="3">
                      <c:v>3</c:v>
                    </c:pt>
                    <c:pt idx="4">
                      <c:v>2</c:v>
                    </c:pt>
                    <c:pt idx="5">
                      <c:v>0</c:v>
                    </c:pt>
                  </c:numLit>
                </c:yVal>
                <c:smooth val="0"/>
                <c:extLst xmlns:c15="http://schemas.microsoft.com/office/drawing/2012/chart">
                  <c:ext xmlns:c16="http://schemas.microsoft.com/office/drawing/2014/chart" uri="{C3380CC4-5D6E-409C-BE32-E72D297353CC}">
                    <c16:uniqueId val="{0000000B-BA70-4215-AC58-731F271DC5B6}"/>
                  </c:ext>
                </c:extLst>
              </c15:ser>
            </c15:filteredScatterSeries>
          </c:ext>
        </c:extLst>
      </c:scatterChart>
      <c:catAx>
        <c:axId val="580062808"/>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0066744"/>
        <c:crosses val="autoZero"/>
        <c:auto val="1"/>
        <c:lblAlgn val="ctr"/>
        <c:lblOffset val="100"/>
        <c:noMultiLvlLbl val="0"/>
      </c:catAx>
      <c:valAx>
        <c:axId val="580066744"/>
        <c:scaling>
          <c:logBase val="10"/>
          <c:orientation val="minMax"/>
          <c:min val="1.0000000000000005E-7"/>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excess risk per million</a:t>
                </a:r>
              </a:p>
            </c:rich>
          </c:tx>
          <c:layout>
            <c:manualLayout>
              <c:xMode val="edge"/>
              <c:yMode val="edge"/>
              <c:x val="0.36584643797039879"/>
              <c:y val="0.9103309379643723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0062808"/>
        <c:crosses val="autoZero"/>
        <c:crossBetween val="between"/>
      </c:valAx>
      <c:valAx>
        <c:axId val="599814248"/>
        <c:scaling>
          <c:orientation val="minMax"/>
          <c:max val="7"/>
        </c:scaling>
        <c:delete val="1"/>
        <c:axPos val="l"/>
        <c:numFmt formatCode="General" sourceLinked="1"/>
        <c:majorTickMark val="out"/>
        <c:minorTickMark val="none"/>
        <c:tickLblPos val="nextTo"/>
        <c:crossAx val="599810312"/>
        <c:crosses val="autoZero"/>
        <c:crossBetween val="midCat"/>
      </c:valAx>
      <c:valAx>
        <c:axId val="599810312"/>
        <c:scaling>
          <c:logBase val="10"/>
          <c:orientation val="minMax"/>
          <c:max val="1"/>
          <c:min val="1.0000000000000005E-7"/>
        </c:scaling>
        <c:delete val="0"/>
        <c:axPos val="t"/>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599814248"/>
        <c:crosses val="max"/>
        <c:crossBetween val="midCat"/>
      </c:valAx>
      <c:spPr>
        <a:noFill/>
        <a:ln>
          <a:solidFill>
            <a:schemeClr val="bg1">
              <a:lumMod val="85000"/>
            </a:schemeClr>
          </a:solid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"Dermal Cancer Risk Estimates"</c:f>
          <c:strCache>
            <c:ptCount val="1"/>
            <c:pt idx="0">
              <c:v>Dermal Cancer Risk Estimates</c:v>
            </c:pt>
          </c:strCache>
        </c:strRef>
      </c:tx>
      <c:layout>
        <c:manualLayout>
          <c:xMode val="edge"/>
          <c:yMode val="edge"/>
          <c:x val="0.36062458254174651"/>
          <c:y val="3.74142531318897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9150842647774607"/>
          <c:y val="0.21054931230848406"/>
          <c:w val="0.59536328249985193"/>
          <c:h val="0.47132178068272318"/>
        </c:manualLayout>
      </c:layout>
      <c:barChart>
        <c:barDir val="bar"/>
        <c:grouping val="stacked"/>
        <c:varyColors val="0"/>
        <c:ser>
          <c:idx val="5"/>
          <c:order val="1"/>
          <c:tx>
            <c:strRef>
              <c:f>Dashboard!$O$91</c:f>
              <c:strCache>
                <c:ptCount val="1"/>
                <c:pt idx="0">
                  <c:v>High End</c:v>
                </c:pt>
              </c:strCache>
            </c:strRef>
          </c:tx>
          <c:spPr>
            <a:solidFill>
              <a:schemeClr val="accent5">
                <a:lumMod val="75000"/>
              </a:schemeClr>
            </a:solidFill>
          </c:spPr>
          <c:invertIfNegative val="0"/>
          <c:cat>
            <c:strRef>
              <c:f>Dashboard!$N$92:$N$92</c:f>
              <c:strCache>
                <c:ptCount val="1"/>
                <c:pt idx="0">
                  <c:v>Worker, No Gloves</c:v>
                </c:pt>
              </c:strCache>
            </c:strRef>
          </c:cat>
          <c:val>
            <c:numRef>
              <c:f>Dashboard!$O$92:$O$92</c:f>
              <c:numCache>
                <c:formatCode>0.00E+00</c:formatCode>
                <c:ptCount val="1"/>
                <c:pt idx="0">
                  <c:v>3.9921388915020182E-3</c:v>
                </c:pt>
              </c:numCache>
            </c:numRef>
          </c:val>
          <c:extLst>
            <c:ext xmlns:c16="http://schemas.microsoft.com/office/drawing/2014/chart" uri="{C3380CC4-5D6E-409C-BE32-E72D297353CC}">
              <c16:uniqueId val="{00000001-6415-4C2F-B1BC-46D883723E2C}"/>
            </c:ext>
          </c:extLst>
        </c:ser>
        <c:dLbls>
          <c:showLegendKey val="0"/>
          <c:showVal val="0"/>
          <c:showCatName val="0"/>
          <c:showSerName val="0"/>
          <c:showPercent val="0"/>
          <c:showBubbleSize val="0"/>
        </c:dLbls>
        <c:gapWidth val="182"/>
        <c:overlap val="100"/>
        <c:axId val="580062808"/>
        <c:axId val="580066744"/>
        <c:extLst>
          <c:ext xmlns:c15="http://schemas.microsoft.com/office/drawing/2012/chart" uri="{02D57815-91ED-43cb-92C2-25804820EDAC}">
            <c15:filteredBarSeries>
              <c15:ser>
                <c:idx val="4"/>
                <c:order val="0"/>
                <c:tx>
                  <c:strRef>
                    <c:extLst>
                      <c:ext uri="{02D57815-91ED-43cb-92C2-25804820EDAC}">
                        <c15:formulaRef>
                          <c15:sqref>Dashboard!$P$91</c15:sqref>
                        </c15:formulaRef>
                      </c:ext>
                    </c:extLst>
                    <c:strCache>
                      <c:ptCount val="1"/>
                      <c:pt idx="0">
                        <c:v>Central Tendency</c:v>
                      </c:pt>
                    </c:strCache>
                  </c:strRef>
                </c:tx>
                <c:spPr>
                  <a:solidFill>
                    <a:schemeClr val="accent5"/>
                  </a:solidFill>
                </c:spPr>
                <c:invertIfNegative val="0"/>
                <c:cat>
                  <c:strRef>
                    <c:extLst>
                      <c:ext uri="{02D57815-91ED-43cb-92C2-25804820EDAC}">
                        <c15:formulaRef>
                          <c15:sqref>Dashboard!$N$92:$N$92</c15:sqref>
                        </c15:formulaRef>
                      </c:ext>
                    </c:extLst>
                    <c:strCache>
                      <c:ptCount val="1"/>
                      <c:pt idx="0">
                        <c:v>Worker, No Gloves</c:v>
                      </c:pt>
                    </c:strCache>
                  </c:strRef>
                </c:cat>
                <c:val>
                  <c:numRef>
                    <c:extLst>
                      <c:ext uri="{02D57815-91ED-43cb-92C2-25804820EDAC}">
                        <c15:formulaRef>
                          <c15:sqref>Dashboard!$P$92:$P$92</c15:sqref>
                        </c15:formulaRef>
                      </c:ext>
                    </c:extLst>
                    <c:numCache>
                      <c:formatCode>General</c:formatCode>
                      <c:ptCount val="1"/>
                      <c:pt idx="0">
                        <c:v>1.4238339335787826E-3</c:v>
                      </c:pt>
                    </c:numCache>
                  </c:numRef>
                </c:val>
                <c:extLst>
                  <c:ext xmlns:c16="http://schemas.microsoft.com/office/drawing/2014/chart" uri="{C3380CC4-5D6E-409C-BE32-E72D297353CC}">
                    <c16:uniqueId val="{00000000-6415-4C2F-B1BC-46D883723E2C}"/>
                  </c:ext>
                </c:extLst>
              </c15:ser>
            </c15:filteredBarSeries>
          </c:ext>
        </c:extLst>
      </c:barChart>
      <c:scatterChart>
        <c:scatterStyle val="lineMarker"/>
        <c:varyColors val="0"/>
        <c:ser>
          <c:idx val="3"/>
          <c:order val="4"/>
          <c:tx>
            <c:v>1.00E-04</c:v>
          </c:tx>
          <c:spPr>
            <a:ln w="28575" cap="rnd">
              <a:solidFill>
                <a:srgbClr val="FF0000"/>
              </a:solidFill>
              <a:round/>
            </a:ln>
            <a:effectLst/>
          </c:spPr>
          <c:marker>
            <c:symbol val="none"/>
          </c:marker>
          <c:xVal>
            <c:numLit>
              <c:formatCode>General</c:formatCode>
              <c:ptCount val="6"/>
              <c:pt idx="0">
                <c:v>1E-4</c:v>
              </c:pt>
              <c:pt idx="1">
                <c:v>1E-4</c:v>
              </c:pt>
              <c:pt idx="2">
                <c:v>1E-4</c:v>
              </c:pt>
              <c:pt idx="3">
                <c:v>1E-4</c:v>
              </c:pt>
              <c:pt idx="4">
                <c:v>1E-4</c:v>
              </c:pt>
              <c:pt idx="5">
                <c:v>1E-4</c:v>
              </c:pt>
            </c:numLit>
          </c:xVal>
          <c:yVal>
            <c:numLit>
              <c:formatCode>General</c:formatCode>
              <c:ptCount val="6"/>
              <c:pt idx="0">
                <c:v>7</c:v>
              </c:pt>
              <c:pt idx="1">
                <c:v>5</c:v>
              </c:pt>
              <c:pt idx="2">
                <c:v>4</c:v>
              </c:pt>
              <c:pt idx="3">
                <c:v>3</c:v>
              </c:pt>
              <c:pt idx="4">
                <c:v>2</c:v>
              </c:pt>
              <c:pt idx="5">
                <c:v>0</c:v>
              </c:pt>
            </c:numLit>
          </c:yVal>
          <c:smooth val="0"/>
          <c:extLst>
            <c:ext xmlns:c16="http://schemas.microsoft.com/office/drawing/2014/chart" uri="{C3380CC4-5D6E-409C-BE32-E72D297353CC}">
              <c16:uniqueId val="{00000004-6415-4C2F-B1BC-46D883723E2C}"/>
            </c:ext>
          </c:extLst>
        </c:ser>
        <c:dLbls>
          <c:showLegendKey val="0"/>
          <c:showVal val="0"/>
          <c:showCatName val="0"/>
          <c:showSerName val="0"/>
          <c:showPercent val="0"/>
          <c:showBubbleSize val="0"/>
        </c:dLbls>
        <c:axId val="599810312"/>
        <c:axId val="599814248"/>
        <c:extLst>
          <c:ext xmlns:c15="http://schemas.microsoft.com/office/drawing/2012/chart" uri="{02D57815-91ED-43cb-92C2-25804820EDAC}">
            <c15:filteredScatterSeries>
              <c15:ser>
                <c:idx val="1"/>
                <c:order val="2"/>
                <c:tx>
                  <c:v>1.00E-06</c:v>
                </c:tx>
                <c:spPr>
                  <a:ln w="28575" cap="rnd">
                    <a:solidFill>
                      <a:srgbClr val="FF0000"/>
                    </a:solidFill>
                    <a:round/>
                  </a:ln>
                  <a:effectLst/>
                </c:spPr>
                <c:marker>
                  <c:symbol val="none"/>
                </c:marker>
                <c:xVal>
                  <c:numLit>
                    <c:formatCode>General</c:formatCode>
                    <c:ptCount val="6"/>
                    <c:pt idx="0">
                      <c:v>9.9999999999999995E-7</c:v>
                    </c:pt>
                    <c:pt idx="1">
                      <c:v>9.9999999999999995E-7</c:v>
                    </c:pt>
                    <c:pt idx="2">
                      <c:v>9.9999999999999995E-7</c:v>
                    </c:pt>
                    <c:pt idx="3">
                      <c:v>9.9999999999999995E-7</c:v>
                    </c:pt>
                    <c:pt idx="4">
                      <c:v>9.9999999999999995E-7</c:v>
                    </c:pt>
                    <c:pt idx="5">
                      <c:v>9.9999999999999995E-7</c:v>
                    </c:pt>
                  </c:numLit>
                </c:xVal>
                <c:yVal>
                  <c:numLit>
                    <c:formatCode>General</c:formatCode>
                    <c:ptCount val="6"/>
                    <c:pt idx="0">
                      <c:v>7</c:v>
                    </c:pt>
                    <c:pt idx="1">
                      <c:v>5</c:v>
                    </c:pt>
                    <c:pt idx="2">
                      <c:v>4</c:v>
                    </c:pt>
                    <c:pt idx="3">
                      <c:v>3</c:v>
                    </c:pt>
                    <c:pt idx="4">
                      <c:v>2</c:v>
                    </c:pt>
                    <c:pt idx="5">
                      <c:v>0</c:v>
                    </c:pt>
                  </c:numLit>
                </c:yVal>
                <c:smooth val="0"/>
                <c:extLst>
                  <c:ext xmlns:c16="http://schemas.microsoft.com/office/drawing/2014/chart" uri="{C3380CC4-5D6E-409C-BE32-E72D297353CC}">
                    <c16:uniqueId val="{00000002-6415-4C2F-B1BC-46D883723E2C}"/>
                  </c:ext>
                </c:extLst>
              </c15:ser>
            </c15:filteredScatterSeries>
            <c15:filteredScatterSeries>
              <c15:ser>
                <c:idx val="2"/>
                <c:order val="3"/>
                <c:tx>
                  <c:v>1.00E-05</c:v>
                </c:tx>
                <c:spPr>
                  <a:ln w="28575" cap="rnd">
                    <a:solidFill>
                      <a:srgbClr val="FF0000"/>
                    </a:solidFill>
                    <a:round/>
                  </a:ln>
                  <a:effectLst/>
                </c:spPr>
                <c:marker>
                  <c:symbol val="none"/>
                </c:marker>
                <c:xVal>
                  <c:numLit>
                    <c:formatCode>General</c:formatCode>
                    <c:ptCount val="6"/>
                    <c:pt idx="0">
                      <c:v>1.0000000000000001E-5</c:v>
                    </c:pt>
                    <c:pt idx="1">
                      <c:v>1.0000000000000001E-5</c:v>
                    </c:pt>
                    <c:pt idx="2">
                      <c:v>1.0000000000000001E-5</c:v>
                    </c:pt>
                    <c:pt idx="3">
                      <c:v>1.0000000000000001E-5</c:v>
                    </c:pt>
                    <c:pt idx="4">
                      <c:v>1.0000000000000001E-5</c:v>
                    </c:pt>
                    <c:pt idx="5">
                      <c:v>1.0000000000000001E-5</c:v>
                    </c:pt>
                  </c:numLit>
                </c:xVal>
                <c:yVal>
                  <c:numLit>
                    <c:formatCode>General</c:formatCode>
                    <c:ptCount val="6"/>
                    <c:pt idx="0">
                      <c:v>7</c:v>
                    </c:pt>
                    <c:pt idx="1">
                      <c:v>5</c:v>
                    </c:pt>
                    <c:pt idx="2">
                      <c:v>4</c:v>
                    </c:pt>
                    <c:pt idx="3">
                      <c:v>3</c:v>
                    </c:pt>
                    <c:pt idx="4">
                      <c:v>2</c:v>
                    </c:pt>
                    <c:pt idx="5">
                      <c:v>0</c:v>
                    </c:pt>
                  </c:numLit>
                </c:yVal>
                <c:smooth val="0"/>
                <c:extLst xmlns:c15="http://schemas.microsoft.com/office/drawing/2012/chart">
                  <c:ext xmlns:c16="http://schemas.microsoft.com/office/drawing/2014/chart" uri="{C3380CC4-5D6E-409C-BE32-E72D297353CC}">
                    <c16:uniqueId val="{00000003-6415-4C2F-B1BC-46D883723E2C}"/>
                  </c:ext>
                </c:extLst>
              </c15:ser>
            </c15:filteredScatterSeries>
          </c:ext>
        </c:extLst>
      </c:scatterChart>
      <c:catAx>
        <c:axId val="580062808"/>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0066744"/>
        <c:crosses val="autoZero"/>
        <c:auto val="1"/>
        <c:lblAlgn val="ctr"/>
        <c:lblOffset val="100"/>
        <c:noMultiLvlLbl val="0"/>
      </c:catAx>
      <c:valAx>
        <c:axId val="580066744"/>
        <c:scaling>
          <c:logBase val="10"/>
          <c:orientation val="minMax"/>
          <c:min val="1.0000000000000005E-7"/>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excess risk per million</a:t>
                </a:r>
              </a:p>
            </c:rich>
          </c:tx>
          <c:layout>
            <c:manualLayout>
              <c:xMode val="edge"/>
              <c:yMode val="edge"/>
              <c:x val="0.36584643797039879"/>
              <c:y val="0.91033093796437237"/>
            </c:manualLayout>
          </c:layout>
          <c:overlay val="0"/>
          <c:spPr>
            <a:noFill/>
            <a:ln>
              <a:noFill/>
            </a:ln>
            <a:effectLst/>
          </c:spPr>
        </c:title>
        <c:numFmt formatCode="0.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0062808"/>
        <c:crosses val="autoZero"/>
        <c:crossBetween val="between"/>
      </c:valAx>
      <c:valAx>
        <c:axId val="599814248"/>
        <c:scaling>
          <c:orientation val="minMax"/>
          <c:max val="7"/>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599810312"/>
        <c:crosses val="autoZero"/>
        <c:crossBetween val="midCat"/>
      </c:valAx>
      <c:valAx>
        <c:axId val="599810312"/>
        <c:scaling>
          <c:logBase val="10"/>
          <c:orientation val="minMax"/>
          <c:max val="1"/>
          <c:min val="1.0000000000000005E-7"/>
        </c:scaling>
        <c:delete val="0"/>
        <c:axPos val="t"/>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599814248"/>
        <c:crosses val="max"/>
        <c:crossBetween val="midCat"/>
      </c:valAx>
      <c:spPr>
        <a:noFill/>
        <a:ln>
          <a:solidFill>
            <a:schemeClr val="bg1">
              <a:lumMod val="85000"/>
            </a:schemeClr>
          </a:solidFill>
        </a:ln>
        <a:effectLst/>
      </c:spPr>
    </c:plotArea>
    <c:legend>
      <c:legendPos val="r"/>
      <c:layout>
        <c:manualLayout>
          <c:xMode val="edge"/>
          <c:yMode val="edge"/>
          <c:x val="0.80461981541828131"/>
          <c:y val="0.35022486721558838"/>
          <c:w val="0.18443302702841707"/>
          <c:h val="6.8627051543487166E-2"/>
        </c:manualLayout>
      </c:layout>
      <c:overlay val="0"/>
    </c:legend>
    <c:plotVisOnly val="1"/>
    <c:dispBlanksAs val="gap"/>
    <c:showDLblsOverMax val="0"/>
  </c:chart>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"Inhalation Cancer Risk Estimates"</c:f>
          <c:strCache>
            <c:ptCount val="1"/>
            <c:pt idx="0">
              <c:v>Inhalation Cancer Risk Estimates</c:v>
            </c:pt>
          </c:strCache>
        </c:strRef>
      </c:tx>
      <c:layout>
        <c:manualLayout>
          <c:xMode val="edge"/>
          <c:yMode val="edge"/>
          <c:x val="0.35379421156466734"/>
          <c:y val="5.118886630776833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9150842647774607"/>
          <c:y val="0.21054931230848406"/>
          <c:w val="0.63729288181961663"/>
          <c:h val="0.60596785221581506"/>
        </c:manualLayout>
      </c:layout>
      <c:barChart>
        <c:barDir val="bar"/>
        <c:grouping val="stacked"/>
        <c:varyColors val="0"/>
        <c:ser>
          <c:idx val="5"/>
          <c:order val="0"/>
          <c:tx>
            <c:strRef>
              <c:f>'Risk Reduction'!$J$60</c:f>
              <c:strCache>
                <c:ptCount val="1"/>
                <c:pt idx="0">
                  <c:v>High End</c:v>
                </c:pt>
              </c:strCache>
            </c:strRef>
          </c:tx>
          <c:spPr>
            <a:solidFill>
              <a:schemeClr val="accent5"/>
            </a:solidFill>
            <a:ln w="25400">
              <a:noFill/>
            </a:ln>
            <a:effectLst/>
          </c:spPr>
          <c:invertIfNegative val="0"/>
          <c:cat>
            <c:strRef>
              <c:f>'Risk Reduction'!$H$61:$H$66</c:f>
              <c:strCache>
                <c:ptCount val="6"/>
                <c:pt idx="0">
                  <c:v>No Respirator</c:v>
                </c:pt>
                <c:pt idx="1">
                  <c:v>APF = 10</c:v>
                </c:pt>
                <c:pt idx="2">
                  <c:v>APF = 25</c:v>
                </c:pt>
                <c:pt idx="3">
                  <c:v>APF = 50</c:v>
                </c:pt>
                <c:pt idx="4">
                  <c:v>APF = 1,000</c:v>
                </c:pt>
                <c:pt idx="5">
                  <c:v>APF = 10,000</c:v>
                </c:pt>
              </c:strCache>
            </c:strRef>
          </c:cat>
          <c:val>
            <c:numRef>
              <c:f>'Risk Reduction'!$J$61:$J$66</c:f>
              <c:numCache>
                <c:formatCode>0.00E+00</c:formatCode>
                <c:ptCount val="6"/>
                <c:pt idx="0">
                  <c:v>1.0788786862585082E-4</c:v>
                </c:pt>
                <c:pt idx="1">
                  <c:v>1.0788786862585081E-5</c:v>
                </c:pt>
                <c:pt idx="2">
                  <c:v>4.315514745034033E-6</c:v>
                </c:pt>
                <c:pt idx="3">
                  <c:v>2.1577573725170165E-6</c:v>
                </c:pt>
                <c:pt idx="4">
                  <c:v>1.0788786862585082E-7</c:v>
                </c:pt>
                <c:pt idx="5">
                  <c:v>1.0788786862585082E-8</c:v>
                </c:pt>
              </c:numCache>
            </c:numRef>
          </c:val>
          <c:extLst>
            <c:ext xmlns:c16="http://schemas.microsoft.com/office/drawing/2014/chart" uri="{C3380CC4-5D6E-409C-BE32-E72D297353CC}">
              <c16:uniqueId val="{00000013-2530-4F3A-BEDF-BB24B328CDF4}"/>
            </c:ext>
          </c:extLst>
        </c:ser>
        <c:dLbls>
          <c:showLegendKey val="0"/>
          <c:showVal val="0"/>
          <c:showCatName val="0"/>
          <c:showSerName val="0"/>
          <c:showPercent val="0"/>
          <c:showBubbleSize val="0"/>
        </c:dLbls>
        <c:gapWidth val="150"/>
        <c:overlap val="100"/>
        <c:axId val="580062808"/>
        <c:axId val="580066744"/>
        <c:extLst>
          <c:ext xmlns:c15="http://schemas.microsoft.com/office/drawing/2012/chart" uri="{02D57815-91ED-43cb-92C2-25804820EDAC}">
            <c15:filteredBarSeries>
              <c15:ser>
                <c:idx val="6"/>
                <c:order val="1"/>
                <c:tx>
                  <c:strRef>
                    <c:extLst>
                      <c:ext uri="{02D57815-91ED-43cb-92C2-25804820EDAC}">
                        <c15:formulaRef>
                          <c15:sqref>'Risk Reduction'!$I$60</c15:sqref>
                        </c15:formulaRef>
                      </c:ext>
                    </c:extLst>
                    <c:strCache>
                      <c:ptCount val="1"/>
                      <c:pt idx="0">
                        <c:v>Central Tendency</c:v>
                      </c:pt>
                    </c:strCache>
                  </c:strRef>
                </c:tx>
                <c:spPr>
                  <a:solidFill>
                    <a:schemeClr val="accent5">
                      <a:lumMod val="75000"/>
                    </a:schemeClr>
                  </a:solidFill>
                  <a:ln>
                    <a:noFill/>
                  </a:ln>
                  <a:effectLst/>
                </c:spPr>
                <c:invertIfNegative val="0"/>
                <c:cat>
                  <c:strRef>
                    <c:extLst>
                      <c:ext uri="{02D57815-91ED-43cb-92C2-25804820EDAC}">
                        <c15:formulaRef>
                          <c15:sqref>'Risk Reduction'!$H$61:$H$66</c15:sqref>
                        </c15:formulaRef>
                      </c:ext>
                    </c:extLst>
                    <c:strCache>
                      <c:ptCount val="6"/>
                      <c:pt idx="0">
                        <c:v>No Respirator</c:v>
                      </c:pt>
                      <c:pt idx="1">
                        <c:v>APF = 10</c:v>
                      </c:pt>
                      <c:pt idx="2">
                        <c:v>APF = 25</c:v>
                      </c:pt>
                      <c:pt idx="3">
                        <c:v>APF = 50</c:v>
                      </c:pt>
                      <c:pt idx="4">
                        <c:v>APF = 1,000</c:v>
                      </c:pt>
                      <c:pt idx="5">
                        <c:v>APF = 10,000</c:v>
                      </c:pt>
                    </c:strCache>
                  </c:strRef>
                </c:cat>
                <c:val>
                  <c:numRef>
                    <c:extLst>
                      <c:ext uri="{02D57815-91ED-43cb-92C2-25804820EDAC}">
                        <c15:formulaRef>
                          <c15:sqref>'Risk Reduction'!$I$61:$I$66</c15:sqref>
                        </c15:formulaRef>
                      </c:ext>
                    </c:extLst>
                    <c:numCache>
                      <c:formatCode>0.00E+00</c:formatCode>
                      <c:ptCount val="6"/>
                      <c:pt idx="0">
                        <c:v>1.5721545991080199E-5</c:v>
                      </c:pt>
                      <c:pt idx="1">
                        <c:v>1.5721545991080199E-6</c:v>
                      </c:pt>
                      <c:pt idx="2">
                        <c:v>6.288618396432079E-7</c:v>
                      </c:pt>
                      <c:pt idx="3">
                        <c:v>3.1443091982160395E-7</c:v>
                      </c:pt>
                      <c:pt idx="4">
                        <c:v>1.5721545991080198E-8</c:v>
                      </c:pt>
                      <c:pt idx="5">
                        <c:v>1.5721545991080199E-9</c:v>
                      </c:pt>
                    </c:numCache>
                  </c:numRef>
                </c:val>
                <c:extLst>
                  <c:ext xmlns:c16="http://schemas.microsoft.com/office/drawing/2014/chart" uri="{C3380CC4-5D6E-409C-BE32-E72D297353CC}">
                    <c16:uniqueId val="{00000014-2530-4F3A-BEDF-BB24B328CDF4}"/>
                  </c:ext>
                </c:extLst>
              </c15:ser>
            </c15:filteredBarSeries>
          </c:ext>
        </c:extLst>
      </c:barChart>
      <c:scatterChart>
        <c:scatterStyle val="lineMarker"/>
        <c:varyColors val="0"/>
        <c:ser>
          <c:idx val="3"/>
          <c:order val="4"/>
          <c:tx>
            <c:v>1.00E-04</c:v>
          </c:tx>
          <c:spPr>
            <a:ln w="28575" cap="rnd">
              <a:solidFill>
                <a:srgbClr val="FF0000"/>
              </a:solidFill>
              <a:round/>
            </a:ln>
            <a:effectLst/>
          </c:spPr>
          <c:marker>
            <c:symbol val="none"/>
          </c:marker>
          <c:xVal>
            <c:numLit>
              <c:formatCode>General</c:formatCode>
              <c:ptCount val="6"/>
              <c:pt idx="0">
                <c:v>1E-4</c:v>
              </c:pt>
              <c:pt idx="1">
                <c:v>1E-4</c:v>
              </c:pt>
              <c:pt idx="2">
                <c:v>1E-4</c:v>
              </c:pt>
              <c:pt idx="3">
                <c:v>1E-4</c:v>
              </c:pt>
              <c:pt idx="4">
                <c:v>1E-4</c:v>
              </c:pt>
              <c:pt idx="5">
                <c:v>1E-4</c:v>
              </c:pt>
            </c:numLit>
          </c:xVal>
          <c:yVal>
            <c:numLit>
              <c:formatCode>General</c:formatCode>
              <c:ptCount val="6"/>
              <c:pt idx="0">
                <c:v>7</c:v>
              </c:pt>
              <c:pt idx="1">
                <c:v>5</c:v>
              </c:pt>
              <c:pt idx="2">
                <c:v>4</c:v>
              </c:pt>
              <c:pt idx="3">
                <c:v>3</c:v>
              </c:pt>
              <c:pt idx="4">
                <c:v>2</c:v>
              </c:pt>
              <c:pt idx="5">
                <c:v>0</c:v>
              </c:pt>
            </c:numLit>
          </c:yVal>
          <c:smooth val="0"/>
          <c:extLst>
            <c:ext xmlns:c16="http://schemas.microsoft.com/office/drawing/2014/chart" uri="{C3380CC4-5D6E-409C-BE32-E72D297353CC}">
              <c16:uniqueId val="{00000012-2530-4F3A-BEDF-BB24B328CDF4}"/>
            </c:ext>
          </c:extLst>
        </c:ser>
        <c:dLbls>
          <c:showLegendKey val="0"/>
          <c:showVal val="0"/>
          <c:showCatName val="0"/>
          <c:showSerName val="0"/>
          <c:showPercent val="0"/>
          <c:showBubbleSize val="0"/>
        </c:dLbls>
        <c:axId val="599810312"/>
        <c:axId val="599814248"/>
        <c:extLst>
          <c:ext xmlns:c15="http://schemas.microsoft.com/office/drawing/2012/chart" uri="{02D57815-91ED-43cb-92C2-25804820EDAC}">
            <c15:filteredScatterSeries>
              <c15:ser>
                <c:idx val="1"/>
                <c:order val="2"/>
                <c:tx>
                  <c:v>1.00E-06</c:v>
                </c:tx>
                <c:spPr>
                  <a:ln w="28575" cap="rnd">
                    <a:solidFill>
                      <a:srgbClr val="FF0000"/>
                    </a:solidFill>
                    <a:round/>
                  </a:ln>
                  <a:effectLst/>
                </c:spPr>
                <c:marker>
                  <c:symbol val="none"/>
                </c:marker>
                <c:xVal>
                  <c:numLit>
                    <c:formatCode>General</c:formatCode>
                    <c:ptCount val="6"/>
                    <c:pt idx="0">
                      <c:v>9.9999999999999995E-7</c:v>
                    </c:pt>
                    <c:pt idx="1">
                      <c:v>9.9999999999999995E-7</c:v>
                    </c:pt>
                    <c:pt idx="2">
                      <c:v>9.9999999999999995E-7</c:v>
                    </c:pt>
                    <c:pt idx="3">
                      <c:v>9.9999999999999995E-7</c:v>
                    </c:pt>
                    <c:pt idx="4">
                      <c:v>9.9999999999999995E-7</c:v>
                    </c:pt>
                    <c:pt idx="5">
                      <c:v>9.9999999999999995E-7</c:v>
                    </c:pt>
                  </c:numLit>
                </c:xVal>
                <c:yVal>
                  <c:numLit>
                    <c:formatCode>General</c:formatCode>
                    <c:ptCount val="6"/>
                    <c:pt idx="0">
                      <c:v>7</c:v>
                    </c:pt>
                    <c:pt idx="1">
                      <c:v>5</c:v>
                    </c:pt>
                    <c:pt idx="2">
                      <c:v>4</c:v>
                    </c:pt>
                    <c:pt idx="3">
                      <c:v>3</c:v>
                    </c:pt>
                    <c:pt idx="4">
                      <c:v>2</c:v>
                    </c:pt>
                    <c:pt idx="5">
                      <c:v>0</c:v>
                    </c:pt>
                  </c:numLit>
                </c:yVal>
                <c:smooth val="0"/>
                <c:extLst>
                  <c:ext xmlns:c16="http://schemas.microsoft.com/office/drawing/2014/chart" uri="{C3380CC4-5D6E-409C-BE32-E72D297353CC}">
                    <c16:uniqueId val="{0000000E-2530-4F3A-BEDF-BB24B328CDF4}"/>
                  </c:ext>
                </c:extLst>
              </c15:ser>
            </c15:filteredScatterSeries>
            <c15:filteredScatterSeries>
              <c15:ser>
                <c:idx val="2"/>
                <c:order val="3"/>
                <c:tx>
                  <c:v>1.00E-05</c:v>
                </c:tx>
                <c:spPr>
                  <a:ln w="28575" cap="rnd">
                    <a:solidFill>
                      <a:srgbClr val="FF0000"/>
                    </a:solidFill>
                    <a:round/>
                  </a:ln>
                  <a:effectLst/>
                </c:spPr>
                <c:marker>
                  <c:symbol val="none"/>
                </c:marker>
                <c:xVal>
                  <c:numLit>
                    <c:formatCode>General</c:formatCode>
                    <c:ptCount val="6"/>
                    <c:pt idx="0">
                      <c:v>1.0000000000000001E-5</c:v>
                    </c:pt>
                    <c:pt idx="1">
                      <c:v>1.0000000000000001E-5</c:v>
                    </c:pt>
                    <c:pt idx="2">
                      <c:v>1.0000000000000001E-5</c:v>
                    </c:pt>
                    <c:pt idx="3">
                      <c:v>1.0000000000000001E-5</c:v>
                    </c:pt>
                    <c:pt idx="4">
                      <c:v>1.0000000000000001E-5</c:v>
                    </c:pt>
                    <c:pt idx="5">
                      <c:v>1.0000000000000001E-5</c:v>
                    </c:pt>
                  </c:numLit>
                </c:xVal>
                <c:yVal>
                  <c:numLit>
                    <c:formatCode>General</c:formatCode>
                    <c:ptCount val="6"/>
                    <c:pt idx="0">
                      <c:v>7</c:v>
                    </c:pt>
                    <c:pt idx="1">
                      <c:v>5</c:v>
                    </c:pt>
                    <c:pt idx="2">
                      <c:v>4</c:v>
                    </c:pt>
                    <c:pt idx="3">
                      <c:v>3</c:v>
                    </c:pt>
                    <c:pt idx="4">
                      <c:v>2</c:v>
                    </c:pt>
                    <c:pt idx="5">
                      <c:v>0</c:v>
                    </c:pt>
                  </c:numLit>
                </c:yVal>
                <c:smooth val="0"/>
                <c:extLst xmlns:c15="http://schemas.microsoft.com/office/drawing/2012/chart">
                  <c:ext xmlns:c16="http://schemas.microsoft.com/office/drawing/2014/chart" uri="{C3380CC4-5D6E-409C-BE32-E72D297353CC}">
                    <c16:uniqueId val="{00000010-2530-4F3A-BEDF-BB24B328CDF4}"/>
                  </c:ext>
                </c:extLst>
              </c15:ser>
            </c15:filteredScatterSeries>
          </c:ext>
        </c:extLst>
      </c:scatterChart>
      <c:catAx>
        <c:axId val="580062808"/>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0066744"/>
        <c:crosses val="autoZero"/>
        <c:auto val="1"/>
        <c:lblAlgn val="ctr"/>
        <c:lblOffset val="100"/>
        <c:noMultiLvlLbl val="0"/>
      </c:catAx>
      <c:valAx>
        <c:axId val="580066744"/>
        <c:scaling>
          <c:logBase val="10"/>
          <c:orientation val="minMax"/>
          <c:min val="1.0000000000000005E-7"/>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excess risk per million</a:t>
                </a:r>
              </a:p>
            </c:rich>
          </c:tx>
          <c:layout>
            <c:manualLayout>
              <c:xMode val="edge"/>
              <c:yMode val="edge"/>
              <c:x val="0.36584643797039879"/>
              <c:y val="0.9103309379643723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0062808"/>
        <c:crosses val="autoZero"/>
        <c:crossBetween val="between"/>
      </c:valAx>
      <c:valAx>
        <c:axId val="599814248"/>
        <c:scaling>
          <c:orientation val="minMax"/>
          <c:max val="7"/>
        </c:scaling>
        <c:delete val="1"/>
        <c:axPos val="l"/>
        <c:numFmt formatCode="General" sourceLinked="1"/>
        <c:majorTickMark val="out"/>
        <c:minorTickMark val="none"/>
        <c:tickLblPos val="nextTo"/>
        <c:crossAx val="599810312"/>
        <c:crosses val="autoZero"/>
        <c:crossBetween val="midCat"/>
      </c:valAx>
      <c:valAx>
        <c:axId val="599810312"/>
        <c:scaling>
          <c:logBase val="10"/>
          <c:orientation val="minMax"/>
          <c:max val="1"/>
          <c:min val="1.0000000000000005E-7"/>
        </c:scaling>
        <c:delete val="0"/>
        <c:axPos val="t"/>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599814248"/>
        <c:crosses val="max"/>
        <c:crossBetween val="midCat"/>
      </c:valAx>
      <c:spPr>
        <a:noFill/>
        <a:ln>
          <a:solidFill>
            <a:schemeClr val="bg1">
              <a:lumMod val="85000"/>
            </a:schemeClr>
          </a:solidFill>
        </a:ln>
        <a:effectLst/>
      </c:spPr>
    </c:plotArea>
    <c:legend>
      <c:legendPos val="r"/>
      <c:legendEntry>
        <c:idx val="1"/>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"Dermal Cancer Risk Estimates"</c:f>
          <c:strCache>
            <c:ptCount val="1"/>
            <c:pt idx="0">
              <c:v>Dermal Cancer Risk Estimates</c:v>
            </c:pt>
          </c:strCache>
        </c:strRef>
      </c:tx>
      <c:layout>
        <c:manualLayout>
          <c:xMode val="edge"/>
          <c:yMode val="edge"/>
          <c:x val="0.36062458254174651"/>
          <c:y val="3.74142531318897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9150842647774607"/>
          <c:y val="0.21054931230848406"/>
          <c:w val="0.6036262753605407"/>
          <c:h val="0.62363785011424611"/>
        </c:manualLayout>
      </c:layout>
      <c:barChart>
        <c:barDir val="bar"/>
        <c:grouping val="stacked"/>
        <c:varyColors val="0"/>
        <c:ser>
          <c:idx val="4"/>
          <c:order val="0"/>
          <c:tx>
            <c:strRef>
              <c:f>'Risk Reduction'!$T$60</c:f>
              <c:strCache>
                <c:ptCount val="1"/>
                <c:pt idx="0">
                  <c:v>High End</c:v>
                </c:pt>
              </c:strCache>
            </c:strRef>
          </c:tx>
          <c:spPr>
            <a:solidFill>
              <a:schemeClr val="accent5"/>
            </a:solidFill>
            <a:ln>
              <a:noFill/>
            </a:ln>
            <a:effectLst/>
          </c:spPr>
          <c:invertIfNegative val="0"/>
          <c:dPt>
            <c:idx val="0"/>
            <c:invertIfNegative val="0"/>
            <c:bubble3D val="0"/>
            <c:spPr>
              <a:solidFill>
                <a:schemeClr val="accent5"/>
              </a:solidFill>
              <a:ln>
                <a:noFill/>
              </a:ln>
              <a:effectLst/>
            </c:spPr>
            <c:extLst>
              <c:ext xmlns:c16="http://schemas.microsoft.com/office/drawing/2014/chart" uri="{C3380CC4-5D6E-409C-BE32-E72D297353CC}">
                <c16:uniqueId val="{00000046-C949-4D86-B295-E8CC3C4B6855}"/>
              </c:ext>
            </c:extLst>
          </c:dPt>
          <c:dPt>
            <c:idx val="1"/>
            <c:invertIfNegative val="0"/>
            <c:bubble3D val="0"/>
            <c:spPr>
              <a:solidFill>
                <a:schemeClr val="accent5"/>
              </a:solidFill>
              <a:ln>
                <a:noFill/>
              </a:ln>
              <a:effectLst/>
            </c:spPr>
            <c:extLst>
              <c:ext xmlns:c16="http://schemas.microsoft.com/office/drawing/2014/chart" uri="{C3380CC4-5D6E-409C-BE32-E72D297353CC}">
                <c16:uniqueId val="{00000047-C949-4D86-B295-E8CC3C4B6855}"/>
              </c:ext>
            </c:extLst>
          </c:dPt>
          <c:dPt>
            <c:idx val="2"/>
            <c:invertIfNegative val="0"/>
            <c:bubble3D val="0"/>
            <c:spPr>
              <a:solidFill>
                <a:schemeClr val="accent5"/>
              </a:solidFill>
              <a:ln>
                <a:noFill/>
              </a:ln>
              <a:effectLst/>
            </c:spPr>
            <c:extLst>
              <c:ext xmlns:c16="http://schemas.microsoft.com/office/drawing/2014/chart" uri="{C3380CC4-5D6E-409C-BE32-E72D297353CC}">
                <c16:uniqueId val="{00000048-C949-4D86-B295-E8CC3C4B6855}"/>
              </c:ext>
            </c:extLst>
          </c:dPt>
          <c:dPt>
            <c:idx val="3"/>
            <c:invertIfNegative val="0"/>
            <c:bubble3D val="0"/>
            <c:spPr>
              <a:solidFill>
                <a:schemeClr val="accent5"/>
              </a:solidFill>
              <a:ln>
                <a:noFill/>
              </a:ln>
              <a:effectLst/>
            </c:spPr>
            <c:extLst>
              <c:ext xmlns:c16="http://schemas.microsoft.com/office/drawing/2014/chart" uri="{C3380CC4-5D6E-409C-BE32-E72D297353CC}">
                <c16:uniqueId val="{00000049-C949-4D86-B295-E8CC3C4B6855}"/>
              </c:ext>
            </c:extLst>
          </c:dPt>
          <c:cat>
            <c:strRef>
              <c:f>'Risk Reduction'!$R$61:$R$64</c:f>
              <c:strCache>
                <c:ptCount val="4"/>
                <c:pt idx="0">
                  <c:v>No Gloves 
(PF = 1)</c:v>
                </c:pt>
                <c:pt idx="1">
                  <c:v>Protective Gloves 
(PF = 5)</c:v>
                </c:pt>
                <c:pt idx="2">
                  <c:v>Protective Gloves 
(Commercial uses, PF = 10)</c:v>
                </c:pt>
                <c:pt idx="3">
                  <c:v>Protective Gloves 
(Industrial uses, PF = 20)</c:v>
                </c:pt>
              </c:strCache>
            </c:strRef>
          </c:cat>
          <c:val>
            <c:numRef>
              <c:f>'Risk Reduction'!$T$61:$T$64</c:f>
              <c:numCache>
                <c:formatCode>0.00E+00</c:formatCode>
                <c:ptCount val="4"/>
                <c:pt idx="0">
                  <c:v>3.9921388915020182E-3</c:v>
                </c:pt>
                <c:pt idx="1">
                  <c:v>7.9842777830040372E-4</c:v>
                </c:pt>
                <c:pt idx="2">
                  <c:v>3.9921388915020186E-4</c:v>
                </c:pt>
                <c:pt idx="3">
                  <c:v>1.9960694457510093E-4</c:v>
                </c:pt>
              </c:numCache>
            </c:numRef>
          </c:val>
          <c:extLst>
            <c:ext xmlns:c16="http://schemas.microsoft.com/office/drawing/2014/chart" uri="{C3380CC4-5D6E-409C-BE32-E72D297353CC}">
              <c16:uniqueId val="{00000045-C949-4D86-B295-E8CC3C4B6855}"/>
            </c:ext>
          </c:extLst>
        </c:ser>
        <c:dLbls>
          <c:showLegendKey val="0"/>
          <c:showVal val="0"/>
          <c:showCatName val="0"/>
          <c:showSerName val="0"/>
          <c:showPercent val="0"/>
          <c:showBubbleSize val="0"/>
        </c:dLbls>
        <c:gapWidth val="182"/>
        <c:overlap val="100"/>
        <c:axId val="580062808"/>
        <c:axId val="580066744"/>
        <c:extLst>
          <c:ext xmlns:c15="http://schemas.microsoft.com/office/drawing/2012/chart" uri="{02D57815-91ED-43cb-92C2-25804820EDAC}">
            <c15:filteredBarSeries>
              <c15:ser>
                <c:idx val="5"/>
                <c:order val="1"/>
                <c:tx>
                  <c:strRef>
                    <c:extLst>
                      <c:ext uri="{02D57815-91ED-43cb-92C2-25804820EDAC}">
                        <c15:formulaRef>
                          <c15:sqref>'Risk Reduction'!$S$60</c15:sqref>
                        </c15:formulaRef>
                      </c:ext>
                    </c:extLst>
                    <c:strCache>
                      <c:ptCount val="1"/>
                      <c:pt idx="0">
                        <c:v>Central Tendency</c:v>
                      </c:pt>
                    </c:strCache>
                  </c:strRef>
                </c:tx>
                <c:spPr>
                  <a:solidFill>
                    <a:schemeClr val="accent5">
                      <a:lumMod val="75000"/>
                    </a:schemeClr>
                  </a:solidFill>
                  <a:ln>
                    <a:noFill/>
                  </a:ln>
                  <a:effectLst/>
                </c:spPr>
                <c:invertIfNegative val="0"/>
                <c:cat>
                  <c:strRef>
                    <c:extLst>
                      <c:ext uri="{02D57815-91ED-43cb-92C2-25804820EDAC}">
                        <c15:formulaRef>
                          <c15:sqref>'Risk Reduction'!$R$61:$R$64</c15:sqref>
                        </c15:formulaRef>
                      </c:ext>
                    </c:extLst>
                    <c:strCache>
                      <c:ptCount val="4"/>
                      <c:pt idx="0">
                        <c:v>No Gloves 
(PF = 1)</c:v>
                      </c:pt>
                      <c:pt idx="1">
                        <c:v>Protective Gloves 
(PF = 5)</c:v>
                      </c:pt>
                      <c:pt idx="2">
                        <c:v>Protective Gloves 
(Commercial uses, PF = 10)</c:v>
                      </c:pt>
                      <c:pt idx="3">
                        <c:v>Protective Gloves 
(Industrial uses, PF = 20)</c:v>
                      </c:pt>
                    </c:strCache>
                  </c:strRef>
                </c:cat>
                <c:val>
                  <c:numRef>
                    <c:extLst>
                      <c:ext uri="{02D57815-91ED-43cb-92C2-25804820EDAC}">
                        <c15:formulaRef>
                          <c15:sqref>'Risk Reduction'!$S$61:$S$64</c15:sqref>
                        </c15:formulaRef>
                      </c:ext>
                    </c:extLst>
                    <c:numCache>
                      <c:formatCode>0.00E+00</c:formatCode>
                      <c:ptCount val="4"/>
                      <c:pt idx="0">
                        <c:v>1.4238339335787826E-3</c:v>
                      </c:pt>
                      <c:pt idx="1">
                        <c:v>2.847667867157565E-4</c:v>
                      </c:pt>
                      <c:pt idx="2">
                        <c:v>1.4238339335787825E-4</c:v>
                      </c:pt>
                      <c:pt idx="3">
                        <c:v>7.1191696678939124E-5</c:v>
                      </c:pt>
                    </c:numCache>
                  </c:numRef>
                </c:val>
                <c:extLst>
                  <c:ext xmlns:c16="http://schemas.microsoft.com/office/drawing/2014/chart" uri="{C3380CC4-5D6E-409C-BE32-E72D297353CC}">
                    <c16:uniqueId val="{0000004A-C949-4D86-B295-E8CC3C4B6855}"/>
                  </c:ext>
                </c:extLst>
              </c15:ser>
            </c15:filteredBarSeries>
          </c:ext>
        </c:extLst>
      </c:barChart>
      <c:scatterChart>
        <c:scatterStyle val="lineMarker"/>
        <c:varyColors val="0"/>
        <c:ser>
          <c:idx val="3"/>
          <c:order val="4"/>
          <c:tx>
            <c:v>1.00E-04</c:v>
          </c:tx>
          <c:spPr>
            <a:ln w="28575" cap="rnd">
              <a:solidFill>
                <a:srgbClr val="FF0000"/>
              </a:solidFill>
              <a:round/>
            </a:ln>
            <a:effectLst/>
          </c:spPr>
          <c:marker>
            <c:symbol val="none"/>
          </c:marker>
          <c:xVal>
            <c:numLit>
              <c:formatCode>General</c:formatCode>
              <c:ptCount val="6"/>
              <c:pt idx="0">
                <c:v>1E-4</c:v>
              </c:pt>
              <c:pt idx="1">
                <c:v>1E-4</c:v>
              </c:pt>
              <c:pt idx="2">
                <c:v>1E-4</c:v>
              </c:pt>
              <c:pt idx="3">
                <c:v>1E-4</c:v>
              </c:pt>
              <c:pt idx="4">
                <c:v>1E-4</c:v>
              </c:pt>
              <c:pt idx="5">
                <c:v>1E-4</c:v>
              </c:pt>
            </c:numLit>
          </c:xVal>
          <c:yVal>
            <c:numLit>
              <c:formatCode>General</c:formatCode>
              <c:ptCount val="6"/>
              <c:pt idx="0">
                <c:v>7</c:v>
              </c:pt>
              <c:pt idx="1">
                <c:v>5</c:v>
              </c:pt>
              <c:pt idx="2">
                <c:v>4</c:v>
              </c:pt>
              <c:pt idx="3">
                <c:v>3</c:v>
              </c:pt>
              <c:pt idx="4">
                <c:v>2</c:v>
              </c:pt>
              <c:pt idx="5">
                <c:v>0</c:v>
              </c:pt>
            </c:numLit>
          </c:yVal>
          <c:smooth val="0"/>
          <c:extLst>
            <c:ext xmlns:c16="http://schemas.microsoft.com/office/drawing/2014/chart" uri="{C3380CC4-5D6E-409C-BE32-E72D297353CC}">
              <c16:uniqueId val="{00000044-C949-4D86-B295-E8CC3C4B6855}"/>
            </c:ext>
          </c:extLst>
        </c:ser>
        <c:dLbls>
          <c:showLegendKey val="0"/>
          <c:showVal val="0"/>
          <c:showCatName val="0"/>
          <c:showSerName val="0"/>
          <c:showPercent val="0"/>
          <c:showBubbleSize val="0"/>
        </c:dLbls>
        <c:axId val="599810312"/>
        <c:axId val="599814248"/>
        <c:extLst>
          <c:ext xmlns:c15="http://schemas.microsoft.com/office/drawing/2012/chart" uri="{02D57815-91ED-43cb-92C2-25804820EDAC}">
            <c15:filteredScatterSeries>
              <c15:ser>
                <c:idx val="1"/>
                <c:order val="2"/>
                <c:tx>
                  <c:v>1.00E-06</c:v>
                </c:tx>
                <c:spPr>
                  <a:ln w="28575" cap="rnd">
                    <a:solidFill>
                      <a:srgbClr val="FF0000"/>
                    </a:solidFill>
                    <a:round/>
                  </a:ln>
                  <a:effectLst/>
                </c:spPr>
                <c:marker>
                  <c:symbol val="none"/>
                </c:marker>
                <c:xVal>
                  <c:numLit>
                    <c:formatCode>General</c:formatCode>
                    <c:ptCount val="6"/>
                    <c:pt idx="0">
                      <c:v>9.9999999999999995E-7</c:v>
                    </c:pt>
                    <c:pt idx="1">
                      <c:v>9.9999999999999995E-7</c:v>
                    </c:pt>
                    <c:pt idx="2">
                      <c:v>9.9999999999999995E-7</c:v>
                    </c:pt>
                    <c:pt idx="3">
                      <c:v>9.9999999999999995E-7</c:v>
                    </c:pt>
                    <c:pt idx="4">
                      <c:v>9.9999999999999995E-7</c:v>
                    </c:pt>
                    <c:pt idx="5">
                      <c:v>9.9999999999999995E-7</c:v>
                    </c:pt>
                  </c:numLit>
                </c:xVal>
                <c:yVal>
                  <c:numLit>
                    <c:formatCode>General</c:formatCode>
                    <c:ptCount val="6"/>
                    <c:pt idx="0">
                      <c:v>7</c:v>
                    </c:pt>
                    <c:pt idx="1">
                      <c:v>5</c:v>
                    </c:pt>
                    <c:pt idx="2">
                      <c:v>4</c:v>
                    </c:pt>
                    <c:pt idx="3">
                      <c:v>3</c:v>
                    </c:pt>
                    <c:pt idx="4">
                      <c:v>2</c:v>
                    </c:pt>
                    <c:pt idx="5">
                      <c:v>0</c:v>
                    </c:pt>
                  </c:numLit>
                </c:yVal>
                <c:smooth val="0"/>
                <c:extLst>
                  <c:ext xmlns:c16="http://schemas.microsoft.com/office/drawing/2014/chart" uri="{C3380CC4-5D6E-409C-BE32-E72D297353CC}">
                    <c16:uniqueId val="{00000040-C949-4D86-B295-E8CC3C4B6855}"/>
                  </c:ext>
                </c:extLst>
              </c15:ser>
            </c15:filteredScatterSeries>
            <c15:filteredScatterSeries>
              <c15:ser>
                <c:idx val="2"/>
                <c:order val="3"/>
                <c:tx>
                  <c:v>1.00E-05</c:v>
                </c:tx>
                <c:spPr>
                  <a:ln w="28575" cap="rnd">
                    <a:solidFill>
                      <a:srgbClr val="FF0000"/>
                    </a:solidFill>
                    <a:round/>
                  </a:ln>
                  <a:effectLst/>
                </c:spPr>
                <c:marker>
                  <c:symbol val="none"/>
                </c:marker>
                <c:xVal>
                  <c:numLit>
                    <c:formatCode>General</c:formatCode>
                    <c:ptCount val="6"/>
                    <c:pt idx="0">
                      <c:v>1.0000000000000001E-5</c:v>
                    </c:pt>
                    <c:pt idx="1">
                      <c:v>1.0000000000000001E-5</c:v>
                    </c:pt>
                    <c:pt idx="2">
                      <c:v>1.0000000000000001E-5</c:v>
                    </c:pt>
                    <c:pt idx="3">
                      <c:v>1.0000000000000001E-5</c:v>
                    </c:pt>
                    <c:pt idx="4">
                      <c:v>1.0000000000000001E-5</c:v>
                    </c:pt>
                    <c:pt idx="5">
                      <c:v>1.0000000000000001E-5</c:v>
                    </c:pt>
                  </c:numLit>
                </c:xVal>
                <c:yVal>
                  <c:numLit>
                    <c:formatCode>General</c:formatCode>
                    <c:ptCount val="6"/>
                    <c:pt idx="0">
                      <c:v>7</c:v>
                    </c:pt>
                    <c:pt idx="1">
                      <c:v>5</c:v>
                    </c:pt>
                    <c:pt idx="2">
                      <c:v>4</c:v>
                    </c:pt>
                    <c:pt idx="3">
                      <c:v>3</c:v>
                    </c:pt>
                    <c:pt idx="4">
                      <c:v>2</c:v>
                    </c:pt>
                    <c:pt idx="5">
                      <c:v>0</c:v>
                    </c:pt>
                  </c:numLit>
                </c:yVal>
                <c:smooth val="0"/>
                <c:extLst xmlns:c15="http://schemas.microsoft.com/office/drawing/2012/chart">
                  <c:ext xmlns:c16="http://schemas.microsoft.com/office/drawing/2014/chart" uri="{C3380CC4-5D6E-409C-BE32-E72D297353CC}">
                    <c16:uniqueId val="{00000042-C949-4D86-B295-E8CC3C4B6855}"/>
                  </c:ext>
                </c:extLst>
              </c15:ser>
            </c15:filteredScatterSeries>
          </c:ext>
        </c:extLst>
      </c:scatterChart>
      <c:catAx>
        <c:axId val="580062808"/>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580066744"/>
        <c:crosses val="autoZero"/>
        <c:auto val="1"/>
        <c:lblAlgn val="ctr"/>
        <c:lblOffset val="100"/>
        <c:noMultiLvlLbl val="0"/>
      </c:catAx>
      <c:valAx>
        <c:axId val="580066744"/>
        <c:scaling>
          <c:logBase val="10"/>
          <c:orientation val="minMax"/>
          <c:min val="1.0000000000000005E-7"/>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excess risk per million</a:t>
                </a:r>
              </a:p>
            </c:rich>
          </c:tx>
          <c:layout>
            <c:manualLayout>
              <c:xMode val="edge"/>
              <c:yMode val="edge"/>
              <c:x val="0.36584643797039879"/>
              <c:y val="0.9103309379643723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E+0" sourceLinked="0"/>
        <c:majorTickMark val="none"/>
        <c:minorTickMark val="none"/>
        <c:tickLblPos val="high"/>
        <c:spPr>
          <a:noFill/>
          <a:ln w="12700">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0062808"/>
        <c:crosses val="autoZero"/>
        <c:crossBetween val="between"/>
      </c:valAx>
      <c:valAx>
        <c:axId val="599814248"/>
        <c:scaling>
          <c:orientation val="minMax"/>
          <c:max val="7"/>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599810312"/>
        <c:crosses val="autoZero"/>
        <c:crossBetween val="midCat"/>
      </c:valAx>
      <c:valAx>
        <c:axId val="599810312"/>
        <c:scaling>
          <c:logBase val="10"/>
          <c:orientation val="minMax"/>
          <c:max val="1"/>
          <c:min val="1.0000000000000005E-7"/>
        </c:scaling>
        <c:delete val="0"/>
        <c:axPos val="t"/>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599814248"/>
        <c:crosses val="max"/>
        <c:crossBetween val="midCat"/>
      </c:valAx>
      <c:spPr>
        <a:noFill/>
        <a:ln>
          <a:solidFill>
            <a:schemeClr val="bg1">
              <a:lumMod val="85000"/>
            </a:schemeClr>
          </a:solidFill>
        </a:ln>
        <a:effectLst/>
      </c:spPr>
    </c:plotArea>
    <c:legend>
      <c:legendPos val="r"/>
      <c:layout>
        <c:manualLayout>
          <c:xMode val="edge"/>
          <c:yMode val="edge"/>
          <c:x val="0.81905865978623471"/>
          <c:y val="0.39102409333473093"/>
          <c:w val="0.17008379969462098"/>
          <c:h val="4.764300024302816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"Inhalation Cancer Risk Estimates"</c:f>
          <c:strCache>
            <c:ptCount val="1"/>
            <c:pt idx="0">
              <c:v>Inhalation Cancer Risk Estimates</c:v>
            </c:pt>
          </c:strCache>
        </c:strRef>
      </c:tx>
      <c:layout>
        <c:manualLayout>
          <c:xMode val="edge"/>
          <c:yMode val="edge"/>
          <c:x val="0.35379421156466734"/>
          <c:y val="5.118886630776833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9150842647774607"/>
          <c:y val="0.21054931230848406"/>
          <c:w val="0.63729288181961663"/>
          <c:h val="0.60596785221581506"/>
        </c:manualLayout>
      </c:layout>
      <c:barChart>
        <c:barDir val="bar"/>
        <c:grouping val="stacked"/>
        <c:varyColors val="0"/>
        <c:ser>
          <c:idx val="6"/>
          <c:order val="1"/>
          <c:tx>
            <c:strRef>
              <c:f>'Risk Reduction'!$I$60</c:f>
              <c:strCache>
                <c:ptCount val="1"/>
                <c:pt idx="0">
                  <c:v>Central Tendency</c:v>
                </c:pt>
              </c:strCache>
            </c:strRef>
          </c:tx>
          <c:spPr>
            <a:solidFill>
              <a:schemeClr val="accent5">
                <a:lumMod val="75000"/>
              </a:schemeClr>
            </a:solidFill>
            <a:ln>
              <a:noFill/>
            </a:ln>
            <a:effectLst/>
          </c:spPr>
          <c:invertIfNegative val="0"/>
          <c:cat>
            <c:strRef>
              <c:f>'Risk Reduction'!$H$61:$H$66</c:f>
              <c:strCache>
                <c:ptCount val="6"/>
                <c:pt idx="0">
                  <c:v>No Respirator</c:v>
                </c:pt>
                <c:pt idx="1">
                  <c:v>APF = 10</c:v>
                </c:pt>
                <c:pt idx="2">
                  <c:v>APF = 25</c:v>
                </c:pt>
                <c:pt idx="3">
                  <c:v>APF = 50</c:v>
                </c:pt>
                <c:pt idx="4">
                  <c:v>APF = 1,000</c:v>
                </c:pt>
                <c:pt idx="5">
                  <c:v>APF = 10,000</c:v>
                </c:pt>
              </c:strCache>
            </c:strRef>
          </c:cat>
          <c:val>
            <c:numRef>
              <c:f>'Risk Reduction'!$I$61:$I$66</c:f>
              <c:numCache>
                <c:formatCode>0.00E+00</c:formatCode>
                <c:ptCount val="6"/>
                <c:pt idx="0">
                  <c:v>1.5721545991080199E-5</c:v>
                </c:pt>
                <c:pt idx="1">
                  <c:v>1.5721545991080199E-6</c:v>
                </c:pt>
                <c:pt idx="2">
                  <c:v>6.288618396432079E-7</c:v>
                </c:pt>
                <c:pt idx="3">
                  <c:v>3.1443091982160395E-7</c:v>
                </c:pt>
                <c:pt idx="4">
                  <c:v>1.5721545991080198E-8</c:v>
                </c:pt>
                <c:pt idx="5">
                  <c:v>1.5721545991080199E-9</c:v>
                </c:pt>
              </c:numCache>
            </c:numRef>
          </c:val>
          <c:extLst>
            <c:ext xmlns:c16="http://schemas.microsoft.com/office/drawing/2014/chart" uri="{C3380CC4-5D6E-409C-BE32-E72D297353CC}">
              <c16:uniqueId val="{00000001-D738-4D29-9A1B-A262CDDF2104}"/>
            </c:ext>
          </c:extLst>
        </c:ser>
        <c:dLbls>
          <c:showLegendKey val="0"/>
          <c:showVal val="0"/>
          <c:showCatName val="0"/>
          <c:showSerName val="0"/>
          <c:showPercent val="0"/>
          <c:showBubbleSize val="0"/>
        </c:dLbls>
        <c:gapWidth val="150"/>
        <c:overlap val="100"/>
        <c:axId val="580062808"/>
        <c:axId val="580066744"/>
        <c:extLst>
          <c:ext xmlns:c15="http://schemas.microsoft.com/office/drawing/2012/chart" uri="{02D57815-91ED-43cb-92C2-25804820EDAC}">
            <c15:filteredBarSeries>
              <c15:ser>
                <c:idx val="5"/>
                <c:order val="0"/>
                <c:tx>
                  <c:strRef>
                    <c:extLst>
                      <c:ext uri="{02D57815-91ED-43cb-92C2-25804820EDAC}">
                        <c15:formulaRef>
                          <c15:sqref>'Risk Reduction'!$J$60</c15:sqref>
                        </c15:formulaRef>
                      </c:ext>
                    </c:extLst>
                    <c:strCache>
                      <c:ptCount val="1"/>
                      <c:pt idx="0">
                        <c:v>High End</c:v>
                      </c:pt>
                    </c:strCache>
                  </c:strRef>
                </c:tx>
                <c:spPr>
                  <a:solidFill>
                    <a:schemeClr val="accent5"/>
                  </a:solidFill>
                  <a:ln w="25400">
                    <a:noFill/>
                  </a:ln>
                  <a:effectLst/>
                </c:spPr>
                <c:invertIfNegative val="0"/>
                <c:cat>
                  <c:strRef>
                    <c:extLst>
                      <c:ext uri="{02D57815-91ED-43cb-92C2-25804820EDAC}">
                        <c15:formulaRef>
                          <c15:sqref>'Risk Reduction'!$H$61:$H$66</c15:sqref>
                        </c15:formulaRef>
                      </c:ext>
                    </c:extLst>
                    <c:strCache>
                      <c:ptCount val="6"/>
                      <c:pt idx="0">
                        <c:v>No Respirator</c:v>
                      </c:pt>
                      <c:pt idx="1">
                        <c:v>APF = 10</c:v>
                      </c:pt>
                      <c:pt idx="2">
                        <c:v>APF = 25</c:v>
                      </c:pt>
                      <c:pt idx="3">
                        <c:v>APF = 50</c:v>
                      </c:pt>
                      <c:pt idx="4">
                        <c:v>APF = 1,000</c:v>
                      </c:pt>
                      <c:pt idx="5">
                        <c:v>APF = 10,000</c:v>
                      </c:pt>
                    </c:strCache>
                  </c:strRef>
                </c:cat>
                <c:val>
                  <c:numRef>
                    <c:extLst>
                      <c:ext uri="{02D57815-91ED-43cb-92C2-25804820EDAC}">
                        <c15:formulaRef>
                          <c15:sqref>'Risk Reduction'!$J$61:$J$66</c15:sqref>
                        </c15:formulaRef>
                      </c:ext>
                    </c:extLst>
                    <c:numCache>
                      <c:formatCode>0.00E+00</c:formatCode>
                      <c:ptCount val="6"/>
                      <c:pt idx="0">
                        <c:v>1.0788786862585082E-4</c:v>
                      </c:pt>
                      <c:pt idx="1">
                        <c:v>1.0788786862585081E-5</c:v>
                      </c:pt>
                      <c:pt idx="2">
                        <c:v>4.315514745034033E-6</c:v>
                      </c:pt>
                      <c:pt idx="3">
                        <c:v>2.1577573725170165E-6</c:v>
                      </c:pt>
                      <c:pt idx="4">
                        <c:v>1.0788786862585082E-7</c:v>
                      </c:pt>
                      <c:pt idx="5">
                        <c:v>1.0788786862585082E-8</c:v>
                      </c:pt>
                    </c:numCache>
                  </c:numRef>
                </c:val>
                <c:extLst>
                  <c:ext xmlns:c16="http://schemas.microsoft.com/office/drawing/2014/chart" uri="{C3380CC4-5D6E-409C-BE32-E72D297353CC}">
                    <c16:uniqueId val="{00000000-D738-4D29-9A1B-A262CDDF2104}"/>
                  </c:ext>
                </c:extLst>
              </c15:ser>
            </c15:filteredBarSeries>
          </c:ext>
        </c:extLst>
      </c:barChart>
      <c:scatterChart>
        <c:scatterStyle val="lineMarker"/>
        <c:varyColors val="0"/>
        <c:ser>
          <c:idx val="3"/>
          <c:order val="4"/>
          <c:tx>
            <c:v>1.00E-04</c:v>
          </c:tx>
          <c:spPr>
            <a:ln w="28575" cap="rnd">
              <a:solidFill>
                <a:srgbClr val="FF0000"/>
              </a:solidFill>
              <a:round/>
            </a:ln>
            <a:effectLst/>
          </c:spPr>
          <c:marker>
            <c:symbol val="none"/>
          </c:marker>
          <c:xVal>
            <c:numLit>
              <c:formatCode>General</c:formatCode>
              <c:ptCount val="6"/>
              <c:pt idx="0">
                <c:v>1E-4</c:v>
              </c:pt>
              <c:pt idx="1">
                <c:v>1E-4</c:v>
              </c:pt>
              <c:pt idx="2">
                <c:v>1E-4</c:v>
              </c:pt>
              <c:pt idx="3">
                <c:v>1E-4</c:v>
              </c:pt>
              <c:pt idx="4">
                <c:v>1E-4</c:v>
              </c:pt>
              <c:pt idx="5">
                <c:v>1E-4</c:v>
              </c:pt>
            </c:numLit>
          </c:xVal>
          <c:yVal>
            <c:numLit>
              <c:formatCode>General</c:formatCode>
              <c:ptCount val="6"/>
              <c:pt idx="0">
                <c:v>7</c:v>
              </c:pt>
              <c:pt idx="1">
                <c:v>5</c:v>
              </c:pt>
              <c:pt idx="2">
                <c:v>4</c:v>
              </c:pt>
              <c:pt idx="3">
                <c:v>3</c:v>
              </c:pt>
              <c:pt idx="4">
                <c:v>2</c:v>
              </c:pt>
              <c:pt idx="5">
                <c:v>0</c:v>
              </c:pt>
            </c:numLit>
          </c:yVal>
          <c:smooth val="0"/>
          <c:extLst>
            <c:ext xmlns:c16="http://schemas.microsoft.com/office/drawing/2014/chart" uri="{C3380CC4-5D6E-409C-BE32-E72D297353CC}">
              <c16:uniqueId val="{00000004-D738-4D29-9A1B-A262CDDF2104}"/>
            </c:ext>
          </c:extLst>
        </c:ser>
        <c:dLbls>
          <c:showLegendKey val="0"/>
          <c:showVal val="0"/>
          <c:showCatName val="0"/>
          <c:showSerName val="0"/>
          <c:showPercent val="0"/>
          <c:showBubbleSize val="0"/>
        </c:dLbls>
        <c:axId val="599810312"/>
        <c:axId val="599814248"/>
        <c:extLst>
          <c:ext xmlns:c15="http://schemas.microsoft.com/office/drawing/2012/chart" uri="{02D57815-91ED-43cb-92C2-25804820EDAC}">
            <c15:filteredScatterSeries>
              <c15:ser>
                <c:idx val="1"/>
                <c:order val="2"/>
                <c:tx>
                  <c:v>1.00E-06</c:v>
                </c:tx>
                <c:spPr>
                  <a:ln w="28575" cap="rnd">
                    <a:solidFill>
                      <a:srgbClr val="FF0000"/>
                    </a:solidFill>
                    <a:round/>
                  </a:ln>
                  <a:effectLst/>
                </c:spPr>
                <c:marker>
                  <c:symbol val="none"/>
                </c:marker>
                <c:xVal>
                  <c:numLit>
                    <c:formatCode>General</c:formatCode>
                    <c:ptCount val="6"/>
                    <c:pt idx="0">
                      <c:v>9.9999999999999995E-7</c:v>
                    </c:pt>
                    <c:pt idx="1">
                      <c:v>9.9999999999999995E-7</c:v>
                    </c:pt>
                    <c:pt idx="2">
                      <c:v>9.9999999999999995E-7</c:v>
                    </c:pt>
                    <c:pt idx="3">
                      <c:v>9.9999999999999995E-7</c:v>
                    </c:pt>
                    <c:pt idx="4">
                      <c:v>9.9999999999999995E-7</c:v>
                    </c:pt>
                    <c:pt idx="5">
                      <c:v>9.9999999999999995E-7</c:v>
                    </c:pt>
                  </c:numLit>
                </c:xVal>
                <c:yVal>
                  <c:numLit>
                    <c:formatCode>General</c:formatCode>
                    <c:ptCount val="6"/>
                    <c:pt idx="0">
                      <c:v>7</c:v>
                    </c:pt>
                    <c:pt idx="1">
                      <c:v>5</c:v>
                    </c:pt>
                    <c:pt idx="2">
                      <c:v>4</c:v>
                    </c:pt>
                    <c:pt idx="3">
                      <c:v>3</c:v>
                    </c:pt>
                    <c:pt idx="4">
                      <c:v>2</c:v>
                    </c:pt>
                    <c:pt idx="5">
                      <c:v>0</c:v>
                    </c:pt>
                  </c:numLit>
                </c:yVal>
                <c:smooth val="0"/>
                <c:extLst>
                  <c:ext xmlns:c16="http://schemas.microsoft.com/office/drawing/2014/chart" uri="{C3380CC4-5D6E-409C-BE32-E72D297353CC}">
                    <c16:uniqueId val="{00000002-D738-4D29-9A1B-A262CDDF2104}"/>
                  </c:ext>
                </c:extLst>
              </c15:ser>
            </c15:filteredScatterSeries>
            <c15:filteredScatterSeries>
              <c15:ser>
                <c:idx val="2"/>
                <c:order val="3"/>
                <c:tx>
                  <c:v>1.00E-05</c:v>
                </c:tx>
                <c:spPr>
                  <a:ln w="28575" cap="rnd">
                    <a:solidFill>
                      <a:srgbClr val="FF0000"/>
                    </a:solidFill>
                    <a:round/>
                  </a:ln>
                  <a:effectLst/>
                </c:spPr>
                <c:marker>
                  <c:symbol val="none"/>
                </c:marker>
                <c:xVal>
                  <c:numLit>
                    <c:formatCode>General</c:formatCode>
                    <c:ptCount val="6"/>
                    <c:pt idx="0">
                      <c:v>1.0000000000000001E-5</c:v>
                    </c:pt>
                    <c:pt idx="1">
                      <c:v>1.0000000000000001E-5</c:v>
                    </c:pt>
                    <c:pt idx="2">
                      <c:v>1.0000000000000001E-5</c:v>
                    </c:pt>
                    <c:pt idx="3">
                      <c:v>1.0000000000000001E-5</c:v>
                    </c:pt>
                    <c:pt idx="4">
                      <c:v>1.0000000000000001E-5</c:v>
                    </c:pt>
                    <c:pt idx="5">
                      <c:v>1.0000000000000001E-5</c:v>
                    </c:pt>
                  </c:numLit>
                </c:xVal>
                <c:yVal>
                  <c:numLit>
                    <c:formatCode>General</c:formatCode>
                    <c:ptCount val="6"/>
                    <c:pt idx="0">
                      <c:v>7</c:v>
                    </c:pt>
                    <c:pt idx="1">
                      <c:v>5</c:v>
                    </c:pt>
                    <c:pt idx="2">
                      <c:v>4</c:v>
                    </c:pt>
                    <c:pt idx="3">
                      <c:v>3</c:v>
                    </c:pt>
                    <c:pt idx="4">
                      <c:v>2</c:v>
                    </c:pt>
                    <c:pt idx="5">
                      <c:v>0</c:v>
                    </c:pt>
                  </c:numLit>
                </c:yVal>
                <c:smooth val="0"/>
                <c:extLst xmlns:c15="http://schemas.microsoft.com/office/drawing/2012/chart">
                  <c:ext xmlns:c16="http://schemas.microsoft.com/office/drawing/2014/chart" uri="{C3380CC4-5D6E-409C-BE32-E72D297353CC}">
                    <c16:uniqueId val="{00000003-D738-4D29-9A1B-A262CDDF2104}"/>
                  </c:ext>
                </c:extLst>
              </c15:ser>
            </c15:filteredScatterSeries>
          </c:ext>
        </c:extLst>
      </c:scatterChart>
      <c:catAx>
        <c:axId val="580062808"/>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0066744"/>
        <c:crosses val="autoZero"/>
        <c:auto val="1"/>
        <c:lblAlgn val="ctr"/>
        <c:lblOffset val="100"/>
        <c:noMultiLvlLbl val="0"/>
      </c:catAx>
      <c:valAx>
        <c:axId val="580066744"/>
        <c:scaling>
          <c:logBase val="10"/>
          <c:orientation val="minMax"/>
          <c:min val="1.0000000000000005E-7"/>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excess risk per million</a:t>
                </a:r>
              </a:p>
            </c:rich>
          </c:tx>
          <c:layout>
            <c:manualLayout>
              <c:xMode val="edge"/>
              <c:yMode val="edge"/>
              <c:x val="0.36584643797039879"/>
              <c:y val="0.9103309379643723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0062808"/>
        <c:crosses val="autoZero"/>
        <c:crossBetween val="between"/>
      </c:valAx>
      <c:valAx>
        <c:axId val="599814248"/>
        <c:scaling>
          <c:orientation val="minMax"/>
          <c:max val="7"/>
        </c:scaling>
        <c:delete val="1"/>
        <c:axPos val="l"/>
        <c:numFmt formatCode="General" sourceLinked="1"/>
        <c:majorTickMark val="out"/>
        <c:minorTickMark val="none"/>
        <c:tickLblPos val="nextTo"/>
        <c:crossAx val="599810312"/>
        <c:crosses val="autoZero"/>
        <c:crossBetween val="midCat"/>
      </c:valAx>
      <c:valAx>
        <c:axId val="599810312"/>
        <c:scaling>
          <c:logBase val="10"/>
          <c:orientation val="minMax"/>
          <c:max val="1"/>
          <c:min val="1.0000000000000005E-7"/>
        </c:scaling>
        <c:delete val="0"/>
        <c:axPos val="t"/>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599814248"/>
        <c:crosses val="max"/>
        <c:crossBetween val="midCat"/>
      </c:valAx>
      <c:spPr>
        <a:noFill/>
        <a:ln>
          <a:solidFill>
            <a:schemeClr val="bg1">
              <a:lumMod val="85000"/>
            </a:schemeClr>
          </a:solidFill>
        </a:ln>
        <a:effectLst/>
      </c:spPr>
    </c:plotArea>
    <c:legend>
      <c:legendPos val="r"/>
      <c:legendEntry>
        <c:idx val="1"/>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"Dermal Cancer Risk Estimates"</c:f>
          <c:strCache>
            <c:ptCount val="1"/>
            <c:pt idx="0">
              <c:v>Dermal Cancer Risk Estimates</c:v>
            </c:pt>
          </c:strCache>
        </c:strRef>
      </c:tx>
      <c:layout>
        <c:manualLayout>
          <c:xMode val="edge"/>
          <c:yMode val="edge"/>
          <c:x val="0.36062458254174651"/>
          <c:y val="3.74142531318897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9150842647774607"/>
          <c:y val="0.21054931230848406"/>
          <c:w val="0.6036262753605407"/>
          <c:h val="0.62363785011424611"/>
        </c:manualLayout>
      </c:layout>
      <c:barChart>
        <c:barDir val="bar"/>
        <c:grouping val="stacked"/>
        <c:varyColors val="0"/>
        <c:ser>
          <c:idx val="5"/>
          <c:order val="1"/>
          <c:tx>
            <c:strRef>
              <c:f>'Risk Reduction'!$S$60</c:f>
              <c:strCache>
                <c:ptCount val="1"/>
                <c:pt idx="0">
                  <c:v>Central Tendency</c:v>
                </c:pt>
              </c:strCache>
            </c:strRef>
          </c:tx>
          <c:spPr>
            <a:solidFill>
              <a:schemeClr val="accent5">
                <a:lumMod val="75000"/>
              </a:schemeClr>
            </a:solidFill>
            <a:ln>
              <a:noFill/>
            </a:ln>
            <a:effectLst/>
          </c:spPr>
          <c:invertIfNegative val="0"/>
          <c:cat>
            <c:strRef>
              <c:f>'Risk Reduction'!$R$61:$R$64</c:f>
              <c:strCache>
                <c:ptCount val="4"/>
                <c:pt idx="0">
                  <c:v>No Gloves 
(PF = 1)</c:v>
                </c:pt>
                <c:pt idx="1">
                  <c:v>Protective Gloves 
(PF = 5)</c:v>
                </c:pt>
                <c:pt idx="2">
                  <c:v>Protective Gloves 
(Commercial uses, PF = 10)</c:v>
                </c:pt>
                <c:pt idx="3">
                  <c:v>Protective Gloves 
(Industrial uses, PF = 20)</c:v>
                </c:pt>
              </c:strCache>
            </c:strRef>
          </c:cat>
          <c:val>
            <c:numRef>
              <c:f>'Risk Reduction'!$S$61:$S$64</c:f>
              <c:numCache>
                <c:formatCode>0.00E+00</c:formatCode>
                <c:ptCount val="4"/>
                <c:pt idx="0">
                  <c:v>1.4238339335787826E-3</c:v>
                </c:pt>
                <c:pt idx="1">
                  <c:v>2.847667867157565E-4</c:v>
                </c:pt>
                <c:pt idx="2">
                  <c:v>1.4238339335787825E-4</c:v>
                </c:pt>
                <c:pt idx="3">
                  <c:v>7.1191696678939124E-5</c:v>
                </c:pt>
              </c:numCache>
            </c:numRef>
          </c:val>
          <c:extLst>
            <c:ext xmlns:c16="http://schemas.microsoft.com/office/drawing/2014/chart" uri="{C3380CC4-5D6E-409C-BE32-E72D297353CC}">
              <c16:uniqueId val="{00000009-5572-4624-928D-8F8739D5F477}"/>
            </c:ext>
          </c:extLst>
        </c:ser>
        <c:dLbls>
          <c:showLegendKey val="0"/>
          <c:showVal val="0"/>
          <c:showCatName val="0"/>
          <c:showSerName val="0"/>
          <c:showPercent val="0"/>
          <c:showBubbleSize val="0"/>
        </c:dLbls>
        <c:gapWidth val="182"/>
        <c:overlap val="100"/>
        <c:axId val="580062808"/>
        <c:axId val="580066744"/>
        <c:extLst>
          <c:ext xmlns:c15="http://schemas.microsoft.com/office/drawing/2012/chart" uri="{02D57815-91ED-43cb-92C2-25804820EDAC}">
            <c15:filteredBarSeries>
              <c15:ser>
                <c:idx val="4"/>
                <c:order val="0"/>
                <c:tx>
                  <c:strRef>
                    <c:extLst>
                      <c:ext uri="{02D57815-91ED-43cb-92C2-25804820EDAC}">
                        <c15:formulaRef>
                          <c15:sqref>'Risk Reduction'!$T$60</c15:sqref>
                        </c15:formulaRef>
                      </c:ext>
                    </c:extLst>
                    <c:strCache>
                      <c:ptCount val="1"/>
                      <c:pt idx="0">
                        <c:v>High End</c:v>
                      </c:pt>
                    </c:strCache>
                  </c:strRef>
                </c:tx>
                <c:spPr>
                  <a:solidFill>
                    <a:schemeClr val="accent5"/>
                  </a:solidFill>
                  <a:ln>
                    <a:noFill/>
                  </a:ln>
                  <a:effectLst/>
                </c:spPr>
                <c:invertIfNegative val="0"/>
                <c:dPt>
                  <c:idx val="0"/>
                  <c:invertIfNegative val="0"/>
                  <c:bubble3D val="0"/>
                  <c:spPr>
                    <a:solidFill>
                      <a:schemeClr val="accent5"/>
                    </a:solidFill>
                    <a:ln>
                      <a:noFill/>
                    </a:ln>
                    <a:effectLst/>
                  </c:spPr>
                  <c:extLst>
                    <c:ext xmlns:c16="http://schemas.microsoft.com/office/drawing/2014/chart" uri="{C3380CC4-5D6E-409C-BE32-E72D297353CC}">
                      <c16:uniqueId val="{00000001-5572-4624-928D-8F8739D5F477}"/>
                    </c:ext>
                  </c:extLst>
                </c:dPt>
                <c:dPt>
                  <c:idx val="1"/>
                  <c:invertIfNegative val="0"/>
                  <c:bubble3D val="0"/>
                  <c:spPr>
                    <a:solidFill>
                      <a:schemeClr val="accent5"/>
                    </a:solidFill>
                    <a:ln>
                      <a:noFill/>
                    </a:ln>
                    <a:effectLst/>
                  </c:spPr>
                  <c:extLst>
                    <c:ext xmlns:c16="http://schemas.microsoft.com/office/drawing/2014/chart" uri="{C3380CC4-5D6E-409C-BE32-E72D297353CC}">
                      <c16:uniqueId val="{00000003-5572-4624-928D-8F8739D5F477}"/>
                    </c:ext>
                  </c:extLst>
                </c:dPt>
                <c:dPt>
                  <c:idx val="2"/>
                  <c:invertIfNegative val="0"/>
                  <c:bubble3D val="0"/>
                  <c:spPr>
                    <a:solidFill>
                      <a:schemeClr val="accent5"/>
                    </a:solidFill>
                    <a:ln>
                      <a:noFill/>
                    </a:ln>
                    <a:effectLst/>
                  </c:spPr>
                  <c:extLst>
                    <c:ext xmlns:c16="http://schemas.microsoft.com/office/drawing/2014/chart" uri="{C3380CC4-5D6E-409C-BE32-E72D297353CC}">
                      <c16:uniqueId val="{00000005-5572-4624-928D-8F8739D5F477}"/>
                    </c:ext>
                  </c:extLst>
                </c:dPt>
                <c:dPt>
                  <c:idx val="3"/>
                  <c:invertIfNegative val="0"/>
                  <c:bubble3D val="0"/>
                  <c:spPr>
                    <a:solidFill>
                      <a:schemeClr val="accent5"/>
                    </a:solidFill>
                    <a:ln>
                      <a:noFill/>
                    </a:ln>
                    <a:effectLst/>
                  </c:spPr>
                  <c:extLst>
                    <c:ext xmlns:c16="http://schemas.microsoft.com/office/drawing/2014/chart" uri="{C3380CC4-5D6E-409C-BE32-E72D297353CC}">
                      <c16:uniqueId val="{00000007-5572-4624-928D-8F8739D5F477}"/>
                    </c:ext>
                  </c:extLst>
                </c:dPt>
                <c:cat>
                  <c:strRef>
                    <c:extLst>
                      <c:ext uri="{02D57815-91ED-43cb-92C2-25804820EDAC}">
                        <c15:formulaRef>
                          <c15:sqref>'Risk Reduction'!$R$61:$R$64</c15:sqref>
                        </c15:formulaRef>
                      </c:ext>
                    </c:extLst>
                    <c:strCache>
                      <c:ptCount val="4"/>
                      <c:pt idx="0">
                        <c:v>No Gloves 
(PF = 1)</c:v>
                      </c:pt>
                      <c:pt idx="1">
                        <c:v>Protective Gloves 
(PF = 5)</c:v>
                      </c:pt>
                      <c:pt idx="2">
                        <c:v>Protective Gloves 
(Commercial uses, PF = 10)</c:v>
                      </c:pt>
                      <c:pt idx="3">
                        <c:v>Protective Gloves 
(Industrial uses, PF = 20)</c:v>
                      </c:pt>
                    </c:strCache>
                  </c:strRef>
                </c:cat>
                <c:val>
                  <c:numRef>
                    <c:extLst>
                      <c:ext uri="{02D57815-91ED-43cb-92C2-25804820EDAC}">
                        <c15:formulaRef>
                          <c15:sqref>'Risk Reduction'!$T$61:$T$64</c15:sqref>
                        </c15:formulaRef>
                      </c:ext>
                    </c:extLst>
                    <c:numCache>
                      <c:formatCode>0.00E+00</c:formatCode>
                      <c:ptCount val="4"/>
                      <c:pt idx="0">
                        <c:v>3.9921388915020182E-3</c:v>
                      </c:pt>
                      <c:pt idx="1">
                        <c:v>7.9842777830040372E-4</c:v>
                      </c:pt>
                      <c:pt idx="2">
                        <c:v>3.9921388915020186E-4</c:v>
                      </c:pt>
                      <c:pt idx="3">
                        <c:v>1.9960694457510093E-4</c:v>
                      </c:pt>
                    </c:numCache>
                  </c:numRef>
                </c:val>
                <c:extLst>
                  <c:ext xmlns:c16="http://schemas.microsoft.com/office/drawing/2014/chart" uri="{C3380CC4-5D6E-409C-BE32-E72D297353CC}">
                    <c16:uniqueId val="{00000008-5572-4624-928D-8F8739D5F477}"/>
                  </c:ext>
                </c:extLst>
              </c15:ser>
            </c15:filteredBarSeries>
          </c:ext>
        </c:extLst>
      </c:barChart>
      <c:scatterChart>
        <c:scatterStyle val="lineMarker"/>
        <c:varyColors val="0"/>
        <c:ser>
          <c:idx val="1"/>
          <c:order val="2"/>
          <c:tx>
            <c:v>1.00E-06</c:v>
          </c:tx>
          <c:spPr>
            <a:ln w="28575" cap="rnd">
              <a:solidFill>
                <a:srgbClr val="FF0000"/>
              </a:solidFill>
              <a:round/>
            </a:ln>
            <a:effectLst/>
          </c:spPr>
          <c:marker>
            <c:symbol val="none"/>
          </c:marker>
          <c:xVal>
            <c:numLit>
              <c:formatCode>General</c:formatCode>
              <c:ptCount val="6"/>
              <c:pt idx="0">
                <c:v>9.9999999999999995E-7</c:v>
              </c:pt>
              <c:pt idx="1">
                <c:v>9.9999999999999995E-7</c:v>
              </c:pt>
              <c:pt idx="2">
                <c:v>9.9999999999999995E-7</c:v>
              </c:pt>
              <c:pt idx="3">
                <c:v>9.9999999999999995E-7</c:v>
              </c:pt>
              <c:pt idx="4">
                <c:v>9.9999999999999995E-7</c:v>
              </c:pt>
              <c:pt idx="5">
                <c:v>9.9999999999999995E-7</c:v>
              </c:pt>
            </c:numLit>
          </c:xVal>
          <c:yVal>
            <c:numLit>
              <c:formatCode>General</c:formatCode>
              <c:ptCount val="6"/>
              <c:pt idx="0">
                <c:v>7</c:v>
              </c:pt>
              <c:pt idx="1">
                <c:v>5</c:v>
              </c:pt>
              <c:pt idx="2">
                <c:v>4</c:v>
              </c:pt>
              <c:pt idx="3">
                <c:v>3</c:v>
              </c:pt>
              <c:pt idx="4">
                <c:v>2</c:v>
              </c:pt>
              <c:pt idx="5">
                <c:v>0</c:v>
              </c:pt>
            </c:numLit>
          </c:yVal>
          <c:smooth val="0"/>
          <c:extLst>
            <c:ext xmlns:c16="http://schemas.microsoft.com/office/drawing/2014/chart" uri="{C3380CC4-5D6E-409C-BE32-E72D297353CC}">
              <c16:uniqueId val="{0000000A-5572-4624-928D-8F8739D5F477}"/>
            </c:ext>
          </c:extLst>
        </c:ser>
        <c:ser>
          <c:idx val="2"/>
          <c:order val="3"/>
          <c:tx>
            <c:v>1.00E-05</c:v>
          </c:tx>
          <c:spPr>
            <a:ln w="28575" cap="rnd">
              <a:solidFill>
                <a:srgbClr val="FF0000"/>
              </a:solidFill>
              <a:round/>
            </a:ln>
            <a:effectLst/>
          </c:spPr>
          <c:marker>
            <c:symbol val="none"/>
          </c:marker>
          <c:xVal>
            <c:numLit>
              <c:formatCode>General</c:formatCode>
              <c:ptCount val="6"/>
              <c:pt idx="0">
                <c:v>1.0000000000000001E-5</c:v>
              </c:pt>
              <c:pt idx="1">
                <c:v>1.0000000000000001E-5</c:v>
              </c:pt>
              <c:pt idx="2">
                <c:v>1.0000000000000001E-5</c:v>
              </c:pt>
              <c:pt idx="3">
                <c:v>1.0000000000000001E-5</c:v>
              </c:pt>
              <c:pt idx="4">
                <c:v>1.0000000000000001E-5</c:v>
              </c:pt>
              <c:pt idx="5">
                <c:v>1.0000000000000001E-5</c:v>
              </c:pt>
            </c:numLit>
          </c:xVal>
          <c:yVal>
            <c:numLit>
              <c:formatCode>General</c:formatCode>
              <c:ptCount val="6"/>
              <c:pt idx="0">
                <c:v>7</c:v>
              </c:pt>
              <c:pt idx="1">
                <c:v>5</c:v>
              </c:pt>
              <c:pt idx="2">
                <c:v>4</c:v>
              </c:pt>
              <c:pt idx="3">
                <c:v>3</c:v>
              </c:pt>
              <c:pt idx="4">
                <c:v>2</c:v>
              </c:pt>
              <c:pt idx="5">
                <c:v>0</c:v>
              </c:pt>
            </c:numLit>
          </c:yVal>
          <c:smooth val="0"/>
          <c:extLst>
            <c:ext xmlns:c16="http://schemas.microsoft.com/office/drawing/2014/chart" uri="{C3380CC4-5D6E-409C-BE32-E72D297353CC}">
              <c16:uniqueId val="{0000000B-5572-4624-928D-8F8739D5F477}"/>
            </c:ext>
          </c:extLst>
        </c:ser>
        <c:ser>
          <c:idx val="3"/>
          <c:order val="4"/>
          <c:tx>
            <c:v>1.00E-04</c:v>
          </c:tx>
          <c:spPr>
            <a:ln w="28575" cap="rnd">
              <a:solidFill>
                <a:srgbClr val="FF0000"/>
              </a:solidFill>
              <a:round/>
            </a:ln>
            <a:effectLst/>
          </c:spPr>
          <c:marker>
            <c:symbol val="none"/>
          </c:marker>
          <c:xVal>
            <c:numLit>
              <c:formatCode>General</c:formatCode>
              <c:ptCount val="6"/>
              <c:pt idx="0">
                <c:v>1E-4</c:v>
              </c:pt>
              <c:pt idx="1">
                <c:v>1E-4</c:v>
              </c:pt>
              <c:pt idx="2">
                <c:v>1E-4</c:v>
              </c:pt>
              <c:pt idx="3">
                <c:v>1E-4</c:v>
              </c:pt>
              <c:pt idx="4">
                <c:v>1E-4</c:v>
              </c:pt>
              <c:pt idx="5">
                <c:v>1E-4</c:v>
              </c:pt>
            </c:numLit>
          </c:xVal>
          <c:yVal>
            <c:numLit>
              <c:formatCode>General</c:formatCode>
              <c:ptCount val="6"/>
              <c:pt idx="0">
                <c:v>7</c:v>
              </c:pt>
              <c:pt idx="1">
                <c:v>5</c:v>
              </c:pt>
              <c:pt idx="2">
                <c:v>4</c:v>
              </c:pt>
              <c:pt idx="3">
                <c:v>3</c:v>
              </c:pt>
              <c:pt idx="4">
                <c:v>2</c:v>
              </c:pt>
              <c:pt idx="5">
                <c:v>0</c:v>
              </c:pt>
            </c:numLit>
          </c:yVal>
          <c:smooth val="0"/>
          <c:extLst>
            <c:ext xmlns:c16="http://schemas.microsoft.com/office/drawing/2014/chart" uri="{C3380CC4-5D6E-409C-BE32-E72D297353CC}">
              <c16:uniqueId val="{0000000C-5572-4624-928D-8F8739D5F477}"/>
            </c:ext>
          </c:extLst>
        </c:ser>
        <c:dLbls>
          <c:showLegendKey val="0"/>
          <c:showVal val="0"/>
          <c:showCatName val="0"/>
          <c:showSerName val="0"/>
          <c:showPercent val="0"/>
          <c:showBubbleSize val="0"/>
        </c:dLbls>
        <c:axId val="599810312"/>
        <c:axId val="599814248"/>
      </c:scatterChart>
      <c:catAx>
        <c:axId val="580062808"/>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580066744"/>
        <c:crosses val="autoZero"/>
        <c:auto val="1"/>
        <c:lblAlgn val="ctr"/>
        <c:lblOffset val="100"/>
        <c:noMultiLvlLbl val="0"/>
      </c:catAx>
      <c:valAx>
        <c:axId val="580066744"/>
        <c:scaling>
          <c:logBase val="10"/>
          <c:orientation val="minMax"/>
          <c:min val="1.0000000000000005E-7"/>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excess risk per million</a:t>
                </a:r>
              </a:p>
            </c:rich>
          </c:tx>
          <c:layout>
            <c:manualLayout>
              <c:xMode val="edge"/>
              <c:yMode val="edge"/>
              <c:x val="0.36584643797039879"/>
              <c:y val="0.9103309379643723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E+0" sourceLinked="0"/>
        <c:majorTickMark val="none"/>
        <c:minorTickMark val="none"/>
        <c:tickLblPos val="high"/>
        <c:spPr>
          <a:noFill/>
          <a:ln w="12700">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0062808"/>
        <c:crosses val="autoZero"/>
        <c:crossBetween val="between"/>
      </c:valAx>
      <c:valAx>
        <c:axId val="599814248"/>
        <c:scaling>
          <c:orientation val="minMax"/>
          <c:max val="7"/>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599810312"/>
        <c:crosses val="autoZero"/>
        <c:crossBetween val="midCat"/>
      </c:valAx>
      <c:valAx>
        <c:axId val="599810312"/>
        <c:scaling>
          <c:logBase val="10"/>
          <c:orientation val="minMax"/>
          <c:max val="1"/>
          <c:min val="1.0000000000000005E-7"/>
        </c:scaling>
        <c:delete val="0"/>
        <c:axPos val="t"/>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599814248"/>
        <c:crosses val="max"/>
        <c:crossBetween val="midCat"/>
      </c:valAx>
      <c:spPr>
        <a:noFill/>
        <a:ln>
          <a:solidFill>
            <a:schemeClr val="bg1">
              <a:lumMod val="85000"/>
            </a:schemeClr>
          </a:solidFill>
        </a:ln>
        <a:effectLst/>
      </c:spPr>
    </c:plotArea>
    <c:legend>
      <c:legendPos val="r"/>
      <c:layout>
        <c:manualLayout>
          <c:xMode val="edge"/>
          <c:yMode val="edge"/>
          <c:x val="0.81905865978623471"/>
          <c:y val="0.39102409333473093"/>
          <c:w val="0.17008379969462098"/>
          <c:h val="5.126333183201870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0</xdr:col>
      <xdr:colOff>2317750</xdr:colOff>
      <xdr:row>7</xdr:row>
      <xdr:rowOff>28575</xdr:rowOff>
    </xdr:from>
    <xdr:to>
      <xdr:col>0</xdr:col>
      <xdr:colOff>5232400</xdr:colOff>
      <xdr:row>22</xdr:row>
      <xdr:rowOff>161925</xdr:rowOff>
    </xdr:to>
    <xdr:pic>
      <xdr:nvPicPr>
        <xdr:cNvPr id="2" name="Picture 1">
          <a:extLst>
            <a:ext uri="{FF2B5EF4-FFF2-40B4-BE49-F238E27FC236}">
              <a16:creationId xmlns:a16="http://schemas.microsoft.com/office/drawing/2014/main" id="{24CE78AC-3E8C-4C78-8260-70D72DA3DD6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7750" y="1752600"/>
          <a:ext cx="2914650" cy="30003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470376</xdr:colOff>
      <xdr:row>39</xdr:row>
      <xdr:rowOff>88423</xdr:rowOff>
    </xdr:from>
    <xdr:to>
      <xdr:col>17</xdr:col>
      <xdr:colOff>1035843</xdr:colOff>
      <xdr:row>54</xdr:row>
      <xdr:rowOff>134777</xdr:rowOff>
    </xdr:to>
    <xdr:graphicFrame macro="">
      <xdr:nvGraphicFramePr>
        <xdr:cNvPr id="6" name="Chart 5">
          <a:extLst>
            <a:ext uri="{FF2B5EF4-FFF2-40B4-BE49-F238E27FC236}">
              <a16:creationId xmlns:a16="http://schemas.microsoft.com/office/drawing/2014/main" id="{5450647A-DEC4-4ED8-8D15-70F15800EA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359092</xdr:colOff>
      <xdr:row>39</xdr:row>
      <xdr:rowOff>102869</xdr:rowOff>
    </xdr:from>
    <xdr:to>
      <xdr:col>6</xdr:col>
      <xdr:colOff>1115378</xdr:colOff>
      <xdr:row>63</xdr:row>
      <xdr:rowOff>127462</xdr:rowOff>
    </xdr:to>
    <xdr:graphicFrame macro="">
      <xdr:nvGraphicFramePr>
        <xdr:cNvPr id="5" name="Chart 1">
          <a:extLst>
            <a:ext uri="{FF2B5EF4-FFF2-40B4-BE49-F238E27FC236}">
              <a16:creationId xmlns:a16="http://schemas.microsoft.com/office/drawing/2014/main" id="{8EDA91AE-1CF2-4145-826C-37CFF7FD3A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460535</xdr:colOff>
      <xdr:row>55</xdr:row>
      <xdr:rowOff>138588</xdr:rowOff>
    </xdr:from>
    <xdr:to>
      <xdr:col>17</xdr:col>
      <xdr:colOff>1024097</xdr:colOff>
      <xdr:row>70</xdr:row>
      <xdr:rowOff>177322</xdr:rowOff>
    </xdr:to>
    <xdr:graphicFrame macro="">
      <xdr:nvGraphicFramePr>
        <xdr:cNvPr id="4" name="Chart 3">
          <a:extLst>
            <a:ext uri="{FF2B5EF4-FFF2-40B4-BE49-F238E27FC236}">
              <a16:creationId xmlns:a16="http://schemas.microsoft.com/office/drawing/2014/main" id="{35CE4C88-7DEB-4326-9EF2-AA9197776B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600075</xdr:colOff>
      <xdr:row>2</xdr:row>
      <xdr:rowOff>0</xdr:rowOff>
    </xdr:from>
    <xdr:to>
      <xdr:col>21</xdr:col>
      <xdr:colOff>1238250</xdr:colOff>
      <xdr:row>5</xdr:row>
      <xdr:rowOff>161925</xdr:rowOff>
    </xdr:to>
    <xdr:sp macro="" textlink="">
      <xdr:nvSpPr>
        <xdr:cNvPr id="2" name="Button 1" hidden="1">
          <a:extLst>
            <a:ext uri="{63B3BB69-23CF-44E3-9099-C40C66FF867C}">
              <a14:compatExt xmlns:a14="http://schemas.microsoft.com/office/drawing/2010/main" spid="_x0000_s3073"/>
            </a:ext>
            <a:ext uri="{FF2B5EF4-FFF2-40B4-BE49-F238E27FC236}">
              <a16:creationId xmlns:a16="http://schemas.microsoft.com/office/drawing/2014/main" id="{7A5DE0DE-A06A-44DD-BE99-A65C2CBCCA03}"/>
            </a:ext>
          </a:extLst>
        </xdr:cNvPr>
        <xdr:cNvSpPr/>
      </xdr:nvSpPr>
      <xdr:spPr bwMode="auto">
        <a:xfrm>
          <a:off x="13808075" y="374650"/>
          <a:ext cx="2435225" cy="542925"/>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Click here to autofill respirator APF and glove PF values.</a:t>
          </a:r>
        </a:p>
      </xdr:txBody>
    </xdr:sp>
    <xdr:clientData fPrintsWithSheet="0"/>
  </xdr:twoCellAnchor>
  <xdr:twoCellAnchor>
    <xdr:from>
      <xdr:col>18</xdr:col>
      <xdr:colOff>600075</xdr:colOff>
      <xdr:row>2</xdr:row>
      <xdr:rowOff>0</xdr:rowOff>
    </xdr:from>
    <xdr:to>
      <xdr:col>21</xdr:col>
      <xdr:colOff>1238250</xdr:colOff>
      <xdr:row>5</xdr:row>
      <xdr:rowOff>161925</xdr:rowOff>
    </xdr:to>
    <xdr:sp macro="" textlink="">
      <xdr:nvSpPr>
        <xdr:cNvPr id="5" name="Button 1" hidden="1">
          <a:extLst>
            <a:ext uri="{63B3BB69-23CF-44E3-9099-C40C66FF867C}">
              <a14:compatExt xmlns:a14="http://schemas.microsoft.com/office/drawing/2010/main" spid="_x0000_s3073"/>
            </a:ext>
            <a:ext uri="{FF2B5EF4-FFF2-40B4-BE49-F238E27FC236}">
              <a16:creationId xmlns:a16="http://schemas.microsoft.com/office/drawing/2014/main" id="{420663BF-38B9-440B-A86B-C44CC2BC3782}"/>
            </a:ext>
          </a:extLst>
        </xdr:cNvPr>
        <xdr:cNvSpPr/>
      </xdr:nvSpPr>
      <xdr:spPr bwMode="auto">
        <a:xfrm>
          <a:off x="13808075" y="374650"/>
          <a:ext cx="2435225" cy="542925"/>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Click here to autofill respirator APF and glove PF values.</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xdr:col>
      <xdr:colOff>324972</xdr:colOff>
      <xdr:row>34</xdr:row>
      <xdr:rowOff>21162</xdr:rowOff>
    </xdr:from>
    <xdr:to>
      <xdr:col>8</xdr:col>
      <xdr:colOff>836632</xdr:colOff>
      <xdr:row>54</xdr:row>
      <xdr:rowOff>91553</xdr:rowOff>
    </xdr:to>
    <xdr:graphicFrame macro="">
      <xdr:nvGraphicFramePr>
        <xdr:cNvPr id="2" name="Chart 1">
          <a:extLst>
            <a:ext uri="{FF2B5EF4-FFF2-40B4-BE49-F238E27FC236}">
              <a16:creationId xmlns:a16="http://schemas.microsoft.com/office/drawing/2014/main" id="{8CB4247C-332E-4763-97FF-EFEB2DD095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47699</xdr:colOff>
      <xdr:row>33</xdr:row>
      <xdr:rowOff>127216</xdr:rowOff>
    </xdr:from>
    <xdr:to>
      <xdr:col>24</xdr:col>
      <xdr:colOff>100852</xdr:colOff>
      <xdr:row>54</xdr:row>
      <xdr:rowOff>56030</xdr:rowOff>
    </xdr:to>
    <xdr:graphicFrame macro="">
      <xdr:nvGraphicFramePr>
        <xdr:cNvPr id="3" name="Chart 2">
          <a:extLst>
            <a:ext uri="{FF2B5EF4-FFF2-40B4-BE49-F238E27FC236}">
              <a16:creationId xmlns:a16="http://schemas.microsoft.com/office/drawing/2014/main" id="{602F6EB5-1B54-42FD-9799-5710EB37BE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51593</xdr:colOff>
      <xdr:row>1</xdr:row>
      <xdr:rowOff>0</xdr:rowOff>
    </xdr:from>
    <xdr:to>
      <xdr:col>5</xdr:col>
      <xdr:colOff>690561</xdr:colOff>
      <xdr:row>5</xdr:row>
      <xdr:rowOff>47626</xdr:rowOff>
    </xdr:to>
    <xdr:sp macro="" textlink="">
      <xdr:nvSpPr>
        <xdr:cNvPr id="8" name="TextBox 3">
          <a:extLst>
            <a:ext uri="{FF2B5EF4-FFF2-40B4-BE49-F238E27FC236}">
              <a16:creationId xmlns:a16="http://schemas.microsoft.com/office/drawing/2014/main" id="{2C23DA81-FB55-437E-9302-C2E02213CA4A}"/>
            </a:ext>
          </a:extLst>
        </xdr:cNvPr>
        <xdr:cNvSpPr txBox="1"/>
      </xdr:nvSpPr>
      <xdr:spPr>
        <a:xfrm>
          <a:off x="527843" y="171450"/>
          <a:ext cx="3848893" cy="1038226"/>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900" b="1"/>
            <a:t>Key</a:t>
          </a:r>
          <a:endParaRPr lang="en-US" sz="900"/>
        </a:p>
        <a:p>
          <a:r>
            <a:rPr lang="en-US" sz="900"/>
            <a:t>             =  </a:t>
          </a:r>
          <a:r>
            <a:rPr lang="en-US" sz="900">
              <a:solidFill>
                <a:srgbClr val="FF0000"/>
              </a:solidFill>
            </a:rPr>
            <a:t>Risk</a:t>
          </a:r>
          <a:r>
            <a:rPr lang="en-US" sz="900"/>
            <a:t>.  </a:t>
          </a:r>
          <a:r>
            <a:rPr lang="en-US" sz="900" baseline="0"/>
            <a:t>       </a:t>
          </a:r>
          <a:r>
            <a:rPr lang="en-US" sz="900" i="1"/>
            <a:t>MOE</a:t>
          </a:r>
          <a:r>
            <a:rPr lang="en-US" sz="900" i="1" baseline="-25000"/>
            <a:t>acute or chronic</a:t>
          </a:r>
          <a:r>
            <a:rPr lang="en-US" sz="900" i="1" baseline="0"/>
            <a:t> &lt; MOE</a:t>
          </a:r>
          <a:r>
            <a:rPr lang="en-US" sz="900" i="1" baseline="-25000"/>
            <a:t>benchmark</a:t>
          </a:r>
          <a:endParaRPr lang="en-US" sz="900" i="0" baseline="0"/>
        </a:p>
        <a:p>
          <a:r>
            <a:rPr lang="en-US" sz="900" i="0" baseline="0"/>
            <a:t>                                  </a:t>
          </a:r>
          <a:r>
            <a:rPr lang="en-US" sz="900" i="1" baseline="0"/>
            <a:t>Cancer Risk &gt; Benchmark Cancer Risk Level</a:t>
          </a:r>
        </a:p>
        <a:p>
          <a:endParaRPr lang="en-US" sz="900" i="1" baseline="0"/>
        </a:p>
        <a:p>
          <a:pPr marL="0" marR="0" indent="0" defTabSz="914400" eaLnBrk="1" fontAlgn="auto" latinLnBrk="0" hangingPunct="1">
            <a:lnSpc>
              <a:spcPct val="100000"/>
            </a:lnSpc>
            <a:spcBef>
              <a:spcPts val="0"/>
            </a:spcBef>
            <a:spcAft>
              <a:spcPts val="0"/>
            </a:spcAft>
            <a:buClrTx/>
            <a:buSzTx/>
            <a:buFontTx/>
            <a:buNone/>
            <a:tabLst/>
            <a:defRPr/>
          </a:pPr>
          <a:r>
            <a:rPr lang="en-US" sz="900">
              <a:solidFill>
                <a:schemeClr val="dk1"/>
              </a:solidFill>
              <a:latin typeface="+mn-lt"/>
              <a:ea typeface="+mn-ea"/>
              <a:cs typeface="+mn-cs"/>
            </a:rPr>
            <a:t>             =  </a:t>
          </a:r>
          <a:r>
            <a:rPr lang="en-US" sz="900">
              <a:solidFill>
                <a:srgbClr val="339933"/>
              </a:solidFill>
              <a:latin typeface="+mn-lt"/>
              <a:ea typeface="+mn-ea"/>
              <a:cs typeface="+mn-cs"/>
            </a:rPr>
            <a:t>No Risk</a:t>
          </a:r>
          <a:r>
            <a:rPr lang="en-US" sz="900">
              <a:solidFill>
                <a:schemeClr val="dk1"/>
              </a:solidFill>
              <a:latin typeface="+mn-lt"/>
              <a:ea typeface="+mn-ea"/>
              <a:cs typeface="+mn-cs"/>
            </a:rPr>
            <a:t>.   </a:t>
          </a:r>
          <a:r>
            <a:rPr lang="en-US" sz="900" i="1">
              <a:solidFill>
                <a:schemeClr val="dk1"/>
              </a:solidFill>
              <a:latin typeface="+mn-lt"/>
              <a:ea typeface="+mn-ea"/>
              <a:cs typeface="+mn-cs"/>
            </a:rPr>
            <a:t>MOE</a:t>
          </a:r>
          <a:r>
            <a:rPr lang="en-US" sz="900" i="1" baseline="-25000">
              <a:solidFill>
                <a:schemeClr val="dk1"/>
              </a:solidFill>
              <a:latin typeface="+mn-lt"/>
              <a:ea typeface="+mn-ea"/>
              <a:cs typeface="+mn-cs"/>
            </a:rPr>
            <a:t>acute or chronic</a:t>
          </a:r>
          <a:r>
            <a:rPr lang="en-US" sz="900" i="1" baseline="0">
              <a:solidFill>
                <a:schemeClr val="dk1"/>
              </a:solidFill>
              <a:latin typeface="+mn-lt"/>
              <a:ea typeface="+mn-ea"/>
              <a:cs typeface="+mn-cs"/>
            </a:rPr>
            <a:t> ≥ MOE</a:t>
          </a:r>
          <a:r>
            <a:rPr lang="en-US" sz="900" i="1" baseline="-25000">
              <a:solidFill>
                <a:schemeClr val="dk1"/>
              </a:solidFill>
              <a:latin typeface="+mn-lt"/>
              <a:ea typeface="+mn-ea"/>
              <a:cs typeface="+mn-cs"/>
            </a:rPr>
            <a:t>benchmark</a:t>
          </a:r>
          <a:endParaRPr lang="en-US" sz="900" i="0" baseline="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900" i="0" baseline="0">
              <a:solidFill>
                <a:schemeClr val="dk1"/>
              </a:solidFill>
              <a:latin typeface="+mn-lt"/>
              <a:ea typeface="+mn-ea"/>
              <a:cs typeface="+mn-cs"/>
            </a:rPr>
            <a:t>                                  </a:t>
          </a:r>
          <a:r>
            <a:rPr lang="en-US" sz="900" i="1" baseline="0">
              <a:solidFill>
                <a:schemeClr val="dk1"/>
              </a:solidFill>
              <a:latin typeface="+mn-lt"/>
              <a:ea typeface="+mn-ea"/>
              <a:cs typeface="+mn-cs"/>
            </a:rPr>
            <a:t>Cancer Risk ≤ Benchmark Cancer Risk Level</a:t>
          </a:r>
          <a:endParaRPr lang="en-US" sz="900" i="1">
            <a:solidFill>
              <a:schemeClr val="dk1"/>
            </a:solidFill>
            <a:latin typeface="+mn-lt"/>
            <a:ea typeface="+mn-ea"/>
            <a:cs typeface="+mn-cs"/>
          </a:endParaRPr>
        </a:p>
      </xdr:txBody>
    </xdr:sp>
    <xdr:clientData/>
  </xdr:twoCellAnchor>
  <xdr:twoCellAnchor>
    <xdr:from>
      <xdr:col>8</xdr:col>
      <xdr:colOff>1042147</xdr:colOff>
      <xdr:row>34</xdr:row>
      <xdr:rowOff>22412</xdr:rowOff>
    </xdr:from>
    <xdr:to>
      <xdr:col>15</xdr:col>
      <xdr:colOff>831139</xdr:colOff>
      <xdr:row>54</xdr:row>
      <xdr:rowOff>100423</xdr:rowOff>
    </xdr:to>
    <xdr:graphicFrame macro="">
      <xdr:nvGraphicFramePr>
        <xdr:cNvPr id="5" name="Chart 4">
          <a:extLst>
            <a:ext uri="{FF2B5EF4-FFF2-40B4-BE49-F238E27FC236}">
              <a16:creationId xmlns:a16="http://schemas.microsoft.com/office/drawing/2014/main" id="{D4614090-6C3D-4657-B5A8-35559A9E08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268941</xdr:colOff>
      <xdr:row>33</xdr:row>
      <xdr:rowOff>156882</xdr:rowOff>
    </xdr:from>
    <xdr:to>
      <xdr:col>36</xdr:col>
      <xdr:colOff>477071</xdr:colOff>
      <xdr:row>54</xdr:row>
      <xdr:rowOff>83791</xdr:rowOff>
    </xdr:to>
    <xdr:graphicFrame macro="">
      <xdr:nvGraphicFramePr>
        <xdr:cNvPr id="6" name="Chart 5">
          <a:extLst>
            <a:ext uri="{FF2B5EF4-FFF2-40B4-BE49-F238E27FC236}">
              <a16:creationId xmlns:a16="http://schemas.microsoft.com/office/drawing/2014/main" id="{DEF15C6D-274E-42F6-B83C-F2DBD6EE82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5C6D5-6865-4A0A-B329-1C8FF27E3EC2}">
  <sheetPr codeName="Sheet2"/>
  <dimension ref="A1:A16"/>
  <sheetViews>
    <sheetView showGridLines="0" tabSelected="1" zoomScaleNormal="100" workbookViewId="0"/>
  </sheetViews>
  <sheetFormatPr defaultRowHeight="15" x14ac:dyDescent="0.25"/>
  <cols>
    <col min="1" max="1" width="112.5703125" style="2" customWidth="1"/>
    <col min="2" max="16384" width="9.140625" style="2"/>
  </cols>
  <sheetData>
    <row r="1" spans="1:1" ht="18.75" x14ac:dyDescent="0.3">
      <c r="A1" s="1" t="s">
        <v>0</v>
      </c>
    </row>
    <row r="2" spans="1:1" ht="18.75" x14ac:dyDescent="0.3">
      <c r="A2" s="3" t="s">
        <v>443</v>
      </c>
    </row>
    <row r="3" spans="1:1" ht="28.5" customHeight="1" x14ac:dyDescent="0.25">
      <c r="A3" s="4"/>
    </row>
    <row r="4" spans="1:1" ht="20.25" x14ac:dyDescent="0.3">
      <c r="A4" s="5" t="s">
        <v>445</v>
      </c>
    </row>
    <row r="5" spans="1:1" x14ac:dyDescent="0.25">
      <c r="A5" s="4"/>
    </row>
    <row r="6" spans="1:1" ht="18.75" x14ac:dyDescent="0.25">
      <c r="A6" s="6" t="s">
        <v>444</v>
      </c>
    </row>
    <row r="7" spans="1:1" ht="15.75" x14ac:dyDescent="0.25">
      <c r="A7" s="7"/>
    </row>
    <row r="9" spans="1:1" x14ac:dyDescent="0.25">
      <c r="A9" s="4"/>
    </row>
    <row r="10" spans="1:1" x14ac:dyDescent="0.25">
      <c r="A10" s="4"/>
    </row>
    <row r="11" spans="1:1" x14ac:dyDescent="0.25">
      <c r="A11" s="4"/>
    </row>
    <row r="12" spans="1:1" x14ac:dyDescent="0.25">
      <c r="A12" s="4"/>
    </row>
    <row r="13" spans="1:1" x14ac:dyDescent="0.25">
      <c r="A13" s="4"/>
    </row>
    <row r="16" spans="1:1" ht="15.75" x14ac:dyDescent="0.25">
      <c r="A16" s="8"/>
    </row>
  </sheetData>
  <sheetProtection sheet="1" objects="1" scenarios="1" formatCells="0" formatColumns="0" formatRows="0" sort="0" autoFilter="0"/>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EE2DC-4EE0-4CF0-B381-0DF510B873A9}">
  <sheetPr codeName="Sheet10">
    <tabColor theme="1"/>
  </sheetPr>
  <dimension ref="A1:N49"/>
  <sheetViews>
    <sheetView workbookViewId="0"/>
  </sheetViews>
  <sheetFormatPr defaultRowHeight="15" x14ac:dyDescent="0.25"/>
  <cols>
    <col min="1" max="1" width="9.140625" style="2"/>
    <col min="2" max="2" width="74.28515625" style="2" bestFit="1" customWidth="1"/>
    <col min="3" max="3" width="30.5703125" style="2" customWidth="1"/>
    <col min="4" max="5" width="9.140625" style="2"/>
    <col min="6" max="6" width="36.140625" style="2" customWidth="1"/>
    <col min="7" max="8" width="9.140625" style="2"/>
    <col min="9" max="9" width="37.140625" style="2" customWidth="1"/>
    <col min="10" max="10" width="11.28515625" style="2" customWidth="1"/>
    <col min="11" max="11" width="11" style="2" bestFit="1" customWidth="1"/>
    <col min="12" max="12" width="9.140625" style="2"/>
    <col min="13" max="13" width="48.28515625" style="2" customWidth="1"/>
    <col min="14" max="16384" width="9.140625" style="2"/>
  </cols>
  <sheetData>
    <row r="1" spans="1:13" ht="15.75" thickBot="1" x14ac:dyDescent="0.3">
      <c r="B1" s="690" t="s">
        <v>421</v>
      </c>
      <c r="F1" s="691" t="s">
        <v>299</v>
      </c>
      <c r="I1" s="691" t="s">
        <v>300</v>
      </c>
    </row>
    <row r="2" spans="1:13" x14ac:dyDescent="0.25">
      <c r="B2" s="692" t="s">
        <v>422</v>
      </c>
      <c r="C2" s="693" t="s">
        <v>73</v>
      </c>
      <c r="F2" s="694" t="s">
        <v>301</v>
      </c>
      <c r="I2" s="695">
        <v>5</v>
      </c>
    </row>
    <row r="3" spans="1:13" x14ac:dyDescent="0.25">
      <c r="B3" s="696" t="s">
        <v>407</v>
      </c>
      <c r="C3" s="548" t="s">
        <v>418</v>
      </c>
      <c r="F3" s="694" t="s">
        <v>302</v>
      </c>
      <c r="I3" s="695">
        <v>10</v>
      </c>
    </row>
    <row r="4" spans="1:13" x14ac:dyDescent="0.25">
      <c r="B4" s="696" t="s">
        <v>408</v>
      </c>
      <c r="C4" s="548" t="s">
        <v>418</v>
      </c>
      <c r="F4" s="690"/>
      <c r="I4" s="695">
        <v>20</v>
      </c>
    </row>
    <row r="5" spans="1:13" x14ac:dyDescent="0.25">
      <c r="B5" s="696" t="s">
        <v>409</v>
      </c>
      <c r="C5" s="548" t="s">
        <v>418</v>
      </c>
      <c r="F5" s="690"/>
      <c r="I5" s="690"/>
    </row>
    <row r="6" spans="1:13" ht="30.95" customHeight="1" x14ac:dyDescent="0.25">
      <c r="A6" s="697"/>
      <c r="B6" s="696" t="s">
        <v>410</v>
      </c>
      <c r="C6" s="548" t="s">
        <v>418</v>
      </c>
    </row>
    <row r="7" spans="1:13" x14ac:dyDescent="0.25">
      <c r="A7" s="697"/>
      <c r="B7" s="696" t="s">
        <v>411</v>
      </c>
      <c r="C7" s="548" t="s">
        <v>418</v>
      </c>
    </row>
    <row r="8" spans="1:13" x14ac:dyDescent="0.25">
      <c r="A8" s="697"/>
      <c r="B8" s="696" t="s">
        <v>412</v>
      </c>
      <c r="C8" s="548" t="s">
        <v>418</v>
      </c>
    </row>
    <row r="9" spans="1:13" ht="30.75" thickBot="1" x14ac:dyDescent="0.3">
      <c r="A9" s="697"/>
      <c r="B9" s="696" t="s">
        <v>438</v>
      </c>
      <c r="C9" s="552" t="s">
        <v>438</v>
      </c>
      <c r="I9" s="698"/>
    </row>
    <row r="10" spans="1:13" x14ac:dyDescent="0.25">
      <c r="A10" s="697"/>
      <c r="B10" s="696" t="s">
        <v>413</v>
      </c>
      <c r="C10" s="550" t="s">
        <v>419</v>
      </c>
      <c r="F10" s="699" t="s">
        <v>303</v>
      </c>
      <c r="I10" s="698"/>
    </row>
    <row r="11" spans="1:13" ht="15.75" thickBot="1" x14ac:dyDescent="0.3">
      <c r="A11" s="697"/>
      <c r="B11" s="696" t="s">
        <v>414</v>
      </c>
      <c r="C11" s="550" t="s">
        <v>419</v>
      </c>
      <c r="F11" s="700" t="s">
        <v>304</v>
      </c>
    </row>
    <row r="12" spans="1:13" x14ac:dyDescent="0.25">
      <c r="A12" s="697"/>
      <c r="B12" s="696" t="s">
        <v>415</v>
      </c>
      <c r="C12" s="550" t="s">
        <v>419</v>
      </c>
      <c r="I12" s="701" t="s">
        <v>18</v>
      </c>
    </row>
    <row r="13" spans="1:13" x14ac:dyDescent="0.25">
      <c r="B13" s="696" t="s">
        <v>416</v>
      </c>
      <c r="C13" s="550" t="s">
        <v>419</v>
      </c>
      <c r="F13" s="702"/>
      <c r="I13" s="703" t="s">
        <v>97</v>
      </c>
    </row>
    <row r="14" spans="1:13" ht="15.75" thickBot="1" x14ac:dyDescent="0.3">
      <c r="B14" s="696" t="s">
        <v>417</v>
      </c>
      <c r="C14" s="550" t="s">
        <v>419</v>
      </c>
      <c r="I14" s="704" t="s">
        <v>100</v>
      </c>
      <c r="M14" s="705"/>
    </row>
    <row r="15" spans="1:13" ht="30" x14ac:dyDescent="0.25">
      <c r="B15" s="696" t="s">
        <v>425</v>
      </c>
      <c r="C15" s="551" t="s">
        <v>420</v>
      </c>
      <c r="F15" s="701" t="s">
        <v>305</v>
      </c>
    </row>
    <row r="16" spans="1:13" ht="30" x14ac:dyDescent="0.25">
      <c r="B16" s="696" t="s">
        <v>424</v>
      </c>
      <c r="C16" s="551" t="s">
        <v>420</v>
      </c>
      <c r="F16" s="703">
        <v>0.5</v>
      </c>
      <c r="I16" s="706"/>
    </row>
    <row r="17" spans="2:14" ht="30.75" thickBot="1" x14ac:dyDescent="0.3">
      <c r="B17" s="696" t="s">
        <v>426</v>
      </c>
      <c r="C17" s="551" t="s">
        <v>420</v>
      </c>
      <c r="F17" s="704">
        <v>0.99</v>
      </c>
      <c r="I17" s="707" t="s">
        <v>306</v>
      </c>
      <c r="J17" s="707"/>
      <c r="K17" s="707"/>
      <c r="L17" s="707"/>
      <c r="N17" s="706"/>
    </row>
    <row r="18" spans="2:14" ht="30.75" thickBot="1" x14ac:dyDescent="0.3">
      <c r="B18" s="696" t="s">
        <v>427</v>
      </c>
      <c r="C18" s="551" t="s">
        <v>420</v>
      </c>
      <c r="I18" s="707"/>
      <c r="J18" s="707"/>
      <c r="K18" s="707"/>
      <c r="L18" s="707"/>
    </row>
    <row r="19" spans="2:14" ht="30" x14ac:dyDescent="0.25">
      <c r="B19" s="696" t="s">
        <v>423</v>
      </c>
      <c r="C19" s="552" t="s">
        <v>423</v>
      </c>
      <c r="F19" s="708" t="s">
        <v>307</v>
      </c>
      <c r="I19" s="709" t="s">
        <v>308</v>
      </c>
      <c r="J19" s="710">
        <v>112.98</v>
      </c>
      <c r="K19" s="711" t="s">
        <v>261</v>
      </c>
      <c r="L19" s="707"/>
    </row>
    <row r="20" spans="2:14" ht="15.75" thickBot="1" x14ac:dyDescent="0.3">
      <c r="B20" s="712" t="s">
        <v>439</v>
      </c>
      <c r="C20" s="713" t="s">
        <v>439</v>
      </c>
      <c r="F20" s="714">
        <v>10</v>
      </c>
      <c r="I20" s="715" t="s">
        <v>263</v>
      </c>
      <c r="J20" s="716">
        <v>24.45</v>
      </c>
      <c r="K20" s="717" t="s">
        <v>264</v>
      </c>
      <c r="L20" s="707"/>
    </row>
    <row r="21" spans="2:14" ht="15.75" thickBot="1" x14ac:dyDescent="0.3">
      <c r="B21" s="712" t="s">
        <v>440</v>
      </c>
      <c r="C21" s="713" t="s">
        <v>440</v>
      </c>
      <c r="F21" s="714">
        <v>25</v>
      </c>
      <c r="I21" s="707"/>
      <c r="J21" s="707"/>
      <c r="K21" s="707"/>
      <c r="L21" s="707"/>
    </row>
    <row r="22" spans="2:14" ht="30" x14ac:dyDescent="0.25">
      <c r="B22" s="712" t="s">
        <v>441</v>
      </c>
      <c r="C22" s="713" t="s">
        <v>441</v>
      </c>
      <c r="F22" s="714">
        <v>50</v>
      </c>
      <c r="I22" s="709" t="s">
        <v>309</v>
      </c>
      <c r="J22" s="718">
        <v>75</v>
      </c>
      <c r="K22" s="711" t="s">
        <v>310</v>
      </c>
      <c r="L22" s="707"/>
    </row>
    <row r="23" spans="2:14" ht="15.75" thickBot="1" x14ac:dyDescent="0.3">
      <c r="B23" s="719" t="s">
        <v>442</v>
      </c>
      <c r="C23" s="720" t="s">
        <v>442</v>
      </c>
      <c r="F23" s="714">
        <v>1000</v>
      </c>
      <c r="I23" s="715"/>
      <c r="J23" s="721">
        <f>J22/J20*MW</f>
        <v>346.56441717791415</v>
      </c>
      <c r="K23" s="717" t="s">
        <v>311</v>
      </c>
      <c r="L23" s="707"/>
    </row>
    <row r="24" spans="2:14" ht="15.75" thickBot="1" x14ac:dyDescent="0.3">
      <c r="C24" s="722"/>
      <c r="F24" s="723">
        <v>10000</v>
      </c>
      <c r="I24" s="724"/>
      <c r="J24" s="725"/>
      <c r="K24" s="724"/>
      <c r="L24" s="707"/>
    </row>
    <row r="25" spans="2:14" x14ac:dyDescent="0.25">
      <c r="C25" s="722"/>
      <c r="I25" s="726" t="s">
        <v>312</v>
      </c>
      <c r="J25" s="727"/>
      <c r="K25" s="728"/>
      <c r="L25" s="707"/>
    </row>
    <row r="26" spans="2:14" ht="15.75" thickBot="1" x14ac:dyDescent="0.3">
      <c r="C26" s="722"/>
      <c r="F26" s="690"/>
      <c r="I26" s="729" t="s">
        <v>313</v>
      </c>
      <c r="J26" s="730">
        <v>1000</v>
      </c>
      <c r="K26" s="731" t="s">
        <v>314</v>
      </c>
      <c r="L26" s="707"/>
    </row>
    <row r="27" spans="2:14" ht="15.75" thickBot="1" x14ac:dyDescent="0.3">
      <c r="I27" s="707"/>
      <c r="J27" s="707"/>
      <c r="K27" s="707"/>
      <c r="L27" s="707"/>
      <c r="M27" s="705"/>
    </row>
    <row r="28" spans="2:14" ht="16.5" thickBot="1" x14ac:dyDescent="0.3">
      <c r="I28" s="732" t="s">
        <v>315</v>
      </c>
      <c r="J28" s="733" t="s">
        <v>316</v>
      </c>
      <c r="K28" s="733" t="s">
        <v>317</v>
      </c>
      <c r="L28" s="733" t="s">
        <v>318</v>
      </c>
      <c r="M28" s="705"/>
    </row>
    <row r="29" spans="2:14" ht="16.5" thickTop="1" thickBot="1" x14ac:dyDescent="0.3">
      <c r="I29" s="734" t="s">
        <v>319</v>
      </c>
      <c r="J29" s="735" t="s">
        <v>320</v>
      </c>
      <c r="K29" s="735">
        <v>8</v>
      </c>
      <c r="L29" s="736" t="s">
        <v>321</v>
      </c>
    </row>
    <row r="30" spans="2:14" ht="15.75" thickBot="1" x14ac:dyDescent="0.3">
      <c r="I30" s="734" t="s">
        <v>322</v>
      </c>
      <c r="J30" s="735" t="s">
        <v>323</v>
      </c>
      <c r="K30" s="735">
        <v>24</v>
      </c>
      <c r="L30" s="736" t="s">
        <v>321</v>
      </c>
    </row>
    <row r="31" spans="2:14" ht="15.75" thickBot="1" x14ac:dyDescent="0.3">
      <c r="I31" s="734" t="s">
        <v>324</v>
      </c>
      <c r="J31" s="735" t="s">
        <v>325</v>
      </c>
      <c r="K31" s="735">
        <v>250</v>
      </c>
      <c r="L31" s="736" t="s">
        <v>326</v>
      </c>
    </row>
    <row r="32" spans="2:14" ht="15.75" thickBot="1" x14ac:dyDescent="0.3">
      <c r="I32" s="734" t="s">
        <v>327</v>
      </c>
      <c r="J32" s="735" t="s">
        <v>328</v>
      </c>
      <c r="K32" s="737">
        <v>365</v>
      </c>
      <c r="L32" s="736" t="s">
        <v>326</v>
      </c>
    </row>
    <row r="33" spans="2:12" ht="15.75" thickBot="1" x14ac:dyDescent="0.3">
      <c r="B33" s="40"/>
      <c r="I33" s="734" t="s">
        <v>329</v>
      </c>
      <c r="J33" s="735" t="s">
        <v>330</v>
      </c>
      <c r="K33" s="735">
        <v>31</v>
      </c>
      <c r="L33" s="736" t="s">
        <v>331</v>
      </c>
    </row>
    <row r="34" spans="2:12" ht="15.75" thickBot="1" x14ac:dyDescent="0.3">
      <c r="B34" s="40"/>
      <c r="I34" s="734" t="s">
        <v>332</v>
      </c>
      <c r="J34" s="735" t="s">
        <v>333</v>
      </c>
      <c r="K34" s="735">
        <v>40</v>
      </c>
      <c r="L34" s="736" t="s">
        <v>331</v>
      </c>
    </row>
    <row r="35" spans="2:12" ht="15.75" thickBot="1" x14ac:dyDescent="0.3">
      <c r="B35" s="40"/>
      <c r="I35" s="734" t="s">
        <v>334</v>
      </c>
      <c r="J35" s="735" t="s">
        <v>335</v>
      </c>
      <c r="K35" s="735">
        <v>78</v>
      </c>
      <c r="L35" s="736" t="s">
        <v>331</v>
      </c>
    </row>
    <row r="36" spans="2:12" ht="26.25" thickBot="1" x14ac:dyDescent="0.3">
      <c r="B36" s="40"/>
      <c r="I36" s="734" t="s">
        <v>336</v>
      </c>
      <c r="J36" s="735" t="s">
        <v>337</v>
      </c>
      <c r="K36" s="738">
        <f>WY_mid*EF_C*ED_24</f>
        <v>271560</v>
      </c>
      <c r="L36" s="736" t="s">
        <v>338</v>
      </c>
    </row>
    <row r="37" spans="2:12" ht="26.25" thickBot="1" x14ac:dyDescent="0.3">
      <c r="B37" s="40"/>
      <c r="I37" s="734" t="s">
        <v>339</v>
      </c>
      <c r="J37" s="735" t="s">
        <v>340</v>
      </c>
      <c r="K37" s="738">
        <f>WY_high*EF_C*ED_24</f>
        <v>350400</v>
      </c>
      <c r="L37" s="736" t="s">
        <v>338</v>
      </c>
    </row>
    <row r="38" spans="2:12" ht="26.25" thickBot="1" x14ac:dyDescent="0.3">
      <c r="B38" s="40"/>
      <c r="I38" s="734" t="s">
        <v>341</v>
      </c>
      <c r="J38" s="735" t="s">
        <v>342</v>
      </c>
      <c r="K38" s="738">
        <f>LT*EF_C*ED_24</f>
        <v>683280</v>
      </c>
      <c r="L38" s="736" t="s">
        <v>338</v>
      </c>
    </row>
    <row r="39" spans="2:12" ht="26.25" thickBot="1" x14ac:dyDescent="0.3">
      <c r="B39" s="40"/>
      <c r="I39" s="734" t="s">
        <v>343</v>
      </c>
      <c r="J39" s="735" t="s">
        <v>344</v>
      </c>
      <c r="K39" s="739">
        <f>EF_C*WY_mid</f>
        <v>11315</v>
      </c>
      <c r="L39" s="736" t="s">
        <v>345</v>
      </c>
    </row>
    <row r="40" spans="2:12" ht="26.25" thickBot="1" x14ac:dyDescent="0.3">
      <c r="B40" s="40"/>
      <c r="I40" s="734" t="s">
        <v>346</v>
      </c>
      <c r="J40" s="735" t="s">
        <v>347</v>
      </c>
      <c r="K40" s="739">
        <f>EF_C*WY_high</f>
        <v>14600</v>
      </c>
      <c r="L40" s="736" t="s">
        <v>345</v>
      </c>
    </row>
    <row r="41" spans="2:12" ht="15.75" thickBot="1" x14ac:dyDescent="0.3">
      <c r="B41" s="40"/>
      <c r="I41" s="734" t="s">
        <v>348</v>
      </c>
      <c r="J41" s="735" t="s">
        <v>349</v>
      </c>
      <c r="K41" s="740">
        <f>EF_C*LT</f>
        <v>28470</v>
      </c>
      <c r="L41" s="736" t="s">
        <v>345</v>
      </c>
    </row>
    <row r="42" spans="2:12" ht="26.25" thickBot="1" x14ac:dyDescent="0.3">
      <c r="I42" s="734" t="s">
        <v>350</v>
      </c>
      <c r="J42" s="735" t="s">
        <v>351</v>
      </c>
      <c r="K42" s="740">
        <f>1.25/0.6125</f>
        <v>2.0408163265306123</v>
      </c>
      <c r="L42" s="736"/>
    </row>
    <row r="43" spans="2:12" ht="26.25" thickBot="1" x14ac:dyDescent="0.3">
      <c r="I43" s="734" t="s">
        <v>352</v>
      </c>
      <c r="J43" s="735" t="s">
        <v>353</v>
      </c>
      <c r="K43" s="738">
        <f>30*ED_24</f>
        <v>720</v>
      </c>
      <c r="L43" s="736" t="s">
        <v>338</v>
      </c>
    </row>
    <row r="44" spans="2:12" ht="15.75" thickBot="1" x14ac:dyDescent="0.3">
      <c r="I44" s="734" t="s">
        <v>354</v>
      </c>
      <c r="J44" s="735" t="s">
        <v>355</v>
      </c>
      <c r="K44" s="738">
        <v>22</v>
      </c>
      <c r="L44" s="736" t="s">
        <v>326</v>
      </c>
    </row>
    <row r="45" spans="2:12" ht="26.25" thickBot="1" x14ac:dyDescent="0.3">
      <c r="I45" s="734" t="s">
        <v>356</v>
      </c>
      <c r="J45" s="735" t="s">
        <v>357</v>
      </c>
      <c r="K45" s="739">
        <f>30</f>
        <v>30</v>
      </c>
      <c r="L45" s="736" t="s">
        <v>345</v>
      </c>
    </row>
    <row r="46" spans="2:12" ht="15.75" thickBot="1" x14ac:dyDescent="0.3">
      <c r="I46" s="734" t="s">
        <v>358</v>
      </c>
      <c r="J46" s="735" t="s">
        <v>359</v>
      </c>
      <c r="K46" s="735">
        <v>24</v>
      </c>
      <c r="L46" s="736" t="s">
        <v>321</v>
      </c>
    </row>
    <row r="47" spans="2:12" ht="15.75" thickBot="1" x14ac:dyDescent="0.3">
      <c r="I47" s="741" t="s">
        <v>360</v>
      </c>
      <c r="J47" s="742" t="s">
        <v>361</v>
      </c>
      <c r="K47" s="742">
        <v>13</v>
      </c>
      <c r="L47" s="743" t="s">
        <v>326</v>
      </c>
    </row>
    <row r="48" spans="2:12" ht="15.75" thickBot="1" x14ac:dyDescent="0.3">
      <c r="I48" s="741" t="s">
        <v>362</v>
      </c>
      <c r="J48" s="742" t="s">
        <v>363</v>
      </c>
      <c r="K48" s="742">
        <v>6</v>
      </c>
      <c r="L48" s="743" t="s">
        <v>326</v>
      </c>
    </row>
    <row r="49" spans="9:12" ht="15.75" thickBot="1" x14ac:dyDescent="0.3">
      <c r="I49" s="741" t="s">
        <v>364</v>
      </c>
      <c r="J49" s="742" t="s">
        <v>365</v>
      </c>
      <c r="K49" s="742">
        <v>2</v>
      </c>
      <c r="L49" s="743" t="s">
        <v>326</v>
      </c>
    </row>
  </sheetData>
  <sheetProtection sheet="1" objects="1" scenarios="1" formatCells="0" formatColumns="0" formatRows="0" sort="0" autoFilter="0"/>
  <autoFilter ref="B2:C2" xr:uid="{570EE2DC-4EE0-4CF0-B381-0DF510B873A9}"/>
  <mergeCells count="1">
    <mergeCell ref="I25:K2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41240-2A0D-4766-9250-85744E11E255}">
  <sheetPr codeName="Sheet11">
    <tabColor theme="1"/>
  </sheetPr>
  <dimension ref="B3:E23"/>
  <sheetViews>
    <sheetView workbookViewId="0"/>
  </sheetViews>
  <sheetFormatPr defaultColWidth="9.140625" defaultRowHeight="15" x14ac:dyDescent="0.25"/>
  <cols>
    <col min="1" max="1" width="4.7109375" style="226" customWidth="1"/>
    <col min="2" max="2" width="33" style="226" customWidth="1"/>
    <col min="3" max="3" width="10.42578125" style="226" customWidth="1"/>
    <col min="4" max="4" width="12.42578125" style="226" customWidth="1"/>
    <col min="5" max="5" width="16.5703125" style="226" bestFit="1" customWidth="1"/>
    <col min="6" max="16384" width="9.140625" style="226"/>
  </cols>
  <sheetData>
    <row r="3" spans="2:5" s="226" customFormat="1" ht="18.75" x14ac:dyDescent="0.3">
      <c r="B3" s="561" t="s">
        <v>366</v>
      </c>
    </row>
    <row r="4" spans="2:5" s="226" customFormat="1" ht="15.75" thickBot="1" x14ac:dyDescent="0.3"/>
    <row r="5" spans="2:5" s="226" customFormat="1" ht="45.75" thickBot="1" x14ac:dyDescent="0.3">
      <c r="C5" s="744" t="s">
        <v>304</v>
      </c>
      <c r="D5" s="745" t="s">
        <v>367</v>
      </c>
      <c r="E5" s="745" t="s">
        <v>368</v>
      </c>
    </row>
    <row r="6" spans="2:5" s="226" customFormat="1" x14ac:dyDescent="0.25">
      <c r="B6" s="746" t="s">
        <v>369</v>
      </c>
      <c r="C6" s="747">
        <v>80</v>
      </c>
      <c r="D6" s="748">
        <f>AVERAGE(65.9,71.9,74.8,77.1)</f>
        <v>72.425000000000011</v>
      </c>
      <c r="E6" s="749"/>
    </row>
    <row r="7" spans="2:5" s="226" customFormat="1" ht="17.25" x14ac:dyDescent="0.25">
      <c r="B7" s="746" t="s">
        <v>370</v>
      </c>
      <c r="C7" s="750">
        <f>C8/2</f>
        <v>535</v>
      </c>
      <c r="D7" s="751">
        <f>D8/2</f>
        <v>445</v>
      </c>
      <c r="E7" s="752" t="s">
        <v>101</v>
      </c>
    </row>
    <row r="8" spans="2:5" s="226" customFormat="1" ht="15" customHeight="1" x14ac:dyDescent="0.25">
      <c r="B8" s="746" t="s">
        <v>371</v>
      </c>
      <c r="C8" s="753">
        <v>1070</v>
      </c>
      <c r="D8" s="754">
        <v>890</v>
      </c>
      <c r="E8" s="752" t="s">
        <v>98</v>
      </c>
    </row>
    <row r="9" spans="2:5" s="226" customFormat="1" ht="17.25" customHeight="1" x14ac:dyDescent="0.25">
      <c r="B9" s="746" t="s">
        <v>372</v>
      </c>
      <c r="C9" s="755">
        <v>40</v>
      </c>
      <c r="D9" s="751">
        <v>40</v>
      </c>
      <c r="E9" s="752" t="s">
        <v>101</v>
      </c>
    </row>
    <row r="10" spans="2:5" s="226" customFormat="1" ht="30" x14ac:dyDescent="0.25">
      <c r="B10" s="746" t="s">
        <v>373</v>
      </c>
      <c r="C10" s="755">
        <v>31</v>
      </c>
      <c r="D10" s="751">
        <v>31</v>
      </c>
      <c r="E10" s="752" t="s">
        <v>98</v>
      </c>
    </row>
    <row r="11" spans="2:5" s="226" customFormat="1" ht="15.75" thickBot="1" x14ac:dyDescent="0.3">
      <c r="B11" s="756" t="s">
        <v>374</v>
      </c>
      <c r="C11" s="757">
        <v>78</v>
      </c>
      <c r="D11" s="758">
        <v>78</v>
      </c>
      <c r="E11" s="759"/>
    </row>
    <row r="12" spans="2:5" s="226" customFormat="1" x14ac:dyDescent="0.25">
      <c r="B12" s="760"/>
      <c r="C12" s="760"/>
      <c r="D12" s="761"/>
      <c r="E12" s="761"/>
    </row>
    <row r="13" spans="2:5" s="226" customFormat="1" x14ac:dyDescent="0.25">
      <c r="B13" s="762"/>
      <c r="C13" s="762"/>
      <c r="D13" s="762"/>
      <c r="E13" s="762"/>
    </row>
    <row r="14" spans="2:5" s="226" customFormat="1" x14ac:dyDescent="0.25">
      <c r="B14" s="763" t="s">
        <v>375</v>
      </c>
    </row>
    <row r="15" spans="2:5" s="226" customFormat="1" x14ac:dyDescent="0.25">
      <c r="B15" s="764" t="s">
        <v>376</v>
      </c>
    </row>
    <row r="16" spans="2:5" s="226" customFormat="1" x14ac:dyDescent="0.25">
      <c r="B16" s="226" t="s">
        <v>377</v>
      </c>
    </row>
    <row r="17" spans="2:5" s="226" customFormat="1" x14ac:dyDescent="0.25">
      <c r="B17" s="226" t="s">
        <v>378</v>
      </c>
    </row>
    <row r="18" spans="2:5" s="226" customFormat="1" x14ac:dyDescent="0.25">
      <c r="B18" s="226" t="s">
        <v>379</v>
      </c>
    </row>
    <row r="19" spans="2:5" s="226" customFormat="1" x14ac:dyDescent="0.25">
      <c r="B19" s="226" t="s">
        <v>380</v>
      </c>
    </row>
    <row r="20" spans="2:5" s="226" customFormat="1" x14ac:dyDescent="0.25">
      <c r="B20" s="226" t="s">
        <v>381</v>
      </c>
    </row>
    <row r="23" spans="2:5" s="226" customFormat="1" ht="78" customHeight="1" x14ac:dyDescent="0.25">
      <c r="B23" s="765" t="s">
        <v>382</v>
      </c>
      <c r="C23" s="765"/>
      <c r="D23" s="765"/>
      <c r="E23" s="765"/>
    </row>
  </sheetData>
  <sheetProtection sheet="1" objects="1" scenarios="1" formatCells="0" formatColumns="0" formatRows="0" sort="0" autoFilter="0"/>
  <autoFilter ref="B3:E23" xr:uid="{84F41240-2A0D-4766-9250-85744E11E255}"/>
  <mergeCells count="2">
    <mergeCell ref="B23:E23"/>
    <mergeCell ref="B12:E12"/>
  </mergeCells>
  <phoneticPr fontId="39"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5C5E6-FBC2-4B72-8208-0297D949E5B3}">
  <sheetPr codeName="Sheet3"/>
  <dimension ref="A1:B14"/>
  <sheetViews>
    <sheetView workbookViewId="0">
      <selection sqref="A1:B1"/>
    </sheetView>
  </sheetViews>
  <sheetFormatPr defaultRowHeight="15" x14ac:dyDescent="0.25"/>
  <cols>
    <col min="1" max="1" width="27.7109375" style="2" customWidth="1"/>
    <col min="2" max="2" width="110.28515625" style="2" customWidth="1"/>
    <col min="3" max="16384" width="9.140625" style="2"/>
  </cols>
  <sheetData>
    <row r="1" spans="1:2" x14ac:dyDescent="0.25">
      <c r="A1" s="9" t="s">
        <v>1</v>
      </c>
      <c r="B1" s="9"/>
    </row>
    <row r="2" spans="1:2" s="11" customFormat="1" x14ac:dyDescent="0.25">
      <c r="A2" s="10" t="s">
        <v>3</v>
      </c>
      <c r="B2" s="10"/>
    </row>
    <row r="3" spans="1:2" s="11" customFormat="1" ht="15.75" thickBot="1" x14ac:dyDescent="0.3">
      <c r="A3" s="12" t="s">
        <v>4</v>
      </c>
      <c r="B3" s="13"/>
    </row>
    <row r="4" spans="1:2" s="16" customFormat="1" ht="77.25" customHeight="1" thickTop="1" x14ac:dyDescent="0.25">
      <c r="A4" s="14" t="s">
        <v>5</v>
      </c>
      <c r="B4" s="15"/>
    </row>
    <row r="5" spans="1:2" s="11" customFormat="1" x14ac:dyDescent="0.25">
      <c r="A5" s="17"/>
      <c r="B5" s="18"/>
    </row>
    <row r="6" spans="1:2" s="11" customFormat="1" x14ac:dyDescent="0.25">
      <c r="A6" s="19" t="s">
        <v>6</v>
      </c>
      <c r="B6" s="20" t="s">
        <v>2</v>
      </c>
    </row>
    <row r="7" spans="1:2" s="11" customFormat="1" x14ac:dyDescent="0.25">
      <c r="A7" s="21" t="s">
        <v>7</v>
      </c>
      <c r="B7" s="22" t="s">
        <v>8</v>
      </c>
    </row>
    <row r="8" spans="1:2" s="11" customFormat="1" ht="156.75" x14ac:dyDescent="0.25">
      <c r="A8" s="23" t="s">
        <v>9</v>
      </c>
      <c r="B8" s="24" t="s">
        <v>10</v>
      </c>
    </row>
    <row r="9" spans="1:2" s="11" customFormat="1" ht="42.75" x14ac:dyDescent="0.25">
      <c r="A9" s="25" t="s">
        <v>11</v>
      </c>
      <c r="B9" s="24" t="s">
        <v>12</v>
      </c>
    </row>
    <row r="10" spans="1:2" s="11" customFormat="1" ht="99.75" x14ac:dyDescent="0.25">
      <c r="A10" s="25" t="s">
        <v>13</v>
      </c>
      <c r="B10" s="24" t="s">
        <v>14</v>
      </c>
    </row>
    <row r="11" spans="1:2" s="11" customFormat="1" ht="75.75" thickBot="1" x14ac:dyDescent="0.3">
      <c r="A11" s="26" t="s">
        <v>15</v>
      </c>
      <c r="B11" s="27" t="s">
        <v>16</v>
      </c>
    </row>
    <row r="12" spans="1:2" ht="15.75" thickTop="1" x14ac:dyDescent="0.25">
      <c r="A12" s="28"/>
      <c r="B12" s="29"/>
    </row>
    <row r="14" spans="1:2" x14ac:dyDescent="0.25">
      <c r="B14" s="30"/>
    </row>
  </sheetData>
  <sheetProtection sheet="1" objects="1" scenarios="1" formatCells="0" formatColumns="0" formatRows="0" sort="0" autoFilter="0"/>
  <autoFilter ref="A6:B6" xr:uid="{C955C5E6-FBC2-4B72-8208-0297D949E5B3}"/>
  <mergeCells count="4">
    <mergeCell ref="A1:B1"/>
    <mergeCell ref="A2:B2"/>
    <mergeCell ref="A4:B4"/>
    <mergeCell ref="A5:B5"/>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9ED66-3813-40A4-86A2-7FA0757E6A9F}">
  <sheetPr codeName="Sheet4"/>
  <dimension ref="A1:C31"/>
  <sheetViews>
    <sheetView workbookViewId="0"/>
  </sheetViews>
  <sheetFormatPr defaultRowHeight="15" x14ac:dyDescent="0.25"/>
  <cols>
    <col min="1" max="1" width="54.140625" style="32" bestFit="1" customWidth="1"/>
    <col min="2" max="2" width="49.7109375" style="32" bestFit="1" customWidth="1"/>
    <col min="3" max="3" width="94.85546875" style="32" customWidth="1"/>
    <col min="4" max="4" width="29.28515625" style="2" customWidth="1"/>
    <col min="5" max="16384" width="9.140625" style="2"/>
  </cols>
  <sheetData>
    <row r="1" spans="1:3" x14ac:dyDescent="0.25">
      <c r="A1" s="31" t="s">
        <v>17</v>
      </c>
    </row>
    <row r="2" spans="1:3" x14ac:dyDescent="0.25">
      <c r="A2" s="33" t="s">
        <v>18</v>
      </c>
      <c r="B2" s="33" t="s">
        <v>19</v>
      </c>
      <c r="C2" s="33" t="s">
        <v>20</v>
      </c>
    </row>
    <row r="3" spans="1:3" ht="15.75" x14ac:dyDescent="0.25">
      <c r="A3" s="34" t="s">
        <v>21</v>
      </c>
      <c r="B3" s="34"/>
      <c r="C3" s="34"/>
    </row>
    <row r="4" spans="1:3" ht="26.25" x14ac:dyDescent="0.25">
      <c r="A4" s="35" t="s">
        <v>22</v>
      </c>
      <c r="B4" s="36" t="s">
        <v>23</v>
      </c>
      <c r="C4" s="37" t="s">
        <v>24</v>
      </c>
    </row>
    <row r="5" spans="1:3" ht="102.75" x14ac:dyDescent="0.25">
      <c r="A5" s="35" t="s">
        <v>25</v>
      </c>
      <c r="B5" s="35" t="s">
        <v>26</v>
      </c>
      <c r="C5" s="37" t="s">
        <v>27</v>
      </c>
    </row>
    <row r="6" spans="1:3" ht="51.75" x14ac:dyDescent="0.25">
      <c r="A6" s="35" t="s">
        <v>28</v>
      </c>
      <c r="B6" s="35" t="s">
        <v>29</v>
      </c>
      <c r="C6" s="37" t="s">
        <v>30</v>
      </c>
    </row>
    <row r="7" spans="1:3" ht="51.75" x14ac:dyDescent="0.25">
      <c r="A7" s="35" t="s">
        <v>31</v>
      </c>
      <c r="B7" s="35" t="s">
        <v>32</v>
      </c>
      <c r="C7" s="37" t="s">
        <v>33</v>
      </c>
    </row>
    <row r="8" spans="1:3" x14ac:dyDescent="0.25">
      <c r="A8" s="38" t="s">
        <v>34</v>
      </c>
      <c r="B8" s="38"/>
      <c r="C8" s="38"/>
    </row>
    <row r="9" spans="1:3" x14ac:dyDescent="0.25">
      <c r="A9" s="34" t="s">
        <v>35</v>
      </c>
      <c r="B9" s="34"/>
      <c r="C9" s="34"/>
    </row>
    <row r="10" spans="1:3" x14ac:dyDescent="0.25">
      <c r="A10" s="39" t="s">
        <v>36</v>
      </c>
      <c r="B10" s="40" t="s">
        <v>37</v>
      </c>
      <c r="C10" s="41"/>
    </row>
    <row r="11" spans="1:3" x14ac:dyDescent="0.25">
      <c r="A11" s="39" t="s">
        <v>38</v>
      </c>
      <c r="B11" s="40" t="s">
        <v>37</v>
      </c>
      <c r="C11" s="41"/>
    </row>
    <row r="12" spans="1:3" ht="26.25" x14ac:dyDescent="0.25">
      <c r="A12" s="40" t="s">
        <v>39</v>
      </c>
      <c r="B12" s="40" t="s">
        <v>40</v>
      </c>
      <c r="C12" s="39" t="s">
        <v>41</v>
      </c>
    </row>
    <row r="13" spans="1:3" ht="26.25" x14ac:dyDescent="0.25">
      <c r="A13" s="40" t="s">
        <v>42</v>
      </c>
      <c r="B13" s="40" t="s">
        <v>43</v>
      </c>
      <c r="C13" s="39" t="s">
        <v>41</v>
      </c>
    </row>
    <row r="14" spans="1:3" x14ac:dyDescent="0.25">
      <c r="A14" s="34" t="s">
        <v>44</v>
      </c>
      <c r="B14" s="34"/>
      <c r="C14" s="34"/>
    </row>
    <row r="15" spans="1:3" ht="15.75" x14ac:dyDescent="0.25">
      <c r="A15" s="40" t="s">
        <v>45</v>
      </c>
      <c r="B15" s="40" t="s">
        <v>37</v>
      </c>
      <c r="C15" s="39"/>
    </row>
    <row r="16" spans="1:3" ht="26.25" x14ac:dyDescent="0.25">
      <c r="A16" s="40" t="s">
        <v>46</v>
      </c>
      <c r="B16" s="40" t="s">
        <v>47</v>
      </c>
      <c r="C16" s="39" t="s">
        <v>48</v>
      </c>
    </row>
    <row r="17" spans="1:3" x14ac:dyDescent="0.25">
      <c r="A17" s="35"/>
      <c r="B17" s="35"/>
      <c r="C17" s="37"/>
    </row>
    <row r="18" spans="1:3" x14ac:dyDescent="0.25">
      <c r="A18" s="34" t="s">
        <v>49</v>
      </c>
      <c r="B18" s="34"/>
      <c r="C18" s="34"/>
    </row>
    <row r="19" spans="1:3" ht="69" x14ac:dyDescent="0.25">
      <c r="A19" s="40" t="s">
        <v>50</v>
      </c>
      <c r="B19" s="40" t="s">
        <v>51</v>
      </c>
      <c r="C19" s="37" t="s">
        <v>52</v>
      </c>
    </row>
    <row r="20" spans="1:3" x14ac:dyDescent="0.25">
      <c r="A20" s="40" t="s">
        <v>53</v>
      </c>
      <c r="B20" s="40" t="s">
        <v>54</v>
      </c>
      <c r="C20" s="42" t="s">
        <v>55</v>
      </c>
    </row>
    <row r="21" spans="1:3" ht="77.25" x14ac:dyDescent="0.25">
      <c r="A21" s="40" t="s">
        <v>56</v>
      </c>
      <c r="B21" s="40" t="s">
        <v>57</v>
      </c>
      <c r="C21" s="37" t="s">
        <v>58</v>
      </c>
    </row>
    <row r="22" spans="1:3" ht="39" x14ac:dyDescent="0.25">
      <c r="A22" s="35" t="s">
        <v>59</v>
      </c>
      <c r="B22" s="35" t="s">
        <v>60</v>
      </c>
      <c r="C22" s="37" t="s">
        <v>61</v>
      </c>
    </row>
    <row r="23" spans="1:3" ht="39" x14ac:dyDescent="0.25">
      <c r="A23" s="35" t="s">
        <v>62</v>
      </c>
      <c r="B23" s="35" t="s">
        <v>60</v>
      </c>
      <c r="C23" s="37" t="s">
        <v>63</v>
      </c>
    </row>
    <row r="24" spans="1:3" x14ac:dyDescent="0.25">
      <c r="A24" s="34" t="s">
        <v>64</v>
      </c>
      <c r="B24" s="34"/>
      <c r="C24" s="34"/>
    </row>
    <row r="25" spans="1:3" x14ac:dyDescent="0.25">
      <c r="A25" s="39" t="s">
        <v>65</v>
      </c>
      <c r="B25" s="40" t="s">
        <v>37</v>
      </c>
      <c r="C25" s="41"/>
    </row>
    <row r="26" spans="1:3" x14ac:dyDescent="0.25">
      <c r="A26" s="39" t="s">
        <v>38</v>
      </c>
      <c r="B26" s="40" t="s">
        <v>37</v>
      </c>
      <c r="C26" s="41"/>
    </row>
    <row r="27" spans="1:3" ht="26.25" x14ac:dyDescent="0.25">
      <c r="A27" s="40" t="s">
        <v>39</v>
      </c>
      <c r="B27" s="40" t="s">
        <v>66</v>
      </c>
      <c r="C27" s="39" t="s">
        <v>41</v>
      </c>
    </row>
    <row r="28" spans="1:3" ht="26.25" x14ac:dyDescent="0.25">
      <c r="A28" s="40" t="s">
        <v>42</v>
      </c>
      <c r="B28" s="40" t="s">
        <v>67</v>
      </c>
      <c r="C28" s="39" t="s">
        <v>41</v>
      </c>
    </row>
    <row r="29" spans="1:3" x14ac:dyDescent="0.25">
      <c r="A29" s="34" t="s">
        <v>44</v>
      </c>
      <c r="B29" s="34"/>
      <c r="C29" s="34"/>
    </row>
    <row r="30" spans="1:3" ht="15.75" x14ac:dyDescent="0.25">
      <c r="A30" s="40" t="s">
        <v>68</v>
      </c>
      <c r="B30" s="40" t="s">
        <v>37</v>
      </c>
      <c r="C30" s="39"/>
    </row>
    <row r="31" spans="1:3" ht="26.25" x14ac:dyDescent="0.25">
      <c r="A31" s="40" t="s">
        <v>46</v>
      </c>
      <c r="B31" s="40" t="s">
        <v>69</v>
      </c>
      <c r="C31" s="39" t="s">
        <v>48</v>
      </c>
    </row>
  </sheetData>
  <sheetProtection sheet="1" objects="1" scenarios="1" formatCells="0" formatColumns="0" formatRows="0" sort="0" autoFilter="0"/>
  <autoFilter ref="A2:C2" xr:uid="{76D9ED66-3813-40A4-86A2-7FA0757E6A9F}"/>
  <mergeCells count="7">
    <mergeCell ref="A29:C29"/>
    <mergeCell ref="A3:C3"/>
    <mergeCell ref="A18:C18"/>
    <mergeCell ref="A8:C8"/>
    <mergeCell ref="A9:C9"/>
    <mergeCell ref="A24:C24"/>
    <mergeCell ref="A14:C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92D050"/>
  </sheetPr>
  <dimension ref="A1:T95"/>
  <sheetViews>
    <sheetView workbookViewId="0"/>
  </sheetViews>
  <sheetFormatPr defaultColWidth="8.85546875" defaultRowHeight="15" x14ac:dyDescent="0.25"/>
  <cols>
    <col min="1" max="1" width="2.28515625" style="43" customWidth="1"/>
    <col min="2" max="2" width="5.5703125" style="44" bestFit="1" customWidth="1"/>
    <col min="3" max="3" width="31.85546875" style="43" customWidth="1"/>
    <col min="4" max="4" width="16" style="44" bestFit="1" customWidth="1"/>
    <col min="5" max="5" width="19.7109375" style="43" customWidth="1"/>
    <col min="6" max="6" width="19.28515625" style="43" customWidth="1"/>
    <col min="7" max="7" width="21" style="43" customWidth="1"/>
    <col min="8" max="8" width="22.28515625" style="43" customWidth="1"/>
    <col min="9" max="9" width="23" style="43" customWidth="1"/>
    <col min="10" max="11" width="19.85546875" style="43" hidden="1" customWidth="1"/>
    <col min="12" max="12" width="4.42578125" style="43" customWidth="1"/>
    <col min="13" max="13" width="7.28515625" style="43" customWidth="1"/>
    <col min="14" max="14" width="37.5703125" style="43" customWidth="1"/>
    <col min="15" max="15" width="18" style="43" customWidth="1"/>
    <col min="16" max="16" width="18" style="43" bestFit="1" customWidth="1"/>
    <col min="17" max="17" width="22.28515625" style="43" customWidth="1"/>
    <col min="18" max="18" width="25.28515625" style="43" customWidth="1"/>
    <col min="19" max="19" width="22" style="43" customWidth="1"/>
    <col min="20" max="20" width="22.42578125" style="43" customWidth="1"/>
    <col min="21" max="16384" width="8.85546875" style="43"/>
  </cols>
  <sheetData>
    <row r="1" spans="1:20" ht="15.75" thickBot="1" x14ac:dyDescent="0.3"/>
    <row r="2" spans="1:20" s="45" customFormat="1" ht="21" customHeight="1" thickBot="1" x14ac:dyDescent="0.3">
      <c r="B2" s="46"/>
      <c r="C2" s="47" t="s">
        <v>70</v>
      </c>
      <c r="D2" s="48"/>
      <c r="E2" s="49"/>
      <c r="N2" s="50" t="s">
        <v>71</v>
      </c>
      <c r="O2" s="51"/>
    </row>
    <row r="3" spans="1:20" s="45" customFormat="1" ht="56.25" customHeight="1" x14ac:dyDescent="0.25">
      <c r="B3" s="46"/>
      <c r="C3" s="52" t="s">
        <v>72</v>
      </c>
      <c r="D3" s="53"/>
      <c r="E3" s="54"/>
      <c r="N3" s="55" t="s">
        <v>73</v>
      </c>
      <c r="O3" s="56"/>
    </row>
    <row r="4" spans="1:20" s="45" customFormat="1" ht="38.450000000000003" customHeight="1" thickBot="1" x14ac:dyDescent="0.3">
      <c r="B4" s="46"/>
      <c r="C4" s="57" t="s">
        <v>407</v>
      </c>
      <c r="D4" s="58"/>
      <c r="E4" s="59"/>
      <c r="N4" s="60" t="str">
        <f>VLOOKUP(C4, 'List Values'!B2:C26, 2, FALSE)</f>
        <v>Manufacture (OES #1)</v>
      </c>
      <c r="O4" s="61"/>
    </row>
    <row r="5" spans="1:20" s="45" customFormat="1" ht="21" x14ac:dyDescent="0.25">
      <c r="A5" s="62"/>
      <c r="B5" s="46"/>
      <c r="E5" s="63"/>
      <c r="F5" s="64"/>
      <c r="G5" s="64"/>
      <c r="H5" s="65"/>
      <c r="I5" s="65"/>
      <c r="J5" s="65"/>
      <c r="K5" s="65"/>
      <c r="L5" s="65"/>
      <c r="Q5" s="66"/>
      <c r="R5" s="67"/>
      <c r="S5" s="68"/>
    </row>
    <row r="6" spans="1:20" s="45" customFormat="1" ht="21" x14ac:dyDescent="0.25">
      <c r="B6" s="46"/>
      <c r="C6" s="68" t="s">
        <v>74</v>
      </c>
      <c r="D6" s="46"/>
      <c r="E6" s="63"/>
      <c r="F6" s="63"/>
      <c r="G6" s="63"/>
      <c r="H6" s="63"/>
      <c r="I6" s="63"/>
      <c r="J6" s="63"/>
      <c r="K6" s="63"/>
      <c r="L6" s="63"/>
      <c r="N6" s="68" t="s">
        <v>71</v>
      </c>
      <c r="O6" s="43"/>
      <c r="P6" s="43"/>
      <c r="Q6" s="66"/>
      <c r="R6" s="67"/>
      <c r="S6" s="43"/>
    </row>
    <row r="7" spans="1:20" ht="21.75" thickBot="1" x14ac:dyDescent="0.3">
      <c r="C7" s="69" t="s">
        <v>75</v>
      </c>
      <c r="F7" s="70"/>
      <c r="G7" s="70"/>
      <c r="H7" s="70"/>
      <c r="I7" s="71"/>
      <c r="J7" s="71"/>
      <c r="K7" s="71"/>
      <c r="L7" s="71"/>
      <c r="N7" s="69" t="s">
        <v>75</v>
      </c>
      <c r="Q7" s="66"/>
      <c r="R7" s="67"/>
    </row>
    <row r="8" spans="1:20" ht="25.5" x14ac:dyDescent="0.25">
      <c r="C8" s="72" t="s">
        <v>76</v>
      </c>
      <c r="D8" s="73" t="s">
        <v>77</v>
      </c>
      <c r="E8" s="74" t="s">
        <v>78</v>
      </c>
      <c r="F8" s="74" t="s">
        <v>79</v>
      </c>
      <c r="G8" s="74" t="s">
        <v>80</v>
      </c>
      <c r="H8" s="74" t="s">
        <v>81</v>
      </c>
      <c r="I8" s="75" t="s">
        <v>82</v>
      </c>
      <c r="J8" s="76"/>
      <c r="K8" s="76"/>
      <c r="L8" s="76"/>
      <c r="M8" s="76"/>
      <c r="N8" s="72" t="s">
        <v>76</v>
      </c>
      <c r="O8" s="77" t="s">
        <v>77</v>
      </c>
      <c r="P8" s="74" t="s">
        <v>83</v>
      </c>
      <c r="Q8" s="74" t="s">
        <v>84</v>
      </c>
      <c r="R8" s="74" t="s">
        <v>85</v>
      </c>
      <c r="S8" s="74" t="s">
        <v>86</v>
      </c>
      <c r="T8" s="75" t="s">
        <v>87</v>
      </c>
    </row>
    <row r="9" spans="1:20" ht="36.75" customHeight="1" thickBot="1" x14ac:dyDescent="0.3">
      <c r="C9" s="78"/>
      <c r="D9" s="79"/>
      <c r="E9" s="80" t="s">
        <v>88</v>
      </c>
      <c r="F9" s="80" t="s">
        <v>89</v>
      </c>
      <c r="G9" s="80" t="s">
        <v>90</v>
      </c>
      <c r="H9" s="80" t="s">
        <v>90</v>
      </c>
      <c r="I9" s="81" t="s">
        <v>91</v>
      </c>
      <c r="J9" s="76"/>
      <c r="K9" s="76"/>
      <c r="L9" s="76"/>
      <c r="M9" s="76"/>
      <c r="N9" s="82"/>
      <c r="O9" s="83"/>
      <c r="P9" s="84" t="s">
        <v>92</v>
      </c>
      <c r="Q9" s="84" t="s">
        <v>93</v>
      </c>
      <c r="R9" s="84" t="s">
        <v>94</v>
      </c>
      <c r="S9" s="84" t="s">
        <v>95</v>
      </c>
      <c r="T9" s="85" t="s">
        <v>96</v>
      </c>
    </row>
    <row r="10" spans="1:20" x14ac:dyDescent="0.25">
      <c r="C10" s="86" t="s">
        <v>97</v>
      </c>
      <c r="D10" s="87" t="s">
        <v>98</v>
      </c>
      <c r="E10" s="88">
        <f>SUMIFS('Inhalation Exposure'!$H:$H,'Inhalation Exposure'!$C:$C,$C$4,'Inhalation Exposure'!$D:$D,$C10)</f>
        <v>4.9656250000000004E-3</v>
      </c>
      <c r="F10" s="88">
        <f>SUMIFS('Inhalation Exposure'!$J:$J,'Inhalation Exposure'!$C:$C,$C$4,'Inhalation Exposure'!$D:$D,$C10)</f>
        <v>3.3779761904761908E-3</v>
      </c>
      <c r="G10" s="88">
        <f>SUMIFS('Inhalation Exposure'!$L:$L,'Inhalation Exposure'!$C:$C,$C$4,'Inhalation Exposure'!$D:$D,$C10)</f>
        <v>2.4771825396825401E-3</v>
      </c>
      <c r="H10" s="88">
        <f>SUMIFS('Inhalation Exposure'!$N:$N,'Inhalation Exposure'!$C:$C,$C$4,'Inhalation Exposure'!$D:$D,$C10)</f>
        <v>2.3136823222439664E-3</v>
      </c>
      <c r="I10" s="89">
        <f>SUMIFS('Inhalation Exposure'!$P:$P,'Inhalation Exposure'!$C:$C,$C$4,'Inhalation Exposure'!$D:$D,$C10)</f>
        <v>9.1954041012260205E-4</v>
      </c>
      <c r="J10" s="90"/>
      <c r="K10" s="90"/>
      <c r="L10" s="90"/>
      <c r="M10" s="90"/>
      <c r="N10" s="91" t="s">
        <v>99</v>
      </c>
      <c r="O10" s="92" t="s">
        <v>98</v>
      </c>
      <c r="P10" s="93">
        <f ca="1">SUMIF('Dermal Exposure'!$B$6:$B$15, $N$4, 'Dermal Exposure'!H$6:H$11)</f>
        <v>11.328176041097972</v>
      </c>
      <c r="Q10" s="93">
        <f ca="1">SUMIF('Dermal Exposure'!$B$6:$B$15, $N$4, 'Dermal Exposure'!I$6:I$11)</f>
        <v>0.14160220051372466</v>
      </c>
      <c r="R10" s="93">
        <f ca="1">SUMIF('Dermal Exposure'!$B$6:$B$15, $N$4, 'Dermal Exposure'!J$6:J$11)</f>
        <v>0.10384161371006476</v>
      </c>
      <c r="S10" s="93">
        <f ca="1">SUMIF('Dermal Exposure'!$B$6:$B$15, $N$4, 'Dermal Exposure'!K$6:K$11)</f>
        <v>9.6987808571044276E-2</v>
      </c>
      <c r="T10" s="94">
        <f ca="1">SUMIF('Dermal Exposure'!$B$6:$B$15, $N$4, 'Dermal Exposure'!L$6:L$11)</f>
        <v>3.5595848339469563E-2</v>
      </c>
    </row>
    <row r="11" spans="1:20" ht="15.75" thickBot="1" x14ac:dyDescent="0.3">
      <c r="C11" s="95" t="s">
        <v>100</v>
      </c>
      <c r="D11" s="96"/>
      <c r="E11" s="88">
        <f>SUMIFS('Inhalation Exposure'!$H:$H,'Inhalation Exposure'!$C:$C,$C$4,'Inhalation Exposure'!$D:$D,$C11)</f>
        <v>4.9211458333333334E-4</v>
      </c>
      <c r="F11" s="88">
        <f>SUMIFS('Inhalation Exposure'!$J:$J,'Inhalation Exposure'!$C:$C,$C$4,'Inhalation Exposure'!$D:$D,$C11)</f>
        <v>3.3477182539682536E-4</v>
      </c>
      <c r="G11" s="88">
        <f>SUMIFS('Inhalation Exposure'!$L:$L,'Inhalation Exposure'!$C:$C,$C$4,'Inhalation Exposure'!$D:$D,$C11)</f>
        <v>2.4549933862433863E-4</v>
      </c>
      <c r="H11" s="88">
        <f>SUMIFS('Inhalation Exposure'!$N:$N,'Inhalation Exposure'!$C:$C,$C$4,'Inhalation Exposure'!$D:$D,$C11)</f>
        <v>2.2929577081974345E-4</v>
      </c>
      <c r="I11" s="89">
        <f>SUMIFS('Inhalation Exposure'!$P:$P,'Inhalation Exposure'!$C:$C,$C$4,'Inhalation Exposure'!$D:$D,$C11)</f>
        <v>9.1130370454000595E-5</v>
      </c>
      <c r="J11" s="90"/>
      <c r="K11" s="90"/>
      <c r="L11" s="90"/>
      <c r="M11" s="90"/>
      <c r="N11" s="97"/>
      <c r="O11" s="98" t="s">
        <v>101</v>
      </c>
      <c r="P11" s="99">
        <f ca="1">SUMIF('Dermal Exposure'!$B$6:$B$15, $N$4, 'Dermal Exposure'!C$6:C$11)</f>
        <v>28.177423570461148</v>
      </c>
      <c r="Q11" s="99">
        <f ca="1">SUMIF('Dermal Exposure'!$B$6:$B$15, $N$4, 'Dermal Exposure'!D$6:D$11)</f>
        <v>0.35221779463076436</v>
      </c>
      <c r="R11" s="99">
        <f ca="1">SUMIF('Dermal Exposure'!$B$6:$B$15, $N$4, 'Dermal Exposure'!E$6:E$11)</f>
        <v>0.25829304939589387</v>
      </c>
      <c r="S11" s="99">
        <f ca="1">SUMIF('Dermal Exposure'!$B$6:$B$15, $N$4, 'Dermal Exposure'!F$6:F$11)</f>
        <v>0.24124506481559202</v>
      </c>
      <c r="T11" s="100">
        <f ca="1">SUMIF('Dermal Exposure'!$B$6:$B$15, $N$4, 'Dermal Exposure'!G$6:G$11)</f>
        <v>9.980347228755046E-2</v>
      </c>
    </row>
    <row r="12" spans="1:20" ht="15" customHeight="1" x14ac:dyDescent="0.25">
      <c r="C12" s="95" t="s">
        <v>97</v>
      </c>
      <c r="D12" s="96" t="s">
        <v>101</v>
      </c>
      <c r="E12" s="88">
        <f>SUMIFS('Inhalation Exposure'!$I:$I,'Inhalation Exposure'!$C:$C,$C$4,'Inhalation Exposure'!$D:$D,$C12)</f>
        <v>2.6409062499999997E-2</v>
      </c>
      <c r="F12" s="88">
        <f>SUMIFS('Inhalation Exposure'!$K:$K,'Inhalation Exposure'!$C:$C,$C$4,'Inhalation Exposure'!$D:$D,$C12)</f>
        <v>1.7965348639455783E-2</v>
      </c>
      <c r="G12" s="88">
        <f>SUMIFS('Inhalation Exposure'!$M:$M,'Inhalation Exposure'!$C:$C,$C$4,'Inhalation Exposure'!$D:$D,$C12)</f>
        <v>1.3174589002267574E-2</v>
      </c>
      <c r="H12" s="88">
        <f>SUMIFS('Inhalation Exposure'!$O:$O,'Inhalation Exposure'!$C:$C,$C$4,'Inhalation Exposure'!$D:$D,$C12)</f>
        <v>1.2305033314695742E-2</v>
      </c>
      <c r="I12" s="89">
        <f>SUMIFS('Inhalation Exposure'!$Q:$Q,'Inhalation Exposure'!$C:$C,$C$4,'Inhalation Exposure'!$D:$D,$C12)</f>
        <v>6.3102734947157648E-3</v>
      </c>
      <c r="J12" s="90"/>
      <c r="K12" s="90"/>
      <c r="L12" s="90"/>
      <c r="M12" s="90"/>
      <c r="N12" s="101"/>
      <c r="O12" s="102"/>
      <c r="P12" s="63"/>
      <c r="Q12" s="45"/>
      <c r="R12" s="102"/>
      <c r="S12" s="45"/>
      <c r="T12" s="45"/>
    </row>
    <row r="13" spans="1:20" ht="15.75" thickBot="1" x14ac:dyDescent="0.3">
      <c r="C13" s="103" t="s">
        <v>100</v>
      </c>
      <c r="D13" s="104"/>
      <c r="E13" s="105">
        <f>SUMIFS('Inhalation Exposure'!$I:$I,'Inhalation Exposure'!$C:$C,$C$4,'Inhalation Exposure'!$D:$D,$C13)</f>
        <v>1.7867187499999995E-3</v>
      </c>
      <c r="F13" s="105">
        <f>SUMIFS('Inhalation Exposure'!$K:$K,'Inhalation Exposure'!$C:$C,$C$4,'Inhalation Exposure'!$D:$D,$C13)</f>
        <v>1.2154549319727888E-3</v>
      </c>
      <c r="G13" s="105">
        <f>SUMIFS('Inhalation Exposure'!$M:$M,'Inhalation Exposure'!$C:$C,$C$4,'Inhalation Exposure'!$D:$D,$C13)</f>
        <v>8.9133361678004513E-4</v>
      </c>
      <c r="H13" s="105">
        <f>SUMIFS('Inhalation Exposure'!$O:$O,'Inhalation Exposure'!$C:$C,$C$4,'Inhalation Exposure'!$D:$D,$C13)</f>
        <v>8.3250337806355394E-4</v>
      </c>
      <c r="I13" s="106">
        <f>SUMIFS('Inhalation Exposure'!$Q:$Q,'Inhalation Exposure'!$C:$C,$C$4,'Inhalation Exposure'!$D:$D,$C13)</f>
        <v>4.2692480926336099E-4</v>
      </c>
      <c r="J13" s="90"/>
      <c r="K13" s="90"/>
      <c r="L13" s="90"/>
      <c r="M13" s="90"/>
      <c r="N13" s="101"/>
      <c r="O13" s="102"/>
      <c r="P13" s="63"/>
      <c r="Q13" s="45"/>
      <c r="R13" s="102"/>
      <c r="S13" s="45"/>
      <c r="T13" s="45"/>
    </row>
    <row r="14" spans="1:20" s="45" customFormat="1" x14ac:dyDescent="0.25">
      <c r="B14" s="46"/>
      <c r="C14" s="101"/>
      <c r="D14" s="102"/>
      <c r="E14" s="63"/>
      <c r="F14" s="102"/>
      <c r="G14" s="102"/>
      <c r="H14" s="102"/>
      <c r="I14" s="102"/>
      <c r="J14" s="102"/>
      <c r="K14" s="102"/>
      <c r="L14" s="102"/>
      <c r="N14" s="101"/>
      <c r="O14" s="102"/>
      <c r="P14" s="63"/>
      <c r="R14" s="102"/>
    </row>
    <row r="15" spans="1:20" s="45" customFormat="1" ht="36" customHeight="1" thickBot="1" x14ac:dyDescent="0.3">
      <c r="B15" s="46"/>
      <c r="C15" s="107" t="s">
        <v>102</v>
      </c>
      <c r="D15" s="102"/>
      <c r="E15" s="63"/>
      <c r="G15" s="102"/>
      <c r="N15" s="108" t="s">
        <v>103</v>
      </c>
      <c r="O15" s="108"/>
      <c r="P15" s="108"/>
      <c r="Q15" s="109"/>
      <c r="R15" s="107"/>
    </row>
    <row r="16" spans="1:20" s="45" customFormat="1" ht="27" customHeight="1" x14ac:dyDescent="0.25">
      <c r="B16" s="46"/>
      <c r="C16" s="110" t="s">
        <v>104</v>
      </c>
      <c r="D16" s="73" t="s">
        <v>105</v>
      </c>
      <c r="E16" s="111" t="s">
        <v>77</v>
      </c>
      <c r="F16" s="112" t="s">
        <v>106</v>
      </c>
      <c r="G16" s="110" t="s">
        <v>107</v>
      </c>
      <c r="H16" s="113"/>
      <c r="I16" s="76"/>
      <c r="J16" s="114" t="str">
        <f>_xlfn.CONCAT("Respirator Scenario: APF of ",$G$4)</f>
        <v xml:space="preserve">Respirator Scenario: APF of </v>
      </c>
      <c r="K16" s="115"/>
      <c r="L16" s="76"/>
      <c r="N16" s="110" t="s">
        <v>104</v>
      </c>
      <c r="O16" s="73" t="s">
        <v>108</v>
      </c>
      <c r="P16" s="111" t="s">
        <v>77</v>
      </c>
      <c r="Q16" s="113" t="s">
        <v>106</v>
      </c>
      <c r="R16" s="116" t="s">
        <v>109</v>
      </c>
      <c r="S16" s="117"/>
    </row>
    <row r="17" spans="1:19" s="45" customFormat="1" ht="51.75" customHeight="1" thickBot="1" x14ac:dyDescent="0.3">
      <c r="B17" s="46"/>
      <c r="C17" s="118"/>
      <c r="D17" s="79"/>
      <c r="E17" s="119"/>
      <c r="F17" s="120"/>
      <c r="G17" s="121" t="s">
        <v>110</v>
      </c>
      <c r="H17" s="81" t="s">
        <v>111</v>
      </c>
      <c r="I17" s="76"/>
      <c r="J17" s="122" t="s">
        <v>110</v>
      </c>
      <c r="K17" s="123" t="s">
        <v>111</v>
      </c>
      <c r="L17" s="76"/>
      <c r="M17" s="63"/>
      <c r="N17" s="118"/>
      <c r="O17" s="79"/>
      <c r="P17" s="119"/>
      <c r="Q17" s="124"/>
      <c r="R17" s="125" t="s">
        <v>112</v>
      </c>
    </row>
    <row r="18" spans="1:19" s="45" customFormat="1" ht="34.5" customHeight="1" x14ac:dyDescent="0.25">
      <c r="B18" s="126" t="s">
        <v>113</v>
      </c>
      <c r="C18" s="127" t="str">
        <f>INDEX('Health Data'!$D:$D, MATCH($B18, 'Health Data'!$F:$F, 0)) &amp; "; "  &amp; INDEX('Health Data'!$E:$E, MATCH($B18, 'Health Data'!$F:$F, 0))</f>
        <v>CNS depression in rats; Kirk,1995, 688858</v>
      </c>
      <c r="D18" s="128">
        <f>INDEX('Health Data'!$G:$G,MATCH(B18,'Health Data'!$F:$F,0))</f>
        <v>8.4</v>
      </c>
      <c r="E18" s="129" t="s">
        <v>98</v>
      </c>
      <c r="F18" s="130">
        <f>INDEX('Health Data'!$H:$H,MATCH(B18,'Health Data'!$F:$F,0))</f>
        <v>30</v>
      </c>
      <c r="G18" s="131">
        <f>IFERROR(D18/$F$10, "")</f>
        <v>2486.6960352422907</v>
      </c>
      <c r="H18" s="132">
        <f>IFERROR(D18/$F$11, "")</f>
        <v>25091.71729145059</v>
      </c>
      <c r="I18" s="133"/>
      <c r="J18" s="134">
        <f>IFERROR(G18*$G$4,"")</f>
        <v>0</v>
      </c>
      <c r="K18" s="135">
        <f>IFERROR(H18*$G$4,"")</f>
        <v>0</v>
      </c>
      <c r="L18" s="133"/>
      <c r="M18" s="63" t="s">
        <v>114</v>
      </c>
      <c r="N18" s="127" t="str">
        <f>INDEX('Health Data'!$D:$D, MATCH($M18, 'Health Data'!$F:$F, 0)) &amp; "; "  &amp; INDEX('Health Data'!$E:$E, MATCH($M18, 'Health Data'!$F:$F, 0))</f>
        <v>CNS depression in rats; Kirk et al 1995, 688858</v>
      </c>
      <c r="O18" s="136">
        <f>INDEX('Health Data'!$G:$G,MATCH(M18,'Health Data'!$F:$F,0))</f>
        <v>7.2</v>
      </c>
      <c r="P18" s="129" t="s">
        <v>98</v>
      </c>
      <c r="Q18" s="137">
        <f>INDEX('Health Data'!$H:$H,MATCH(M18,'Health Data'!$F:$F,0))</f>
        <v>30</v>
      </c>
      <c r="R18" s="138">
        <f ca="1">IFERROR(O18/$Q$10, "")</f>
        <v>50.84666745205098</v>
      </c>
    </row>
    <row r="19" spans="1:19" s="45" customFormat="1" ht="34.5" customHeight="1" thickBot="1" x14ac:dyDescent="0.3">
      <c r="B19" s="126"/>
      <c r="C19" s="139"/>
      <c r="D19" s="140"/>
      <c r="E19" s="98" t="s">
        <v>101</v>
      </c>
      <c r="F19" s="141">
        <f>INDEX('Health Data'!$H:$H,MATCH(B18,'Health Data'!$F:$F,0))</f>
        <v>30</v>
      </c>
      <c r="G19" s="142">
        <f>IFERROR(D18/$F$12, "")</f>
        <v>467.56676803654051</v>
      </c>
      <c r="H19" s="143">
        <f>IFERROR(D18/$F$13, "")</f>
        <v>6910.9925666812442</v>
      </c>
      <c r="I19" s="133"/>
      <c r="J19" s="144">
        <f>IFERROR(G19*$G$4,"")</f>
        <v>0</v>
      </c>
      <c r="K19" s="145">
        <f>IFERROR(H19*$G$4,"")</f>
        <v>0</v>
      </c>
      <c r="L19" s="133"/>
      <c r="M19" s="63"/>
      <c r="N19" s="139"/>
      <c r="O19" s="140"/>
      <c r="P19" s="98" t="s">
        <v>101</v>
      </c>
      <c r="Q19" s="146">
        <f>INDEX('Health Data'!$H:$H,MATCH(M18,'Health Data'!$F:$F,0))</f>
        <v>30</v>
      </c>
      <c r="R19" s="147">
        <f ca="1">IFERROR(O18/$Q$11,"")</f>
        <v>20.441897342375555</v>
      </c>
    </row>
    <row r="20" spans="1:19" s="45" customFormat="1" x14ac:dyDescent="0.25">
      <c r="B20" s="102"/>
      <c r="C20" s="148"/>
      <c r="D20" s="43"/>
      <c r="E20" s="149"/>
      <c r="F20" s="150"/>
      <c r="G20" s="133"/>
      <c r="H20" s="133"/>
      <c r="I20" s="133"/>
      <c r="M20" s="151"/>
      <c r="N20" s="148"/>
      <c r="O20" s="43"/>
      <c r="P20" s="43"/>
      <c r="Q20" s="150"/>
      <c r="R20" s="43"/>
      <c r="S20" s="133"/>
    </row>
    <row r="21" spans="1:19" s="45" customFormat="1" ht="39.75" customHeight="1" thickBot="1" x14ac:dyDescent="0.3">
      <c r="B21" s="102"/>
      <c r="C21" s="108" t="s">
        <v>115</v>
      </c>
      <c r="D21" s="108"/>
      <c r="E21" s="152"/>
      <c r="F21" s="109"/>
      <c r="G21" s="109"/>
      <c r="H21" s="109"/>
      <c r="I21" s="133"/>
      <c r="J21" s="109"/>
      <c r="K21" s="109"/>
      <c r="L21" s="153"/>
      <c r="N21" s="108" t="s">
        <v>116</v>
      </c>
      <c r="O21" s="108"/>
      <c r="P21" s="108"/>
      <c r="Q21" s="109"/>
      <c r="R21" s="107"/>
    </row>
    <row r="22" spans="1:19" s="45" customFormat="1" ht="28.5" customHeight="1" x14ac:dyDescent="0.25">
      <c r="B22" s="102"/>
      <c r="C22" s="110" t="s">
        <v>104</v>
      </c>
      <c r="D22" s="73" t="s">
        <v>105</v>
      </c>
      <c r="E22" s="111" t="s">
        <v>77</v>
      </c>
      <c r="F22" s="112" t="s">
        <v>106</v>
      </c>
      <c r="G22" s="110" t="s">
        <v>117</v>
      </c>
      <c r="H22" s="113"/>
      <c r="I22" s="76"/>
      <c r="J22" s="114" t="str">
        <f>_xlfn.CONCAT("Respirator Scenario: APF of ",$G$4)</f>
        <v xml:space="preserve">Respirator Scenario: APF of </v>
      </c>
      <c r="K22" s="154"/>
      <c r="L22" s="76"/>
      <c r="N22" s="110" t="s">
        <v>104</v>
      </c>
      <c r="O22" s="73" t="s">
        <v>108</v>
      </c>
      <c r="P22" s="111" t="s">
        <v>77</v>
      </c>
      <c r="Q22" s="113" t="s">
        <v>106</v>
      </c>
      <c r="R22" s="116" t="s">
        <v>117</v>
      </c>
    </row>
    <row r="23" spans="1:19" s="45" customFormat="1" ht="15.75" thickBot="1" x14ac:dyDescent="0.3">
      <c r="B23" s="102"/>
      <c r="C23" s="155"/>
      <c r="D23" s="79"/>
      <c r="E23" s="119"/>
      <c r="F23" s="120"/>
      <c r="G23" s="121" t="s">
        <v>110</v>
      </c>
      <c r="H23" s="81" t="s">
        <v>111</v>
      </c>
      <c r="I23" s="76"/>
      <c r="J23" s="122" t="s">
        <v>110</v>
      </c>
      <c r="K23" s="123" t="s">
        <v>111</v>
      </c>
      <c r="L23" s="76"/>
      <c r="M23" s="63"/>
      <c r="N23" s="118"/>
      <c r="O23" s="79"/>
      <c r="P23" s="119"/>
      <c r="Q23" s="124"/>
      <c r="R23" s="125" t="s">
        <v>112</v>
      </c>
    </row>
    <row r="24" spans="1:19" s="45" customFormat="1" ht="36" customHeight="1" x14ac:dyDescent="0.25">
      <c r="B24" s="126" t="s">
        <v>118</v>
      </c>
      <c r="C24" s="127" t="str">
        <f>INDEX('Health Data'!$D:$D, MATCH($B24, 'Health Data'!$F:$F, 0)) &amp; "; "  &amp; INDEX('Health Data'!$E:$E, MATCH($B24, 'Health Data'!$F:$F, 0))</f>
        <v>Nasial lesions in rats; Dow Chemical 1988, 3065001/688893</v>
      </c>
      <c r="D24" s="156">
        <f>INDEX('Health Data'!$G:$G,MATCH(B24,'Health Data'!$F:$F,0))</f>
        <v>5.3999999999999999E-2</v>
      </c>
      <c r="E24" s="129" t="s">
        <v>98</v>
      </c>
      <c r="F24" s="157">
        <f>INDEX('Health Data'!$H:$H,MATCH(B24,'Health Data'!$F:$F,0))</f>
        <v>30</v>
      </c>
      <c r="G24" s="158">
        <f>IFERROR(D24/$G$10, "")</f>
        <v>21.798958750500596</v>
      </c>
      <c r="H24" s="159">
        <f>IFERROR(D24/$G$11, "")</f>
        <v>219.95985937310579</v>
      </c>
      <c r="I24" s="160" t="str">
        <f>IFERROR(E24/$G$11, "")</f>
        <v/>
      </c>
      <c r="J24" s="161">
        <f>IFERROR(G24*$G$4,"")</f>
        <v>0</v>
      </c>
      <c r="K24" s="162">
        <f>IFERROR(H24*$G$4,"")</f>
        <v>0</v>
      </c>
      <c r="L24" s="133"/>
      <c r="M24" s="63" t="s">
        <v>119</v>
      </c>
      <c r="N24" s="127" t="str">
        <f>INDEX('Health Data'!$D:$D, MATCH($M24, 'Health Data'!$F:$F, 0)) &amp; "; "  &amp; INDEX('Health Data'!$E:$E, MATCH($M24, 'Health Data'!$F:$F, 0))</f>
        <v>CNS depression in rats; Kirk et al 1995, 688858</v>
      </c>
      <c r="O24" s="163">
        <f>INDEX('Health Data'!$G:$G,MATCH(M24,'Health Data'!$F:$F,0))</f>
        <v>11.4</v>
      </c>
      <c r="P24" s="129" t="s">
        <v>98</v>
      </c>
      <c r="Q24" s="137">
        <f>INDEX('Health Data'!$H:$H,MATCH(M24,'Health Data'!$F:$F,0))</f>
        <v>30</v>
      </c>
      <c r="R24" s="138">
        <f ca="1">IFERROR(O24/$R$10, "")</f>
        <v>109.78257745329188</v>
      </c>
    </row>
    <row r="25" spans="1:19" s="171" customFormat="1" ht="36" customHeight="1" thickBot="1" x14ac:dyDescent="0.3">
      <c r="A25" s="45"/>
      <c r="B25" s="126"/>
      <c r="C25" s="139"/>
      <c r="D25" s="164"/>
      <c r="E25" s="98" t="s">
        <v>101</v>
      </c>
      <c r="F25" s="165">
        <f>INDEX('Health Data'!$H:$H,MATCH(B24,'Health Data'!$F:$F,0))</f>
        <v>30</v>
      </c>
      <c r="G25" s="166">
        <f>IFERROR(D24/$G$12, "")</f>
        <v>4.0987995899307119</v>
      </c>
      <c r="H25" s="167">
        <f>IFERROR(D24/$G$13, "")</f>
        <v>60.583376396231678</v>
      </c>
      <c r="I25" s="160" t="str">
        <f>IFERROR(E24/$G$13, "")</f>
        <v/>
      </c>
      <c r="J25" s="168">
        <f>IFERROR(G25*$G$4,"")</f>
        <v>0</v>
      </c>
      <c r="K25" s="169">
        <f>IFERROR(H25*$G$4,"")</f>
        <v>0</v>
      </c>
      <c r="L25" s="133"/>
      <c r="M25" s="63"/>
      <c r="N25" s="139"/>
      <c r="O25" s="170"/>
      <c r="P25" s="98" t="s">
        <v>101</v>
      </c>
      <c r="Q25" s="146">
        <f>INDEX('Health Data'!$H:$H,MATCH(M24,'Health Data'!$F:$F,0))</f>
        <v>30</v>
      </c>
      <c r="R25" s="147">
        <f ca="1">IFERROR(O24/$R$11,"")</f>
        <v>44.135914716492671</v>
      </c>
    </row>
    <row r="26" spans="1:19" s="45" customFormat="1" x14ac:dyDescent="0.25">
      <c r="B26" s="102"/>
      <c r="C26" s="148"/>
      <c r="D26" s="43"/>
      <c r="E26" s="149"/>
      <c r="F26" s="150"/>
      <c r="G26" s="133"/>
      <c r="H26" s="133"/>
      <c r="I26" s="133"/>
      <c r="M26" s="151"/>
      <c r="N26" s="148"/>
      <c r="O26" s="43"/>
      <c r="P26" s="43"/>
      <c r="Q26" s="150"/>
      <c r="R26" s="43"/>
      <c r="S26" s="133"/>
    </row>
    <row r="27" spans="1:19" s="45" customFormat="1" ht="39.75" customHeight="1" thickBot="1" x14ac:dyDescent="0.3">
      <c r="B27" s="102"/>
      <c r="C27" s="108" t="s">
        <v>120</v>
      </c>
      <c r="D27" s="108"/>
      <c r="E27" s="152"/>
      <c r="F27" s="109"/>
      <c r="G27" s="109"/>
      <c r="H27" s="109"/>
      <c r="I27" s="153"/>
      <c r="J27" s="109"/>
      <c r="K27" s="109"/>
      <c r="L27" s="153"/>
      <c r="N27" s="108" t="s">
        <v>121</v>
      </c>
      <c r="O27" s="108"/>
      <c r="P27" s="108"/>
      <c r="Q27" s="109"/>
      <c r="R27" s="107"/>
    </row>
    <row r="28" spans="1:19" s="45" customFormat="1" ht="28.5" customHeight="1" x14ac:dyDescent="0.25">
      <c r="B28" s="102"/>
      <c r="C28" s="110" t="s">
        <v>104</v>
      </c>
      <c r="D28" s="73" t="s">
        <v>105</v>
      </c>
      <c r="E28" s="111" t="s">
        <v>77</v>
      </c>
      <c r="F28" s="112" t="s">
        <v>106</v>
      </c>
      <c r="G28" s="110" t="s">
        <v>109</v>
      </c>
      <c r="H28" s="113"/>
      <c r="I28" s="76"/>
      <c r="J28" s="114" t="str">
        <f>_xlfn.CONCAT("Respirator Scenario: APF of ",$G$4)</f>
        <v xml:space="preserve">Respirator Scenario: APF of </v>
      </c>
      <c r="K28" s="154"/>
      <c r="L28" s="76"/>
      <c r="N28" s="110" t="s">
        <v>104</v>
      </c>
      <c r="O28" s="73" t="s">
        <v>108</v>
      </c>
      <c r="P28" s="111" t="s">
        <v>77</v>
      </c>
      <c r="Q28" s="113" t="s">
        <v>106</v>
      </c>
      <c r="R28" s="116" t="s">
        <v>109</v>
      </c>
    </row>
    <row r="29" spans="1:19" s="45" customFormat="1" ht="15.75" thickBot="1" x14ac:dyDescent="0.3">
      <c r="B29" s="102"/>
      <c r="C29" s="155"/>
      <c r="D29" s="79"/>
      <c r="E29" s="119"/>
      <c r="F29" s="120"/>
      <c r="G29" s="172" t="s">
        <v>110</v>
      </c>
      <c r="H29" s="173" t="s">
        <v>111</v>
      </c>
      <c r="I29" s="76"/>
      <c r="J29" s="122" t="s">
        <v>110</v>
      </c>
      <c r="K29" s="123" t="s">
        <v>111</v>
      </c>
      <c r="L29" s="76"/>
      <c r="M29" s="63"/>
      <c r="N29" s="118"/>
      <c r="O29" s="79"/>
      <c r="P29" s="119"/>
      <c r="Q29" s="124"/>
      <c r="R29" s="125" t="s">
        <v>112</v>
      </c>
    </row>
    <row r="30" spans="1:19" s="45" customFormat="1" ht="35.25" customHeight="1" x14ac:dyDescent="0.25">
      <c r="B30" s="126" t="s">
        <v>122</v>
      </c>
      <c r="C30" s="127" t="str">
        <f>INDEX('Health Data'!$D:$D, MATCH($B30, 'Health Data'!$F:$F, 0)) &amp; "; "  &amp; INDEX('Health Data'!$E:$E, MATCH($B30, 'Health Data'!$F:$F, 0))</f>
        <v>Nasial lesions in rats; Dow Chemical 1988, 3065001/688893</v>
      </c>
      <c r="D30" s="174">
        <f>INDEX('Health Data'!$G:$G,MATCH(B30,'Health Data'!$F:$F,0))</f>
        <v>5.3999999999999999E-2</v>
      </c>
      <c r="E30" s="129" t="s">
        <v>98</v>
      </c>
      <c r="F30" s="157">
        <f>INDEX('Health Data'!$H:$H,MATCH(B30,'Health Data'!$F:$F,0))</f>
        <v>30</v>
      </c>
      <c r="G30" s="175">
        <f>IFERROR(D30/$H$10, "")</f>
        <v>23.339418502202641</v>
      </c>
      <c r="H30" s="132">
        <f>IFERROR(D30/$H$11, "")</f>
        <v>235.5036894354719</v>
      </c>
      <c r="I30" s="133"/>
      <c r="J30" s="176">
        <f>IFERROR(G30*$G$4,"")</f>
        <v>0</v>
      </c>
      <c r="K30" s="177">
        <f>IFERROR(H30*$G$4,"")</f>
        <v>0</v>
      </c>
      <c r="L30" s="133"/>
      <c r="M30" s="63" t="s">
        <v>123</v>
      </c>
      <c r="N30" s="127" t="str">
        <f>INDEX('Health Data'!$D:$D, MATCH($M30, 'Health Data'!$F:$F, 0)) &amp; "; "  &amp; INDEX('Health Data'!$E:$E, MATCH($M30, 'Health Data'!$F:$F, 0))</f>
        <v>CNS depression in rats; Kirk et al 1995, 688858</v>
      </c>
      <c r="O30" s="163">
        <f>INDEX('Health Data'!$G:$G,MATCH(M30,'Health Data'!$F:$F,0))</f>
        <v>11.4</v>
      </c>
      <c r="P30" s="129" t="s">
        <v>98</v>
      </c>
      <c r="Q30" s="137">
        <f>INDEX('Health Data'!$H:$H,MATCH(M30,'Health Data'!$F:$F,0))</f>
        <v>30</v>
      </c>
      <c r="R30" s="138">
        <f ca="1">IFERROR(O30/$S$10, "")</f>
        <v>117.5405462599912</v>
      </c>
    </row>
    <row r="31" spans="1:19" s="171" customFormat="1" ht="35.25" customHeight="1" thickBot="1" x14ac:dyDescent="0.3">
      <c r="A31" s="45"/>
      <c r="B31" s="126"/>
      <c r="C31" s="139"/>
      <c r="D31" s="178"/>
      <c r="E31" s="98" t="s">
        <v>101</v>
      </c>
      <c r="F31" s="165">
        <f>INDEX('Health Data'!$H:$H,MATCH(B30,'Health Data'!$F:$F,0))</f>
        <v>30</v>
      </c>
      <c r="G31" s="179">
        <f>IFERROR(D30/$H$12, "")</f>
        <v>4.3884480942858159</v>
      </c>
      <c r="H31" s="143">
        <f>IFERROR(D30/$H$13, "")</f>
        <v>64.864601661565388</v>
      </c>
      <c r="I31" s="133"/>
      <c r="J31" s="144">
        <f>IFERROR(G31*$G$4,"")</f>
        <v>0</v>
      </c>
      <c r="K31" s="145">
        <f>IFERROR(H31*$G$4,"")</f>
        <v>0</v>
      </c>
      <c r="L31" s="133"/>
      <c r="M31" s="63"/>
      <c r="N31" s="139"/>
      <c r="O31" s="170"/>
      <c r="P31" s="98" t="s">
        <v>101</v>
      </c>
      <c r="Q31" s="146">
        <f>INDEX('Health Data'!$H:$H,MATCH(M30,'Health Data'!$F:$F,0))</f>
        <v>30</v>
      </c>
      <c r="R31" s="147">
        <f ca="1">IFERROR(O30/$S$11,"")</f>
        <v>47.254852689791491</v>
      </c>
    </row>
    <row r="32" spans="1:19" s="171" customFormat="1" x14ac:dyDescent="0.25">
      <c r="B32" s="63"/>
      <c r="C32" s="67"/>
      <c r="D32" s="149"/>
      <c r="E32" s="133"/>
      <c r="F32" s="43"/>
      <c r="G32" s="133"/>
      <c r="H32" s="180"/>
      <c r="I32" s="180"/>
      <c r="M32" s="45"/>
      <c r="N32" s="67"/>
      <c r="O32" s="67"/>
      <c r="P32" s="67"/>
      <c r="Q32" s="133"/>
      <c r="R32" s="149"/>
      <c r="S32" s="180"/>
    </row>
    <row r="33" spans="1:20" s="171" customFormat="1" x14ac:dyDescent="0.25">
      <c r="B33" s="63"/>
      <c r="C33" s="67"/>
      <c r="D33" s="149"/>
      <c r="E33" s="133"/>
      <c r="F33" s="43"/>
      <c r="G33" s="133"/>
      <c r="H33" s="180"/>
      <c r="I33" s="180"/>
      <c r="M33" s="45"/>
      <c r="N33" s="67"/>
      <c r="O33" s="67"/>
      <c r="P33" s="67"/>
      <c r="Q33" s="133"/>
      <c r="R33" s="149"/>
      <c r="S33" s="180"/>
    </row>
    <row r="34" spans="1:20" s="171" customFormat="1" ht="15.75" thickBot="1" x14ac:dyDescent="0.3">
      <c r="B34" s="102"/>
      <c r="C34" s="148"/>
      <c r="D34" s="43"/>
      <c r="E34" s="149"/>
      <c r="F34" s="180"/>
      <c r="G34" s="133"/>
      <c r="H34" s="133"/>
      <c r="I34" s="133"/>
      <c r="M34" s="43"/>
      <c r="N34" s="148"/>
      <c r="O34" s="148"/>
      <c r="P34" s="148"/>
      <c r="Q34" s="149"/>
      <c r="R34" s="43"/>
      <c r="S34" s="133"/>
    </row>
    <row r="35" spans="1:20" s="171" customFormat="1" ht="37.5" customHeight="1" thickBot="1" x14ac:dyDescent="0.3">
      <c r="B35" s="44"/>
      <c r="C35" s="107" t="s">
        <v>124</v>
      </c>
      <c r="D35" s="45"/>
      <c r="E35" s="153"/>
      <c r="F35" s="43"/>
      <c r="G35" s="181" t="s">
        <v>125</v>
      </c>
      <c r="H35" s="182"/>
      <c r="I35" s="76"/>
      <c r="J35" s="114" t="str">
        <f>_xlfn.CONCAT("Respirator Scenario: APF of ",$G$4)</f>
        <v xml:space="preserve">Respirator Scenario: APF of </v>
      </c>
      <c r="K35" s="115"/>
      <c r="L35" s="76"/>
      <c r="M35" s="45"/>
      <c r="N35" s="107" t="s">
        <v>124</v>
      </c>
      <c r="O35" s="107"/>
      <c r="Q35" s="153"/>
      <c r="R35" s="116" t="s">
        <v>125</v>
      </c>
      <c r="S35" s="153"/>
    </row>
    <row r="36" spans="1:20" s="171" customFormat="1" ht="15.75" thickBot="1" x14ac:dyDescent="0.25">
      <c r="B36" s="44"/>
      <c r="C36" s="183" t="s">
        <v>126</v>
      </c>
      <c r="D36" s="184" t="s">
        <v>127</v>
      </c>
      <c r="E36" s="184" t="s">
        <v>77</v>
      </c>
      <c r="F36" s="185" t="s">
        <v>128</v>
      </c>
      <c r="G36" s="183" t="s">
        <v>129</v>
      </c>
      <c r="H36" s="186" t="s">
        <v>130</v>
      </c>
      <c r="I36" s="76"/>
      <c r="J36" s="187" t="s">
        <v>129</v>
      </c>
      <c r="K36" s="188" t="s">
        <v>130</v>
      </c>
      <c r="L36" s="76"/>
      <c r="M36" s="45"/>
      <c r="N36" s="183" t="s">
        <v>126</v>
      </c>
      <c r="O36" s="189" t="s">
        <v>131</v>
      </c>
      <c r="P36" s="190" t="s">
        <v>77</v>
      </c>
      <c r="Q36" s="191" t="s">
        <v>128</v>
      </c>
      <c r="R36" s="192" t="s">
        <v>99</v>
      </c>
    </row>
    <row r="37" spans="1:20" s="45" customFormat="1" ht="23.25" customHeight="1" x14ac:dyDescent="0.25">
      <c r="A37" s="171"/>
      <c r="B37" s="102" t="s">
        <v>132</v>
      </c>
      <c r="C37" s="127" t="str">
        <f>INDEX('Health Data'!$D:$D, MATCH($B37, 'Health Data'!$F:$F, 0)) &amp; "; "  &amp; INDEX('Health Data'!$E:$E, MATCH($B37, 'Health Data'!$F:$F, 0))</f>
        <v>; NTP, 1986, 67963; Umeda, 2010, 866039</v>
      </c>
      <c r="D37" s="193">
        <f>INDEX('Health Data'!$I:$I,MATCH(B37,'Health Data'!$F:$F,0))</f>
        <v>1.7097177914110431E-2</v>
      </c>
      <c r="E37" s="129" t="s">
        <v>98</v>
      </c>
      <c r="F37" s="194" t="s">
        <v>133</v>
      </c>
      <c r="G37" s="195">
        <f>IFERROR(I10*D37, "")</f>
        <v>1.5721545991080199E-5</v>
      </c>
      <c r="H37" s="196">
        <f>IFERROR(I11*D37, "")</f>
        <v>1.5580721570308408E-6</v>
      </c>
      <c r="I37" s="148"/>
      <c r="J37" s="197" t="str">
        <f>IFERROR(G37/$G$4,"")</f>
        <v/>
      </c>
      <c r="K37" s="198" t="str">
        <f>IFERROR(H37/$G$4,"")</f>
        <v/>
      </c>
      <c r="L37" s="148"/>
      <c r="M37" s="45" t="s">
        <v>134</v>
      </c>
      <c r="N37" s="127" t="str">
        <f>INDEX('Health Data'!$D:$D, MATCH($M37, 'Health Data'!$F:$F, 0)) &amp; "; "  &amp; INDEX('Health Data'!$E:$E, MATCH($M37, 'Health Data'!$F:$F, 0))</f>
        <v>; NTP, 1986, 67963; Umeda, 2010, 866039</v>
      </c>
      <c r="O37" s="199">
        <f>INDEX('Health Data'!I:I,MATCH(M37,'Health Data'!$F:$F,0))</f>
        <v>0.04</v>
      </c>
      <c r="P37" s="129" t="s">
        <v>98</v>
      </c>
      <c r="Q37" s="200" t="s">
        <v>133</v>
      </c>
      <c r="R37" s="201">
        <f ca="1">IFERROR($T$10*O37, "")</f>
        <v>1.4238339335787826E-3</v>
      </c>
    </row>
    <row r="38" spans="1:20" s="45" customFormat="1" ht="24" customHeight="1" thickBot="1" x14ac:dyDescent="0.3">
      <c r="B38" s="102"/>
      <c r="C38" s="139"/>
      <c r="D38" s="202"/>
      <c r="E38" s="98" t="s">
        <v>101</v>
      </c>
      <c r="F38" s="203" t="s">
        <v>133</v>
      </c>
      <c r="G38" s="204">
        <f>IFERROR(I12*D37, "")</f>
        <v>1.0788786862585082E-4</v>
      </c>
      <c r="H38" s="205">
        <f>IFERROR(I13*D37, "")</f>
        <v>7.2992094199233437E-6</v>
      </c>
      <c r="I38" s="148"/>
      <c r="J38" s="206" t="str">
        <f>IFERROR(G38/$G$4,"")</f>
        <v/>
      </c>
      <c r="K38" s="207" t="str">
        <f>IFERROR(H38/$G$4,"")</f>
        <v/>
      </c>
      <c r="L38" s="148"/>
      <c r="N38" s="139"/>
      <c r="O38" s="208"/>
      <c r="P38" s="98" t="s">
        <v>101</v>
      </c>
      <c r="Q38" s="209"/>
      <c r="R38" s="210">
        <f ca="1">IFERROR($T$11*O37, "")</f>
        <v>3.9921388915020182E-3</v>
      </c>
      <c r="S38" s="43"/>
    </row>
    <row r="39" spans="1:20" s="45" customFormat="1" x14ac:dyDescent="0.25">
      <c r="B39" s="102"/>
      <c r="C39" s="101"/>
      <c r="D39" s="211"/>
      <c r="E39" s="211"/>
      <c r="F39" s="212"/>
      <c r="G39" s="213"/>
      <c r="H39" s="148"/>
      <c r="I39" s="213"/>
      <c r="J39" s="148"/>
      <c r="K39" s="148"/>
      <c r="L39" s="148"/>
      <c r="N39" s="101"/>
      <c r="O39" s="211"/>
      <c r="P39" s="214"/>
      <c r="Q39" s="212"/>
      <c r="R39" s="44"/>
      <c r="S39" s="44"/>
      <c r="T39" s="43"/>
    </row>
    <row r="40" spans="1:20" s="45" customFormat="1" x14ac:dyDescent="0.25">
      <c r="B40" s="102"/>
      <c r="C40" s="101"/>
      <c r="D40" s="211"/>
      <c r="E40" s="211"/>
      <c r="F40" s="212"/>
      <c r="G40" s="213"/>
      <c r="H40" s="148"/>
      <c r="I40" s="213"/>
      <c r="J40" s="148"/>
      <c r="K40" s="148"/>
      <c r="L40" s="148"/>
      <c r="N40" s="101"/>
      <c r="O40" s="211"/>
      <c r="P40" s="214"/>
      <c r="Q40" s="212"/>
      <c r="R40" s="44"/>
      <c r="S40" s="44"/>
      <c r="T40" s="43"/>
    </row>
    <row r="41" spans="1:20" s="171" customFormat="1" x14ac:dyDescent="0.25">
      <c r="A41" s="45"/>
      <c r="B41" s="46"/>
      <c r="C41" s="43"/>
      <c r="D41" s="44"/>
      <c r="E41" s="43"/>
      <c r="F41" s="43"/>
      <c r="G41" s="43"/>
      <c r="H41" s="43"/>
      <c r="I41" s="43"/>
      <c r="J41" s="43"/>
      <c r="K41" s="43"/>
      <c r="L41" s="43"/>
      <c r="M41" s="45"/>
      <c r="N41" s="43"/>
      <c r="O41" s="43"/>
      <c r="P41" s="43"/>
      <c r="Q41" s="43"/>
      <c r="R41" s="43"/>
      <c r="S41" s="45"/>
    </row>
    <row r="42" spans="1:20" s="171" customFormat="1" x14ac:dyDescent="0.25">
      <c r="B42" s="44"/>
      <c r="C42" s="43"/>
      <c r="D42" s="44"/>
      <c r="E42" s="43"/>
      <c r="F42" s="43"/>
      <c r="G42" s="43"/>
      <c r="H42" s="43"/>
      <c r="I42" s="43"/>
      <c r="J42" s="43"/>
      <c r="K42" s="43"/>
      <c r="L42" s="43"/>
      <c r="M42" s="45"/>
      <c r="N42" s="43"/>
      <c r="O42" s="43"/>
      <c r="P42" s="43"/>
      <c r="Q42" s="43"/>
      <c r="R42" s="45"/>
    </row>
    <row r="43" spans="1:20" s="45" customFormat="1" x14ac:dyDescent="0.25">
      <c r="A43" s="171"/>
      <c r="B43" s="44"/>
      <c r="C43" s="43"/>
      <c r="D43" s="44"/>
      <c r="E43" s="43"/>
      <c r="F43" s="43"/>
      <c r="G43" s="43"/>
      <c r="H43" s="43"/>
      <c r="I43" s="43"/>
      <c r="J43" s="43"/>
      <c r="K43" s="43"/>
      <c r="L43" s="43"/>
      <c r="N43" s="43"/>
      <c r="O43" s="43"/>
      <c r="P43" s="43"/>
      <c r="Q43" s="43"/>
      <c r="R43" s="43"/>
    </row>
    <row r="44" spans="1:20" s="45" customFormat="1" x14ac:dyDescent="0.25">
      <c r="B44" s="44"/>
      <c r="C44" s="43"/>
      <c r="D44" s="44"/>
      <c r="E44" s="43"/>
      <c r="F44" s="43"/>
      <c r="G44" s="43"/>
      <c r="H44" s="43"/>
      <c r="I44" s="43"/>
      <c r="J44" s="43"/>
      <c r="K44" s="43"/>
      <c r="L44" s="43"/>
      <c r="M44" s="43"/>
      <c r="N44" s="43"/>
      <c r="O44" s="43"/>
      <c r="P44" s="43"/>
      <c r="Q44" s="43"/>
      <c r="R44" s="43"/>
    </row>
    <row r="45" spans="1:20" x14ac:dyDescent="0.25">
      <c r="A45" s="45"/>
    </row>
    <row r="51" spans="1:18" x14ac:dyDescent="0.25">
      <c r="H51" s="45"/>
      <c r="I51" s="45"/>
      <c r="J51" s="45"/>
      <c r="K51" s="45"/>
      <c r="L51" s="45"/>
    </row>
    <row r="56" spans="1:18" x14ac:dyDescent="0.25">
      <c r="N56" s="45"/>
      <c r="O56" s="45"/>
      <c r="P56" s="45"/>
      <c r="Q56" s="45"/>
    </row>
    <row r="57" spans="1:18" x14ac:dyDescent="0.25">
      <c r="C57" s="45"/>
      <c r="D57" s="46"/>
      <c r="E57" s="45"/>
      <c r="F57" s="45"/>
      <c r="G57" s="45"/>
    </row>
    <row r="59" spans="1:18" x14ac:dyDescent="0.25">
      <c r="B59" s="46"/>
    </row>
    <row r="60" spans="1:18" x14ac:dyDescent="0.25">
      <c r="B60" s="215"/>
      <c r="R60" s="45"/>
    </row>
    <row r="61" spans="1:18" x14ac:dyDescent="0.25">
      <c r="B61" s="215"/>
      <c r="H61" s="216"/>
      <c r="I61" s="216"/>
      <c r="J61" s="216"/>
      <c r="K61" s="216"/>
      <c r="L61" s="216"/>
      <c r="M61" s="45"/>
    </row>
    <row r="62" spans="1:18" s="45" customFormat="1" x14ac:dyDescent="0.25">
      <c r="A62" s="43"/>
      <c r="B62" s="215"/>
      <c r="C62" s="43"/>
      <c r="D62" s="44"/>
      <c r="E62" s="43"/>
      <c r="F62" s="43"/>
      <c r="G62" s="43"/>
      <c r="H62" s="216"/>
      <c r="I62" s="216"/>
      <c r="J62" s="216"/>
      <c r="K62" s="216"/>
      <c r="L62" s="216"/>
      <c r="M62" s="43"/>
      <c r="N62" s="43"/>
      <c r="O62" s="43"/>
      <c r="P62" s="43"/>
      <c r="Q62" s="43"/>
      <c r="R62" s="43"/>
    </row>
    <row r="63" spans="1:18" x14ac:dyDescent="0.25">
      <c r="A63" s="45"/>
      <c r="B63" s="215"/>
      <c r="H63" s="217"/>
      <c r="I63" s="217"/>
      <c r="J63" s="217"/>
      <c r="K63" s="217"/>
      <c r="L63" s="217"/>
    </row>
    <row r="64" spans="1:18" x14ac:dyDescent="0.25">
      <c r="B64" s="215"/>
      <c r="H64" s="217"/>
      <c r="I64" s="217"/>
      <c r="J64" s="217"/>
      <c r="K64" s="217"/>
      <c r="L64" s="217"/>
    </row>
    <row r="65" spans="2:17" x14ac:dyDescent="0.25">
      <c r="B65" s="215"/>
    </row>
    <row r="66" spans="2:17" x14ac:dyDescent="0.25">
      <c r="B66" s="215"/>
      <c r="C66" s="218"/>
      <c r="D66" s="215"/>
      <c r="E66" s="218"/>
      <c r="N66" s="217"/>
      <c r="O66" s="217"/>
      <c r="P66" s="217"/>
      <c r="Q66" s="217"/>
    </row>
    <row r="67" spans="2:17" x14ac:dyDescent="0.25">
      <c r="B67" s="215"/>
      <c r="E67" s="219"/>
      <c r="F67" s="217"/>
      <c r="G67" s="216"/>
      <c r="N67" s="217"/>
      <c r="O67" s="217"/>
      <c r="P67" s="217"/>
      <c r="Q67" s="217"/>
    </row>
    <row r="69" spans="2:17" x14ac:dyDescent="0.25">
      <c r="P69" s="44"/>
    </row>
    <row r="73" spans="2:17" x14ac:dyDescent="0.25">
      <c r="P73" s="220"/>
    </row>
    <row r="91" spans="3:16" x14ac:dyDescent="0.25">
      <c r="C91" s="221" t="s">
        <v>135</v>
      </c>
      <c r="D91" s="221" t="s">
        <v>136</v>
      </c>
      <c r="N91" s="221" t="s">
        <v>137</v>
      </c>
      <c r="O91" s="221" t="s">
        <v>101</v>
      </c>
      <c r="P91" s="221" t="s">
        <v>98</v>
      </c>
    </row>
    <row r="92" spans="3:16" x14ac:dyDescent="0.25">
      <c r="C92" s="222" t="s">
        <v>138</v>
      </c>
      <c r="D92" s="223">
        <f>H38</f>
        <v>7.2992094199233437E-6</v>
      </c>
      <c r="E92" s="43" t="str">
        <f>K38</f>
        <v/>
      </c>
      <c r="N92" s="222" t="str">
        <f>R36</f>
        <v>Worker, No Gloves</v>
      </c>
      <c r="O92" s="223">
        <f ca="1">R38</f>
        <v>3.9921388915020182E-3</v>
      </c>
      <c r="P92" s="224">
        <f ca="1">R37</f>
        <v>1.4238339335787826E-3</v>
      </c>
    </row>
    <row r="93" spans="3:16" x14ac:dyDescent="0.25">
      <c r="C93" s="222" t="s">
        <v>139</v>
      </c>
      <c r="D93" s="223">
        <f>H37</f>
        <v>1.5580721570308408E-6</v>
      </c>
      <c r="E93" s="43" t="str">
        <f>K37</f>
        <v/>
      </c>
    </row>
    <row r="94" spans="3:16" x14ac:dyDescent="0.25">
      <c r="C94" s="222" t="s">
        <v>140</v>
      </c>
      <c r="D94" s="223">
        <f>G38</f>
        <v>1.0788786862585082E-4</v>
      </c>
      <c r="E94" s="43" t="str">
        <f>J38</f>
        <v/>
      </c>
    </row>
    <row r="95" spans="3:16" x14ac:dyDescent="0.25">
      <c r="C95" s="222" t="s">
        <v>141</v>
      </c>
      <c r="D95" s="223">
        <f>G37</f>
        <v>1.5721545991080199E-5</v>
      </c>
      <c r="E95" s="43" t="str">
        <f>J37</f>
        <v/>
      </c>
    </row>
  </sheetData>
  <sheetProtection sheet="1" objects="1" scenarios="1" formatCells="0" formatColumns="0" formatRows="0" sort="0" autoFilter="0"/>
  <autoFilter ref="A1:T95" xr:uid="{00000000-0001-0000-0200-000000000000}"/>
  <dataConsolidate link="1"/>
  <mergeCells count="63">
    <mergeCell ref="N2:O2"/>
    <mergeCell ref="F28:F29"/>
    <mergeCell ref="N4:O4"/>
    <mergeCell ref="O8:O9"/>
    <mergeCell ref="N10:N11"/>
    <mergeCell ref="N8:N9"/>
    <mergeCell ref="J28:K28"/>
    <mergeCell ref="F5:G5"/>
    <mergeCell ref="J16:K16"/>
    <mergeCell ref="N3:O3"/>
    <mergeCell ref="E16:E17"/>
    <mergeCell ref="G16:H16"/>
    <mergeCell ref="F16:F17"/>
    <mergeCell ref="C16:C17"/>
    <mergeCell ref="E28:E29"/>
    <mergeCell ref="C18:C19"/>
    <mergeCell ref="D28:D29"/>
    <mergeCell ref="C28:C29"/>
    <mergeCell ref="D18:D19"/>
    <mergeCell ref="D37:D38"/>
    <mergeCell ref="N30:N31"/>
    <mergeCell ref="O37:O38"/>
    <mergeCell ref="C22:C23"/>
    <mergeCell ref="D22:D23"/>
    <mergeCell ref="E22:E23"/>
    <mergeCell ref="F22:F23"/>
    <mergeCell ref="C24:C25"/>
    <mergeCell ref="D24:D25"/>
    <mergeCell ref="C37:C38"/>
    <mergeCell ref="N37:N38"/>
    <mergeCell ref="C8:C9"/>
    <mergeCell ref="D8:D9"/>
    <mergeCell ref="D10:D11"/>
    <mergeCell ref="D12:D13"/>
    <mergeCell ref="B30:B31"/>
    <mergeCell ref="C30:C31"/>
    <mergeCell ref="D30:D31"/>
    <mergeCell ref="D16:D17"/>
    <mergeCell ref="B18:B19"/>
    <mergeCell ref="B24:B25"/>
    <mergeCell ref="Q37:Q38"/>
    <mergeCell ref="J35:K35"/>
    <mergeCell ref="P28:P29"/>
    <mergeCell ref="O30:O31"/>
    <mergeCell ref="Q28:Q29"/>
    <mergeCell ref="N28:N29"/>
    <mergeCell ref="O28:O29"/>
    <mergeCell ref="P16:P17"/>
    <mergeCell ref="Q16:Q17"/>
    <mergeCell ref="N18:N19"/>
    <mergeCell ref="O18:O19"/>
    <mergeCell ref="G35:H35"/>
    <mergeCell ref="N16:N17"/>
    <mergeCell ref="O16:O17"/>
    <mergeCell ref="J22:K22"/>
    <mergeCell ref="N22:N23"/>
    <mergeCell ref="O22:O23"/>
    <mergeCell ref="P22:P23"/>
    <mergeCell ref="Q22:Q23"/>
    <mergeCell ref="G28:H28"/>
    <mergeCell ref="G22:H22"/>
    <mergeCell ref="N24:N25"/>
    <mergeCell ref="O24:O25"/>
  </mergeCells>
  <conditionalFormatting sqref="E10:I13">
    <cfRule type="cellIs" dxfId="226" priority="21" operator="greaterThanOrEqual">
      <formula>10000</formula>
    </cfRule>
    <cfRule type="cellIs" dxfId="225" priority="22" operator="greaterThanOrEqual">
      <formula>10</formula>
    </cfRule>
    <cfRule type="cellIs" dxfId="224" priority="23" operator="between">
      <formula>1</formula>
      <formula>9.999</formula>
    </cfRule>
    <cfRule type="cellIs" dxfId="223" priority="24" operator="between">
      <formula>0.1</formula>
      <formula>0.999</formula>
    </cfRule>
    <cfRule type="cellIs" dxfId="222" priority="25" operator="lessThanOrEqual">
      <formula>0.1</formula>
    </cfRule>
    <cfRule type="containsBlanks" dxfId="221" priority="26" stopIfTrue="1">
      <formula>LEN(TRIM(E10))=0</formula>
    </cfRule>
    <cfRule type="cellIs" dxfId="220" priority="27" operator="equal">
      <formula>0</formula>
    </cfRule>
  </conditionalFormatting>
  <conditionalFormatting sqref="G18:H19">
    <cfRule type="cellIs" dxfId="219" priority="100" operator="lessThan">
      <formula>$F18</formula>
    </cfRule>
    <cfRule type="containsBlanks" dxfId="218" priority="99" stopIfTrue="1">
      <formula>LEN(TRIM(G18))=0</formula>
    </cfRule>
    <cfRule type="cellIs" dxfId="217" priority="98" operator="lessThanOrEqual">
      <formula>0.1</formula>
    </cfRule>
    <cfRule type="cellIs" dxfId="216" priority="97" operator="between">
      <formula>0.1</formula>
      <formula>0.999</formula>
    </cfRule>
    <cfRule type="cellIs" dxfId="215" priority="96" operator="between">
      <formula>1</formula>
      <formula>9.999</formula>
    </cfRule>
    <cfRule type="cellIs" dxfId="214" priority="95" operator="greaterThanOrEqual">
      <formula>10</formula>
    </cfRule>
    <cfRule type="cellIs" dxfId="213" priority="94" operator="greaterThanOrEqual">
      <formula>10000</formula>
    </cfRule>
  </conditionalFormatting>
  <conditionalFormatting sqref="G24:H25">
    <cfRule type="cellIs" dxfId="212" priority="18" operator="lessThanOrEqual">
      <formula>0.1</formula>
    </cfRule>
    <cfRule type="containsBlanks" dxfId="211" priority="19" stopIfTrue="1">
      <formula>LEN(TRIM(G24))=0</formula>
    </cfRule>
    <cfRule type="cellIs" dxfId="210" priority="20" operator="lessThan">
      <formula>$F24</formula>
    </cfRule>
  </conditionalFormatting>
  <conditionalFormatting sqref="G30:H31">
    <cfRule type="cellIs" dxfId="209" priority="79" operator="between">
      <formula>0.1</formula>
      <formula>0.999</formula>
    </cfRule>
    <cfRule type="cellIs" dxfId="208" priority="78" operator="between">
      <formula>1</formula>
      <formula>9.999</formula>
    </cfRule>
    <cfRule type="cellIs" dxfId="207" priority="77" operator="greaterThanOrEqual">
      <formula>10</formula>
    </cfRule>
    <cfRule type="cellIs" dxfId="206" priority="76" operator="greaterThanOrEqual">
      <formula>10000</formula>
    </cfRule>
    <cfRule type="cellIs" dxfId="205" priority="82" operator="lessThan">
      <formula>$F30</formula>
    </cfRule>
    <cfRule type="containsBlanks" dxfId="204" priority="81" stopIfTrue="1">
      <formula>LEN(TRIM(G30))=0</formula>
    </cfRule>
    <cfRule type="cellIs" dxfId="203" priority="80" operator="lessThanOrEqual">
      <formula>0.1</formula>
    </cfRule>
  </conditionalFormatting>
  <conditionalFormatting sqref="G37:H38">
    <cfRule type="cellIs" dxfId="202" priority="73" operator="equal">
      <formula>0</formula>
    </cfRule>
    <cfRule type="cellIs" dxfId="201" priority="71" operator="lessThanOrEqual">
      <formula>0.1</formula>
    </cfRule>
    <cfRule type="cellIs" dxfId="200" priority="70" operator="between">
      <formula>0.1</formula>
      <formula>0.999</formula>
    </cfRule>
    <cfRule type="cellIs" dxfId="199" priority="69" operator="between">
      <formula>1</formula>
      <formula>9.999</formula>
    </cfRule>
    <cfRule type="containsBlanks" dxfId="198" priority="72" stopIfTrue="1">
      <formula>LEN(TRIM(G37))=0</formula>
    </cfRule>
    <cfRule type="cellIs" dxfId="197" priority="68" operator="greaterThanOrEqual">
      <formula>10</formula>
    </cfRule>
    <cfRule type="cellIs" dxfId="196" priority="67" operator="greaterThanOrEqual">
      <formula>10000</formula>
    </cfRule>
  </conditionalFormatting>
  <conditionalFormatting sqref="G24:I25">
    <cfRule type="cellIs" dxfId="195" priority="2" operator="greaterThanOrEqual">
      <formula>10</formula>
    </cfRule>
    <cfRule type="cellIs" dxfId="194" priority="3" operator="between">
      <formula>1</formula>
      <formula>9.999</formula>
    </cfRule>
    <cfRule type="cellIs" dxfId="193" priority="4" operator="between">
      <formula>0.1</formula>
      <formula>0.999</formula>
    </cfRule>
    <cfRule type="cellIs" dxfId="192" priority="5" operator="lessThanOrEqual">
      <formula>0.01</formula>
    </cfRule>
    <cfRule type="containsBlanks" dxfId="191" priority="9" stopIfTrue="1">
      <formula>LEN(TRIM(G24))=0</formula>
    </cfRule>
    <cfRule type="cellIs" dxfId="190" priority="10" operator="lessThan">
      <formula>$F24</formula>
    </cfRule>
    <cfRule type="cellIs" dxfId="189" priority="1" operator="greaterThanOrEqual">
      <formula>10000</formula>
    </cfRule>
  </conditionalFormatting>
  <conditionalFormatting sqref="G37:K38">
    <cfRule type="cellIs" dxfId="188" priority="74" operator="greaterThan">
      <formula>0.0001</formula>
    </cfRule>
  </conditionalFormatting>
  <conditionalFormatting sqref="I24:I25">
    <cfRule type="containsBlanks" dxfId="187" priority="6" stopIfTrue="1">
      <formula>LEN(TRIM(I24))=0</formula>
    </cfRule>
    <cfRule type="cellIs" dxfId="186" priority="7" operator="lessThan">
      <formula>$F24</formula>
    </cfRule>
    <cfRule type="cellIs" dxfId="185" priority="8" operator="lessThanOrEqual">
      <formula>0.1</formula>
    </cfRule>
  </conditionalFormatting>
  <conditionalFormatting sqref="J24:K25">
    <cfRule type="cellIs" dxfId="184" priority="87" operator="lessThanOrEqual">
      <formula>0.01</formula>
    </cfRule>
    <cfRule type="cellIs" dxfId="183" priority="88" operator="greaterThan">
      <formula>0.01</formula>
    </cfRule>
    <cfRule type="containsBlanks" dxfId="182" priority="92" stopIfTrue="1">
      <formula>LEN(TRIM(J24))=0</formula>
    </cfRule>
    <cfRule type="cellIs" dxfId="181" priority="93" operator="lessThan">
      <formula>$F24</formula>
    </cfRule>
  </conditionalFormatting>
  <conditionalFormatting sqref="P10:T11">
    <cfRule type="cellIs" dxfId="180" priority="61" operator="greaterThanOrEqual">
      <formula>10000</formula>
    </cfRule>
    <cfRule type="cellIs" dxfId="179" priority="65" operator="lessThanOrEqual">
      <formula>0.1</formula>
    </cfRule>
    <cfRule type="containsBlanks" dxfId="178" priority="66" stopIfTrue="1">
      <formula>LEN(TRIM(P10))=0</formula>
    </cfRule>
    <cfRule type="cellIs" dxfId="177" priority="62" operator="greaterThanOrEqual">
      <formula>10</formula>
    </cfRule>
    <cfRule type="cellIs" dxfId="176" priority="63" operator="between">
      <formula>1</formula>
      <formula>9.999</formula>
    </cfRule>
    <cfRule type="cellIs" dxfId="175" priority="64" operator="between">
      <formula>0.1</formula>
      <formula>0.999</formula>
    </cfRule>
  </conditionalFormatting>
  <conditionalFormatting sqref="R18:R19">
    <cfRule type="cellIs" dxfId="174" priority="57" operator="between">
      <formula>0.1</formula>
      <formula>0.999</formula>
    </cfRule>
    <cfRule type="cellIs" dxfId="173" priority="54" operator="greaterThanOrEqual">
      <formula>10000</formula>
    </cfRule>
    <cfRule type="cellIs" dxfId="172" priority="55" operator="greaterThanOrEqual">
      <formula>10</formula>
    </cfRule>
    <cfRule type="cellIs" dxfId="171" priority="56" operator="between">
      <formula>1</formula>
      <formula>9.999</formula>
    </cfRule>
    <cfRule type="cellIs" dxfId="170" priority="58" operator="lessThanOrEqual">
      <formula>0.1</formula>
    </cfRule>
    <cfRule type="containsBlanks" dxfId="169" priority="59" stopIfTrue="1">
      <formula>LEN(TRIM(R18))=0</formula>
    </cfRule>
    <cfRule type="cellIs" dxfId="168" priority="60" operator="lessThan">
      <formula>$Q18</formula>
    </cfRule>
  </conditionalFormatting>
  <conditionalFormatting sqref="R24:R25">
    <cfRule type="containsBlanks" dxfId="167" priority="49" stopIfTrue="1">
      <formula>LEN(TRIM(R24))=0</formula>
    </cfRule>
    <cfRule type="cellIs" dxfId="166" priority="48" operator="greaterThan">
      <formula>0.01</formula>
    </cfRule>
    <cfRule type="cellIs" dxfId="165" priority="47" operator="lessThanOrEqual">
      <formula>0.01</formula>
    </cfRule>
    <cfRule type="cellIs" dxfId="164" priority="46" operator="between">
      <formula>0.1</formula>
      <formula>0.999</formula>
    </cfRule>
    <cfRule type="cellIs" dxfId="163" priority="45" operator="between">
      <formula>1</formula>
      <formula>9.999</formula>
    </cfRule>
    <cfRule type="cellIs" dxfId="162" priority="44" operator="greaterThanOrEqual">
      <formula>10</formula>
    </cfRule>
    <cfRule type="cellIs" dxfId="161" priority="43" operator="greaterThanOrEqual">
      <formula>10000</formula>
    </cfRule>
    <cfRule type="cellIs" dxfId="160" priority="53" operator="lessThan">
      <formula>$Q24</formula>
    </cfRule>
    <cfRule type="containsBlanks" dxfId="159" priority="52" stopIfTrue="1">
      <formula>LEN(TRIM(R24))=0</formula>
    </cfRule>
    <cfRule type="cellIs" dxfId="158" priority="50" operator="lessThan">
      <formula>$Q24</formula>
    </cfRule>
    <cfRule type="cellIs" dxfId="157" priority="51" operator="lessThanOrEqual">
      <formula>0.1</formula>
    </cfRule>
  </conditionalFormatting>
  <conditionalFormatting sqref="R30:R31">
    <cfRule type="cellIs" dxfId="156" priority="39" operator="between">
      <formula>0.1</formula>
      <formula>0.999</formula>
    </cfRule>
    <cfRule type="cellIs" dxfId="155" priority="38" operator="between">
      <formula>1</formula>
      <formula>9.999</formula>
    </cfRule>
    <cfRule type="cellIs" dxfId="154" priority="37" operator="greaterThanOrEqual">
      <formula>10</formula>
    </cfRule>
    <cfRule type="containsBlanks" dxfId="153" priority="41" stopIfTrue="1">
      <formula>LEN(TRIM(R30))=0</formula>
    </cfRule>
    <cfRule type="cellIs" dxfId="152" priority="42" operator="lessThan">
      <formula>$Q30</formula>
    </cfRule>
    <cfRule type="cellIs" dxfId="151" priority="36" operator="greaterThanOrEqual">
      <formula>10000</formula>
    </cfRule>
    <cfRule type="cellIs" dxfId="150" priority="40" operator="lessThanOrEqual">
      <formula>0.1</formula>
    </cfRule>
  </conditionalFormatting>
  <conditionalFormatting sqref="R37:R38">
    <cfRule type="cellIs" dxfId="149" priority="28" operator="greaterThanOrEqual">
      <formula>10000</formula>
    </cfRule>
    <cfRule type="cellIs" dxfId="148" priority="29" operator="greaterThanOrEqual">
      <formula>10</formula>
    </cfRule>
    <cfRule type="containsBlanks" dxfId="147" priority="33" stopIfTrue="1">
      <formula>LEN(TRIM(R37))=0</formula>
    </cfRule>
    <cfRule type="cellIs" dxfId="146" priority="32" operator="lessThanOrEqual">
      <formula>0.1</formula>
    </cfRule>
    <cfRule type="cellIs" dxfId="145" priority="31" operator="between">
      <formula>0.1</formula>
      <formula>0.999</formula>
    </cfRule>
    <cfRule type="cellIs" dxfId="144" priority="30" operator="between">
      <formula>1</formula>
      <formula>9.999</formula>
    </cfRule>
    <cfRule type="cellIs" dxfId="143" priority="34" operator="greaterThan">
      <formula>0.0001</formula>
    </cfRule>
  </conditionalFormatting>
  <dataValidations count="1">
    <dataValidation allowBlank="1" showErrorMessage="1" sqref="P8:P9 C8 C12:C13 N8 E8:E9 F8" xr:uid="{00000000-0002-0000-0200-000005000000}"/>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A257FB3-03C7-4DEF-9441-F0399894DF14}">
          <x14:formula1>
            <xm:f>'List Values'!$B$3:$B$23</xm:f>
          </x14:formula1>
          <xm:sqref>C4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4E7FE-9D99-4B66-A2F9-D57F9F4A70CF}">
  <sheetPr codeName="Sheet5">
    <tabColor rgb="FF92D050"/>
  </sheetPr>
  <dimension ref="A1:AQ168"/>
  <sheetViews>
    <sheetView workbookViewId="0">
      <selection sqref="A1:R1"/>
    </sheetView>
  </sheetViews>
  <sheetFormatPr defaultColWidth="9.28515625" defaultRowHeight="15" x14ac:dyDescent="0.25"/>
  <cols>
    <col min="1" max="1" width="2.7109375" style="226" customWidth="1"/>
    <col min="2" max="2" width="7.42578125" style="229" customWidth="1"/>
    <col min="3" max="3" width="11.28515625" style="228" customWidth="1"/>
    <col min="4" max="4" width="10" style="228" customWidth="1"/>
    <col min="5" max="5" width="15.28515625" style="226" customWidth="1"/>
    <col min="6" max="6" width="19.28515625" style="226" customWidth="1"/>
    <col min="7" max="7" width="17.28515625" style="226" customWidth="1"/>
    <col min="8" max="8" width="10.7109375" style="226" customWidth="1"/>
    <col min="9" max="10" width="11.28515625" style="226" customWidth="1"/>
    <col min="11" max="12" width="12.42578125" style="226" customWidth="1"/>
    <col min="13" max="13" width="15.28515625" style="226" customWidth="1"/>
    <col min="14" max="14" width="11.28515625" style="226" customWidth="1"/>
    <col min="15" max="16" width="12.5703125" style="226" hidden="1" customWidth="1"/>
    <col min="17" max="17" width="14.140625" style="226" hidden="1" customWidth="1"/>
    <col min="18" max="18" width="12.7109375" style="226" hidden="1" customWidth="1"/>
    <col min="19" max="19" width="9.28515625" style="226"/>
    <col min="20" max="21" width="16.5703125" style="226" hidden="1" customWidth="1"/>
    <col min="22" max="22" width="19.42578125" style="226" hidden="1" customWidth="1"/>
    <col min="23" max="23" width="21" style="226" hidden="1" customWidth="1"/>
    <col min="24" max="24" width="9.28515625" style="226" hidden="1" customWidth="1"/>
    <col min="25" max="25" width="9.5703125" style="226" customWidth="1"/>
    <col min="26" max="28" width="14.28515625" style="226" customWidth="1"/>
    <col min="29" max="29" width="12.7109375" style="226" customWidth="1"/>
    <col min="30" max="16384" width="9.28515625" style="226"/>
  </cols>
  <sheetData>
    <row r="1" spans="1:29" x14ac:dyDescent="0.25">
      <c r="A1" s="225"/>
      <c r="B1" s="225"/>
      <c r="C1" s="225"/>
      <c r="D1" s="225"/>
      <c r="E1" s="225"/>
      <c r="F1" s="225"/>
      <c r="G1" s="225"/>
      <c r="H1" s="225"/>
      <c r="I1" s="225"/>
      <c r="J1" s="225"/>
      <c r="K1" s="225"/>
      <c r="L1" s="225"/>
      <c r="M1" s="225"/>
      <c r="N1" s="225"/>
      <c r="O1" s="225"/>
      <c r="P1" s="225"/>
      <c r="Q1" s="225"/>
      <c r="R1" s="225"/>
    </row>
    <row r="2" spans="1:29" ht="15.75" thickBot="1" x14ac:dyDescent="0.3">
      <c r="B2" s="227" t="s">
        <v>142</v>
      </c>
    </row>
    <row r="3" spans="1:29" ht="15.75" thickBot="1" x14ac:dyDescent="0.3">
      <c r="K3" s="230" t="s">
        <v>143</v>
      </c>
      <c r="L3" s="231"/>
      <c r="M3" s="231"/>
      <c r="N3" s="231"/>
      <c r="O3" s="231"/>
      <c r="P3" s="231"/>
      <c r="Q3" s="231"/>
      <c r="R3" s="232"/>
    </row>
    <row r="4" spans="1:29" ht="30.75" thickBot="1" x14ac:dyDescent="0.3">
      <c r="J4" s="233" t="s">
        <v>144</v>
      </c>
      <c r="K4" s="234">
        <f>'Health Data'!H7</f>
        <v>30</v>
      </c>
      <c r="L4" s="234">
        <f>'Health Data'!H8</f>
        <v>30</v>
      </c>
      <c r="M4" s="234">
        <f>'Health Data'!H9</f>
        <v>30</v>
      </c>
      <c r="N4" s="235">
        <f>'Health Data'!P10</f>
        <v>1E-4</v>
      </c>
      <c r="O4" s="236"/>
      <c r="P4" s="236"/>
      <c r="Q4" s="236"/>
      <c r="R4" s="237"/>
    </row>
    <row r="5" spans="1:29" ht="15.75" thickBot="1" x14ac:dyDescent="0.3">
      <c r="J5" s="233" t="s">
        <v>71</v>
      </c>
      <c r="K5" s="238">
        <f>'Health Data'!H15</f>
        <v>30</v>
      </c>
      <c r="L5" s="238">
        <f>'Health Data'!H16</f>
        <v>30</v>
      </c>
      <c r="M5" s="239">
        <f>'Health Data'!H17</f>
        <v>30</v>
      </c>
      <c r="N5" s="235">
        <f>'Health Data'!P10</f>
        <v>1E-4</v>
      </c>
      <c r="O5" s="238">
        <f>K5</f>
        <v>30</v>
      </c>
      <c r="P5" s="238" t="e">
        <f>'Health Data'!#REF!</f>
        <v>#REF!</v>
      </c>
      <c r="Q5" s="238">
        <f>M5</f>
        <v>30</v>
      </c>
      <c r="R5" s="235">
        <f>N5</f>
        <v>1E-4</v>
      </c>
      <c r="W5" s="240" t="s">
        <v>145</v>
      </c>
      <c r="X5" s="241">
        <v>10</v>
      </c>
    </row>
    <row r="6" spans="1:29" ht="16.5" thickBot="1" x14ac:dyDescent="0.3">
      <c r="E6" s="242"/>
      <c r="W6" s="243" t="s">
        <v>146</v>
      </c>
      <c r="X6" s="241">
        <v>5</v>
      </c>
    </row>
    <row r="7" spans="1:29" ht="15.75" thickBot="1" x14ac:dyDescent="0.3">
      <c r="B7" s="244" t="s">
        <v>406</v>
      </c>
      <c r="C7" s="245" t="s">
        <v>147</v>
      </c>
      <c r="D7" s="245" t="s">
        <v>148</v>
      </c>
      <c r="E7" s="246" t="s">
        <v>149</v>
      </c>
      <c r="F7" s="247" t="s">
        <v>150</v>
      </c>
      <c r="G7" s="247" t="s">
        <v>151</v>
      </c>
      <c r="H7" s="247" t="s">
        <v>147</v>
      </c>
      <c r="I7" s="247" t="s">
        <v>152</v>
      </c>
      <c r="J7" s="247" t="s">
        <v>77</v>
      </c>
      <c r="K7" s="248" t="s">
        <v>153</v>
      </c>
      <c r="L7" s="249"/>
      <c r="M7" s="249"/>
      <c r="N7" s="250"/>
      <c r="O7" s="248" t="s">
        <v>154</v>
      </c>
      <c r="P7" s="249"/>
      <c r="Q7" s="249"/>
      <c r="R7" s="250"/>
      <c r="T7" s="251" t="s">
        <v>155</v>
      </c>
      <c r="U7" s="252"/>
      <c r="V7" s="252"/>
      <c r="W7" s="253"/>
    </row>
    <row r="8" spans="1:29" ht="77.25" thickBot="1" x14ac:dyDescent="0.3">
      <c r="A8" s="254"/>
      <c r="B8" s="255"/>
      <c r="C8" s="256"/>
      <c r="D8" s="256"/>
      <c r="E8" s="257"/>
      <c r="F8" s="258"/>
      <c r="G8" s="258"/>
      <c r="H8" s="259"/>
      <c r="I8" s="258"/>
      <c r="J8" s="258"/>
      <c r="K8" s="260" t="str">
        <f>"Acute Non-cancer (bench­mark MOE = " &amp; K4 &amp; " (inhalation); " &amp; K5 &amp; " (dermal))"</f>
        <v>Acute Non-cancer (bench­mark MOE = 30 (inhalation); 30 (dermal))</v>
      </c>
      <c r="L8" s="260" t="str">
        <f xml:space="preserve"> "Intermediate Non-cancer (bench­mark MOE = " &amp; L4 &amp; " (inhalation); " &amp; L5 &amp; " (dermal))"</f>
        <v>Intermediate Non-cancer (bench­mark MOE = 30 (inhalation); 30 (dermal))</v>
      </c>
      <c r="M8" s="260" t="str">
        <f xml:space="preserve"> "Chronic Non-cancer (bench­mark MOE = " &amp; M4 &amp; " (inhalation); " &amp; M5 &amp; " (dermal))"</f>
        <v>Chronic Non-cancer (bench­mark MOE = 30 (inhalation); 30 (dermal))</v>
      </c>
      <c r="N8" s="260" t="s">
        <v>156</v>
      </c>
      <c r="O8" s="260" t="str">
        <f>"Acute Non-cancer (bench­mark MOE = " &amp; O5 &amp; ")"</f>
        <v>Acute Non-cancer (bench­mark MOE = 30)</v>
      </c>
      <c r="P8" s="260" t="e">
        <f xml:space="preserve"> "Intermediate Non-cancer (bench­mark MOE =" &amp; P5 &amp; ")"</f>
        <v>#REF!</v>
      </c>
      <c r="Q8" s="260" t="str">
        <f xml:space="preserve"> "Chronic Non-cancer (bench­mark MOE =" &amp; Q5 &amp; ")"</f>
        <v>Chronic Non-cancer (bench­mark MOE =30)</v>
      </c>
      <c r="R8" s="260" t="s">
        <v>156</v>
      </c>
      <c r="T8" s="261" t="s">
        <v>157</v>
      </c>
      <c r="U8" s="260" t="s">
        <v>158</v>
      </c>
      <c r="V8" s="260" t="s">
        <v>159</v>
      </c>
      <c r="W8" s="260" t="s">
        <v>160</v>
      </c>
      <c r="Z8" s="262" t="s">
        <v>161</v>
      </c>
      <c r="AA8" s="263" t="s">
        <v>162</v>
      </c>
      <c r="AB8" s="263" t="s">
        <v>163</v>
      </c>
      <c r="AC8" s="264" t="s">
        <v>164</v>
      </c>
    </row>
    <row r="9" spans="1:29" ht="15.6" customHeight="1" thickBot="1" x14ac:dyDescent="0.3">
      <c r="B9" s="265" t="s">
        <v>165</v>
      </c>
      <c r="C9" s="266" t="s">
        <v>97</v>
      </c>
      <c r="D9" s="266" t="s">
        <v>166</v>
      </c>
      <c r="E9" s="267" t="s">
        <v>404</v>
      </c>
      <c r="F9" s="267" t="s">
        <v>403</v>
      </c>
      <c r="G9" s="268" t="s">
        <v>407</v>
      </c>
      <c r="H9" s="269" t="s">
        <v>97</v>
      </c>
      <c r="I9" s="270" t="s">
        <v>144</v>
      </c>
      <c r="J9" s="271" t="s">
        <v>98</v>
      </c>
      <c r="K9" s="272">
        <f>IFERROR(VLOOKUP($D9,$Y$9:$AC$10,2,FALSE)/IF($D9="Inhalation",IF($J9="Central Tendency",SUMIFS('Inhalation Exposure'!$J$6:$J$47,'Inhalation Exposure'!$B$6:$B$47,$B9,'Inhalation Exposure'!$D$6:$D$47,$C9),SUMIFS('Inhalation Exposure'!$K$6:$K$47,'Inhalation Exposure'!$B$6:$B$47,$B9,'Inhalation Exposure'!$D$6:$D$47,$C9)),IF($J9="Central Tendency",VLOOKUP($B9,'Dermal Exposure'!$A$6:$L$11,9,FALSE),VLOOKUP($B9,'Dermal Exposure'!$A$6:$L$11,4,FALSE))),"--")</f>
        <v>2486.6960352422907</v>
      </c>
      <c r="L9" s="272">
        <f>IFERROR(VLOOKUP($D9,$Y$9:$AC$10,3,FALSE)/IF($D9="Inhalation",IF($J9="Central Tendency",SUMIFS('Inhalation Exposure'!$L$6:$L$47,'Inhalation Exposure'!$B$6:$B$47,$B9,'Inhalation Exposure'!$D$6:$D$47,$C9),SUMIFS('Inhalation Exposure'!$M$6:$M$47,'Inhalation Exposure'!$B$6:$B$47,$B9,'Inhalation Exposure'!$D$6:$D$47,$C9)),IF($J9="Central Tendency",VLOOKUP($B9,'Dermal Exposure'!$A$6:$L$11,10,FALSE),VLOOKUP($B9,'Dermal Exposure'!$A$6:$L$11,5,FALSE))),"--")</f>
        <v>21.798958750500596</v>
      </c>
      <c r="M9" s="272">
        <f>IFERROR(VLOOKUP($D9,$Y$9:$AC$10,4,FALSE)/IF($D9="Inhalation",IF($J9="Central Tendency",SUMIFS('Inhalation Exposure'!$N$6:$N$47,'Inhalation Exposure'!$B$6:$B$47,$B9,'Inhalation Exposure'!$D$6:$D$47,$C9),SUMIFS('Inhalation Exposure'!$O$6:$O$47,'Inhalation Exposure'!$B$6:$B$47,$B9,'Inhalation Exposure'!$D$6:$D$47,$C9)),IF($J9="Central Tendency",VLOOKUP($B9,'Dermal Exposure'!$A$6:$L$11,11,FALSE),VLOOKUP($B9,'Dermal Exposure'!$A$6:$L$11,6,FALSE))),"--")</f>
        <v>23.339418502202641</v>
      </c>
      <c r="N9" s="273">
        <f>IFERROR(VLOOKUP($D9,$Y$9:$AC$10,5,FALSE)*IF($D9="Inhalation",IF($J9="Central Tendency",SUMIFS('Inhalation Exposure'!$P$6:$P$47,'Inhalation Exposure'!$B$6:$B$47,$B9,'Inhalation Exposure'!$D$6:$D$47,$C9),SUMIFS('Inhalation Exposure'!$Q$6:$Q$47,'Inhalation Exposure'!$B$6:$B$47,$B9,'Inhalation Exposure'!$D$6:$D$47,$C9)),IF($J9="Central Tendency",VLOOKUP($B9,'Dermal Exposure'!$A$6:$L$11,12,FALSE),VLOOKUP($B9,'Dermal Exposure'!$A$6:$L$11,7,FALSE))),"--")</f>
        <v>1.5721545991080199E-5</v>
      </c>
      <c r="O9" s="274" t="str">
        <f>IFERROR(#REF!*T9, "--")</f>
        <v>--</v>
      </c>
      <c r="P9" s="274" t="str">
        <f>IFERROR(#REF!*U9, "--")</f>
        <v>--</v>
      </c>
      <c r="Q9" s="274" t="str">
        <f>IFERROR(#REF!*V9, "--")</f>
        <v>--</v>
      </c>
      <c r="R9" s="275" t="str">
        <f>IFERROR(#REF!/W9, "--")</f>
        <v>--</v>
      </c>
      <c r="T9" s="276">
        <v>10</v>
      </c>
      <c r="U9" s="277">
        <v>10</v>
      </c>
      <c r="V9" s="277">
        <v>10</v>
      </c>
      <c r="W9" s="278">
        <v>10</v>
      </c>
      <c r="Y9" s="279" t="s">
        <v>166</v>
      </c>
      <c r="Z9" s="280">
        <f>'Health Data'!G7</f>
        <v>8.4</v>
      </c>
      <c r="AA9" s="281">
        <f>'Health Data'!G8</f>
        <v>5.3999999999999999E-2</v>
      </c>
      <c r="AB9" s="281">
        <f>'Health Data'!G9</f>
        <v>5.3999999999999999E-2</v>
      </c>
      <c r="AC9" s="282">
        <f>'Health Data'!I10</f>
        <v>1.7097177914110431E-2</v>
      </c>
    </row>
    <row r="10" spans="1:29" ht="15.75" thickBot="1" x14ac:dyDescent="0.3">
      <c r="B10" s="265" t="s">
        <v>165</v>
      </c>
      <c r="C10" s="266" t="s">
        <v>97</v>
      </c>
      <c r="D10" s="266" t="s">
        <v>166</v>
      </c>
      <c r="E10" s="283"/>
      <c r="F10" s="283"/>
      <c r="G10" s="284"/>
      <c r="H10" s="285"/>
      <c r="I10" s="286"/>
      <c r="J10" s="287"/>
      <c r="K10" s="288"/>
      <c r="L10" s="288"/>
      <c r="M10" s="288"/>
      <c r="N10" s="289"/>
      <c r="O10" s="290" t="str">
        <f>CONCATENATE("(APF ",T9,")")</f>
        <v>(APF 10)</v>
      </c>
      <c r="P10" s="290" t="str">
        <f>CONCATENATE("(APF ",U9,")")</f>
        <v>(APF 10)</v>
      </c>
      <c r="Q10" s="290" t="str">
        <f>CONCATENATE("(APF ",V9,")")</f>
        <v>(APF 10)</v>
      </c>
      <c r="R10" s="290" t="str">
        <f>CONCATENATE("(APF ",W9,")")</f>
        <v>(APF 10)</v>
      </c>
      <c r="T10" s="291" t="s">
        <v>167</v>
      </c>
      <c r="U10" s="292" t="s">
        <v>167</v>
      </c>
      <c r="V10" s="292" t="s">
        <v>167</v>
      </c>
      <c r="W10" s="293" t="s">
        <v>167</v>
      </c>
      <c r="Y10" s="279" t="s">
        <v>71</v>
      </c>
      <c r="Z10" s="280">
        <f>'Health Data'!G15</f>
        <v>7.2</v>
      </c>
      <c r="AA10" s="280">
        <f>'Health Data'!G16</f>
        <v>11.4</v>
      </c>
      <c r="AB10" s="280">
        <f>'Health Data'!G17</f>
        <v>11.4</v>
      </c>
      <c r="AC10" s="282">
        <f>'Health Data'!I18</f>
        <v>0.04</v>
      </c>
    </row>
    <row r="11" spans="1:29" ht="15.75" thickBot="1" x14ac:dyDescent="0.3">
      <c r="B11" s="265" t="s">
        <v>165</v>
      </c>
      <c r="C11" s="266" t="s">
        <v>97</v>
      </c>
      <c r="D11" s="266" t="s">
        <v>166</v>
      </c>
      <c r="E11" s="283"/>
      <c r="F11" s="283"/>
      <c r="G11" s="284"/>
      <c r="H11" s="285"/>
      <c r="I11" s="286"/>
      <c r="J11" s="271" t="s">
        <v>168</v>
      </c>
      <c r="K11" s="272">
        <f>IFERROR(VLOOKUP($D11,$Y$9:$AC$10,2,FALSE)/IF($D11="Inhalation",IF($J11="Central Tendency",SUMIFS('Inhalation Exposure'!$J$6:$J$47,'Inhalation Exposure'!$B$6:$B$47,$B11,'Inhalation Exposure'!$D$6:$D$47,$C11),SUMIFS('Inhalation Exposure'!$K$6:$K$47,'Inhalation Exposure'!$B$6:$B$47,$B11,'Inhalation Exposure'!$D$6:$D$47,$C11)),IF($J11="Central Tendency",VLOOKUP($B11,'Dermal Exposure'!$A$6:$L$11,9,FALSE),VLOOKUP($B11,'Dermal Exposure'!$A$6:$L$11,4,FALSE))),"--")</f>
        <v>467.56676803654051</v>
      </c>
      <c r="L11" s="272">
        <f>IFERROR(VLOOKUP($D11,$Y$9:$AC$10,3,FALSE)/IF($D11="Inhalation",IF($J11="Central Tendency",SUMIFS('Inhalation Exposure'!$L$6:$L$47,'Inhalation Exposure'!$B$6:$B$47,$B11,'Inhalation Exposure'!$D$6:$D$47,$C11),SUMIFS('Inhalation Exposure'!$M$6:$M$47,'Inhalation Exposure'!$B$6:$B$47,$B11,'Inhalation Exposure'!$D$6:$D$47,$C11)),IF($J11="Central Tendency",VLOOKUP($B11,'Dermal Exposure'!$A$6:$L$11,10,FALSE),VLOOKUP($B11,'Dermal Exposure'!$A$6:$L$11,5,FALSE))),"--")</f>
        <v>4.0987995899307119</v>
      </c>
      <c r="M11" s="272">
        <f>IFERROR(VLOOKUP($D11,$Y$9:$AC$10,4,FALSE)/IF($D11="Inhalation",IF($J11="Central Tendency",SUMIFS('Inhalation Exposure'!$N$6:$N$47,'Inhalation Exposure'!$B$6:$B$47,$B11,'Inhalation Exposure'!$D$6:$D$47,$C11),SUMIFS('Inhalation Exposure'!$O$6:$O$47,'Inhalation Exposure'!$B$6:$B$47,$B11,'Inhalation Exposure'!$D$6:$D$47,$C11)),IF($J11="Central Tendency",VLOOKUP($B11,'Dermal Exposure'!$A$6:$L$11,11,FALSE),VLOOKUP($B11,'Dermal Exposure'!$A$6:$L$11,6,FALSE))),"--")</f>
        <v>4.3884480942858159</v>
      </c>
      <c r="N11" s="273">
        <f>IFERROR(VLOOKUP($D11,$Y$9:$AC$10,5,FALSE)*IF($D11="Inhalation",IF($J11="Central Tendency",SUMIFS('Inhalation Exposure'!$P$6:$P$47,'Inhalation Exposure'!$B$6:$B$47,$B11,'Inhalation Exposure'!$D$6:$D$47,$C11),SUMIFS('Inhalation Exposure'!$Q$6:$Q$47,'Inhalation Exposure'!$B$6:$B$47,$B11,'Inhalation Exposure'!$D$6:$D$47,$C11)),IF($J11="Central Tendency",VLOOKUP($B11,'Dermal Exposure'!$A$6:$L$11,12,FALSE),VLOOKUP($B11,'Dermal Exposure'!$A$6:$L$11,7,FALSE))),"--")</f>
        <v>1.0788786862585082E-4</v>
      </c>
      <c r="O11" s="274" t="str">
        <f>IFERROR(#REF!*T11, "--")</f>
        <v>--</v>
      </c>
      <c r="P11" s="274" t="str">
        <f>IFERROR(#REF!*U11, "--")</f>
        <v>--</v>
      </c>
      <c r="Q11" s="274" t="str">
        <f>IFERROR(#REF!*V11, "--")</f>
        <v>--</v>
      </c>
      <c r="R11" s="275" t="str">
        <f>IFERROR(#REF!/W11, "--")</f>
        <v>--</v>
      </c>
      <c r="T11" s="294">
        <v>10</v>
      </c>
      <c r="U11" s="295">
        <v>10</v>
      </c>
      <c r="V11" s="295">
        <v>10</v>
      </c>
      <c r="W11" s="296">
        <v>50</v>
      </c>
      <c r="Y11" s="297" t="s">
        <v>169</v>
      </c>
      <c r="Z11" s="298"/>
      <c r="AA11" s="298"/>
      <c r="AB11" s="298"/>
      <c r="AC11" s="299"/>
    </row>
    <row r="12" spans="1:29" ht="15.75" thickBot="1" x14ac:dyDescent="0.3">
      <c r="B12" s="265" t="s">
        <v>165</v>
      </c>
      <c r="C12" s="266" t="s">
        <v>97</v>
      </c>
      <c r="D12" s="266" t="s">
        <v>166</v>
      </c>
      <c r="E12" s="283"/>
      <c r="F12" s="283"/>
      <c r="G12" s="284"/>
      <c r="H12" s="285"/>
      <c r="I12" s="300"/>
      <c r="J12" s="301"/>
      <c r="K12" s="288"/>
      <c r="L12" s="288"/>
      <c r="M12" s="288"/>
      <c r="N12" s="289"/>
      <c r="O12" s="302" t="str">
        <f>CONCATENATE("(APF ",T11,")")</f>
        <v>(APF 10)</v>
      </c>
      <c r="P12" s="302" t="str">
        <f>CONCATENATE("(APF ",U11,")")</f>
        <v>(APF 10)</v>
      </c>
      <c r="Q12" s="302" t="str">
        <f>CONCATENATE("(APF ",V11,")")</f>
        <v>(APF 10)</v>
      </c>
      <c r="R12" s="302" t="str">
        <f>CONCATENATE("(APF ",W11,")")</f>
        <v>(APF 50)</v>
      </c>
      <c r="T12" s="303" t="s">
        <v>167</v>
      </c>
      <c r="U12" s="304" t="s">
        <v>167</v>
      </c>
      <c r="V12" s="304" t="s">
        <v>167</v>
      </c>
      <c r="W12" s="305" t="s">
        <v>167</v>
      </c>
      <c r="Y12" s="306" t="s">
        <v>170</v>
      </c>
      <c r="Z12" s="307"/>
      <c r="AA12" s="307"/>
      <c r="AB12" s="307"/>
      <c r="AC12" s="308"/>
    </row>
    <row r="13" spans="1:29" ht="15.6" customHeight="1" thickTop="1" thickBot="1" x14ac:dyDescent="0.3">
      <c r="B13" s="265" t="s">
        <v>171</v>
      </c>
      <c r="C13" s="266" t="s">
        <v>97</v>
      </c>
      <c r="D13" s="266" t="s">
        <v>166</v>
      </c>
      <c r="E13" s="283"/>
      <c r="F13" s="283"/>
      <c r="G13" s="268" t="s">
        <v>408</v>
      </c>
      <c r="H13" s="285"/>
      <c r="I13" s="309" t="s">
        <v>144</v>
      </c>
      <c r="J13" s="271" t="s">
        <v>98</v>
      </c>
      <c r="K13" s="272">
        <f>IFERROR(VLOOKUP($D13,$Y$9:$AC$10,2,FALSE)/IF($D13="Inhalation",IF($J13="Central Tendency",SUMIFS('Inhalation Exposure'!$J$6:$J$47,'Inhalation Exposure'!$B$6:$B$47,$B13,'Inhalation Exposure'!$D$6:$D$47,$C13),SUMIFS('Inhalation Exposure'!$K$6:$K$47,'Inhalation Exposure'!$B$6:$B$47,$B13,'Inhalation Exposure'!$D$6:$D$47,$C13)),IF($J13="Central Tendency",VLOOKUP($B13,'Dermal Exposure'!$A$6:$L$11,9,FALSE),VLOOKUP($B13,'Dermal Exposure'!$A$6:$L$11,4,FALSE))),"--")</f>
        <v>428.87409551374822</v>
      </c>
      <c r="L13" s="272">
        <f>IFERROR(VLOOKUP($D13,$Y$9:$AC$10,3,FALSE)/IF($D13="Inhalation",IF($J13="Central Tendency",SUMIFS('Inhalation Exposure'!$L$6:$L$47,'Inhalation Exposure'!$B$6:$B$47,$B13,'Inhalation Exposure'!$D$6:$D$47,$C13),SUMIFS('Inhalation Exposure'!$M$6:$M$47,'Inhalation Exposure'!$B$6:$B$47,$B13,'Inhalation Exposure'!$D$6:$D$47,$C13)),IF($J13="Central Tendency",VLOOKUP($B13,'Dermal Exposure'!$A$6:$L$11,10,FALSE),VLOOKUP($B13,'Dermal Exposure'!$A$6:$L$11,5,FALSE))),"--")</f>
        <v>3.7596105775555846</v>
      </c>
      <c r="M13" s="272">
        <f>IFERROR(VLOOKUP($D13,$Y$9:$AC$10,4,FALSE)/IF($D13="Inhalation",IF($J13="Central Tendency",SUMIFS('Inhalation Exposure'!$N$6:$N$47,'Inhalation Exposure'!$B$6:$B$47,$B13,'Inhalation Exposure'!$D$6:$D$47,$C13),SUMIFS('Inhalation Exposure'!$O$6:$O$47,'Inhalation Exposure'!$B$6:$B$47,$B13,'Inhalation Exposure'!$D$6:$D$47,$C13)),IF($J13="Central Tendency",VLOOKUP($B13,'Dermal Exposure'!$A$6:$L$11,11,FALSE),VLOOKUP($B13,'Dermal Exposure'!$A$6:$L$11,6,FALSE))),"--")</f>
        <v>4.0252897250361794</v>
      </c>
      <c r="N13" s="273">
        <f>IFERROR(VLOOKUP($D13,$Y$9:$AC$10,5,FALSE)*IF($D13="Inhalation",IF($J13="Central Tendency",SUMIFS('Inhalation Exposure'!$P$6:$P$47,'Inhalation Exposure'!$B$6:$B$47,$B13,'Inhalation Exposure'!$D$6:$D$47,$C13),SUMIFS('Inhalation Exposure'!$Q$6:$Q$47,'Inhalation Exposure'!$B$6:$B$47,$B13,'Inhalation Exposure'!$D$6:$D$47,$C13)),IF($J13="Central Tendency",VLOOKUP($B13,'Dermal Exposure'!$A$6:$L$11,12,FALSE),VLOOKUP($B13,'Dermal Exposure'!$A$6:$L$11,7,FALSE))),"--")</f>
        <v>9.1156603984362638E-5</v>
      </c>
      <c r="O13" s="310"/>
      <c r="P13" s="310"/>
      <c r="Q13" s="310"/>
      <c r="R13" s="310"/>
      <c r="T13" s="291"/>
      <c r="U13" s="292"/>
      <c r="V13" s="292"/>
      <c r="W13" s="293"/>
      <c r="Y13" s="306" t="s">
        <v>172</v>
      </c>
      <c r="Z13" s="307"/>
      <c r="AA13" s="307"/>
      <c r="AB13" s="307"/>
      <c r="AC13" s="308"/>
    </row>
    <row r="14" spans="1:29" ht="15.75" thickBot="1" x14ac:dyDescent="0.3">
      <c r="B14" s="265" t="s">
        <v>171</v>
      </c>
      <c r="C14" s="266" t="s">
        <v>97</v>
      </c>
      <c r="D14" s="266" t="s">
        <v>166</v>
      </c>
      <c r="E14" s="283"/>
      <c r="F14" s="283"/>
      <c r="G14" s="284"/>
      <c r="H14" s="285"/>
      <c r="I14" s="286"/>
      <c r="J14" s="287"/>
      <c r="K14" s="288"/>
      <c r="L14" s="288"/>
      <c r="M14" s="288"/>
      <c r="N14" s="289"/>
      <c r="O14" s="310"/>
      <c r="P14" s="310"/>
      <c r="Q14" s="310"/>
      <c r="R14" s="310"/>
      <c r="T14" s="291"/>
      <c r="U14" s="292"/>
      <c r="V14" s="292"/>
      <c r="W14" s="293"/>
      <c r="Y14" s="311" t="s">
        <v>173</v>
      </c>
      <c r="Z14" s="312"/>
      <c r="AA14" s="312"/>
      <c r="AB14" s="312"/>
      <c r="AC14" s="313"/>
    </row>
    <row r="15" spans="1:29" ht="15.75" thickBot="1" x14ac:dyDescent="0.3">
      <c r="B15" s="265" t="s">
        <v>171</v>
      </c>
      <c r="C15" s="266" t="s">
        <v>97</v>
      </c>
      <c r="D15" s="266" t="s">
        <v>166</v>
      </c>
      <c r="E15" s="283"/>
      <c r="F15" s="283"/>
      <c r="G15" s="284"/>
      <c r="H15" s="285"/>
      <c r="I15" s="286"/>
      <c r="J15" s="271" t="s">
        <v>168</v>
      </c>
      <c r="K15" s="272">
        <f>IFERROR(VLOOKUP($D15,$Y$9:$AC$10,2,FALSE)/IF($D15="Inhalation",IF($J15="Central Tendency",SUMIFS('Inhalation Exposure'!$J$6:$J$47,'Inhalation Exposure'!$B$6:$B$47,$B15,'Inhalation Exposure'!$D$6:$D$47,$C15),SUMIFS('Inhalation Exposure'!$K$6:$K$47,'Inhalation Exposure'!$B$6:$B$47,$B15,'Inhalation Exposure'!$D$6:$D$47,$C15)),IF($J15="Central Tendency",VLOOKUP($B15,'Dermal Exposure'!$A$6:$L$11,9,FALSE),VLOOKUP($B15,'Dermal Exposure'!$A$6:$L$11,4,FALSE))),"--")</f>
        <v>119.581156057702</v>
      </c>
      <c r="L15" s="272">
        <f>IFERROR(VLOOKUP($D15,$Y$9:$AC$10,3,FALSE)/IF($D15="Inhalation",IF($J15="Central Tendency",SUMIFS('Inhalation Exposure'!$L$6:$L$47,'Inhalation Exposure'!$B$6:$B$47,$B15,'Inhalation Exposure'!$D$6:$D$47,$C15),SUMIFS('Inhalation Exposure'!$M$6:$M$47,'Inhalation Exposure'!$B$6:$B$47,$B15,'Inhalation Exposure'!$D$6:$D$47,$C15)),IF($J15="Central Tendency",VLOOKUP($B15,'Dermal Exposure'!$A$6:$L$11,10,FALSE),VLOOKUP($B15,'Dermal Exposure'!$A$6:$L$11,5,FALSE))),"--")</f>
        <v>1.0482763680382969</v>
      </c>
      <c r="M15" s="272">
        <f>IFERROR(VLOOKUP($D15,$Y$9:$AC$10,4,FALSE)/IF($D15="Inhalation",IF($J15="Central Tendency",SUMIFS('Inhalation Exposure'!$N$6:$N$47,'Inhalation Exposure'!$B$6:$B$47,$B15,'Inhalation Exposure'!$D$6:$D$47,$C15),SUMIFS('Inhalation Exposure'!$O$6:$O$47,'Inhalation Exposure'!$B$6:$B$47,$B15,'Inhalation Exposure'!$D$6:$D$47,$C15)),IF($J15="Central Tendency",VLOOKUP($B15,'Dermal Exposure'!$A$6:$L$11,11,FALSE),VLOOKUP($B15,'Dermal Exposure'!$A$6:$L$11,6,FALSE))),"--")</f>
        <v>1.1223545647130031</v>
      </c>
      <c r="N15" s="273">
        <f>IFERROR(VLOOKUP($D15,$Y$9:$AC$10,5,FALSE)*IF($D15="Inhalation",IF($J15="Central Tendency",SUMIFS('Inhalation Exposure'!$P$6:$P$47,'Inhalation Exposure'!$B$6:$B$47,$B15,'Inhalation Exposure'!$D$6:$D$47,$C15),SUMIFS('Inhalation Exposure'!$Q$6:$Q$47,'Inhalation Exposure'!$B$6:$B$47,$B15,'Inhalation Exposure'!$D$6:$D$47,$C15)),IF($J15="Central Tendency",VLOOKUP($B15,'Dermal Exposure'!$A$6:$L$11,12,FALSE),VLOOKUP($B15,'Dermal Exposure'!$A$6:$L$11,7,FALSE))),"--")</f>
        <v>4.218455792432597E-4</v>
      </c>
      <c r="O15" s="310"/>
      <c r="P15" s="310"/>
      <c r="Q15" s="310"/>
      <c r="R15" s="310"/>
      <c r="T15" s="291"/>
      <c r="U15" s="292"/>
      <c r="V15" s="292"/>
      <c r="W15" s="293"/>
    </row>
    <row r="16" spans="1:29" ht="15.75" thickBot="1" x14ac:dyDescent="0.3">
      <c r="B16" s="265" t="s">
        <v>171</v>
      </c>
      <c r="C16" s="266" t="s">
        <v>97</v>
      </c>
      <c r="D16" s="266" t="s">
        <v>166</v>
      </c>
      <c r="E16" s="283"/>
      <c r="F16" s="283"/>
      <c r="G16" s="284"/>
      <c r="H16" s="285"/>
      <c r="I16" s="300"/>
      <c r="J16" s="301"/>
      <c r="K16" s="288"/>
      <c r="L16" s="288"/>
      <c r="M16" s="288"/>
      <c r="N16" s="289"/>
      <c r="O16" s="310"/>
      <c r="P16" s="310"/>
      <c r="Q16" s="310"/>
      <c r="R16" s="310"/>
      <c r="T16" s="291"/>
      <c r="U16" s="292"/>
      <c r="V16" s="292"/>
      <c r="W16" s="293"/>
    </row>
    <row r="17" spans="2:29" ht="15.6" customHeight="1" thickTop="1" thickBot="1" x14ac:dyDescent="0.3">
      <c r="B17" s="265" t="s">
        <v>174</v>
      </c>
      <c r="C17" s="266" t="s">
        <v>97</v>
      </c>
      <c r="D17" s="266" t="s">
        <v>166</v>
      </c>
      <c r="E17" s="283"/>
      <c r="F17" s="283"/>
      <c r="G17" s="268" t="s">
        <v>428</v>
      </c>
      <c r="H17" s="285"/>
      <c r="I17" s="309" t="s">
        <v>144</v>
      </c>
      <c r="J17" s="314" t="s">
        <v>98</v>
      </c>
      <c r="K17" s="272">
        <f>IFERROR(VLOOKUP($D17,$Y$9:$AC$10,2,FALSE)/IF($D17="Inhalation",IF($J17="Central Tendency",SUMIFS('Inhalation Exposure'!$J$6:$J$47,'Inhalation Exposure'!$B$6:$B$47,$B17,'Inhalation Exposure'!$D$6:$D$47,$C17),SUMIFS('Inhalation Exposure'!$K$6:$K$47,'Inhalation Exposure'!$B$6:$B$47,$B17,'Inhalation Exposure'!$D$6:$D$47,$C17)),IF($J17="Central Tendency",VLOOKUP($B17,'Dermal Exposure'!$A$6:$L$11,9,FALSE),VLOOKUP($B17,'Dermal Exposure'!$A$6:$L$11,4,FALSE))),"--")</f>
        <v>63.813953488372114</v>
      </c>
      <c r="L17" s="272">
        <f>IFERROR(VLOOKUP($D17,$Y$9:$AC$10,3,FALSE)/IF($D17="Inhalation",IF($J17="Central Tendency",SUMIFS('Inhalation Exposure'!$L$6:$L$47,'Inhalation Exposure'!$B$6:$B$47,$B17,'Inhalation Exposure'!$D$6:$D$47,$C17),SUMIFS('Inhalation Exposure'!$M$6:$M$47,'Inhalation Exposure'!$B$6:$B$47,$B17,'Inhalation Exposure'!$D$6:$D$47,$C17)),IF($J17="Central Tendency",VLOOKUP($B17,'Dermal Exposure'!$A$6:$L$11,10,FALSE),VLOOKUP($B17,'Dermal Exposure'!$A$6:$L$11,5,FALSE))),"--")</f>
        <v>0.94669051878354205</v>
      </c>
      <c r="M17" s="272">
        <f>IFERROR(VLOOKUP($D17,$Y$9:$AC$10,4,FALSE)/IF($D17="Inhalation",IF($J17="Central Tendency",SUMIFS('Inhalation Exposure'!$N$6:$N$47,'Inhalation Exposure'!$B$6:$B$47,$B17,'Inhalation Exposure'!$D$6:$D$47,$C17),SUMIFS('Inhalation Exposure'!$O$6:$O$47,'Inhalation Exposure'!$B$6:$B$47,$B17,'Inhalation Exposure'!$D$6:$D$47,$C17)),IF($J17="Central Tendency",VLOOKUP($B17,'Dermal Exposure'!$A$6:$L$11,11,FALSE),VLOOKUP($B17,'Dermal Exposure'!$A$6:$L$11,6,FALSE))),"--")</f>
        <v>0.95983899821109131</v>
      </c>
      <c r="N17" s="273">
        <f>IFERROR(VLOOKUP($D17,$Y$9:$AC$10,5,FALSE)*IF($D17="Inhalation",IF($J17="Central Tendency",SUMIFS('Inhalation Exposure'!$P$6:$P$47,'Inhalation Exposure'!$B$6:$B$47,$B17,'Inhalation Exposure'!$D$6:$D$47,$C17),SUMIFS('Inhalation Exposure'!$Q$6:$Q$47,'Inhalation Exposure'!$B$6:$B$47,$B17,'Inhalation Exposure'!$D$6:$D$47,$C17)),IF($J17="Central Tendency",VLOOKUP($B17,'Dermal Exposure'!$A$6:$L$11,12,FALSE),VLOOKUP($B17,'Dermal Exposure'!$A$6:$L$11,7,FALSE))),"--")</f>
        <v>3.8228467698366004E-4</v>
      </c>
      <c r="O17" s="310"/>
      <c r="P17" s="310"/>
      <c r="Q17" s="310"/>
      <c r="R17" s="310"/>
      <c r="T17" s="291"/>
      <c r="U17" s="292"/>
      <c r="V17" s="292"/>
      <c r="W17" s="293"/>
    </row>
    <row r="18" spans="2:29" ht="15.75" thickBot="1" x14ac:dyDescent="0.3">
      <c r="B18" s="265" t="s">
        <v>174</v>
      </c>
      <c r="C18" s="266" t="s">
        <v>97</v>
      </c>
      <c r="D18" s="266" t="s">
        <v>166</v>
      </c>
      <c r="E18" s="283"/>
      <c r="F18" s="283"/>
      <c r="G18" s="284"/>
      <c r="H18" s="285"/>
      <c r="I18" s="286"/>
      <c r="J18" s="287"/>
      <c r="K18" s="288"/>
      <c r="L18" s="288"/>
      <c r="M18" s="288"/>
      <c r="N18" s="289"/>
      <c r="O18" s="310"/>
      <c r="P18" s="310"/>
      <c r="Q18" s="310"/>
      <c r="R18" s="310"/>
      <c r="T18" s="291"/>
      <c r="U18" s="292"/>
      <c r="V18" s="292"/>
      <c r="W18" s="293"/>
    </row>
    <row r="19" spans="2:29" ht="15.75" thickBot="1" x14ac:dyDescent="0.3">
      <c r="B19" s="265" t="s">
        <v>174</v>
      </c>
      <c r="C19" s="266" t="s">
        <v>97</v>
      </c>
      <c r="D19" s="266" t="s">
        <v>166</v>
      </c>
      <c r="E19" s="283"/>
      <c r="F19" s="283"/>
      <c r="G19" s="284"/>
      <c r="H19" s="285"/>
      <c r="I19" s="286"/>
      <c r="J19" s="271" t="s">
        <v>168</v>
      </c>
      <c r="K19" s="272">
        <f>IFERROR(VLOOKUP($D19,$Y$9:$AC$10,2,FALSE)/IF($D19="Inhalation",IF($J19="Central Tendency",SUMIFS('Inhalation Exposure'!$J$6:$J$47,'Inhalation Exposure'!$B$6:$B$47,$B19,'Inhalation Exposure'!$D$6:$D$47,$C19),SUMIFS('Inhalation Exposure'!$K$6:$K$47,'Inhalation Exposure'!$B$6:$B$47,$B19,'Inhalation Exposure'!$D$6:$D$47,$C19)),IF($J19="Central Tendency",VLOOKUP($B19,'Dermal Exposure'!$A$6:$L$11,9,FALSE),VLOOKUP($B19,'Dermal Exposure'!$A$6:$L$11,4,FALSE))),"--")</f>
        <v>35.544041450777215</v>
      </c>
      <c r="L19" s="272">
        <f>IFERROR(VLOOKUP($D19,$Y$9:$AC$10,3,FALSE)/IF($D19="Inhalation",IF($J19="Central Tendency",SUMIFS('Inhalation Exposure'!$L$6:$L$47,'Inhalation Exposure'!$B$6:$B$47,$B19,'Inhalation Exposure'!$D$6:$D$47,$C19),SUMIFS('Inhalation Exposure'!$M$6:$M$47,'Inhalation Exposure'!$B$6:$B$47,$B19,'Inhalation Exposure'!$D$6:$D$47,$C19)),IF($J19="Central Tendency",VLOOKUP($B19,'Dermal Exposure'!$A$6:$L$11,10,FALSE),VLOOKUP($B19,'Dermal Exposure'!$A$6:$L$11,5,FALSE))),"--")</f>
        <v>0.52730171383021129</v>
      </c>
      <c r="M19" s="272">
        <f>IFERROR(VLOOKUP($D19,$Y$9:$AC$10,4,FALSE)/IF($D19="Inhalation",IF($J19="Central Tendency",SUMIFS('Inhalation Exposure'!$N$6:$N$47,'Inhalation Exposure'!$B$6:$B$47,$B19,'Inhalation Exposure'!$D$6:$D$47,$C19),SUMIFS('Inhalation Exposure'!$O$6:$O$47,'Inhalation Exposure'!$B$6:$B$47,$B19,'Inhalation Exposure'!$D$6:$D$47,$C19)),IF($J19="Central Tendency",VLOOKUP($B19,'Dermal Exposure'!$A$6:$L$11,11,FALSE),VLOOKUP($B19,'Dermal Exposure'!$A$6:$L$11,6,FALSE))),"--")</f>
        <v>0.53462534874451983</v>
      </c>
      <c r="N19" s="273">
        <f>IFERROR(VLOOKUP($D19,$Y$9:$AC$10,5,FALSE)*IF($D19="Inhalation",IF($J19="Central Tendency",SUMIFS('Inhalation Exposure'!$P$6:$P$47,'Inhalation Exposure'!$B$6:$B$47,$B19,'Inhalation Exposure'!$D$6:$D$47,$C19),SUMIFS('Inhalation Exposure'!$Q$6:$Q$47,'Inhalation Exposure'!$B$6:$B$47,$B19,'Inhalation Exposure'!$D$6:$D$47,$C19)),IF($J19="Central Tendency",VLOOKUP($B19,'Dermal Exposure'!$A$6:$L$11,12,FALSE),VLOOKUP($B19,'Dermal Exposure'!$A$6:$L$11,7,FALSE))),"--")</f>
        <v>8.8559271007167457E-4</v>
      </c>
      <c r="O19" s="310"/>
      <c r="P19" s="310"/>
      <c r="Q19" s="310"/>
      <c r="R19" s="310"/>
      <c r="T19" s="291"/>
      <c r="U19" s="292"/>
      <c r="V19" s="292"/>
      <c r="W19" s="293"/>
    </row>
    <row r="20" spans="2:29" ht="15.75" thickBot="1" x14ac:dyDescent="0.3">
      <c r="B20" s="265" t="s">
        <v>174</v>
      </c>
      <c r="C20" s="266" t="s">
        <v>97</v>
      </c>
      <c r="D20" s="266" t="s">
        <v>166</v>
      </c>
      <c r="E20" s="283"/>
      <c r="F20" s="283"/>
      <c r="G20" s="284"/>
      <c r="H20" s="285"/>
      <c r="I20" s="300"/>
      <c r="J20" s="301"/>
      <c r="K20" s="288"/>
      <c r="L20" s="288"/>
      <c r="M20" s="288"/>
      <c r="N20" s="289"/>
      <c r="O20" s="310"/>
      <c r="P20" s="310"/>
      <c r="Q20" s="310"/>
      <c r="R20" s="310"/>
      <c r="T20" s="291"/>
      <c r="U20" s="292"/>
      <c r="V20" s="292"/>
      <c r="W20" s="293"/>
    </row>
    <row r="21" spans="2:29" ht="16.5" thickTop="1" thickBot="1" x14ac:dyDescent="0.3">
      <c r="B21" s="265" t="s">
        <v>175</v>
      </c>
      <c r="C21" s="266" t="s">
        <v>97</v>
      </c>
      <c r="D21" s="266" t="s">
        <v>166</v>
      </c>
      <c r="E21" s="283"/>
      <c r="F21" s="283"/>
      <c r="G21" s="268" t="s">
        <v>410</v>
      </c>
      <c r="H21" s="285"/>
      <c r="I21" s="309" t="s">
        <v>144</v>
      </c>
      <c r="J21" s="271" t="s">
        <v>98</v>
      </c>
      <c r="K21" s="272">
        <f>IFERROR(VLOOKUP($D21,$Y$9:$AC$10,2,FALSE)/IF($D21="Inhalation",IF($J21="Central Tendency",SUMIFS('Inhalation Exposure'!$J$6:$J$47,'Inhalation Exposure'!$B$6:$B$47,$B21,'Inhalation Exposure'!$D$6:$D$47,$C21),SUMIFS('Inhalation Exposure'!$K$6:$K$47,'Inhalation Exposure'!$B$6:$B$47,$B21,'Inhalation Exposure'!$D$6:$D$47,$C21)),IF($J21="Central Tendency",VLOOKUP($B21,'Dermal Exposure'!$A$6:$L$11,9,FALSE),VLOOKUP($B21,'Dermal Exposure'!$A$6:$L$11,4,FALSE))),"--")</f>
        <v>325.16129032258061</v>
      </c>
      <c r="L21" s="272">
        <f>IFERROR(VLOOKUP($D21,$Y$9:$AC$10,3,FALSE)/IF($D21="Inhalation",IF($J21="Central Tendency",SUMIFS('Inhalation Exposure'!$L$6:$L$47,'Inhalation Exposure'!$B$6:$B$47,$B21,'Inhalation Exposure'!$D$6:$D$47,$C21),SUMIFS('Inhalation Exposure'!$M$6:$M$47,'Inhalation Exposure'!$B$6:$B$47,$B21,'Inhalation Exposure'!$D$6:$D$47,$C21)),IF($J21="Central Tendency",VLOOKUP($B21,'Dermal Exposure'!$A$6:$L$11,10,FALSE),VLOOKUP($B21,'Dermal Exposure'!$A$6:$L$11,5,FALSE))),"--")</f>
        <v>4.8238213399503715</v>
      </c>
      <c r="M21" s="272">
        <f>IFERROR(VLOOKUP($D21,$Y$9:$AC$10,4,FALSE)/IF($D21="Inhalation",IF($J21="Central Tendency",SUMIFS('Inhalation Exposure'!$N$6:$N$47,'Inhalation Exposure'!$B$6:$B$47,$B21,'Inhalation Exposure'!$D$6:$D$47,$C21),SUMIFS('Inhalation Exposure'!$O$6:$O$47,'Inhalation Exposure'!$B$6:$B$47,$B21,'Inhalation Exposure'!$D$6:$D$47,$C21)),IF($J21="Central Tendency",VLOOKUP($B21,'Dermal Exposure'!$A$6:$L$11,11,FALSE),VLOOKUP($B21,'Dermal Exposure'!$A$6:$L$11,6,FALSE))),"--")</f>
        <v>4.8908188585607935</v>
      </c>
      <c r="N21" s="273">
        <f>IFERROR(VLOOKUP($D21,$Y$9:$AC$10,5,FALSE)*IF($D21="Inhalation",IF($J21="Central Tendency",SUMIFS('Inhalation Exposure'!$P$6:$P$47,'Inhalation Exposure'!$B$6:$B$47,$B21,'Inhalation Exposure'!$D$6:$D$47,$C21),SUMIFS('Inhalation Exposure'!$Q$6:$Q$47,'Inhalation Exposure'!$B$6:$B$47,$B21,'Inhalation Exposure'!$D$6:$D$47,$C21)),IF($J21="Central Tendency",VLOOKUP($B21,'Dermal Exposure'!$A$6:$L$11,12,FALSE),VLOOKUP($B21,'Dermal Exposure'!$A$6:$L$11,7,FALSE))),"--")</f>
        <v>7.5024602627671796E-5</v>
      </c>
      <c r="O21" s="310"/>
      <c r="P21" s="310"/>
      <c r="Q21" s="310"/>
      <c r="R21" s="310"/>
      <c r="T21" s="291"/>
      <c r="U21" s="292"/>
      <c r="V21" s="292"/>
      <c r="W21" s="293"/>
    </row>
    <row r="22" spans="2:29" ht="15.75" thickBot="1" x14ac:dyDescent="0.3">
      <c r="B22" s="265" t="s">
        <v>175</v>
      </c>
      <c r="C22" s="266" t="s">
        <v>97</v>
      </c>
      <c r="D22" s="266" t="s">
        <v>166</v>
      </c>
      <c r="E22" s="283"/>
      <c r="F22" s="283"/>
      <c r="G22" s="284"/>
      <c r="H22" s="285"/>
      <c r="I22" s="286"/>
      <c r="J22" s="287"/>
      <c r="K22" s="288"/>
      <c r="L22" s="288"/>
      <c r="M22" s="288"/>
      <c r="N22" s="289"/>
      <c r="O22" s="310"/>
      <c r="P22" s="310"/>
      <c r="Q22" s="310"/>
      <c r="R22" s="310"/>
      <c r="T22" s="291"/>
      <c r="U22" s="292"/>
      <c r="V22" s="292"/>
      <c r="W22" s="293"/>
    </row>
    <row r="23" spans="2:29" ht="15.75" thickBot="1" x14ac:dyDescent="0.3">
      <c r="B23" s="265" t="s">
        <v>175</v>
      </c>
      <c r="C23" s="266" t="s">
        <v>97</v>
      </c>
      <c r="D23" s="266" t="s">
        <v>166</v>
      </c>
      <c r="E23" s="283"/>
      <c r="F23" s="283"/>
      <c r="G23" s="284"/>
      <c r="H23" s="285"/>
      <c r="I23" s="286"/>
      <c r="J23" s="271" t="s">
        <v>168</v>
      </c>
      <c r="K23" s="272">
        <f>IFERROR(VLOOKUP($D23,$Y$9:$AC$10,2,FALSE)/IF($D23="Inhalation",IF($J23="Central Tendency",SUMIFS('Inhalation Exposure'!$J$6:$J$47,'Inhalation Exposure'!$B$6:$B$47,$B23,'Inhalation Exposure'!$D$6:$D$47,$C23),SUMIFS('Inhalation Exposure'!$K$6:$K$47,'Inhalation Exposure'!$B$6:$B$47,$B23,'Inhalation Exposure'!$D$6:$D$47,$C23)),IF($J23="Central Tendency",VLOOKUP($B23,'Dermal Exposure'!$A$6:$L$11,9,FALSE),VLOOKUP($B23,'Dermal Exposure'!$A$6:$L$11,4,FALSE))),"--")</f>
        <v>44.258064516129039</v>
      </c>
      <c r="L23" s="272">
        <f>IFERROR(VLOOKUP($D23,$Y$9:$AC$10,3,FALSE)/IF($D23="Inhalation",IF($J23="Central Tendency",SUMIFS('Inhalation Exposure'!$L$6:$L$47,'Inhalation Exposure'!$B$6:$B$47,$B23,'Inhalation Exposure'!$D$6:$D$47,$C23),SUMIFS('Inhalation Exposure'!$M$6:$M$47,'Inhalation Exposure'!$B$6:$B$47,$B23,'Inhalation Exposure'!$D$6:$D$47,$C23)),IF($J23="Central Tendency",VLOOKUP($B23,'Dermal Exposure'!$A$6:$L$11,10,FALSE),VLOOKUP($B23,'Dermal Exposure'!$A$6:$L$11,5,FALSE))),"--")</f>
        <v>0.65657568238213404</v>
      </c>
      <c r="M23" s="272">
        <f>IFERROR(VLOOKUP($D23,$Y$9:$AC$10,4,FALSE)/IF($D23="Inhalation",IF($J23="Central Tendency",SUMIFS('Inhalation Exposure'!$N$6:$N$47,'Inhalation Exposure'!$B$6:$B$47,$B23,'Inhalation Exposure'!$D$6:$D$47,$C23),SUMIFS('Inhalation Exposure'!$O$6:$O$47,'Inhalation Exposure'!$B$6:$B$47,$B23,'Inhalation Exposure'!$D$6:$D$47,$C23)),IF($J23="Central Tendency",VLOOKUP($B23,'Dermal Exposure'!$A$6:$L$11,11,FALSE),VLOOKUP($B23,'Dermal Exposure'!$A$6:$L$11,6,FALSE))),"--")</f>
        <v>0.66569478908188595</v>
      </c>
      <c r="N23" s="273">
        <f>IFERROR(VLOOKUP($D23,$Y$9:$AC$10,5,FALSE)*IF($D23="Inhalation",IF($J23="Central Tendency",SUMIFS('Inhalation Exposure'!$P$6:$P$47,'Inhalation Exposure'!$B$6:$B$47,$B23,'Inhalation Exposure'!$D$6:$D$47,$C23),SUMIFS('Inhalation Exposure'!$Q$6:$Q$47,'Inhalation Exposure'!$B$6:$B$47,$B23,'Inhalation Exposure'!$D$6:$D$47,$C23)),IF($J23="Central Tendency",VLOOKUP($B23,'Dermal Exposure'!$A$6:$L$11,12,FALSE),VLOOKUP($B23,'Dermal Exposure'!$A$6:$L$11,7,FALSE))),"--")</f>
        <v>7.112273060161119E-4</v>
      </c>
      <c r="O23" s="310"/>
      <c r="P23" s="310"/>
      <c r="Q23" s="310"/>
      <c r="R23" s="310"/>
      <c r="T23" s="291"/>
      <c r="U23" s="292"/>
      <c r="V23" s="292"/>
      <c r="W23" s="293"/>
    </row>
    <row r="24" spans="2:29" ht="15.75" thickBot="1" x14ac:dyDescent="0.3">
      <c r="B24" s="265" t="s">
        <v>175</v>
      </c>
      <c r="C24" s="266" t="s">
        <v>97</v>
      </c>
      <c r="D24" s="266" t="s">
        <v>166</v>
      </c>
      <c r="E24" s="283"/>
      <c r="F24" s="283"/>
      <c r="G24" s="284"/>
      <c r="H24" s="285"/>
      <c r="I24" s="300"/>
      <c r="J24" s="301"/>
      <c r="K24" s="288"/>
      <c r="L24" s="288"/>
      <c r="M24" s="288"/>
      <c r="N24" s="289"/>
      <c r="O24" s="310"/>
      <c r="P24" s="310"/>
      <c r="Q24" s="310"/>
      <c r="R24" s="310"/>
      <c r="T24" s="291"/>
      <c r="U24" s="292"/>
      <c r="V24" s="292"/>
      <c r="W24" s="293"/>
    </row>
    <row r="25" spans="2:29" ht="16.5" thickTop="1" thickBot="1" x14ac:dyDescent="0.3">
      <c r="B25" s="265" t="s">
        <v>383</v>
      </c>
      <c r="C25" s="266" t="s">
        <v>97</v>
      </c>
      <c r="D25" s="266" t="s">
        <v>166</v>
      </c>
      <c r="E25" s="283"/>
      <c r="F25" s="283"/>
      <c r="G25" s="268" t="s">
        <v>411</v>
      </c>
      <c r="H25" s="285"/>
      <c r="I25" s="309" t="s">
        <v>144</v>
      </c>
      <c r="J25" s="314" t="s">
        <v>98</v>
      </c>
      <c r="K25" s="272">
        <f>IFERROR(VLOOKUP($D25,$Y$9:$AC$10,2,FALSE)/IF($D25="Inhalation",IF($J25="Central Tendency",SUMIFS('Inhalation Exposure'!$J$6:$J$47,'Inhalation Exposure'!$B$6:$B$47,$B25,'Inhalation Exposure'!$D$6:$D$47,$C25),SUMIFS('Inhalation Exposure'!$K$6:$K$47,'Inhalation Exposure'!$B$6:$B$47,$B25,'Inhalation Exposure'!$D$6:$D$47,$C25)),IF($J25="Central Tendency",VLOOKUP($B25,'Dermal Exposure'!$A$6:$L$11,9,FALSE),VLOOKUP($B25,'Dermal Exposure'!$A$6:$L$11,4,FALSE))),"--")</f>
        <v>5100.9423813417097</v>
      </c>
      <c r="L25" s="272">
        <f>IFERROR(VLOOKUP($D25,$Y$9:$AC$10,3,FALSE)/IF($D25="Inhalation",IF($J25="Central Tendency",SUMIFS('Inhalation Exposure'!$L$6:$L$47,'Inhalation Exposure'!$B$6:$B$47,$B25,'Inhalation Exposure'!$D$6:$D$47,$C25),SUMIFS('Inhalation Exposure'!$M$6:$M$47,'Inhalation Exposure'!$B$6:$B$47,$B25,'Inhalation Exposure'!$D$6:$D$47,$C25)),IF($J25="Central Tendency",VLOOKUP($B25,'Dermal Exposure'!$A$6:$L$11,10,FALSE),VLOOKUP($B25,'Dermal Exposure'!$A$6:$L$11,5,FALSE))),"--")</f>
        <v>44.716053342930579</v>
      </c>
      <c r="M25" s="272">
        <f>IFERROR(VLOOKUP($D25,$Y$9:$AC$10,4,FALSE)/IF($D25="Inhalation",IF($J25="Central Tendency",SUMIFS('Inhalation Exposure'!$N$6:$N$47,'Inhalation Exposure'!$B$6:$B$47,$B25,'Inhalation Exposure'!$D$6:$D$47,$C25),SUMIFS('Inhalation Exposure'!$O$6:$O$47,'Inhalation Exposure'!$B$6:$B$47,$B25,'Inhalation Exposure'!$D$6:$D$47,$C25)),IF($J25="Central Tendency",VLOOKUP($B25,'Dermal Exposure'!$A$6:$L$11,11,FALSE),VLOOKUP($B25,'Dermal Exposure'!$A$6:$L$11,6,FALSE))),"--")</f>
        <v>47.87598777916434</v>
      </c>
      <c r="N25" s="273">
        <f>IFERROR(VLOOKUP($D25,$Y$9:$AC$10,5,FALSE)*IF($D25="Inhalation",IF($J25="Central Tendency",SUMIFS('Inhalation Exposure'!$P$6:$P$47,'Inhalation Exposure'!$B$6:$B$47,$B25,'Inhalation Exposure'!$D$6:$D$47,$C25),SUMIFS('Inhalation Exposure'!$Q$6:$Q$47,'Inhalation Exposure'!$B$6:$B$47,$B25,'Inhalation Exposure'!$D$6:$D$47,$C25)),IF($J25="Central Tendency",VLOOKUP($B25,'Dermal Exposure'!$A$6:$L$11,12,FALSE),VLOOKUP($B25,'Dermal Exposure'!$A$6:$L$11,7,FALSE))),"--")</f>
        <v>7.6642124457040643E-6</v>
      </c>
      <c r="O25" s="274" t="str">
        <f>IFERROR(#REF!*T25, "--")</f>
        <v>--</v>
      </c>
      <c r="P25" s="274" t="str">
        <f>IFERROR(#REF!*U25, "--")</f>
        <v>--</v>
      </c>
      <c r="Q25" s="274" t="str">
        <f>IFERROR(#REF!*V25, "--")</f>
        <v>--</v>
      </c>
      <c r="R25" s="315" t="str">
        <f>IFERROR(#REF!/W25, "--")</f>
        <v>--</v>
      </c>
      <c r="T25" s="291">
        <v>5</v>
      </c>
      <c r="U25" s="292">
        <v>5</v>
      </c>
      <c r="V25" s="292">
        <v>5</v>
      </c>
      <c r="W25" s="293">
        <v>5</v>
      </c>
      <c r="AC25" s="316"/>
    </row>
    <row r="26" spans="2:29" ht="15.75" thickBot="1" x14ac:dyDescent="0.3">
      <c r="B26" s="265" t="s">
        <v>383</v>
      </c>
      <c r="C26" s="266" t="s">
        <v>97</v>
      </c>
      <c r="D26" s="266" t="s">
        <v>166</v>
      </c>
      <c r="E26" s="283"/>
      <c r="F26" s="283"/>
      <c r="G26" s="284"/>
      <c r="H26" s="285"/>
      <c r="I26" s="286"/>
      <c r="J26" s="287"/>
      <c r="K26" s="288"/>
      <c r="L26" s="288"/>
      <c r="M26" s="288"/>
      <c r="N26" s="289"/>
      <c r="O26" s="274" t="str">
        <f>CONCATENATE("(PF ",T25,")")</f>
        <v>(PF 5)</v>
      </c>
      <c r="P26" s="274" t="str">
        <f>CONCATENATE("(PF ",U25,")")</f>
        <v>(PF 5)</v>
      </c>
      <c r="Q26" s="274" t="str">
        <f>CONCATENATE("(PF ",V25,")")</f>
        <v>(PF 5)</v>
      </c>
      <c r="R26" s="315" t="str">
        <f>CONCATENATE("(PF ",W25,")")</f>
        <v>(PF 5)</v>
      </c>
      <c r="T26" s="303" t="s">
        <v>176</v>
      </c>
      <c r="U26" s="304" t="s">
        <v>176</v>
      </c>
      <c r="V26" s="304" t="s">
        <v>176</v>
      </c>
      <c r="W26" s="305" t="s">
        <v>176</v>
      </c>
      <c r="AC26" s="316"/>
    </row>
    <row r="27" spans="2:29" ht="15.75" thickBot="1" x14ac:dyDescent="0.3">
      <c r="B27" s="265" t="s">
        <v>383</v>
      </c>
      <c r="C27" s="266" t="s">
        <v>97</v>
      </c>
      <c r="D27" s="266" t="s">
        <v>166</v>
      </c>
      <c r="E27" s="283"/>
      <c r="F27" s="283"/>
      <c r="G27" s="284"/>
      <c r="H27" s="285"/>
      <c r="I27" s="286"/>
      <c r="J27" s="271" t="s">
        <v>168</v>
      </c>
      <c r="K27" s="272">
        <f>IFERROR(VLOOKUP($D27,$Y$9:$AC$10,2,FALSE)/IF($D27="Inhalation",IF($J27="Central Tendency",SUMIFS('Inhalation Exposure'!$J$6:$J$47,'Inhalation Exposure'!$B$6:$B$47,$B27,'Inhalation Exposure'!$D$6:$D$47,$C27),SUMIFS('Inhalation Exposure'!$K$6:$K$47,'Inhalation Exposure'!$B$6:$B$47,$B27,'Inhalation Exposure'!$D$6:$D$47,$C27)),IF($J27="Central Tendency",VLOOKUP($B27,'Dermal Exposure'!$A$6:$L$11,9,FALSE),VLOOKUP($B27,'Dermal Exposure'!$A$6:$L$11,4,FALSE))),"--")</f>
        <v>184.92614080437826</v>
      </c>
      <c r="L27" s="272">
        <f>IFERROR(VLOOKUP($D27,$Y$9:$AC$10,3,FALSE)/IF($D27="Inhalation",IF($J27="Central Tendency",SUMIFS('Inhalation Exposure'!$L$6:$L$47,'Inhalation Exposure'!$B$6:$B$47,$B27,'Inhalation Exposure'!$D$6:$D$47,$C27),SUMIFS('Inhalation Exposure'!$M$6:$M$47,'Inhalation Exposure'!$B$6:$B$47,$B27,'Inhalation Exposure'!$D$6:$D$47,$C27)),IF($J27="Central Tendency",VLOOKUP($B27,'Dermal Exposure'!$A$6:$L$11,10,FALSE),VLOOKUP($B27,'Dermal Exposure'!$A$6:$L$11,5,FALSE))),"--")</f>
        <v>1.6211057797786406</v>
      </c>
      <c r="M27" s="272">
        <f>IFERROR(VLOOKUP($D27,$Y$9:$AC$10,4,FALSE)/IF($D27="Inhalation",IF($J27="Central Tendency",SUMIFS('Inhalation Exposure'!$N$6:$N$47,'Inhalation Exposure'!$B$6:$B$47,$B27,'Inhalation Exposure'!$D$6:$D$47,$C27),SUMIFS('Inhalation Exposure'!$O$6:$O$47,'Inhalation Exposure'!$B$6:$B$47,$B27,'Inhalation Exposure'!$D$6:$D$47,$C27)),IF($J27="Central Tendency",VLOOKUP($B27,'Dermal Exposure'!$A$6:$L$11,11,FALSE),VLOOKUP($B27,'Dermal Exposure'!$A$6:$L$11,6,FALSE))),"--")</f>
        <v>1.7356639215496641</v>
      </c>
      <c r="N27" s="273">
        <f>IFERROR(VLOOKUP($D27,$Y$9:$AC$10,5,FALSE)*IF($D27="Inhalation",IF($J27="Central Tendency",SUMIFS('Inhalation Exposure'!$P$6:$P$47,'Inhalation Exposure'!$B$6:$B$47,$B27,'Inhalation Exposure'!$D$6:$D$47,$C27),SUMIFS('Inhalation Exposure'!$Q$6:$Q$47,'Inhalation Exposure'!$B$6:$B$47,$B27,'Inhalation Exposure'!$D$6:$D$47,$C27)),IF($J27="Central Tendency",VLOOKUP($B27,'Dermal Exposure'!$A$6:$L$11,12,FALSE),VLOOKUP($B27,'Dermal Exposure'!$A$6:$L$11,7,FALSE))),"--")</f>
        <v>2.727834032782976E-4</v>
      </c>
      <c r="O27" s="317" t="str">
        <f>IFERROR(#REF!*T27, "--")</f>
        <v>--</v>
      </c>
      <c r="P27" s="317" t="str">
        <f>IFERROR(#REF!*U27, "--")</f>
        <v>--</v>
      </c>
      <c r="Q27" s="317" t="str">
        <f>IFERROR(#REF!*V27, "--")</f>
        <v>--</v>
      </c>
      <c r="R27" s="318" t="str">
        <f>IFERROR(#REF!/W27, "--")</f>
        <v>--</v>
      </c>
      <c r="T27" s="291">
        <v>5</v>
      </c>
      <c r="U27" s="292">
        <v>5</v>
      </c>
      <c r="V27" s="292">
        <v>5</v>
      </c>
      <c r="W27" s="293">
        <v>5</v>
      </c>
      <c r="AC27" s="316"/>
    </row>
    <row r="28" spans="2:29" ht="15.75" thickBot="1" x14ac:dyDescent="0.3">
      <c r="B28" s="265" t="s">
        <v>383</v>
      </c>
      <c r="C28" s="266" t="s">
        <v>97</v>
      </c>
      <c r="D28" s="266" t="s">
        <v>166</v>
      </c>
      <c r="E28" s="283"/>
      <c r="F28" s="283"/>
      <c r="G28" s="284"/>
      <c r="H28" s="285"/>
      <c r="I28" s="300"/>
      <c r="J28" s="301"/>
      <c r="K28" s="288"/>
      <c r="L28" s="288"/>
      <c r="M28" s="288"/>
      <c r="N28" s="289"/>
      <c r="O28" s="302" t="str">
        <f>CONCATENATE("(PF ",T27,")")</f>
        <v>(PF 5)</v>
      </c>
      <c r="P28" s="302" t="str">
        <f>CONCATENATE("(PF ",U27,")")</f>
        <v>(PF 5)</v>
      </c>
      <c r="Q28" s="302" t="str">
        <f>CONCATENATE("(PF ",V27,")")</f>
        <v>(PF 5)</v>
      </c>
      <c r="R28" s="319" t="str">
        <f>CONCATENATE("(PF ",W27,")")</f>
        <v>(PF 5)</v>
      </c>
      <c r="T28" s="303" t="s">
        <v>176</v>
      </c>
      <c r="U28" s="304" t="s">
        <v>176</v>
      </c>
      <c r="V28" s="304" t="s">
        <v>176</v>
      </c>
      <c r="W28" s="305" t="s">
        <v>176</v>
      </c>
    </row>
    <row r="29" spans="2:29" ht="16.5" thickTop="1" thickBot="1" x14ac:dyDescent="0.3">
      <c r="B29" s="265" t="s">
        <v>384</v>
      </c>
      <c r="C29" s="266" t="s">
        <v>97</v>
      </c>
      <c r="D29" s="266" t="s">
        <v>166</v>
      </c>
      <c r="E29" s="283"/>
      <c r="F29" s="283"/>
      <c r="G29" s="268" t="s">
        <v>412</v>
      </c>
      <c r="H29" s="285"/>
      <c r="I29" s="309" t="s">
        <v>144</v>
      </c>
      <c r="J29" s="314" t="s">
        <v>98</v>
      </c>
      <c r="K29" s="272">
        <f>IFERROR(VLOOKUP($D29,$Y$9:$AC$10,2,FALSE)/IF($D29="Inhalation",IF($J29="Central Tendency",SUMIFS('Inhalation Exposure'!$J$6:$J$47,'Inhalation Exposure'!$B$6:$B$47,$B29,'Inhalation Exposure'!$D$6:$D$47,$C29),SUMIFS('Inhalation Exposure'!$K$6:$K$47,'Inhalation Exposure'!$B$6:$B$47,$B29,'Inhalation Exposure'!$D$6:$D$47,$C29)),IF($J29="Central Tendency",VLOOKUP($B29,'Dermal Exposure'!$A$6:$L$11,9,FALSE),VLOOKUP($B29,'Dermal Exposure'!$A$6:$L$11,4,FALSE))),"--")</f>
        <v>496.20361696452386</v>
      </c>
      <c r="L29" s="272">
        <f>IFERROR(VLOOKUP($D29,$Y$9:$AC$10,3,FALSE)/IF($D29="Inhalation",IF($J29="Central Tendency",SUMIFS('Inhalation Exposure'!$L$6:$L$47,'Inhalation Exposure'!$B$6:$B$47,$B29,'Inhalation Exposure'!$D$6:$D$47,$C29),SUMIFS('Inhalation Exposure'!$M$6:$M$47,'Inhalation Exposure'!$B$6:$B$47,$B29,'Inhalation Exposure'!$D$6:$D$47,$C29)),IF($J29="Central Tendency",VLOOKUP($B29,'Dermal Exposure'!$A$6:$L$11,10,FALSE),VLOOKUP($B29,'Dermal Exposure'!$A$6:$L$11,5,FALSE))),"--")</f>
        <v>47.84820592157908</v>
      </c>
      <c r="M29" s="272">
        <f>IFERROR(VLOOKUP($D29,$Y$9:$AC$10,4,FALSE)/IF($D29="Inhalation",IF($J29="Central Tendency",SUMIFS('Inhalation Exposure'!$N$6:$N$47,'Inhalation Exposure'!$B$6:$B$47,$B29,'Inhalation Exposure'!$D$6:$D$47,$C29),SUMIFS('Inhalation Exposure'!$O$6:$O$47,'Inhalation Exposure'!$B$6:$B$47,$B29,'Inhalation Exposure'!$D$6:$D$47,$C29)),IF($J29="Central Tendency",VLOOKUP($B29,'Dermal Exposure'!$A$6:$L$11,11,FALSE),VLOOKUP($B29,'Dermal Exposure'!$A$6:$L$11,6,FALSE))),"--")</f>
        <v>48.512764337156575</v>
      </c>
      <c r="N29" s="273">
        <f>IFERROR(VLOOKUP($D29,$Y$9:$AC$10,5,FALSE)*IF($D29="Inhalation",IF($J29="Central Tendency",SUMIFS('Inhalation Exposure'!$P$6:$P$47,'Inhalation Exposure'!$B$6:$B$47,$B29,'Inhalation Exposure'!$D$6:$D$47,$C29),SUMIFS('Inhalation Exposure'!$Q$6:$Q$47,'Inhalation Exposure'!$B$6:$B$47,$B29,'Inhalation Exposure'!$D$6:$D$47,$C29)),IF($J29="Central Tendency",VLOOKUP($B29,'Dermal Exposure'!$A$6:$L$11,12,FALSE),VLOOKUP($B29,'Dermal Exposure'!$A$6:$L$11,7,FALSE))),"--")</f>
        <v>7.5636123070069835E-6</v>
      </c>
      <c r="O29" s="290" t="s">
        <v>178</v>
      </c>
      <c r="P29" s="290" t="s">
        <v>178</v>
      </c>
      <c r="Q29" s="290" t="s">
        <v>178</v>
      </c>
      <c r="R29" s="290" t="s">
        <v>178</v>
      </c>
      <c r="T29" s="291" t="s">
        <v>178</v>
      </c>
      <c r="U29" s="292" t="s">
        <v>178</v>
      </c>
      <c r="V29" s="292" t="s">
        <v>178</v>
      </c>
      <c r="W29" s="293" t="s">
        <v>178</v>
      </c>
    </row>
    <row r="30" spans="2:29" ht="15.75" thickBot="1" x14ac:dyDescent="0.3">
      <c r="B30" s="265" t="s">
        <v>384</v>
      </c>
      <c r="C30" s="266" t="s">
        <v>97</v>
      </c>
      <c r="D30" s="266" t="s">
        <v>166</v>
      </c>
      <c r="E30" s="283"/>
      <c r="F30" s="283"/>
      <c r="G30" s="284"/>
      <c r="H30" s="285"/>
      <c r="I30" s="286"/>
      <c r="J30" s="287"/>
      <c r="K30" s="288"/>
      <c r="L30" s="288"/>
      <c r="M30" s="288"/>
      <c r="N30" s="289"/>
      <c r="O30" s="320" t="s">
        <v>178</v>
      </c>
      <c r="P30" s="320" t="s">
        <v>178</v>
      </c>
      <c r="Q30" s="320" t="s">
        <v>178</v>
      </c>
      <c r="R30" s="320" t="s">
        <v>178</v>
      </c>
      <c r="T30" s="321" t="s">
        <v>178</v>
      </c>
      <c r="U30" s="322" t="s">
        <v>178</v>
      </c>
      <c r="V30" s="322" t="s">
        <v>178</v>
      </c>
      <c r="W30" s="323" t="s">
        <v>178</v>
      </c>
    </row>
    <row r="31" spans="2:29" ht="15.75" thickBot="1" x14ac:dyDescent="0.3">
      <c r="B31" s="265" t="s">
        <v>384</v>
      </c>
      <c r="C31" s="266" t="s">
        <v>97</v>
      </c>
      <c r="D31" s="266" t="s">
        <v>166</v>
      </c>
      <c r="E31" s="283"/>
      <c r="F31" s="283"/>
      <c r="G31" s="284"/>
      <c r="H31" s="285"/>
      <c r="I31" s="286"/>
      <c r="J31" s="271" t="s">
        <v>168</v>
      </c>
      <c r="K31" s="272">
        <f>IFERROR(VLOOKUP($D31,$Y$9:$AC$10,2,FALSE)/IF($D31="Inhalation",IF($J31="Central Tendency",SUMIFS('Inhalation Exposure'!$J$6:$J$47,'Inhalation Exposure'!$B$6:$B$47,$B31,'Inhalation Exposure'!$D$6:$D$47,$C31),SUMIFS('Inhalation Exposure'!$K$6:$K$47,'Inhalation Exposure'!$B$6:$B$47,$B31,'Inhalation Exposure'!$D$6:$D$47,$C31)),IF($J31="Central Tendency",VLOOKUP($B31,'Dermal Exposure'!$A$6:$L$11,9,FALSE),VLOOKUP($B31,'Dermal Exposure'!$A$6:$L$11,4,FALSE))),"--")</f>
        <v>429.5326755808826</v>
      </c>
      <c r="L31" s="272">
        <f>IFERROR(VLOOKUP($D31,$Y$9:$AC$10,3,FALSE)/IF($D31="Inhalation",IF($J31="Central Tendency",SUMIFS('Inhalation Exposure'!$L$6:$L$47,'Inhalation Exposure'!$B$6:$B$47,$B31,'Inhalation Exposure'!$D$6:$D$47,$C31),SUMIFS('Inhalation Exposure'!$M$6:$M$47,'Inhalation Exposure'!$B$6:$B$47,$B31,'Inhalation Exposure'!$D$6:$D$47,$C31)),IF($J31="Central Tendency",VLOOKUP($B31,'Dermal Exposure'!$A$6:$L$11,10,FALSE),VLOOKUP($B31,'Dermal Exposure'!$A$6:$L$11,5,FALSE))),"--")</f>
        <v>41.419222288156533</v>
      </c>
      <c r="M31" s="272">
        <f>IFERROR(VLOOKUP($D31,$Y$9:$AC$10,4,FALSE)/IF($D31="Inhalation",IF($J31="Central Tendency",SUMIFS('Inhalation Exposure'!$N$6:$N$47,'Inhalation Exposure'!$B$6:$B$47,$B31,'Inhalation Exposure'!$D$6:$D$47,$C31),SUMIFS('Inhalation Exposure'!$O$6:$O$47,'Inhalation Exposure'!$B$6:$B$47,$B31,'Inhalation Exposure'!$D$6:$D$47,$C31)),IF($J31="Central Tendency",VLOOKUP($B31,'Dermal Exposure'!$A$6:$L$11,11,FALSE),VLOOKUP($B31,'Dermal Exposure'!$A$6:$L$11,6,FALSE))),"--")</f>
        <v>41.994489264380931</v>
      </c>
      <c r="N31" s="273">
        <f>IFERROR(VLOOKUP($D31,$Y$9:$AC$10,5,FALSE)*IF($D31="Inhalation",IF($J31="Central Tendency",SUMIFS('Inhalation Exposure'!$P$6:$P$47,'Inhalation Exposure'!$B$6:$B$47,$B31,'Inhalation Exposure'!$D$6:$D$47,$C31),SUMIFS('Inhalation Exposure'!$Q$6:$Q$47,'Inhalation Exposure'!$B$6:$B$47,$B31,'Inhalation Exposure'!$D$6:$D$47,$C31)),IF($J31="Central Tendency",VLOOKUP($B31,'Dermal Exposure'!$A$6:$L$11,12,FALSE),VLOOKUP($B31,'Dermal Exposure'!$A$6:$L$11,7,FALSE))),"--")</f>
        <v>1.1274343842758796E-5</v>
      </c>
      <c r="O31" s="310"/>
      <c r="P31" s="310"/>
      <c r="Q31" s="310"/>
      <c r="R31" s="310"/>
      <c r="T31" s="291"/>
      <c r="U31" s="292"/>
      <c r="V31" s="292"/>
      <c r="W31" s="293"/>
    </row>
    <row r="32" spans="2:29" ht="15.75" thickBot="1" x14ac:dyDescent="0.3">
      <c r="B32" s="265" t="s">
        <v>384</v>
      </c>
      <c r="C32" s="266" t="s">
        <v>97</v>
      </c>
      <c r="D32" s="266" t="s">
        <v>166</v>
      </c>
      <c r="E32" s="283"/>
      <c r="F32" s="283"/>
      <c r="G32" s="284"/>
      <c r="H32" s="285"/>
      <c r="I32" s="300"/>
      <c r="J32" s="301"/>
      <c r="K32" s="288"/>
      <c r="L32" s="288"/>
      <c r="M32" s="288"/>
      <c r="N32" s="289"/>
      <c r="O32" s="310"/>
      <c r="P32" s="310"/>
      <c r="Q32" s="310"/>
      <c r="R32" s="310"/>
      <c r="T32" s="291"/>
      <c r="U32" s="292"/>
      <c r="V32" s="292"/>
      <c r="W32" s="293"/>
    </row>
    <row r="33" spans="2:39" s="2" customFormat="1" ht="15.6" customHeight="1" thickTop="1" thickBot="1" x14ac:dyDescent="0.3">
      <c r="B33" s="265">
        <v>1</v>
      </c>
      <c r="C33" s="324" t="s">
        <v>97</v>
      </c>
      <c r="D33" s="324" t="s">
        <v>71</v>
      </c>
      <c r="E33" s="283"/>
      <c r="F33" s="283"/>
      <c r="G33" s="325" t="s">
        <v>418</v>
      </c>
      <c r="H33" s="285"/>
      <c r="I33" s="326" t="s">
        <v>71</v>
      </c>
      <c r="J33" s="327" t="s">
        <v>98</v>
      </c>
      <c r="K33" s="328">
        <f>IFERROR(VLOOKUP($D33,$Y$9:$AC$10,2,FALSE)/IF($D33="Inhalation",IF($J33="Central Tendency",SUMIFS('Inhalation Exposure'!$J$6:$J$47,'Inhalation Exposure'!$B$6:$B$47,$B33,'Inhalation Exposure'!$D$6:$D$47,$C33),SUMIFS('Inhalation Exposure'!$K$6:$K$47,'Inhalation Exposure'!$B$6:$B$47,$B33,'Inhalation Exposure'!$D$6:$D$47,$C33)),IF($J33="Central Tendency",VLOOKUP($B33,'Dermal Exposure'!$A$6:$L$11,9,FALSE),VLOOKUP($B33,'Dermal Exposure'!$A$6:$L$11,4,FALSE))),"--")</f>
        <v>50.84666745205098</v>
      </c>
      <c r="L33" s="328">
        <f>IFERROR(VLOOKUP($D33,$Y$9:$AC$10,3,FALSE)/IF($D33="Inhalation",IF($J33="Central Tendency",SUMIFS('Inhalation Exposure'!$L$6:$L$47,'Inhalation Exposure'!$B$6:$B$47,$B33,'Inhalation Exposure'!$D$6:$D$47,$C33),SUMIFS('Inhalation Exposure'!$M$6:$M$47,'Inhalation Exposure'!$B$6:$B$47,$B33,'Inhalation Exposure'!$D$6:$D$47,$C33)),IF($J33="Central Tendency",VLOOKUP($B33,'Dermal Exposure'!$A$6:$L$11,10,FALSE),VLOOKUP($B33,'Dermal Exposure'!$A$6:$L$11,5,FALSE))),"--")</f>
        <v>109.78257745329188</v>
      </c>
      <c r="M33" s="328">
        <f>IFERROR(VLOOKUP($D33,$Y$9:$AC$10,4,FALSE)/IF($D33="Inhalation",IF($J33="Central Tendency",SUMIFS('Inhalation Exposure'!$N$6:$N$47,'Inhalation Exposure'!$B$6:$B$47,$B33,'Inhalation Exposure'!$D$6:$D$47,$C33),SUMIFS('Inhalation Exposure'!$O$6:$O$47,'Inhalation Exposure'!$B$6:$B$47,$B33,'Inhalation Exposure'!$D$6:$D$47,$C33)),IF($J33="Central Tendency",VLOOKUP($B33,'Dermal Exposure'!$A$6:$L$11,11,FALSE),VLOOKUP($B33,'Dermal Exposure'!$A$6:$L$11,6,FALSE))),"--")</f>
        <v>117.5405462599912</v>
      </c>
      <c r="N33" s="329">
        <f>IFERROR(VLOOKUP($D33,$Y$9:$AC$10,5,FALSE)*IF($D33="Inhalation",IF($J33="Central Tendency",SUMIFS('Inhalation Exposure'!$P$6:$P$47,'Inhalation Exposure'!$B$6:$B$47,$B33,'Inhalation Exposure'!$D$6:$D$47,$C33),SUMIFS('Inhalation Exposure'!$Q$6:$Q$47,'Inhalation Exposure'!$B$6:$B$47,$B33,'Inhalation Exposure'!$D$6:$D$47,$C33)),IF($J33="Central Tendency",VLOOKUP($B33,'Dermal Exposure'!$A$6:$L$11,12,FALSE),VLOOKUP($B33,'Dermal Exposure'!$A$6:$L$11,7,FALSE))),"--")</f>
        <v>1.4238339335787826E-3</v>
      </c>
      <c r="O33" s="330"/>
      <c r="P33" s="330"/>
      <c r="Q33" s="330"/>
      <c r="R33" s="330"/>
      <c r="S33" s="226"/>
      <c r="T33" s="291"/>
      <c r="U33" s="292"/>
      <c r="V33" s="292"/>
      <c r="W33" s="293"/>
      <c r="X33" s="226"/>
      <c r="Y33" s="226"/>
      <c r="Z33" s="226"/>
      <c r="AA33" s="226"/>
      <c r="AB33" s="226"/>
      <c r="AC33" s="226"/>
      <c r="AD33" s="226"/>
      <c r="AE33" s="226"/>
      <c r="AF33" s="226"/>
      <c r="AG33" s="226"/>
      <c r="AH33" s="226"/>
      <c r="AI33" s="226"/>
      <c r="AJ33" s="226"/>
      <c r="AK33" s="226"/>
      <c r="AL33" s="226"/>
      <c r="AM33" s="226"/>
    </row>
    <row r="34" spans="2:39" s="2" customFormat="1" ht="15.6" customHeight="1" thickBot="1" x14ac:dyDescent="0.3">
      <c r="B34" s="265">
        <v>1</v>
      </c>
      <c r="C34" s="324" t="s">
        <v>97</v>
      </c>
      <c r="D34" s="324" t="s">
        <v>71</v>
      </c>
      <c r="E34" s="283"/>
      <c r="F34" s="283"/>
      <c r="G34" s="331"/>
      <c r="H34" s="285"/>
      <c r="I34" s="285"/>
      <c r="J34" s="332"/>
      <c r="K34" s="333"/>
      <c r="L34" s="333"/>
      <c r="M34" s="333"/>
      <c r="N34" s="334"/>
      <c r="O34" s="330"/>
      <c r="P34" s="330"/>
      <c r="Q34" s="330"/>
      <c r="R34" s="330"/>
      <c r="S34" s="226"/>
      <c r="T34" s="291"/>
      <c r="U34" s="292"/>
      <c r="V34" s="292"/>
      <c r="W34" s="293"/>
      <c r="X34" s="226"/>
      <c r="Y34" s="226"/>
      <c r="Z34" s="226"/>
      <c r="AA34" s="226"/>
      <c r="AB34" s="226"/>
      <c r="AC34" s="226"/>
      <c r="AD34" s="226"/>
      <c r="AE34" s="226"/>
      <c r="AF34" s="226"/>
      <c r="AG34" s="226"/>
      <c r="AH34" s="226"/>
      <c r="AI34" s="226"/>
      <c r="AJ34" s="226"/>
      <c r="AK34" s="226"/>
      <c r="AL34" s="226"/>
      <c r="AM34" s="226"/>
    </row>
    <row r="35" spans="2:39" s="2" customFormat="1" ht="15.6" customHeight="1" thickBot="1" x14ac:dyDescent="0.3">
      <c r="B35" s="265">
        <v>1</v>
      </c>
      <c r="C35" s="324" t="s">
        <v>97</v>
      </c>
      <c r="D35" s="324" t="s">
        <v>71</v>
      </c>
      <c r="E35" s="283"/>
      <c r="F35" s="283"/>
      <c r="G35" s="331"/>
      <c r="H35" s="285"/>
      <c r="I35" s="285"/>
      <c r="J35" s="335" t="s">
        <v>168</v>
      </c>
      <c r="K35" s="328">
        <f>IFERROR(VLOOKUP($D35,$Y$9:$AC$10,2,FALSE)/IF($D35="Inhalation",IF($J35="Central Tendency",SUMIFS('Inhalation Exposure'!$J$6:$J$47,'Inhalation Exposure'!$B$6:$B$47,$B35,'Inhalation Exposure'!$D$6:$D$47,$C35),SUMIFS('Inhalation Exposure'!$K$6:$K$47,'Inhalation Exposure'!$B$6:$B$47,$B35,'Inhalation Exposure'!$D$6:$D$47,$C35)),IF($J35="Central Tendency",VLOOKUP($B35,'Dermal Exposure'!$A$6:$L$11,9,FALSE),VLOOKUP($B35,'Dermal Exposure'!$A$6:$L$11,4,FALSE))),"--")</f>
        <v>20.441897342375555</v>
      </c>
      <c r="L35" s="328">
        <f>IFERROR(VLOOKUP($D35,$Y$9:$AC$10,3,FALSE)/IF($D35="Inhalation",IF($J35="Central Tendency",SUMIFS('Inhalation Exposure'!$L$6:$L$47,'Inhalation Exposure'!$B$6:$B$47,$B35,'Inhalation Exposure'!$D$6:$D$47,$C35),SUMIFS('Inhalation Exposure'!$M$6:$M$47,'Inhalation Exposure'!$B$6:$B$47,$B35,'Inhalation Exposure'!$D$6:$D$47,$C35)),IF($J35="Central Tendency",VLOOKUP($B35,'Dermal Exposure'!$A$6:$L$11,10,FALSE),VLOOKUP($B35,'Dermal Exposure'!$A$6:$L$11,5,FALSE))),"--")</f>
        <v>44.135914716492671</v>
      </c>
      <c r="M35" s="328">
        <f>IFERROR(VLOOKUP($D35,$Y$9:$AC$10,4,FALSE)/IF($D35="Inhalation",IF($J35="Central Tendency",SUMIFS('Inhalation Exposure'!$N$6:$N$47,'Inhalation Exposure'!$B$6:$B$47,$B35,'Inhalation Exposure'!$D$6:$D$47,$C35),SUMIFS('Inhalation Exposure'!$O$6:$O$47,'Inhalation Exposure'!$B$6:$B$47,$B35,'Inhalation Exposure'!$D$6:$D$47,$C35)),IF($J35="Central Tendency",VLOOKUP($B35,'Dermal Exposure'!$A$6:$L$11,11,FALSE),VLOOKUP($B35,'Dermal Exposure'!$A$6:$L$11,6,FALSE))),"--")</f>
        <v>47.254852689791491</v>
      </c>
      <c r="N35" s="329">
        <f>IFERROR(VLOOKUP($D35,$Y$9:$AC$10,5,FALSE)*IF($D35="Inhalation",IF($J35="Central Tendency",SUMIFS('Inhalation Exposure'!$P$6:$P$47,'Inhalation Exposure'!$B$6:$B$47,$B35,'Inhalation Exposure'!$D$6:$D$47,$C35),SUMIFS('Inhalation Exposure'!$Q$6:$Q$47,'Inhalation Exposure'!$B$6:$B$47,$B35,'Inhalation Exposure'!$D$6:$D$47,$C35)),IF($J35="Central Tendency",VLOOKUP($B35,'Dermal Exposure'!$A$6:$L$11,12,FALSE),VLOOKUP($B35,'Dermal Exposure'!$A$6:$L$11,7,FALSE))),"--")</f>
        <v>3.9921388915020182E-3</v>
      </c>
      <c r="O35" s="330"/>
      <c r="P35" s="330"/>
      <c r="Q35" s="330"/>
      <c r="R35" s="330"/>
      <c r="S35" s="226"/>
      <c r="T35" s="291"/>
      <c r="U35" s="292"/>
      <c r="V35" s="292"/>
      <c r="W35" s="293"/>
      <c r="X35" s="226"/>
      <c r="Y35" s="226"/>
      <c r="Z35" s="226"/>
      <c r="AA35" s="226"/>
      <c r="AB35" s="226"/>
      <c r="AC35" s="226"/>
      <c r="AD35" s="226"/>
      <c r="AE35" s="226"/>
      <c r="AF35" s="226"/>
      <c r="AG35" s="226"/>
      <c r="AH35" s="226"/>
      <c r="AI35" s="226"/>
      <c r="AJ35" s="226"/>
      <c r="AK35" s="226"/>
      <c r="AL35" s="226"/>
      <c r="AM35" s="226"/>
    </row>
    <row r="36" spans="2:39" s="2" customFormat="1" ht="15.6" customHeight="1" thickBot="1" x14ac:dyDescent="0.3">
      <c r="B36" s="265">
        <v>1</v>
      </c>
      <c r="C36" s="324" t="s">
        <v>97</v>
      </c>
      <c r="D36" s="324" t="s">
        <v>71</v>
      </c>
      <c r="E36" s="283"/>
      <c r="F36" s="283"/>
      <c r="G36" s="336"/>
      <c r="H36" s="285"/>
      <c r="I36" s="285"/>
      <c r="J36" s="332"/>
      <c r="K36" s="333"/>
      <c r="L36" s="333"/>
      <c r="M36" s="333"/>
      <c r="N36" s="334"/>
      <c r="O36" s="330"/>
      <c r="P36" s="330"/>
      <c r="Q36" s="330"/>
      <c r="R36" s="330"/>
      <c r="S36" s="226"/>
      <c r="T36" s="291"/>
      <c r="U36" s="292"/>
      <c r="V36" s="292"/>
      <c r="W36" s="293"/>
      <c r="X36" s="226"/>
      <c r="Y36" s="226"/>
      <c r="Z36" s="226"/>
      <c r="AA36" s="226"/>
      <c r="AB36" s="226"/>
      <c r="AC36" s="226"/>
      <c r="AD36" s="226"/>
      <c r="AE36" s="226"/>
      <c r="AF36" s="226"/>
      <c r="AG36" s="226"/>
      <c r="AH36" s="226"/>
      <c r="AI36" s="226"/>
      <c r="AJ36" s="226"/>
      <c r="AK36" s="226"/>
      <c r="AL36" s="226"/>
      <c r="AM36" s="226"/>
    </row>
    <row r="37" spans="2:39" s="2" customFormat="1" ht="15.75" thickBot="1" x14ac:dyDescent="0.3">
      <c r="B37" s="265" t="s">
        <v>177</v>
      </c>
      <c r="C37" s="337" t="s">
        <v>100</v>
      </c>
      <c r="D37" s="337" t="s">
        <v>166</v>
      </c>
      <c r="E37" s="283"/>
      <c r="F37" s="283"/>
      <c r="G37" s="268" t="s">
        <v>429</v>
      </c>
      <c r="H37" s="338" t="s">
        <v>100</v>
      </c>
      <c r="I37" s="338" t="s">
        <v>144</v>
      </c>
      <c r="J37" s="338" t="s">
        <v>98</v>
      </c>
      <c r="K37" s="339">
        <f>IFERROR(VLOOKUP($D37,$Y$9:$AC$10,2,FALSE)/IF($D37="Inhalation",IF($J37="Central Tendency",SUMIFS('Inhalation Exposure'!$J$6:$J$47,'Inhalation Exposure'!$B$6:$B$47,$B37,'Inhalation Exposure'!$D$6:$D$47,$C37),SUMIFS('Inhalation Exposure'!$K$6:$K$47,'Inhalation Exposure'!$B$6:$B$47,$B37,'Inhalation Exposure'!$D$6:$D$47,$C37)),IF($J37="Central Tendency",VLOOKUP($B37,'Dermal Exposure'!$A$6:$L$11,9,FALSE),VLOOKUP($B37,'Dermal Exposure'!$A$6:$L$11,4,FALSE))),"--")</f>
        <v>25091.71729145059</v>
      </c>
      <c r="L37" s="339">
        <f>IFERROR(VLOOKUP($D37,$Y$9:$AC$10,3,FALSE)/IF($D37="Inhalation",IF($J37="Central Tendency",SUMIFS('Inhalation Exposure'!$L$6:$L$47,'Inhalation Exposure'!$B$6:$B$47,$B37,'Inhalation Exposure'!$D$6:$D$47,$C37),SUMIFS('Inhalation Exposure'!$M$6:$M$47,'Inhalation Exposure'!$B$6:$B$47,$B37,'Inhalation Exposure'!$D$6:$D$47,$C37)),IF($J37="Central Tendency",VLOOKUP($B37,'Dermal Exposure'!$A$6:$L$11,10,FALSE),VLOOKUP($B37,'Dermal Exposure'!$A$6:$L$11,5,FALSE))),"--")</f>
        <v>219.95985937310579</v>
      </c>
      <c r="M37" s="339">
        <f>IFERROR(VLOOKUP($D37,$Y$9:$AC$10,4,FALSE)/IF($D37="Inhalation",IF($J37="Central Tendency",SUMIFS('Inhalation Exposure'!$N$6:$N$47,'Inhalation Exposure'!$B$6:$B$47,$B37,'Inhalation Exposure'!$D$6:$D$47,$C37),SUMIFS('Inhalation Exposure'!$O$6:$O$47,'Inhalation Exposure'!$B$6:$B$47,$B37,'Inhalation Exposure'!$D$6:$D$47,$C37)),IF($J37="Central Tendency",VLOOKUP($B37,'Dermal Exposure'!$A$6:$L$11,11,FALSE),VLOOKUP($B37,'Dermal Exposure'!$A$6:$L$11,6,FALSE))),"--")</f>
        <v>235.5036894354719</v>
      </c>
      <c r="N37" s="340">
        <f>IFERROR(VLOOKUP($D37,$Y$9:$AC$10,5,FALSE)*IF($D37="Inhalation",IF($J37="Central Tendency",SUMIFS('Inhalation Exposure'!$P$6:$P$47,'Inhalation Exposure'!$B$6:$B$47,$B37,'Inhalation Exposure'!$D$6:$D$47,$C37),SUMIFS('Inhalation Exposure'!$Q$6:$Q$47,'Inhalation Exposure'!$B$6:$B$47,$B37,'Inhalation Exposure'!$D$6:$D$47,$C37)),IF($J37="Central Tendency",VLOOKUP($B37,'Dermal Exposure'!$A$6:$L$11,12,FALSE),VLOOKUP($B37,'Dermal Exposure'!$A$6:$L$11,7,FALSE))),"--")</f>
        <v>1.5580721570308408E-6</v>
      </c>
      <c r="O37" s="330"/>
      <c r="P37" s="330"/>
      <c r="Q37" s="330"/>
      <c r="R37" s="330"/>
      <c r="S37" s="226"/>
      <c r="T37" s="291"/>
      <c r="U37" s="292"/>
      <c r="V37" s="292"/>
      <c r="W37" s="293"/>
      <c r="X37" s="226"/>
      <c r="Y37" s="226"/>
      <c r="Z37" s="226"/>
      <c r="AA37" s="226"/>
      <c r="AB37" s="226"/>
      <c r="AC37" s="226"/>
      <c r="AD37" s="226"/>
      <c r="AE37" s="226"/>
      <c r="AF37" s="226"/>
      <c r="AG37" s="226"/>
      <c r="AH37" s="226"/>
      <c r="AI37" s="226"/>
      <c r="AJ37" s="226"/>
      <c r="AK37" s="226"/>
      <c r="AL37" s="226"/>
      <c r="AM37" s="226"/>
    </row>
    <row r="38" spans="2:39" s="2" customFormat="1" ht="15.6" customHeight="1" thickBot="1" x14ac:dyDescent="0.3">
      <c r="B38" s="265" t="s">
        <v>177</v>
      </c>
      <c r="C38" s="337" t="s">
        <v>100</v>
      </c>
      <c r="D38" s="337" t="s">
        <v>166</v>
      </c>
      <c r="E38" s="283"/>
      <c r="F38" s="283"/>
      <c r="G38" s="284"/>
      <c r="H38" s="284"/>
      <c r="I38" s="284"/>
      <c r="J38" s="341"/>
      <c r="K38" s="342"/>
      <c r="L38" s="342"/>
      <c r="M38" s="342"/>
      <c r="N38" s="343"/>
      <c r="O38" s="330"/>
      <c r="P38" s="330"/>
      <c r="Q38" s="330"/>
      <c r="R38" s="330"/>
      <c r="S38" s="226"/>
      <c r="T38" s="291"/>
      <c r="U38" s="292"/>
      <c r="V38" s="292"/>
      <c r="W38" s="293"/>
      <c r="X38" s="226"/>
      <c r="Y38" s="226"/>
      <c r="Z38" s="226"/>
      <c r="AA38" s="226"/>
      <c r="AB38" s="226"/>
      <c r="AC38" s="226"/>
      <c r="AD38" s="226"/>
      <c r="AE38" s="226"/>
      <c r="AF38" s="226"/>
      <c r="AG38" s="226"/>
      <c r="AH38" s="226"/>
      <c r="AI38" s="226"/>
      <c r="AJ38" s="226"/>
      <c r="AK38" s="226"/>
      <c r="AL38" s="226"/>
      <c r="AM38" s="226"/>
    </row>
    <row r="39" spans="2:39" s="2" customFormat="1" ht="15.6" customHeight="1" thickBot="1" x14ac:dyDescent="0.3">
      <c r="B39" s="265" t="s">
        <v>177</v>
      </c>
      <c r="C39" s="337" t="s">
        <v>100</v>
      </c>
      <c r="D39" s="337" t="s">
        <v>166</v>
      </c>
      <c r="E39" s="283"/>
      <c r="F39" s="283"/>
      <c r="G39" s="284"/>
      <c r="H39" s="284"/>
      <c r="I39" s="284"/>
      <c r="J39" s="268" t="s">
        <v>168</v>
      </c>
      <c r="K39" s="339">
        <f>IFERROR(VLOOKUP($D39,$Y$9:$AC$10,2,FALSE)/IF($D39="Inhalation",IF($J39="Central Tendency",SUMIFS('Inhalation Exposure'!$J$6:$J$47,'Inhalation Exposure'!$B$6:$B$47,$B39,'Inhalation Exposure'!$D$6:$D$47,$C39),SUMIFS('Inhalation Exposure'!$K$6:$K$47,'Inhalation Exposure'!$B$6:$B$47,$B39,'Inhalation Exposure'!$D$6:$D$47,$C39)),IF($J39="Central Tendency",VLOOKUP($B39,'Dermal Exposure'!$A$6:$L$11,9,FALSE),VLOOKUP($B39,'Dermal Exposure'!$A$6:$L$11,4,FALSE))),"--")</f>
        <v>6910.9925666812442</v>
      </c>
      <c r="L39" s="339">
        <f>IFERROR(VLOOKUP($D39,$Y$9:$AC$10,3,FALSE)/IF($D39="Inhalation",IF($J39="Central Tendency",SUMIFS('Inhalation Exposure'!$L$6:$L$47,'Inhalation Exposure'!$B$6:$B$47,$B39,'Inhalation Exposure'!$D$6:$D$47,$C39),SUMIFS('Inhalation Exposure'!$M$6:$M$47,'Inhalation Exposure'!$B$6:$B$47,$B39,'Inhalation Exposure'!$D$6:$D$47,$C39)),IF($J39="Central Tendency",VLOOKUP($B39,'Dermal Exposure'!$A$6:$L$11,10,FALSE),VLOOKUP($B39,'Dermal Exposure'!$A$6:$L$11,5,FALSE))),"--")</f>
        <v>60.583376396231678</v>
      </c>
      <c r="M39" s="339">
        <f>IFERROR(VLOOKUP($D39,$Y$9:$AC$10,4,FALSE)/IF($D39="Inhalation",IF($J39="Central Tendency",SUMIFS('Inhalation Exposure'!$N$6:$N$47,'Inhalation Exposure'!$B$6:$B$47,$B39,'Inhalation Exposure'!$D$6:$D$47,$C39),SUMIFS('Inhalation Exposure'!$O$6:$O$47,'Inhalation Exposure'!$B$6:$B$47,$B39,'Inhalation Exposure'!$D$6:$D$47,$C39)),IF($J39="Central Tendency",VLOOKUP($B39,'Dermal Exposure'!$A$6:$L$11,11,FALSE),VLOOKUP($B39,'Dermal Exposure'!$A$6:$L$11,6,FALSE))),"--")</f>
        <v>64.864601661565388</v>
      </c>
      <c r="N39" s="340">
        <f>IFERROR(VLOOKUP($D39,$Y$9:$AC$10,5,FALSE)*IF($D39="Inhalation",IF($J39="Central Tendency",SUMIFS('Inhalation Exposure'!$P$6:$P$47,'Inhalation Exposure'!$B$6:$B$47,$B39,'Inhalation Exposure'!$D$6:$D$47,$C39),SUMIFS('Inhalation Exposure'!$Q$6:$Q$47,'Inhalation Exposure'!$B$6:$B$47,$B39,'Inhalation Exposure'!$D$6:$D$47,$C39)),IF($J39="Central Tendency",VLOOKUP($B39,'Dermal Exposure'!$A$6:$L$11,12,FALSE),VLOOKUP($B39,'Dermal Exposure'!$A$6:$L$11,7,FALSE))),"--")</f>
        <v>7.2992094199233437E-6</v>
      </c>
      <c r="O39" s="330"/>
      <c r="P39" s="330"/>
      <c r="Q39" s="330"/>
      <c r="R39" s="330"/>
      <c r="S39" s="226"/>
      <c r="T39" s="291"/>
      <c r="U39" s="292"/>
      <c r="V39" s="292"/>
      <c r="W39" s="293"/>
      <c r="X39" s="226"/>
      <c r="Y39" s="226"/>
      <c r="Z39" s="226"/>
      <c r="AA39" s="226"/>
      <c r="AB39" s="226"/>
      <c r="AC39" s="226"/>
      <c r="AD39" s="226"/>
      <c r="AE39" s="226"/>
      <c r="AF39" s="226"/>
      <c r="AG39" s="226"/>
      <c r="AH39" s="226"/>
      <c r="AI39" s="226"/>
      <c r="AJ39" s="226"/>
      <c r="AK39" s="226"/>
      <c r="AL39" s="226"/>
      <c r="AM39" s="226"/>
    </row>
    <row r="40" spans="2:39" s="2" customFormat="1" ht="15.6" customHeight="1" thickBot="1" x14ac:dyDescent="0.3">
      <c r="B40" s="265" t="s">
        <v>177</v>
      </c>
      <c r="C40" s="337" t="s">
        <v>100</v>
      </c>
      <c r="D40" s="337" t="s">
        <v>166</v>
      </c>
      <c r="E40" s="344"/>
      <c r="F40" s="344"/>
      <c r="G40" s="341"/>
      <c r="H40" s="341"/>
      <c r="I40" s="341"/>
      <c r="J40" s="341"/>
      <c r="K40" s="342"/>
      <c r="L40" s="342"/>
      <c r="M40" s="342"/>
      <c r="N40" s="343"/>
      <c r="O40" s="330"/>
      <c r="P40" s="330"/>
      <c r="Q40" s="330"/>
      <c r="R40" s="330"/>
      <c r="S40" s="226"/>
      <c r="T40" s="291"/>
      <c r="U40" s="292"/>
      <c r="V40" s="292"/>
      <c r="W40" s="293"/>
      <c r="X40" s="226"/>
      <c r="Y40" s="226"/>
      <c r="Z40" s="226"/>
      <c r="AA40" s="226"/>
      <c r="AB40" s="226"/>
      <c r="AC40" s="226"/>
      <c r="AD40" s="226"/>
      <c r="AE40" s="226"/>
      <c r="AF40" s="226"/>
      <c r="AG40" s="226"/>
      <c r="AH40" s="226"/>
      <c r="AI40" s="226"/>
      <c r="AJ40" s="226"/>
      <c r="AK40" s="226"/>
      <c r="AL40" s="226"/>
      <c r="AM40" s="226"/>
    </row>
    <row r="41" spans="2:39" s="2" customFormat="1" ht="15.6" customHeight="1" thickBot="1" x14ac:dyDescent="0.3">
      <c r="B41" s="265">
        <v>2</v>
      </c>
      <c r="C41" s="324" t="s">
        <v>97</v>
      </c>
      <c r="D41" s="324" t="s">
        <v>166</v>
      </c>
      <c r="E41" s="267" t="s">
        <v>179</v>
      </c>
      <c r="F41" s="267" t="s">
        <v>180</v>
      </c>
      <c r="G41" s="325" t="s">
        <v>438</v>
      </c>
      <c r="H41" s="285" t="s">
        <v>97</v>
      </c>
      <c r="I41" s="285" t="s">
        <v>144</v>
      </c>
      <c r="J41" s="285" t="s">
        <v>98</v>
      </c>
      <c r="K41" s="328">
        <f>IFERROR(VLOOKUP($D41,$Y$9:$AC$10,2,FALSE)/IF($D41="Inhalation",IF($J41="Central Tendency",SUMIFS('Inhalation Exposure'!$J$6:$J$47,'Inhalation Exposure'!$B$6:$B$47,$B41,'Inhalation Exposure'!$D$6:$D$47,$C41),SUMIFS('Inhalation Exposure'!$K$6:$K$47,'Inhalation Exposure'!$B$6:$B$47,$B41,'Inhalation Exposure'!$D$6:$D$47,$C41)),IF($J41="Central Tendency",VLOOKUP($B41,'Dermal Exposure'!$A$6:$L$11,9,FALSE),VLOOKUP($B41,'Dermal Exposure'!$A$6:$L$11,4,FALSE))),"--")</f>
        <v>325.16129032258061</v>
      </c>
      <c r="L41" s="328">
        <f>IFERROR(VLOOKUP($D41,$Y$9:$AC$10,3,FALSE)/IF($D41="Inhalation",IF($J41="Central Tendency",SUMIFS('Inhalation Exposure'!$L$6:$L$47,'Inhalation Exposure'!$B$6:$B$47,$B41,'Inhalation Exposure'!$D$6:$D$47,$C41),SUMIFS('Inhalation Exposure'!$M$6:$M$47,'Inhalation Exposure'!$B$6:$B$47,$B41,'Inhalation Exposure'!$D$6:$D$47,$C41)),IF($J41="Central Tendency",VLOOKUP($B41,'Dermal Exposure'!$A$6:$L$11,10,FALSE),VLOOKUP($B41,'Dermal Exposure'!$A$6:$L$11,5,FALSE))),"--")</f>
        <v>2.8504398826979465</v>
      </c>
      <c r="M41" s="328">
        <f>IFERROR(VLOOKUP($D41,$Y$9:$AC$10,4,FALSE)/IF($D41="Inhalation",IF($J41="Central Tendency",SUMIFS('Inhalation Exposure'!$N$6:$N$47,'Inhalation Exposure'!$B$6:$B$47,$B41,'Inhalation Exposure'!$D$6:$D$47,$C41),SUMIFS('Inhalation Exposure'!$O$6:$O$47,'Inhalation Exposure'!$B$6:$B$47,$B41,'Inhalation Exposure'!$D$6:$D$47,$C41)),IF($J41="Central Tendency",VLOOKUP($B41,'Dermal Exposure'!$A$6:$L$11,11,FALSE),VLOOKUP($B41,'Dermal Exposure'!$A$6:$L$11,6,FALSE))),"--")</f>
        <v>3.0518709677419351</v>
      </c>
      <c r="N41" s="329">
        <f>IFERROR(VLOOKUP($D41,$Y$9:$AC$10,5,FALSE)*IF($D41="Inhalation",IF($J41="Central Tendency",SUMIFS('Inhalation Exposure'!$P$6:$P$47,'Inhalation Exposure'!$B$6:$B$47,$B41,'Inhalation Exposure'!$D$6:$D$47,$C41),SUMIFS('Inhalation Exposure'!$Q$6:$Q$47,'Inhalation Exposure'!$B$6:$B$47,$B41,'Inhalation Exposure'!$D$6:$D$47,$C41)),IF($J41="Central Tendency",VLOOKUP($B41,'Dermal Exposure'!$A$6:$L$11,12,FALSE),VLOOKUP($B41,'Dermal Exposure'!$A$6:$L$11,7,FALSE))),"--")</f>
        <v>1.2023173498024329E-4</v>
      </c>
      <c r="O41" s="330"/>
      <c r="P41" s="330"/>
      <c r="Q41" s="330"/>
      <c r="R41" s="330"/>
      <c r="S41" s="226"/>
      <c r="T41" s="291"/>
      <c r="U41" s="292"/>
      <c r="V41" s="292"/>
      <c r="W41" s="293"/>
      <c r="X41" s="226"/>
      <c r="Y41" s="226"/>
      <c r="Z41" s="226"/>
      <c r="AA41" s="226"/>
      <c r="AB41" s="226"/>
      <c r="AC41" s="226"/>
      <c r="AD41" s="226"/>
      <c r="AE41" s="226"/>
      <c r="AF41" s="226"/>
      <c r="AG41" s="226"/>
      <c r="AH41" s="226"/>
      <c r="AI41" s="226"/>
      <c r="AJ41" s="226"/>
      <c r="AK41" s="226"/>
      <c r="AL41" s="226"/>
      <c r="AM41" s="226"/>
    </row>
    <row r="42" spans="2:39" s="2" customFormat="1" ht="15.6" customHeight="1" thickBot="1" x14ac:dyDescent="0.3">
      <c r="B42" s="265">
        <v>2</v>
      </c>
      <c r="C42" s="324" t="s">
        <v>97</v>
      </c>
      <c r="D42" s="324" t="s">
        <v>166</v>
      </c>
      <c r="E42" s="283"/>
      <c r="F42" s="283"/>
      <c r="G42" s="331"/>
      <c r="H42" s="285"/>
      <c r="I42" s="285"/>
      <c r="J42" s="345"/>
      <c r="K42" s="333"/>
      <c r="L42" s="333"/>
      <c r="M42" s="333"/>
      <c r="N42" s="334"/>
      <c r="O42" s="330"/>
      <c r="P42" s="330"/>
      <c r="Q42" s="330"/>
      <c r="R42" s="330"/>
      <c r="S42" s="226"/>
      <c r="T42" s="291"/>
      <c r="U42" s="292"/>
      <c r="V42" s="292"/>
      <c r="W42" s="293"/>
      <c r="X42" s="226"/>
      <c r="Y42" s="226"/>
      <c r="Z42" s="226"/>
      <c r="AA42" s="226"/>
      <c r="AB42" s="226"/>
      <c r="AC42" s="226"/>
      <c r="AD42" s="226"/>
      <c r="AE42" s="226"/>
      <c r="AF42" s="226"/>
      <c r="AG42" s="226"/>
      <c r="AH42" s="226"/>
      <c r="AI42" s="226"/>
      <c r="AJ42" s="226"/>
      <c r="AK42" s="226"/>
      <c r="AL42" s="226"/>
      <c r="AM42" s="226"/>
    </row>
    <row r="43" spans="2:39" s="2" customFormat="1" ht="15.6" customHeight="1" thickBot="1" x14ac:dyDescent="0.3">
      <c r="B43" s="265">
        <v>2</v>
      </c>
      <c r="C43" s="324" t="s">
        <v>97</v>
      </c>
      <c r="D43" s="324" t="s">
        <v>166</v>
      </c>
      <c r="E43" s="283"/>
      <c r="F43" s="283"/>
      <c r="G43" s="331"/>
      <c r="H43" s="285"/>
      <c r="I43" s="285"/>
      <c r="J43" s="269" t="s">
        <v>168</v>
      </c>
      <c r="K43" s="328">
        <f>IFERROR(VLOOKUP($D43,$Y$9:$AC$10,2,FALSE)/IF($D43="Inhalation",IF($J43="Central Tendency",SUMIFS('Inhalation Exposure'!$J$6:$J$47,'Inhalation Exposure'!$B$6:$B$47,$B43,'Inhalation Exposure'!$D$6:$D$47,$C43),SUMIFS('Inhalation Exposure'!$K$6:$K$47,'Inhalation Exposure'!$B$6:$B$47,$B43,'Inhalation Exposure'!$D$6:$D$47,$C43)),IF($J43="Central Tendency",VLOOKUP($B43,'Dermal Exposure'!$A$6:$L$11,9,FALSE),VLOOKUP($B43,'Dermal Exposure'!$A$6:$L$11,4,FALSE))),"--")</f>
        <v>44.258064516129039</v>
      </c>
      <c r="L43" s="328">
        <f>IFERROR(VLOOKUP($D43,$Y$9:$AC$10,3,FALSE)/IF($D43="Inhalation",IF($J43="Central Tendency",SUMIFS('Inhalation Exposure'!$L$6:$L$47,'Inhalation Exposure'!$B$6:$B$47,$B43,'Inhalation Exposure'!$D$6:$D$47,$C43),SUMIFS('Inhalation Exposure'!$M$6:$M$47,'Inhalation Exposure'!$B$6:$B$47,$B43,'Inhalation Exposure'!$D$6:$D$47,$C43)),IF($J43="Central Tendency",VLOOKUP($B43,'Dermal Exposure'!$A$6:$L$11,10,FALSE),VLOOKUP($B43,'Dermal Exposure'!$A$6:$L$11,5,FALSE))),"--")</f>
        <v>0.38797653958944289</v>
      </c>
      <c r="M43" s="328">
        <f>IFERROR(VLOOKUP($D43,$Y$9:$AC$10,4,FALSE)/IF($D43="Inhalation",IF($J43="Central Tendency",SUMIFS('Inhalation Exposure'!$N$6:$N$47,'Inhalation Exposure'!$B$6:$B$47,$B43,'Inhalation Exposure'!$D$6:$D$47,$C43),SUMIFS('Inhalation Exposure'!$O$6:$O$47,'Inhalation Exposure'!$B$6:$B$47,$B43,'Inhalation Exposure'!$D$6:$D$47,$C43)),IF($J43="Central Tendency",VLOOKUP($B43,'Dermal Exposure'!$A$6:$L$11,11,FALSE),VLOOKUP($B43,'Dermal Exposure'!$A$6:$L$11,6,FALSE))),"--")</f>
        <v>0.4153935483870968</v>
      </c>
      <c r="N43" s="329">
        <f>IFERROR(VLOOKUP($D43,$Y$9:$AC$10,5,FALSE)*IF($D43="Inhalation",IF($J43="Central Tendency",SUMIFS('Inhalation Exposure'!$P$6:$P$47,'Inhalation Exposure'!$B$6:$B$47,$B43,'Inhalation Exposure'!$D$6:$D$47,$C43),SUMIFS('Inhalation Exposure'!$Q$6:$Q$47,'Inhalation Exposure'!$B$6:$B$47,$B43,'Inhalation Exposure'!$D$6:$D$47,$C43)),IF($J43="Central Tendency",VLOOKUP($B43,'Dermal Exposure'!$A$6:$L$11,12,FALSE),VLOOKUP($B43,'Dermal Exposure'!$A$6:$L$11,7,FALSE))),"--")</f>
        <v>1.1397873493847945E-3</v>
      </c>
      <c r="O43" s="330"/>
      <c r="P43" s="330"/>
      <c r="Q43" s="330"/>
      <c r="R43" s="330"/>
      <c r="S43" s="226"/>
      <c r="T43" s="291"/>
      <c r="U43" s="292"/>
      <c r="V43" s="292"/>
      <c r="W43" s="293"/>
      <c r="X43" s="226"/>
      <c r="Y43" s="226"/>
      <c r="Z43" s="226"/>
      <c r="AA43" s="226"/>
      <c r="AB43" s="226"/>
      <c r="AC43" s="226"/>
      <c r="AD43" s="226"/>
      <c r="AE43" s="226"/>
      <c r="AF43" s="226"/>
      <c r="AG43" s="226"/>
      <c r="AH43" s="226"/>
      <c r="AI43" s="226"/>
      <c r="AJ43" s="226"/>
      <c r="AK43" s="226"/>
      <c r="AL43" s="226"/>
      <c r="AM43" s="226"/>
    </row>
    <row r="44" spans="2:39" s="2" customFormat="1" ht="15.6" customHeight="1" thickBot="1" x14ac:dyDescent="0.3">
      <c r="B44" s="265">
        <v>2</v>
      </c>
      <c r="C44" s="324" t="s">
        <v>97</v>
      </c>
      <c r="D44" s="324" t="s">
        <v>166</v>
      </c>
      <c r="E44" s="283"/>
      <c r="F44" s="283"/>
      <c r="G44" s="331"/>
      <c r="H44" s="285"/>
      <c r="I44" s="345"/>
      <c r="J44" s="345"/>
      <c r="K44" s="333"/>
      <c r="L44" s="333"/>
      <c r="M44" s="333"/>
      <c r="N44" s="334"/>
      <c r="O44" s="330"/>
      <c r="P44" s="330"/>
      <c r="Q44" s="330"/>
      <c r="R44" s="330"/>
      <c r="S44" s="226"/>
      <c r="T44" s="291"/>
      <c r="U44" s="292"/>
      <c r="V44" s="292"/>
      <c r="W44" s="293"/>
      <c r="X44" s="226"/>
      <c r="Y44" s="226"/>
      <c r="Z44" s="226"/>
      <c r="AA44" s="226"/>
      <c r="AB44" s="226"/>
      <c r="AC44" s="226"/>
      <c r="AD44" s="226"/>
      <c r="AE44" s="226"/>
      <c r="AF44" s="226"/>
      <c r="AG44" s="226"/>
      <c r="AH44" s="226"/>
      <c r="AI44" s="226"/>
      <c r="AJ44" s="226"/>
      <c r="AK44" s="226"/>
      <c r="AL44" s="226"/>
      <c r="AM44" s="226"/>
    </row>
    <row r="45" spans="2:39" s="2" customFormat="1" ht="16.5" thickTop="1" thickBot="1" x14ac:dyDescent="0.3">
      <c r="B45" s="265">
        <v>2</v>
      </c>
      <c r="C45" s="324" t="s">
        <v>97</v>
      </c>
      <c r="D45" s="324" t="s">
        <v>71</v>
      </c>
      <c r="E45" s="283"/>
      <c r="F45" s="283"/>
      <c r="G45" s="331"/>
      <c r="H45" s="285"/>
      <c r="I45" s="326" t="s">
        <v>71</v>
      </c>
      <c r="J45" s="326" t="s">
        <v>98</v>
      </c>
      <c r="K45" s="328">
        <f>IFERROR(VLOOKUP($D45,$Y$9:$AC$10,2,FALSE)/IF($D45="Inhalation",IF($J45="Central Tendency",SUMIFS('Inhalation Exposure'!$J$6:$J$47,'Inhalation Exposure'!$B$6:$B$47,$B45,'Inhalation Exposure'!$D$6:$D$47,$C45),SUMIFS('Inhalation Exposure'!$K$6:$K$47,'Inhalation Exposure'!$B$6:$B$47,$B45,'Inhalation Exposure'!$D$6:$D$47,$C45)),IF($J45="Central Tendency",VLOOKUP($B45,'Dermal Exposure'!$A$6:$L$11,9,FALSE),VLOOKUP($B45,'Dermal Exposure'!$A$6:$L$11,4,FALSE))),"--")</f>
        <v>50.822338189402458</v>
      </c>
      <c r="L45" s="328">
        <f>IFERROR(VLOOKUP($D45,$Y$9:$AC$10,3,FALSE)/IF($D45="Inhalation",IF($J45="Central Tendency",SUMIFS('Inhalation Exposure'!$L$6:$L$47,'Inhalation Exposure'!$B$6:$B$47,$B45,'Inhalation Exposure'!$D$6:$D$47,$C45),SUMIFS('Inhalation Exposure'!$M$6:$M$47,'Inhalation Exposure'!$B$6:$B$47,$B45,'Inhalation Exposure'!$D$6:$D$47,$C45)),IF($J45="Central Tendency",VLOOKUP($B45,'Dermal Exposure'!$A$6:$L$11,10,FALSE),VLOOKUP($B45,'Dermal Exposure'!$A$6:$L$11,5,FALSE))),"--")</f>
        <v>136.8545092003491</v>
      </c>
      <c r="M45" s="328">
        <f>IFERROR(VLOOKUP($D45,$Y$9:$AC$10,4,FALSE)/IF($D45="Inhalation",IF($J45="Central Tendency",SUMIFS('Inhalation Exposure'!$N$6:$N$47,'Inhalation Exposure'!$B$6:$B$47,$B45,'Inhalation Exposure'!$D$6:$D$47,$C45),SUMIFS('Inhalation Exposure'!$O$6:$O$47,'Inhalation Exposure'!$B$6:$B$47,$B45,'Inhalation Exposure'!$D$6:$D$47,$C45)),IF($J45="Central Tendency",VLOOKUP($B45,'Dermal Exposure'!$A$6:$L$11,11,FALSE),VLOOKUP($B45,'Dermal Exposure'!$A$6:$L$11,6,FALSE))),"--")</f>
        <v>146.52556118384044</v>
      </c>
      <c r="N45" s="329">
        <f>IFERROR(VLOOKUP($D45,$Y$9:$AC$10,5,FALSE)*IF($D45="Inhalation",IF($J45="Central Tendency",SUMIFS('Inhalation Exposure'!$P$6:$P$47,'Inhalation Exposure'!$B$6:$B$47,$B45,'Inhalation Exposure'!$D$6:$D$47,$C45),SUMIFS('Inhalation Exposure'!$Q$6:$Q$47,'Inhalation Exposure'!$B$6:$B$47,$B45,'Inhalation Exposure'!$D$6:$D$47,$C45)),IF($J45="Central Tendency",VLOOKUP($B45,'Dermal Exposure'!$A$6:$L$11,12,FALSE),VLOOKUP($B45,'Dermal Exposure'!$A$6:$L$11,7,FALSE))),"--")</f>
        <v>1.1462195457282022E-3</v>
      </c>
      <c r="O45" s="330"/>
      <c r="P45" s="330"/>
      <c r="Q45" s="330"/>
      <c r="R45" s="330"/>
      <c r="S45" s="226"/>
      <c r="T45" s="291"/>
      <c r="U45" s="292"/>
      <c r="V45" s="292"/>
      <c r="W45" s="293"/>
      <c r="X45" s="226"/>
      <c r="Y45" s="226"/>
      <c r="Z45" s="226"/>
      <c r="AA45" s="226"/>
      <c r="AB45" s="226"/>
      <c r="AC45" s="226"/>
      <c r="AD45" s="226"/>
      <c r="AE45" s="226"/>
      <c r="AF45" s="226"/>
      <c r="AG45" s="226"/>
      <c r="AH45" s="226"/>
      <c r="AI45" s="226"/>
      <c r="AJ45" s="226"/>
      <c r="AK45" s="226"/>
      <c r="AL45" s="226"/>
      <c r="AM45" s="226"/>
    </row>
    <row r="46" spans="2:39" s="2" customFormat="1" ht="15.6" customHeight="1" thickBot="1" x14ac:dyDescent="0.3">
      <c r="B46" s="265">
        <v>2</v>
      </c>
      <c r="C46" s="324" t="s">
        <v>97</v>
      </c>
      <c r="D46" s="324" t="s">
        <v>71</v>
      </c>
      <c r="E46" s="344"/>
      <c r="F46" s="344"/>
      <c r="G46" s="331"/>
      <c r="H46" s="285"/>
      <c r="I46" s="285"/>
      <c r="J46" s="345"/>
      <c r="K46" s="333"/>
      <c r="L46" s="333"/>
      <c r="M46" s="333"/>
      <c r="N46" s="334"/>
      <c r="O46" s="330"/>
      <c r="P46" s="330"/>
      <c r="Q46" s="330"/>
      <c r="R46" s="330"/>
      <c r="S46" s="226"/>
      <c r="T46" s="291"/>
      <c r="U46" s="292"/>
      <c r="V46" s="292"/>
      <c r="W46" s="293"/>
      <c r="X46" s="226"/>
      <c r="Y46" s="226"/>
      <c r="Z46" s="226"/>
      <c r="AA46" s="226"/>
      <c r="AB46" s="226"/>
      <c r="AC46" s="226"/>
      <c r="AD46" s="226"/>
      <c r="AE46" s="226"/>
      <c r="AF46" s="226"/>
      <c r="AG46" s="226"/>
      <c r="AH46" s="226"/>
      <c r="AI46" s="226"/>
      <c r="AJ46" s="226"/>
      <c r="AK46" s="226"/>
      <c r="AL46" s="226"/>
      <c r="AM46" s="226"/>
    </row>
    <row r="47" spans="2:39" s="2" customFormat="1" ht="15.6" customHeight="1" thickBot="1" x14ac:dyDescent="0.3">
      <c r="B47" s="265">
        <v>2</v>
      </c>
      <c r="C47" s="324" t="s">
        <v>97</v>
      </c>
      <c r="D47" s="324" t="s">
        <v>71</v>
      </c>
      <c r="E47" s="267" t="s">
        <v>182</v>
      </c>
      <c r="F47" s="283" t="s">
        <v>181</v>
      </c>
      <c r="G47" s="331"/>
      <c r="H47" s="285"/>
      <c r="I47" s="285"/>
      <c r="J47" s="269" t="s">
        <v>168</v>
      </c>
      <c r="K47" s="328">
        <f>IFERROR(VLOOKUP($D47,$Y$9:$AC$10,2,FALSE)/IF($D47="Inhalation",IF($J47="Central Tendency",SUMIFS('Inhalation Exposure'!$J$6:$J$47,'Inhalation Exposure'!$B$6:$B$47,$B47,'Inhalation Exposure'!$D$6:$D$47,$C47),SUMIFS('Inhalation Exposure'!$K$6:$K$47,'Inhalation Exposure'!$B$6:$B$47,$B47,'Inhalation Exposure'!$D$6:$D$47,$C47)),IF($J47="Central Tendency",VLOOKUP($B47,'Dermal Exposure'!$A$6:$L$11,9,FALSE),VLOOKUP($B47,'Dermal Exposure'!$A$6:$L$11,4,FALSE))),"--")</f>
        <v>20.432615995527236</v>
      </c>
      <c r="L47" s="328">
        <f>IFERROR(VLOOKUP($D47,$Y$9:$AC$10,3,FALSE)/IF($D47="Inhalation",IF($J47="Central Tendency",SUMIFS('Inhalation Exposure'!$L$6:$L$47,'Inhalation Exposure'!$B$6:$B$47,$B47,'Inhalation Exposure'!$D$6:$D$47,$C47),SUMIFS('Inhalation Exposure'!$M$6:$M$47,'Inhalation Exposure'!$B$6:$B$47,$B47,'Inhalation Exposure'!$D$6:$D$47,$C47)),IF($J47="Central Tendency",VLOOKUP($B47,'Dermal Exposure'!$A$6:$L$11,10,FALSE),VLOOKUP($B47,'Dermal Exposure'!$A$6:$L$11,5,FALSE))),"--")</f>
        <v>52.267964493121589</v>
      </c>
      <c r="M47" s="328">
        <f>IFERROR(VLOOKUP($D47,$Y$9:$AC$10,4,FALSE)/IF($D47="Inhalation",IF($J47="Central Tendency",SUMIFS('Inhalation Exposure'!$N$6:$N$47,'Inhalation Exposure'!$B$6:$B$47,$B47,'Inhalation Exposure'!$D$6:$D$47,$C47),SUMIFS('Inhalation Exposure'!$O$6:$O$47,'Inhalation Exposure'!$B$6:$B$47,$B47,'Inhalation Exposure'!$D$6:$D$47,$C47)),IF($J47="Central Tendency",VLOOKUP($B47,'Dermal Exposure'!$A$6:$L$11,11,FALSE),VLOOKUP($B47,'Dermal Exposure'!$A$6:$L$11,6,FALSE))),"--")</f>
        <v>55.961567317302176</v>
      </c>
      <c r="N47" s="329">
        <f>IFERROR(VLOOKUP($D47,$Y$9:$AC$10,5,FALSE)*IF($D47="Inhalation",IF($J47="Central Tendency",SUMIFS('Inhalation Exposure'!$P$6:$P$47,'Inhalation Exposure'!$B$6:$B$47,$B47,'Inhalation Exposure'!$D$6:$D$47,$C47),SUMIFS('Inhalation Exposure'!$Q$6:$Q$47,'Inhalation Exposure'!$B$6:$B$47,$B47,'Inhalation Exposure'!$D$6:$D$47,$C47)),IF($J47="Central Tendency",VLOOKUP($B47,'Dermal Exposure'!$A$6:$L$11,12,FALSE),VLOOKUP($B47,'Dermal Exposure'!$A$6:$L$11,7,FALSE))),"--")</f>
        <v>3.3628573314512262E-3</v>
      </c>
      <c r="O47" s="330"/>
      <c r="P47" s="330"/>
      <c r="Q47" s="330"/>
      <c r="R47" s="330"/>
      <c r="S47" s="226"/>
      <c r="T47" s="291"/>
      <c r="U47" s="292"/>
      <c r="V47" s="292"/>
      <c r="W47" s="293"/>
      <c r="X47" s="226"/>
      <c r="Y47" s="226"/>
      <c r="Z47" s="226"/>
      <c r="AA47" s="226"/>
      <c r="AB47" s="226"/>
      <c r="AC47" s="226"/>
      <c r="AD47" s="226"/>
      <c r="AE47" s="226"/>
      <c r="AF47" s="226"/>
      <c r="AG47" s="226"/>
      <c r="AH47" s="226"/>
      <c r="AI47" s="226"/>
      <c r="AJ47" s="226"/>
      <c r="AK47" s="226"/>
      <c r="AL47" s="226"/>
      <c r="AM47" s="226"/>
    </row>
    <row r="48" spans="2:39" s="2" customFormat="1" ht="15.6" customHeight="1" thickBot="1" x14ac:dyDescent="0.3">
      <c r="B48" s="265">
        <v>2</v>
      </c>
      <c r="C48" s="324" t="s">
        <v>97</v>
      </c>
      <c r="D48" s="324" t="s">
        <v>71</v>
      </c>
      <c r="E48" s="283"/>
      <c r="F48" s="283"/>
      <c r="G48" s="331"/>
      <c r="H48" s="346"/>
      <c r="I48" s="346"/>
      <c r="J48" s="345"/>
      <c r="K48" s="333"/>
      <c r="L48" s="333"/>
      <c r="M48" s="333"/>
      <c r="N48" s="334"/>
      <c r="O48" s="330"/>
      <c r="P48" s="330"/>
      <c r="Q48" s="330"/>
      <c r="R48" s="330"/>
      <c r="S48" s="226"/>
      <c r="T48" s="291"/>
      <c r="U48" s="292"/>
      <c r="V48" s="292"/>
      <c r="W48" s="293"/>
      <c r="X48" s="226"/>
      <c r="Y48" s="226"/>
      <c r="Z48" s="226"/>
      <c r="AA48" s="226"/>
      <c r="AB48" s="226"/>
      <c r="AC48" s="226"/>
      <c r="AD48" s="226"/>
      <c r="AE48" s="226"/>
      <c r="AF48" s="226"/>
      <c r="AG48" s="226"/>
      <c r="AH48" s="226"/>
      <c r="AI48" s="226"/>
      <c r="AJ48" s="226"/>
      <c r="AK48" s="226"/>
      <c r="AL48" s="226"/>
      <c r="AM48" s="226"/>
    </row>
    <row r="49" spans="2:39" s="2" customFormat="1" ht="15.6" customHeight="1" thickTop="1" thickBot="1" x14ac:dyDescent="0.3">
      <c r="B49" s="265">
        <v>2</v>
      </c>
      <c r="C49" s="324" t="s">
        <v>100</v>
      </c>
      <c r="D49" s="324" t="s">
        <v>166</v>
      </c>
      <c r="E49" s="283"/>
      <c r="F49" s="283"/>
      <c r="G49" s="331"/>
      <c r="H49" s="347" t="s">
        <v>100</v>
      </c>
      <c r="I49" s="326" t="s">
        <v>144</v>
      </c>
      <c r="J49" s="326" t="s">
        <v>98</v>
      </c>
      <c r="K49" s="328">
        <f>IFERROR(VLOOKUP($D49,$Y$9:$AC$10,2,FALSE)/IF($D49="Inhalation",IF($J49="Central Tendency",SUMIFS('Inhalation Exposure'!$J$6:$J$47,'Inhalation Exposure'!$B$6:$B$47,$B49,'Inhalation Exposure'!$D$6:$D$47,$C49),SUMIFS('Inhalation Exposure'!$K$6:$K$47,'Inhalation Exposure'!$B$6:$B$47,$B49,'Inhalation Exposure'!$D$6:$D$47,$C49)),IF($J49="Central Tendency",VLOOKUP($B49,'Dermal Exposure'!$A$6:$L$11,9,FALSE),VLOOKUP($B49,'Dermal Exposure'!$A$6:$L$11,4,FALSE))),"--")</f>
        <v>127381.04448742748</v>
      </c>
      <c r="L49" s="328">
        <f>IFERROR(VLOOKUP($D49,$Y$9:$AC$10,3,FALSE)/IF($D49="Inhalation",IF($J49="Central Tendency",SUMIFS('Inhalation Exposure'!$L$6:$L$47,'Inhalation Exposure'!$B$6:$B$47,$B49,'Inhalation Exposure'!$D$6:$D$47,$C49),SUMIFS('Inhalation Exposure'!$M$6:$M$47,'Inhalation Exposure'!$B$6:$B$47,$B49,'Inhalation Exposure'!$D$6:$D$47,$C49)),IF($J49="Central Tendency",VLOOKUP($B49,'Dermal Exposure'!$A$6:$L$11,10,FALSE),VLOOKUP($B49,'Dermal Exposure'!$A$6:$L$11,5,FALSE))),"--")</f>
        <v>1116.6520133638121</v>
      </c>
      <c r="M49" s="328">
        <f>IFERROR(VLOOKUP($D49,$Y$9:$AC$10,4,FALSE)/IF($D49="Inhalation",IF($J49="Central Tendency",SUMIFS('Inhalation Exposure'!$N$6:$N$47,'Inhalation Exposure'!$B$6:$B$47,$B49,'Inhalation Exposure'!$D$6:$D$47,$C49),SUMIFS('Inhalation Exposure'!$O$6:$O$47,'Inhalation Exposure'!$B$6:$B$47,$B49,'Inhalation Exposure'!$D$6:$D$47,$C49)),IF($J49="Central Tendency",VLOOKUP($B49,'Dermal Exposure'!$A$6:$L$11,11,FALSE),VLOOKUP($B49,'Dermal Exposure'!$A$6:$L$11,6,FALSE))),"--")</f>
        <v>1195.5620889748548</v>
      </c>
      <c r="N49" s="329">
        <f>IFERROR(VLOOKUP($D49,$Y$9:$AC$10,5,FALSE)*IF($D49="Inhalation",IF($J49="Central Tendency",SUMIFS('Inhalation Exposure'!$P$6:$P$47,'Inhalation Exposure'!$B$6:$B$47,$B49,'Inhalation Exposure'!$D$6:$D$47,$C49),SUMIFS('Inhalation Exposure'!$Q$6:$Q$47,'Inhalation Exposure'!$B$6:$B$47,$B49,'Inhalation Exposure'!$D$6:$D$47,$C49)),IF($J49="Central Tendency",VLOOKUP($B49,'Dermal Exposure'!$A$6:$L$11,12,FALSE),VLOOKUP($B49,'Dermal Exposure'!$A$6:$L$11,7,FALSE))),"--")</f>
        <v>3.0691148939163488E-7</v>
      </c>
      <c r="O49" s="330"/>
      <c r="P49" s="330"/>
      <c r="Q49" s="330"/>
      <c r="R49" s="330"/>
      <c r="S49" s="226"/>
      <c r="T49" s="291"/>
      <c r="U49" s="292"/>
      <c r="V49" s="292"/>
      <c r="W49" s="293"/>
      <c r="X49" s="226"/>
      <c r="Y49" s="226"/>
      <c r="Z49" s="226"/>
      <c r="AA49" s="226"/>
      <c r="AB49" s="226"/>
      <c r="AC49" s="226"/>
      <c r="AD49" s="226"/>
      <c r="AE49" s="226"/>
      <c r="AF49" s="226"/>
      <c r="AG49" s="226"/>
      <c r="AH49" s="226"/>
      <c r="AI49" s="226"/>
      <c r="AJ49" s="226"/>
      <c r="AK49" s="226"/>
      <c r="AL49" s="226"/>
      <c r="AM49" s="226"/>
    </row>
    <row r="50" spans="2:39" s="2" customFormat="1" ht="15.6" customHeight="1" thickBot="1" x14ac:dyDescent="0.3">
      <c r="B50" s="265">
        <v>2</v>
      </c>
      <c r="C50" s="324" t="s">
        <v>100</v>
      </c>
      <c r="D50" s="324" t="s">
        <v>166</v>
      </c>
      <c r="E50" s="283"/>
      <c r="F50" s="283"/>
      <c r="G50" s="331"/>
      <c r="H50" s="347"/>
      <c r="I50" s="285"/>
      <c r="J50" s="345"/>
      <c r="K50" s="333"/>
      <c r="L50" s="333"/>
      <c r="M50" s="333"/>
      <c r="N50" s="334"/>
      <c r="O50" s="330"/>
      <c r="P50" s="330"/>
      <c r="Q50" s="330"/>
      <c r="R50" s="330"/>
      <c r="S50" s="226"/>
      <c r="T50" s="291"/>
      <c r="U50" s="292"/>
      <c r="V50" s="292"/>
      <c r="W50" s="293"/>
      <c r="X50" s="226"/>
      <c r="Y50" s="226"/>
      <c r="Z50" s="226"/>
      <c r="AA50" s="226"/>
      <c r="AB50" s="226"/>
      <c r="AC50" s="226"/>
      <c r="AD50" s="226"/>
      <c r="AE50" s="226"/>
      <c r="AF50" s="226"/>
      <c r="AG50" s="226"/>
      <c r="AH50" s="226"/>
      <c r="AI50" s="226"/>
      <c r="AJ50" s="226"/>
      <c r="AK50" s="226"/>
      <c r="AL50" s="226"/>
      <c r="AM50" s="226"/>
    </row>
    <row r="51" spans="2:39" s="2" customFormat="1" ht="15.6" customHeight="1" thickBot="1" x14ac:dyDescent="0.3">
      <c r="B51" s="265">
        <v>2</v>
      </c>
      <c r="C51" s="324" t="s">
        <v>100</v>
      </c>
      <c r="D51" s="324" t="s">
        <v>166</v>
      </c>
      <c r="E51" s="283"/>
      <c r="F51" s="283"/>
      <c r="G51" s="331"/>
      <c r="H51" s="347"/>
      <c r="I51" s="285"/>
      <c r="J51" s="269" t="s">
        <v>168</v>
      </c>
      <c r="K51" s="328">
        <f>IFERROR(VLOOKUP($D51,$Y$9:$AC$10,2,FALSE)/IF($D51="Inhalation",IF($J51="Central Tendency",SUMIFS('Inhalation Exposure'!$J$6:$J$47,'Inhalation Exposure'!$B$6:$B$47,$B51,'Inhalation Exposure'!$D$6:$D$47,$C51),SUMIFS('Inhalation Exposure'!$K$6:$K$47,'Inhalation Exposure'!$B$6:$B$47,$B51,'Inhalation Exposure'!$D$6:$D$47,$C51)),IF($J51="Central Tendency",VLOOKUP($B51,'Dermal Exposure'!$A$6:$L$11,9,FALSE),VLOOKUP($B51,'Dermal Exposure'!$A$6:$L$11,4,FALSE))),"--")</f>
        <v>2283.4071734021654</v>
      </c>
      <c r="L51" s="328">
        <f>IFERROR(VLOOKUP($D51,$Y$9:$AC$10,3,FALSE)/IF($D51="Inhalation",IF($J51="Central Tendency",SUMIFS('Inhalation Exposure'!$L$6:$L$47,'Inhalation Exposure'!$B$6:$B$47,$B51,'Inhalation Exposure'!$D$6:$D$47,$C51),SUMIFS('Inhalation Exposure'!$M$6:$M$47,'Inhalation Exposure'!$B$6:$B$47,$B51,'Inhalation Exposure'!$D$6:$D$47,$C51)),IF($J51="Central Tendency",VLOOKUP($B51,'Dermal Exposure'!$A$6:$L$11,10,FALSE),VLOOKUP($B51,'Dermal Exposure'!$A$6:$L$11,5,FALSE))),"--")</f>
        <v>20.01688106553846</v>
      </c>
      <c r="M51" s="328">
        <f>IFERROR(VLOOKUP($D51,$Y$9:$AC$10,4,FALSE)/IF($D51="Inhalation",IF($J51="Central Tendency",SUMIFS('Inhalation Exposure'!$N$6:$N$47,'Inhalation Exposure'!$B$6:$B$47,$B51,'Inhalation Exposure'!$D$6:$D$47,$C51),SUMIFS('Inhalation Exposure'!$O$6:$O$47,'Inhalation Exposure'!$B$6:$B$47,$B51,'Inhalation Exposure'!$D$6:$D$47,$C51)),IF($J51="Central Tendency",VLOOKUP($B51,'Dermal Exposure'!$A$6:$L$11,11,FALSE),VLOOKUP($B51,'Dermal Exposure'!$A$6:$L$11,6,FALSE))),"--")</f>
        <v>21.43140732750318</v>
      </c>
      <c r="N51" s="329">
        <f>IFERROR(VLOOKUP($D51,$Y$9:$AC$10,5,FALSE)*IF($D51="Inhalation",IF($J51="Central Tendency",SUMIFS('Inhalation Exposure'!$P$6:$P$47,'Inhalation Exposure'!$B$6:$B$47,$B51,'Inhalation Exposure'!$D$6:$D$47,$C51),SUMIFS('Inhalation Exposure'!$Q$6:$Q$47,'Inhalation Exposure'!$B$6:$B$47,$B51,'Inhalation Exposure'!$D$6:$D$47,$C51)),IF($J51="Central Tendency",VLOOKUP($B51,'Dermal Exposure'!$A$6:$L$11,12,FALSE),VLOOKUP($B51,'Dermal Exposure'!$A$6:$L$11,7,FALSE))),"--")</f>
        <v>2.2091890851240374E-5</v>
      </c>
      <c r="O51" s="330"/>
      <c r="P51" s="330"/>
      <c r="Q51" s="330"/>
      <c r="R51" s="330"/>
      <c r="S51" s="226"/>
      <c r="T51" s="291"/>
      <c r="U51" s="292"/>
      <c r="V51" s="292"/>
      <c r="W51" s="293"/>
      <c r="X51" s="226"/>
      <c r="Y51" s="226"/>
      <c r="Z51" s="226"/>
      <c r="AA51" s="226"/>
      <c r="AB51" s="226"/>
      <c r="AC51" s="226"/>
      <c r="AD51" s="226"/>
      <c r="AE51" s="226"/>
      <c r="AF51" s="226"/>
      <c r="AG51" s="226"/>
      <c r="AH51" s="226"/>
      <c r="AI51" s="226"/>
      <c r="AJ51" s="226"/>
      <c r="AK51" s="226"/>
      <c r="AL51" s="226"/>
      <c r="AM51" s="226"/>
    </row>
    <row r="52" spans="2:39" s="2" customFormat="1" ht="15.6" customHeight="1" thickBot="1" x14ac:dyDescent="0.3">
      <c r="B52" s="265">
        <v>2</v>
      </c>
      <c r="C52" s="324" t="s">
        <v>100</v>
      </c>
      <c r="D52" s="324" t="s">
        <v>166</v>
      </c>
      <c r="E52" s="344"/>
      <c r="F52" s="344"/>
      <c r="G52" s="336"/>
      <c r="H52" s="347"/>
      <c r="I52" s="345"/>
      <c r="J52" s="345"/>
      <c r="K52" s="333"/>
      <c r="L52" s="333"/>
      <c r="M52" s="333"/>
      <c r="N52" s="334"/>
      <c r="O52" s="330"/>
      <c r="P52" s="330"/>
      <c r="Q52" s="330"/>
      <c r="R52" s="330"/>
      <c r="S52" s="226"/>
      <c r="T52" s="291"/>
      <c r="U52" s="292"/>
      <c r="V52" s="292"/>
      <c r="W52" s="293"/>
      <c r="X52" s="226"/>
      <c r="Y52" s="226"/>
      <c r="Z52" s="226"/>
      <c r="AA52" s="226"/>
      <c r="AB52" s="226"/>
      <c r="AC52" s="226"/>
      <c r="AD52" s="226"/>
      <c r="AE52" s="226"/>
      <c r="AF52" s="226"/>
      <c r="AG52" s="226"/>
      <c r="AH52" s="226"/>
      <c r="AI52" s="226"/>
      <c r="AJ52" s="226"/>
      <c r="AK52" s="226"/>
      <c r="AL52" s="226"/>
      <c r="AM52" s="226"/>
    </row>
    <row r="53" spans="2:39" s="2" customFormat="1" ht="15.6" customHeight="1" thickTop="1" thickBot="1" x14ac:dyDescent="0.3">
      <c r="B53" s="265" t="s">
        <v>387</v>
      </c>
      <c r="C53" s="266" t="s">
        <v>97</v>
      </c>
      <c r="D53" s="266" t="s">
        <v>166</v>
      </c>
      <c r="E53" s="283" t="s">
        <v>184</v>
      </c>
      <c r="F53" s="283" t="s">
        <v>185</v>
      </c>
      <c r="G53" s="268" t="s">
        <v>413</v>
      </c>
      <c r="H53" s="348" t="s">
        <v>97</v>
      </c>
      <c r="I53" s="309" t="s">
        <v>144</v>
      </c>
      <c r="J53" s="314" t="s">
        <v>98</v>
      </c>
      <c r="K53" s="272">
        <f>IFERROR(VLOOKUP($D53,$Y$9:$AC$10,2,FALSE)/IF($D53="Inhalation",IF($J53="Central Tendency",SUMIFS('Inhalation Exposure'!$J$6:$J$47,'Inhalation Exposure'!$B$6:$B$47,$B53,'Inhalation Exposure'!$D$6:$D$47,$C53),SUMIFS('Inhalation Exposure'!$K$6:$K$47,'Inhalation Exposure'!$B$6:$B$47,$B53,'Inhalation Exposure'!$D$6:$D$47,$C53)),IF($J53="Central Tendency",VLOOKUP($B53,'Dermal Exposure'!$A$6:$L$11,9,FALSE),VLOOKUP($B53,'Dermal Exposure'!$A$6:$L$11,4,FALSE))),"--")</f>
        <v>301.53846153846155</v>
      </c>
      <c r="L53" s="272">
        <f>IFERROR(VLOOKUP($D53,$Y$9:$AC$10,3,FALSE)/IF($D53="Inhalation",IF($J53="Central Tendency",SUMIFS('Inhalation Exposure'!$L$6:$L$47,'Inhalation Exposure'!$B$6:$B$47,$B53,'Inhalation Exposure'!$D$6:$D$47,$C53),SUMIFS('Inhalation Exposure'!$M$6:$M$47,'Inhalation Exposure'!$B$6:$B$47,$B53,'Inhalation Exposure'!$D$6:$D$47,$C53)),IF($J53="Central Tendency",VLOOKUP($B53,'Dermal Exposure'!$A$6:$L$11,10,FALSE),VLOOKUP($B53,'Dermal Exposure'!$A$6:$L$11,5,FALSE))),"--")</f>
        <v>2.6433566433566433</v>
      </c>
      <c r="M53" s="272">
        <f>IFERROR(VLOOKUP($D53,$Y$9:$AC$10,4,FALSE)/IF($D53="Inhalation",IF($J53="Central Tendency",SUMIFS('Inhalation Exposure'!$N$6:$N$47,'Inhalation Exposure'!$B$6:$B$47,$B53,'Inhalation Exposure'!$D$6:$D$47,$C53),SUMIFS('Inhalation Exposure'!$O$6:$O$47,'Inhalation Exposure'!$B$6:$B$47,$B53,'Inhalation Exposure'!$D$6:$D$47,$C53)),IF($J53="Central Tendency",VLOOKUP($B53,'Dermal Exposure'!$A$6:$L$11,11,FALSE),VLOOKUP($B53,'Dermal Exposure'!$A$6:$L$11,6,FALSE))),"--")</f>
        <v>2.8301538461538462</v>
      </c>
      <c r="N53" s="273">
        <f>IFERROR(VLOOKUP($D53,$Y$9:$AC$10,5,FALSE)*IF($D53="Inhalation",IF($J53="Central Tendency",SUMIFS('Inhalation Exposure'!$P$6:$P$47,'Inhalation Exposure'!$B$6:$B$47,$B53,'Inhalation Exposure'!$D$6:$D$47,$C53),SUMIFS('Inhalation Exposure'!$Q$6:$Q$47,'Inhalation Exposure'!$B$6:$B$47,$B53,'Inhalation Exposure'!$D$6:$D$47,$C53)),IF($J53="Central Tendency",VLOOKUP($B53,'Dermal Exposure'!$A$6:$L$11,12,FALSE),VLOOKUP($B53,'Dermal Exposure'!$A$6:$L$11,7,FALSE))),"--")</f>
        <v>1.2965081099252041E-4</v>
      </c>
      <c r="O53" s="330"/>
      <c r="P53" s="330"/>
      <c r="Q53" s="330"/>
      <c r="R53" s="330"/>
      <c r="S53" s="226"/>
      <c r="T53" s="291"/>
      <c r="U53" s="292"/>
      <c r="V53" s="292"/>
      <c r="W53" s="293"/>
      <c r="X53" s="226"/>
      <c r="Y53" s="226"/>
      <c r="Z53" s="226"/>
      <c r="AA53" s="226"/>
      <c r="AB53" s="226"/>
      <c r="AC53" s="226"/>
      <c r="AD53" s="226"/>
      <c r="AE53" s="226"/>
      <c r="AF53" s="226"/>
      <c r="AG53" s="226"/>
      <c r="AH53" s="226"/>
      <c r="AI53" s="226"/>
      <c r="AJ53" s="226"/>
      <c r="AK53" s="226"/>
      <c r="AL53" s="226"/>
      <c r="AM53" s="226"/>
    </row>
    <row r="54" spans="2:39" s="2" customFormat="1" ht="15.6" customHeight="1" thickBot="1" x14ac:dyDescent="0.3">
      <c r="B54" s="265" t="s">
        <v>387</v>
      </c>
      <c r="C54" s="266" t="s">
        <v>97</v>
      </c>
      <c r="D54" s="266" t="s">
        <v>166</v>
      </c>
      <c r="E54" s="283"/>
      <c r="F54" s="283"/>
      <c r="G54" s="284"/>
      <c r="H54" s="349"/>
      <c r="I54" s="286"/>
      <c r="J54" s="350"/>
      <c r="K54" s="288"/>
      <c r="L54" s="288"/>
      <c r="M54" s="288"/>
      <c r="N54" s="289"/>
      <c r="O54" s="330"/>
      <c r="P54" s="330"/>
      <c r="Q54" s="330"/>
      <c r="R54" s="330"/>
      <c r="S54" s="226"/>
      <c r="T54" s="291"/>
      <c r="U54" s="292"/>
      <c r="V54" s="292"/>
      <c r="W54" s="293"/>
      <c r="X54" s="226"/>
      <c r="Y54" s="226"/>
      <c r="Z54" s="226"/>
      <c r="AA54" s="226"/>
      <c r="AB54" s="226"/>
      <c r="AC54" s="226"/>
      <c r="AD54" s="226"/>
      <c r="AE54" s="226"/>
      <c r="AF54" s="226"/>
      <c r="AG54" s="226"/>
      <c r="AH54" s="226"/>
      <c r="AI54" s="226"/>
      <c r="AJ54" s="226"/>
      <c r="AK54" s="226"/>
      <c r="AL54" s="226"/>
      <c r="AM54" s="226"/>
    </row>
    <row r="55" spans="2:39" s="2" customFormat="1" ht="15.6" customHeight="1" thickBot="1" x14ac:dyDescent="0.3">
      <c r="B55" s="265" t="s">
        <v>387</v>
      </c>
      <c r="C55" s="266" t="s">
        <v>97</v>
      </c>
      <c r="D55" s="266" t="s">
        <v>166</v>
      </c>
      <c r="E55" s="283"/>
      <c r="F55" s="283"/>
      <c r="G55" s="284"/>
      <c r="H55" s="349"/>
      <c r="I55" s="286"/>
      <c r="J55" s="271" t="s">
        <v>168</v>
      </c>
      <c r="K55" s="272">
        <f>IFERROR(VLOOKUP($D55,$Y$9:$AC$10,2,FALSE)/IF($D55="Inhalation",IF($J55="Central Tendency",SUMIFS('Inhalation Exposure'!$J$6:$J$47,'Inhalation Exposure'!$B$6:$B$47,$B55,'Inhalation Exposure'!$D$6:$D$47,$C55),SUMIFS('Inhalation Exposure'!$K$6:$K$47,'Inhalation Exposure'!$B$6:$B$47,$B55,'Inhalation Exposure'!$D$6:$D$47,$C55)),IF($J55="Central Tendency",VLOOKUP($B55,'Dermal Exposure'!$A$6:$L$11,9,FALSE),VLOOKUP($B55,'Dermal Exposure'!$A$6:$L$11,4,FALSE))),"--")</f>
        <v>115.35762178447911</v>
      </c>
      <c r="L55" s="272">
        <f>IFERROR(VLOOKUP($D55,$Y$9:$AC$10,3,FALSE)/IF($D55="Inhalation",IF($J55="Central Tendency",SUMIFS('Inhalation Exposure'!$L$6:$L$47,'Inhalation Exposure'!$B$6:$B$47,$B55,'Inhalation Exposure'!$D$6:$D$47,$C55),SUMIFS('Inhalation Exposure'!$M$6:$M$47,'Inhalation Exposure'!$B$6:$B$47,$B55,'Inhalation Exposure'!$D$6:$D$47,$C55)),IF($J55="Central Tendency",VLOOKUP($B55,'Dermal Exposure'!$A$6:$L$11,10,FALSE),VLOOKUP($B55,'Dermal Exposure'!$A$6:$L$11,5,FALSE))),"--")</f>
        <v>1.0112518792795246</v>
      </c>
      <c r="M55" s="272">
        <f>IFERROR(VLOOKUP($D55,$Y$9:$AC$10,4,FALSE)/IF($D55="Inhalation",IF($J55="Central Tendency",SUMIFS('Inhalation Exposure'!$N$6:$N$47,'Inhalation Exposure'!$B$6:$B$47,$B55,'Inhalation Exposure'!$D$6:$D$47,$C55),SUMIFS('Inhalation Exposure'!$O$6:$O$47,'Inhalation Exposure'!$B$6:$B$47,$B55,'Inhalation Exposure'!$D$6:$D$47,$C55)),IF($J55="Central Tendency",VLOOKUP($B55,'Dermal Exposure'!$A$6:$L$11,11,FALSE),VLOOKUP($B55,'Dermal Exposure'!$A$6:$L$11,6,FALSE))),"--")</f>
        <v>1.0827136787486111</v>
      </c>
      <c r="N55" s="273">
        <f>IFERROR(VLOOKUP($D55,$Y$9:$AC$10,5,FALSE)*IF($D55="Inhalation",IF($J55="Central Tendency",SUMIFS('Inhalation Exposure'!$P$6:$P$47,'Inhalation Exposure'!$B$6:$B$47,$B55,'Inhalation Exposure'!$D$6:$D$47,$C55),SUMIFS('Inhalation Exposure'!$Q$6:$Q$47,'Inhalation Exposure'!$B$6:$B$47,$B55,'Inhalation Exposure'!$D$6:$D$47,$C55)),IF($J55="Central Tendency",VLOOKUP($B55,'Dermal Exposure'!$A$6:$L$11,12,FALSE),VLOOKUP($B55,'Dermal Exposure'!$A$6:$L$11,7,FALSE))),"--")</f>
        <v>4.3729041274780404E-4</v>
      </c>
      <c r="O55" s="330"/>
      <c r="P55" s="330"/>
      <c r="Q55" s="330"/>
      <c r="R55" s="330"/>
      <c r="S55" s="226"/>
      <c r="T55" s="291"/>
      <c r="U55" s="292"/>
      <c r="V55" s="292"/>
      <c r="W55" s="293"/>
      <c r="X55" s="226"/>
      <c r="Y55" s="226"/>
      <c r="Z55" s="226"/>
      <c r="AA55" s="226"/>
      <c r="AB55" s="226"/>
      <c r="AC55" s="226"/>
      <c r="AD55" s="226"/>
      <c r="AE55" s="226"/>
      <c r="AF55" s="226"/>
      <c r="AG55" s="226"/>
      <c r="AH55" s="226"/>
      <c r="AI55" s="226"/>
      <c r="AJ55" s="226"/>
      <c r="AK55" s="226"/>
      <c r="AL55" s="226"/>
      <c r="AM55" s="226"/>
    </row>
    <row r="56" spans="2:39" s="2" customFormat="1" ht="15.6" customHeight="1" thickBot="1" x14ac:dyDescent="0.3">
      <c r="B56" s="265" t="s">
        <v>387</v>
      </c>
      <c r="C56" s="266" t="s">
        <v>97</v>
      </c>
      <c r="D56" s="266" t="s">
        <v>166</v>
      </c>
      <c r="E56" s="283"/>
      <c r="F56" s="283"/>
      <c r="G56" s="341"/>
      <c r="H56" s="349"/>
      <c r="I56" s="286"/>
      <c r="J56" s="301"/>
      <c r="K56" s="288"/>
      <c r="L56" s="288"/>
      <c r="M56" s="288"/>
      <c r="N56" s="289"/>
      <c r="O56" s="330"/>
      <c r="P56" s="330"/>
      <c r="Q56" s="330"/>
      <c r="R56" s="330"/>
      <c r="S56" s="226"/>
      <c r="T56" s="291"/>
      <c r="U56" s="292"/>
      <c r="V56" s="292"/>
      <c r="W56" s="293"/>
      <c r="X56" s="226"/>
      <c r="Y56" s="226"/>
      <c r="Z56" s="226"/>
      <c r="AA56" s="226"/>
      <c r="AB56" s="226"/>
      <c r="AC56" s="226"/>
      <c r="AD56" s="226"/>
      <c r="AE56" s="226"/>
      <c r="AF56" s="226"/>
      <c r="AG56" s="226"/>
      <c r="AH56" s="226"/>
      <c r="AI56" s="226"/>
      <c r="AJ56" s="226"/>
      <c r="AK56" s="226"/>
      <c r="AL56" s="226"/>
      <c r="AM56" s="226"/>
    </row>
    <row r="57" spans="2:39" ht="16.5" thickTop="1" thickBot="1" x14ac:dyDescent="0.3">
      <c r="B57" s="265" t="s">
        <v>389</v>
      </c>
      <c r="C57" s="266" t="s">
        <v>97</v>
      </c>
      <c r="D57" s="266" t="s">
        <v>166</v>
      </c>
      <c r="E57" s="283"/>
      <c r="F57" s="283"/>
      <c r="G57" s="268" t="s">
        <v>414</v>
      </c>
      <c r="H57" s="349"/>
      <c r="I57" s="309" t="s">
        <v>144</v>
      </c>
      <c r="J57" s="314" t="s">
        <v>98</v>
      </c>
      <c r="K57" s="272">
        <f>IFERROR(VLOOKUP($D57,$Y$9:$AC$10,2,FALSE)/IF($D57="Inhalation",IF($J57="Central Tendency",SUMIFS('Inhalation Exposure'!$J$6:$J$47,'Inhalation Exposure'!$B$6:$B$47,$B57,'Inhalation Exposure'!$D$6:$D$47,$C57),SUMIFS('Inhalation Exposure'!$K$6:$K$47,'Inhalation Exposure'!$B$6:$B$47,$B57,'Inhalation Exposure'!$D$6:$D$47,$C57)),IF($J57="Central Tendency",VLOOKUP($B57,'Dermal Exposure'!$A$6:$L$11,9,FALSE),VLOOKUP($B57,'Dermal Exposure'!$A$6:$L$11,4,FALSE))),"--")</f>
        <v>630.23446222553036</v>
      </c>
      <c r="L57" s="272">
        <f>IFERROR(VLOOKUP($D57,$Y$9:$AC$10,3,FALSE)/IF($D57="Inhalation",IF($J57="Central Tendency",SUMIFS('Inhalation Exposure'!$L$6:$L$47,'Inhalation Exposure'!$B$6:$B$47,$B57,'Inhalation Exposure'!$D$6:$D$47,$C57),SUMIFS('Inhalation Exposure'!$M$6:$M$47,'Inhalation Exposure'!$B$6:$B$47,$B57,'Inhalation Exposure'!$D$6:$D$47,$C57)),IF($J57="Central Tendency",VLOOKUP($B57,'Dermal Exposure'!$A$6:$L$11,10,FALSE),VLOOKUP($B57,'Dermal Exposure'!$A$6:$L$11,5,FALSE))),"--")</f>
        <v>9.3496321319172075</v>
      </c>
      <c r="M57" s="272">
        <f>IFERROR(VLOOKUP($D57,$Y$9:$AC$10,4,FALSE)/IF($D57="Inhalation",IF($J57="Central Tendency",SUMIFS('Inhalation Exposure'!$N$6:$N$47,'Inhalation Exposure'!$B$6:$B$47,$B57,'Inhalation Exposure'!$D$6:$D$47,$C57),SUMIFS('Inhalation Exposure'!$O$6:$O$47,'Inhalation Exposure'!$B$6:$B$47,$B57,'Inhalation Exposure'!$D$6:$D$47,$C57)),IF($J57="Central Tendency",VLOOKUP($B57,'Dermal Exposure'!$A$6:$L$11,11,FALSE),VLOOKUP($B57,'Dermal Exposure'!$A$6:$L$11,6,FALSE))),"--")</f>
        <v>9.4794881337493919</v>
      </c>
      <c r="N57" s="273">
        <f>IFERROR(VLOOKUP($D57,$Y$9:$AC$10,5,FALSE)*IF($D57="Inhalation",IF($J57="Central Tendency",SUMIFS('Inhalation Exposure'!$P$6:$P$47,'Inhalation Exposure'!$B$6:$B$47,$B57,'Inhalation Exposure'!$D$6:$D$47,$C57),SUMIFS('Inhalation Exposure'!$Q$6:$Q$47,'Inhalation Exposure'!$B$6:$B$47,$B57,'Inhalation Exposure'!$D$6:$D$47,$C57)),IF($J57="Central Tendency",VLOOKUP($B57,'Dermal Exposure'!$A$6:$L$11,12,FALSE),VLOOKUP($B57,'Dermal Exposure'!$A$6:$L$11,7,FALSE))),"--")</f>
        <v>3.8707969904100259E-5</v>
      </c>
      <c r="O57" s="310"/>
      <c r="P57" s="310"/>
      <c r="Q57" s="310"/>
      <c r="R57" s="310"/>
      <c r="T57" s="291"/>
      <c r="U57" s="292"/>
      <c r="V57" s="292"/>
      <c r="W57" s="293"/>
    </row>
    <row r="58" spans="2:39" ht="15.6" customHeight="1" thickBot="1" x14ac:dyDescent="0.3">
      <c r="B58" s="265" t="s">
        <v>389</v>
      </c>
      <c r="C58" s="266" t="s">
        <v>97</v>
      </c>
      <c r="D58" s="266" t="s">
        <v>166</v>
      </c>
      <c r="E58" s="283"/>
      <c r="F58" s="283"/>
      <c r="G58" s="284"/>
      <c r="H58" s="349"/>
      <c r="I58" s="286"/>
      <c r="J58" s="350"/>
      <c r="K58" s="288"/>
      <c r="L58" s="288"/>
      <c r="M58" s="288"/>
      <c r="N58" s="289"/>
      <c r="O58" s="310"/>
      <c r="P58" s="310"/>
      <c r="Q58" s="310"/>
      <c r="R58" s="310"/>
      <c r="T58" s="291"/>
      <c r="U58" s="292"/>
      <c r="V58" s="292"/>
      <c r="W58" s="293"/>
    </row>
    <row r="59" spans="2:39" ht="15.6" customHeight="1" thickBot="1" x14ac:dyDescent="0.3">
      <c r="B59" s="265" t="s">
        <v>389</v>
      </c>
      <c r="C59" s="266" t="s">
        <v>97</v>
      </c>
      <c r="D59" s="266" t="s">
        <v>166</v>
      </c>
      <c r="E59" s="283"/>
      <c r="F59" s="283"/>
      <c r="G59" s="284"/>
      <c r="H59" s="349"/>
      <c r="I59" s="286"/>
      <c r="J59" s="271" t="s">
        <v>168</v>
      </c>
      <c r="K59" s="272">
        <f>IFERROR(VLOOKUP($D59,$Y$9:$AC$10,2,FALSE)/IF($D59="Inhalation",IF($J59="Central Tendency",SUMIFS('Inhalation Exposure'!$J$6:$J$47,'Inhalation Exposure'!$B$6:$B$47,$B59,'Inhalation Exposure'!$D$6:$D$47,$C59),SUMIFS('Inhalation Exposure'!$K$6:$K$47,'Inhalation Exposure'!$B$6:$B$47,$B59,'Inhalation Exposure'!$D$6:$D$47,$C59)),IF($J59="Central Tendency",VLOOKUP($B59,'Dermal Exposure'!$A$6:$L$11,9,FALSE),VLOOKUP($B59,'Dermal Exposure'!$A$6:$L$11,4,FALSE))),"--")</f>
        <v>120.75853041099799</v>
      </c>
      <c r="L59" s="272">
        <f>IFERROR(VLOOKUP($D59,$Y$9:$AC$10,3,FALSE)/IF($D59="Inhalation",IF($J59="Central Tendency",SUMIFS('Inhalation Exposure'!$L$6:$L$47,'Inhalation Exposure'!$B$6:$B$47,$B59,'Inhalation Exposure'!$D$6:$D$47,$C59),SUMIFS('Inhalation Exposure'!$M$6:$M$47,'Inhalation Exposure'!$B$6:$B$47,$B59,'Inhalation Exposure'!$D$6:$D$47,$C59)),IF($J59="Central Tendency",VLOOKUP($B59,'Dermal Exposure'!$A$6:$L$11,10,FALSE),VLOOKUP($B59,'Dermal Exposure'!$A$6:$L$11,5,FALSE))),"--")</f>
        <v>1.0585975068496576</v>
      </c>
      <c r="M59" s="272">
        <f>IFERROR(VLOOKUP($D59,$Y$9:$AC$10,4,FALSE)/IF($D59="Inhalation",IF($J59="Central Tendency",SUMIFS('Inhalation Exposure'!$N$6:$N$47,'Inhalation Exposure'!$B$6:$B$47,$B59,'Inhalation Exposure'!$D$6:$D$47,$C59),SUMIFS('Inhalation Exposure'!$O$6:$O$47,'Inhalation Exposure'!$B$6:$B$47,$B59,'Inhalation Exposure'!$D$6:$D$47,$C59)),IF($J59="Central Tendency",VLOOKUP($B59,'Dermal Exposure'!$A$6:$L$11,11,FALSE),VLOOKUP($B59,'Dermal Exposure'!$A$6:$L$11,6,FALSE))),"--")</f>
        <v>1.1334050640003668</v>
      </c>
      <c r="N59" s="273">
        <f>IFERROR(VLOOKUP($D59,$Y$9:$AC$10,5,FALSE)*IF($D59="Inhalation",IF($J59="Central Tendency",SUMIFS('Inhalation Exposure'!$P$6:$P$47,'Inhalation Exposure'!$B$6:$B$47,$B59,'Inhalation Exposure'!$D$6:$D$47,$C59),SUMIFS('Inhalation Exposure'!$Q$6:$Q$47,'Inhalation Exposure'!$B$6:$B$47,$B59,'Inhalation Exposure'!$D$6:$D$47,$C59)),IF($J59="Central Tendency",VLOOKUP($B59,'Dermal Exposure'!$A$6:$L$11,12,FALSE),VLOOKUP($B59,'Dermal Exposure'!$A$6:$L$11,7,FALSE))),"--")</f>
        <v>4.1773265931651098E-4</v>
      </c>
      <c r="O59" s="310"/>
      <c r="P59" s="310"/>
      <c r="Q59" s="310"/>
      <c r="R59" s="310"/>
      <c r="T59" s="291"/>
      <c r="U59" s="292"/>
      <c r="V59" s="292"/>
      <c r="W59" s="293"/>
    </row>
    <row r="60" spans="2:39" ht="15.6" customHeight="1" thickBot="1" x14ac:dyDescent="0.3">
      <c r="B60" s="265" t="s">
        <v>389</v>
      </c>
      <c r="C60" s="266" t="s">
        <v>97</v>
      </c>
      <c r="D60" s="266" t="s">
        <v>166</v>
      </c>
      <c r="E60" s="283"/>
      <c r="F60" s="283"/>
      <c r="G60" s="341"/>
      <c r="H60" s="349"/>
      <c r="I60" s="286"/>
      <c r="J60" s="301"/>
      <c r="K60" s="288"/>
      <c r="L60" s="288"/>
      <c r="M60" s="288"/>
      <c r="N60" s="289"/>
      <c r="O60" s="310"/>
      <c r="P60" s="310"/>
      <c r="Q60" s="310"/>
      <c r="R60" s="310"/>
      <c r="T60" s="291"/>
      <c r="U60" s="292"/>
      <c r="V60" s="292"/>
      <c r="W60" s="293"/>
    </row>
    <row r="61" spans="2:39" s="356" customFormat="1" ht="15.6" customHeight="1" thickTop="1" thickBot="1" x14ac:dyDescent="0.3">
      <c r="B61" s="265" t="s">
        <v>391</v>
      </c>
      <c r="C61" s="266" t="s">
        <v>97</v>
      </c>
      <c r="D61" s="266" t="s">
        <v>166</v>
      </c>
      <c r="E61" s="283"/>
      <c r="F61" s="283"/>
      <c r="G61" s="268" t="s">
        <v>415</v>
      </c>
      <c r="H61" s="349"/>
      <c r="I61" s="309" t="s">
        <v>144</v>
      </c>
      <c r="J61" s="314" t="s">
        <v>98</v>
      </c>
      <c r="K61" s="272">
        <f>IFERROR(VLOOKUP($D61,$Y$9:$AC$10,2,FALSE)/IF($D61="Inhalation",IF($J61="Central Tendency",SUMIFS('Inhalation Exposure'!$J$6:$J$47,'Inhalation Exposure'!$B$6:$B$47,$B61,'Inhalation Exposure'!$D$6:$D$47,$C61),SUMIFS('Inhalation Exposure'!$K$6:$K$47,'Inhalation Exposure'!$B$6:$B$47,$B61,'Inhalation Exposure'!$D$6:$D$47,$C61)),IF($J61="Central Tendency",VLOOKUP($B61,'Dermal Exposure'!$A$6:$L$11,9,FALSE),VLOOKUP($B61,'Dermal Exposure'!$A$6:$L$11,4,FALSE))),"--")</f>
        <v>1021.4455588873952</v>
      </c>
      <c r="L61" s="272">
        <f>IFERROR(VLOOKUP($D61,$Y$9:$AC$10,3,FALSE)/IF($D61="Inhalation",IF($J61="Central Tendency",SUMIFS('Inhalation Exposure'!$L$6:$L$47,'Inhalation Exposure'!$B$6:$B$47,$B61,'Inhalation Exposure'!$D$6:$D$47,$C61),SUMIFS('Inhalation Exposure'!$M$6:$M$47,'Inhalation Exposure'!$B$6:$B$47,$B61,'Inhalation Exposure'!$D$6:$D$47,$C61)),IF($J61="Central Tendency",VLOOKUP($B61,'Dermal Exposure'!$A$6:$L$11,10,FALSE),VLOOKUP($B61,'Dermal Exposure'!$A$6:$L$11,5,FALSE))),"--")</f>
        <v>32.83217867852342</v>
      </c>
      <c r="M61" s="272">
        <f>IFERROR(VLOOKUP($D61,$Y$9:$AC$10,4,FALSE)/IF($D61="Inhalation",IF($J61="Central Tendency",SUMIFS('Inhalation Exposure'!$N$6:$N$47,'Inhalation Exposure'!$B$6:$B$47,$B61,'Inhalation Exposure'!$D$6:$D$47,$C61),SUMIFS('Inhalation Exposure'!$O$6:$O$47,'Inhalation Exposure'!$B$6:$B$47,$B61,'Inhalation Exposure'!$D$6:$D$47,$C61)),IF($J61="Central Tendency",VLOOKUP($B61,'Dermal Exposure'!$A$6:$L$11,11,FALSE),VLOOKUP($B61,'Dermal Exposure'!$A$6:$L$11,6,FALSE))),"--")</f>
        <v>33.288181160169579</v>
      </c>
      <c r="N61" s="273">
        <f>IFERROR(VLOOKUP($D61,$Y$9:$AC$10,5,FALSE)*IF($D61="Inhalation",IF($J61="Central Tendency",SUMIFS('Inhalation Exposure'!$P$6:$P$47,'Inhalation Exposure'!$B$6:$B$47,$B61,'Inhalation Exposure'!$D$6:$D$47,$C61),SUMIFS('Inhalation Exposure'!$Q$6:$Q$47,'Inhalation Exposure'!$B$6:$B$47,$B61,'Inhalation Exposure'!$D$6:$D$47,$C61)),IF($J61="Central Tendency",VLOOKUP($B61,'Dermal Exposure'!$A$6:$L$11,12,FALSE),VLOOKUP($B61,'Dermal Exposure'!$A$6:$L$11,7,FALSE))),"--")</f>
        <v>1.102288345590035E-5</v>
      </c>
      <c r="O61" s="351"/>
      <c r="P61" s="351"/>
      <c r="Q61" s="351"/>
      <c r="R61" s="351"/>
      <c r="S61" s="352"/>
      <c r="T61" s="353"/>
      <c r="U61" s="354"/>
      <c r="V61" s="354"/>
      <c r="W61" s="355"/>
      <c r="X61" s="352"/>
      <c r="Y61" s="352"/>
      <c r="Z61" s="352"/>
      <c r="AA61" s="352"/>
      <c r="AB61" s="352"/>
      <c r="AC61" s="352"/>
      <c r="AD61" s="352"/>
      <c r="AE61" s="352"/>
      <c r="AF61" s="352"/>
      <c r="AG61" s="352"/>
      <c r="AH61" s="352"/>
      <c r="AI61" s="352"/>
      <c r="AJ61" s="352"/>
      <c r="AK61" s="352"/>
      <c r="AL61" s="352"/>
      <c r="AM61" s="352"/>
    </row>
    <row r="62" spans="2:39" s="356" customFormat="1" ht="15.75" thickBot="1" x14ac:dyDescent="0.3">
      <c r="B62" s="265" t="s">
        <v>391</v>
      </c>
      <c r="C62" s="266" t="s">
        <v>97</v>
      </c>
      <c r="D62" s="266" t="s">
        <v>166</v>
      </c>
      <c r="E62" s="283"/>
      <c r="F62" s="283"/>
      <c r="G62" s="284"/>
      <c r="H62" s="349"/>
      <c r="I62" s="286"/>
      <c r="J62" s="350"/>
      <c r="K62" s="288"/>
      <c r="L62" s="288"/>
      <c r="M62" s="288"/>
      <c r="N62" s="289"/>
      <c r="O62" s="351"/>
      <c r="P62" s="351"/>
      <c r="Q62" s="351"/>
      <c r="R62" s="351"/>
      <c r="S62" s="352"/>
      <c r="T62" s="353"/>
      <c r="U62" s="354"/>
      <c r="V62" s="354"/>
      <c r="W62" s="355"/>
      <c r="X62" s="352"/>
      <c r="Y62" s="352"/>
      <c r="Z62" s="352"/>
      <c r="AA62" s="352"/>
      <c r="AB62" s="352"/>
      <c r="AC62" s="352"/>
      <c r="AD62" s="352"/>
      <c r="AE62" s="352"/>
      <c r="AF62" s="352"/>
      <c r="AG62" s="352"/>
      <c r="AH62" s="352"/>
      <c r="AI62" s="352"/>
      <c r="AJ62" s="352"/>
      <c r="AK62" s="352"/>
      <c r="AL62" s="352"/>
      <c r="AM62" s="352"/>
    </row>
    <row r="63" spans="2:39" s="356" customFormat="1" ht="15.75" thickBot="1" x14ac:dyDescent="0.3">
      <c r="B63" s="265" t="s">
        <v>391</v>
      </c>
      <c r="C63" s="266" t="s">
        <v>97</v>
      </c>
      <c r="D63" s="266" t="s">
        <v>166</v>
      </c>
      <c r="E63" s="283"/>
      <c r="F63" s="283"/>
      <c r="G63" s="284"/>
      <c r="H63" s="349"/>
      <c r="I63" s="286"/>
      <c r="J63" s="271" t="s">
        <v>168</v>
      </c>
      <c r="K63" s="339">
        <f>IFERROR(VLOOKUP($D63,$Y$9:$AC$10,2,FALSE)/IF($D63="Inhalation",IF($J63="Central Tendency",SUMIFS('Inhalation Exposure'!$J$6:$J$47,'Inhalation Exposure'!$B$6:$B$47,$B63,'Inhalation Exposure'!$D$6:$D$47,$C63),SUMIFS('Inhalation Exposure'!$K$6:$K$47,'Inhalation Exposure'!$B$6:$B$47,$B63,'Inhalation Exposure'!$D$6:$D$47,$C63)),IF($J63="Central Tendency",VLOOKUP($B63,'Dermal Exposure'!$A$6:$L$11,9,FALSE),VLOOKUP($B63,'Dermal Exposure'!$A$6:$L$11,4,FALSE))),"--")</f>
        <v>3.728870714061026</v>
      </c>
      <c r="L63" s="272">
        <f>IFERROR(VLOOKUP($D63,$Y$9:$AC$10,3,FALSE)/IF($D63="Inhalation",IF($J63="Central Tendency",SUMIFS('Inhalation Exposure'!$L$6:$L$47,'Inhalation Exposure'!$B$6:$B$47,$B63,'Inhalation Exposure'!$D$6:$D$47,$C63),SUMIFS('Inhalation Exposure'!$M$6:$M$47,'Inhalation Exposure'!$B$6:$B$47,$B63,'Inhalation Exposure'!$D$6:$D$47,$C63)),IF($J63="Central Tendency",VLOOKUP($B63,'Dermal Exposure'!$A$6:$L$11,10,FALSE),VLOOKUP($B63,'Dermal Exposure'!$A$6:$L$11,5,FALSE))),"--")</f>
        <v>0.11985655866624727</v>
      </c>
      <c r="M63" s="272">
        <f>IFERROR(VLOOKUP($D63,$Y$9:$AC$10,4,FALSE)/IF($D63="Inhalation",IF($J63="Central Tendency",SUMIFS('Inhalation Exposure'!$N$6:$N$47,'Inhalation Exposure'!$B$6:$B$47,$B63,'Inhalation Exposure'!$D$6:$D$47,$C63),SUMIFS('Inhalation Exposure'!$O$6:$O$47,'Inhalation Exposure'!$B$6:$B$47,$B63,'Inhalation Exposure'!$D$6:$D$47,$C63)),IF($J63="Central Tendency",VLOOKUP($B63,'Dermal Exposure'!$A$6:$L$11,11,FALSE),VLOOKUP($B63,'Dermal Exposure'!$A$6:$L$11,6,FALSE))),"--")</f>
        <v>0.12152123309216736</v>
      </c>
      <c r="N63" s="273">
        <f>IFERROR(VLOOKUP($D63,$Y$9:$AC$10,5,FALSE)*IF($D63="Inhalation",IF($J63="Central Tendency",SUMIFS('Inhalation Exposure'!$P$6:$P$47,'Inhalation Exposure'!$B$6:$B$47,$B63,'Inhalation Exposure'!$D$6:$D$47,$C63),SUMIFS('Inhalation Exposure'!$Q$6:$Q$47,'Inhalation Exposure'!$B$6:$B$47,$B63,'Inhalation Exposure'!$D$6:$D$47,$C63)),IF($J63="Central Tendency",VLOOKUP($B63,'Dermal Exposure'!$A$6:$L$11,12,FALSE),VLOOKUP($B63,'Dermal Exposure'!$A$6:$L$11,7,FALSE))),"--")</f>
        <v>3.8961118104239374E-3</v>
      </c>
      <c r="O63" s="351"/>
      <c r="P63" s="351"/>
      <c r="Q63" s="351"/>
      <c r="R63" s="351"/>
      <c r="S63" s="352"/>
      <c r="T63" s="353"/>
      <c r="U63" s="354"/>
      <c r="V63" s="354"/>
      <c r="W63" s="355"/>
      <c r="X63" s="352"/>
      <c r="Y63" s="352"/>
      <c r="Z63" s="352"/>
      <c r="AA63" s="352"/>
      <c r="AB63" s="352"/>
      <c r="AC63" s="352"/>
      <c r="AD63" s="352"/>
      <c r="AE63" s="352"/>
      <c r="AF63" s="352"/>
      <c r="AG63" s="352"/>
      <c r="AH63" s="352"/>
      <c r="AI63" s="352"/>
      <c r="AJ63" s="352"/>
      <c r="AK63" s="352"/>
      <c r="AL63" s="352"/>
      <c r="AM63" s="352"/>
    </row>
    <row r="64" spans="2:39" s="356" customFormat="1" ht="15.75" thickBot="1" x14ac:dyDescent="0.3">
      <c r="B64" s="265" t="s">
        <v>391</v>
      </c>
      <c r="C64" s="266" t="s">
        <v>97</v>
      </c>
      <c r="D64" s="266" t="s">
        <v>166</v>
      </c>
      <c r="E64" s="283"/>
      <c r="F64" s="283"/>
      <c r="G64" s="341"/>
      <c r="H64" s="349"/>
      <c r="I64" s="286"/>
      <c r="J64" s="301"/>
      <c r="K64" s="342"/>
      <c r="L64" s="288"/>
      <c r="M64" s="288"/>
      <c r="N64" s="289"/>
      <c r="O64" s="351"/>
      <c r="P64" s="351"/>
      <c r="Q64" s="351"/>
      <c r="R64" s="351"/>
      <c r="S64" s="352"/>
      <c r="T64" s="353"/>
      <c r="U64" s="354"/>
      <c r="V64" s="354"/>
      <c r="W64" s="355"/>
      <c r="X64" s="352"/>
      <c r="Y64" s="352"/>
      <c r="Z64" s="352"/>
      <c r="AA64" s="352"/>
      <c r="AB64" s="352"/>
      <c r="AC64" s="352"/>
      <c r="AD64" s="352"/>
      <c r="AE64" s="352"/>
      <c r="AF64" s="352"/>
      <c r="AG64" s="352"/>
      <c r="AH64" s="352"/>
      <c r="AI64" s="352"/>
      <c r="AJ64" s="352"/>
      <c r="AK64" s="352"/>
      <c r="AL64" s="352"/>
      <c r="AM64" s="352"/>
    </row>
    <row r="65" spans="2:43" ht="25.5" customHeight="1" thickTop="1" thickBot="1" x14ac:dyDescent="0.3">
      <c r="B65" s="265" t="s">
        <v>393</v>
      </c>
      <c r="C65" s="266" t="s">
        <v>97</v>
      </c>
      <c r="D65" s="266" t="s">
        <v>166</v>
      </c>
      <c r="E65" s="283"/>
      <c r="F65" s="283"/>
      <c r="G65" s="284" t="s">
        <v>416</v>
      </c>
      <c r="H65" s="349"/>
      <c r="I65" s="309" t="s">
        <v>144</v>
      </c>
      <c r="J65" s="314" t="s">
        <v>98</v>
      </c>
      <c r="K65" s="272">
        <f>IFERROR(VLOOKUP($D65,$Y$9:$AC$10,2,FALSE)/IF($D65="Inhalation",IF($J65="Central Tendency",SUMIFS('Inhalation Exposure'!$J$6:$J$47,'Inhalation Exposure'!$B$6:$B$47,$B65,'Inhalation Exposure'!$D$6:$D$47,$C65),SUMIFS('Inhalation Exposure'!$K$6:$K$47,'Inhalation Exposure'!$B$6:$B$47,$B65,'Inhalation Exposure'!$D$6:$D$47,$C65)),IF($J65="Central Tendency",VLOOKUP($B65,'Dermal Exposure'!$A$6:$L$11,9,FALSE),VLOOKUP($B65,'Dermal Exposure'!$A$6:$L$11,4,FALSE))),"--")</f>
        <v>693.95152792413069</v>
      </c>
      <c r="L65" s="272">
        <f>IFERROR(VLOOKUP($D65,$Y$9:$AC$10,3,FALSE)/IF($D65="Inhalation",IF($J65="Central Tendency",SUMIFS('Inhalation Exposure'!$L$6:$L$47,'Inhalation Exposure'!$B$6:$B$47,$B65,'Inhalation Exposure'!$D$6:$D$47,$C65),SUMIFS('Inhalation Exposure'!$M$6:$M$47,'Inhalation Exposure'!$B$6:$B$47,$B65,'Inhalation Exposure'!$D$6:$D$47,$C65)),IF($J65="Central Tendency",VLOOKUP($B65,'Dermal Exposure'!$A$6:$L$11,10,FALSE),VLOOKUP($B65,'Dermal Exposure'!$A$6:$L$11,5,FALSE))),"--")</f>
        <v>6.0833413162180285</v>
      </c>
      <c r="M65" s="272">
        <f>IFERROR(VLOOKUP($D65,$Y$9:$AC$10,4,FALSE)/IF($D65="Inhalation",IF($J65="Central Tendency",SUMIFS('Inhalation Exposure'!$N$6:$N$47,'Inhalation Exposure'!$B$6:$B$47,$B65,'Inhalation Exposure'!$D$6:$D$47,$C65),SUMIFS('Inhalation Exposure'!$O$6:$O$47,'Inhalation Exposure'!$B$6:$B$47,$B65,'Inhalation Exposure'!$D$6:$D$47,$C65)),IF($J65="Central Tendency",VLOOKUP($B65,'Dermal Exposure'!$A$6:$L$11,11,FALSE),VLOOKUP($B65,'Dermal Exposure'!$A$6:$L$11,6,FALSE))),"--")</f>
        <v>6.5132307692307698</v>
      </c>
      <c r="N65" s="273">
        <f>IFERROR(VLOOKUP($D65,$Y$9:$AC$10,5,FALSE)*IF($D65="Inhalation",IF($J65="Central Tendency",SUMIFS('Inhalation Exposure'!$P$6:$P$47,'Inhalation Exposure'!$B$6:$B$47,$B65,'Inhalation Exposure'!$D$6:$D$47,$C65),SUMIFS('Inhalation Exposure'!$Q$6:$Q$47,'Inhalation Exposure'!$B$6:$B$47,$B65,'Inhalation Exposure'!$D$6:$D$47,$C65)),IF($J65="Central Tendency",VLOOKUP($B65,'Dermal Exposure'!$A$6:$L$11,12,FALSE),VLOOKUP($B65,'Dermal Exposure'!$A$6:$L$11,7,FALSE))),"--")</f>
        <v>5.6336364300321359E-5</v>
      </c>
      <c r="O65" s="310"/>
      <c r="P65" s="310"/>
      <c r="Q65" s="310"/>
      <c r="R65" s="310"/>
      <c r="T65" s="291"/>
      <c r="U65" s="292"/>
      <c r="V65" s="292"/>
      <c r="W65" s="293"/>
    </row>
    <row r="66" spans="2:43" ht="15.75" thickBot="1" x14ac:dyDescent="0.3">
      <c r="B66" s="265" t="s">
        <v>393</v>
      </c>
      <c r="C66" s="266" t="s">
        <v>97</v>
      </c>
      <c r="D66" s="266" t="s">
        <v>166</v>
      </c>
      <c r="E66" s="283"/>
      <c r="F66" s="283"/>
      <c r="G66" s="284"/>
      <c r="H66" s="349"/>
      <c r="I66" s="286"/>
      <c r="J66" s="350"/>
      <c r="K66" s="288"/>
      <c r="L66" s="288"/>
      <c r="M66" s="288"/>
      <c r="N66" s="289"/>
      <c r="O66" s="310"/>
      <c r="P66" s="310"/>
      <c r="Q66" s="310"/>
      <c r="R66" s="310"/>
      <c r="T66" s="291"/>
      <c r="U66" s="292"/>
      <c r="V66" s="292"/>
      <c r="W66" s="293"/>
    </row>
    <row r="67" spans="2:43" ht="15.75" thickBot="1" x14ac:dyDescent="0.3">
      <c r="B67" s="265" t="s">
        <v>393</v>
      </c>
      <c r="C67" s="266" t="s">
        <v>97</v>
      </c>
      <c r="D67" s="266" t="s">
        <v>166</v>
      </c>
      <c r="E67" s="283"/>
      <c r="F67" s="283"/>
      <c r="G67" s="284"/>
      <c r="H67" s="349"/>
      <c r="I67" s="286"/>
      <c r="J67" s="271" t="s">
        <v>168</v>
      </c>
      <c r="K67" s="339">
        <f>IFERROR(VLOOKUP($D67,$Y$9:$AC$10,2,FALSE)/IF($D67="Inhalation",IF($J67="Central Tendency",SUMIFS('Inhalation Exposure'!$J$6:$J$47,'Inhalation Exposure'!$B$6:$B$47,$B67,'Inhalation Exposure'!$D$6:$D$47,$C67),SUMIFS('Inhalation Exposure'!$K$6:$K$47,'Inhalation Exposure'!$B$6:$B$47,$B67,'Inhalation Exposure'!$D$6:$D$47,$C67)),IF($J67="Central Tendency",VLOOKUP($B67,'Dermal Exposure'!$A$6:$L$11,9,FALSE),VLOOKUP($B67,'Dermal Exposure'!$A$6:$L$11,4,FALSE))),"--")</f>
        <v>28.21056639695383</v>
      </c>
      <c r="L67" s="272">
        <f>IFERROR(VLOOKUP($D67,$Y$9:$AC$10,3,FALSE)/IF($D67="Inhalation",IF($J67="Central Tendency",SUMIFS('Inhalation Exposure'!$L$6:$L$47,'Inhalation Exposure'!$B$6:$B$47,$B67,'Inhalation Exposure'!$D$6:$D$47,$C67),SUMIFS('Inhalation Exposure'!$M$6:$M$47,'Inhalation Exposure'!$B$6:$B$47,$B67,'Inhalation Exposure'!$D$6:$D$47,$C67)),IF($J67="Central Tendency",VLOOKUP($B67,'Dermal Exposure'!$A$6:$L$11,10,FALSE),VLOOKUP($B67,'Dermal Exposure'!$A$6:$L$11,5,FALSE))),"--")</f>
        <v>0.24730041971355626</v>
      </c>
      <c r="M67" s="272">
        <f>IFERROR(VLOOKUP($D67,$Y$9:$AC$10,4,FALSE)/IF($D67="Inhalation",IF($J67="Central Tendency",SUMIFS('Inhalation Exposure'!$N$6:$N$47,'Inhalation Exposure'!$B$6:$B$47,$B67,'Inhalation Exposure'!$D$6:$D$47,$C67),SUMIFS('Inhalation Exposure'!$O$6:$O$47,'Inhalation Exposure'!$B$6:$B$47,$B67,'Inhalation Exposure'!$D$6:$D$47,$C67)),IF($J67="Central Tendency",VLOOKUP($B67,'Dermal Exposure'!$A$6:$L$11,11,FALSE),VLOOKUP($B67,'Dermal Exposure'!$A$6:$L$11,6,FALSE))),"--")</f>
        <v>0.26477631603998092</v>
      </c>
      <c r="N67" s="273">
        <f>IFERROR(VLOOKUP($D67,$Y$9:$AC$10,5,FALSE)*IF($D67="Inhalation",IF($J67="Central Tendency",SUMIFS('Inhalation Exposure'!$P$6:$P$47,'Inhalation Exposure'!$B$6:$B$47,$B67,'Inhalation Exposure'!$D$6:$D$47,$C67),SUMIFS('Inhalation Exposure'!$Q$6:$Q$47,'Inhalation Exposure'!$B$6:$B$47,$B67,'Inhalation Exposure'!$D$6:$D$47,$C67)),IF($J67="Central Tendency",VLOOKUP($B67,'Dermal Exposure'!$A$6:$L$11,12,FALSE),VLOOKUP($B67,'Dermal Exposure'!$A$6:$L$11,7,FALSE))),"--")</f>
        <v>1.7881520467872268E-3</v>
      </c>
      <c r="O67" s="310"/>
      <c r="P67" s="310"/>
      <c r="Q67" s="310"/>
      <c r="R67" s="310"/>
      <c r="T67" s="291"/>
      <c r="U67" s="292"/>
      <c r="V67" s="292"/>
      <c r="W67" s="293"/>
    </row>
    <row r="68" spans="2:43" ht="15.75" thickBot="1" x14ac:dyDescent="0.3">
      <c r="B68" s="265" t="s">
        <v>393</v>
      </c>
      <c r="C68" s="266" t="s">
        <v>97</v>
      </c>
      <c r="D68" s="266" t="s">
        <v>166</v>
      </c>
      <c r="E68" s="283"/>
      <c r="F68" s="283"/>
      <c r="G68" s="341"/>
      <c r="H68" s="349"/>
      <c r="I68" s="286"/>
      <c r="J68" s="301"/>
      <c r="K68" s="342"/>
      <c r="L68" s="288"/>
      <c r="M68" s="288"/>
      <c r="N68" s="289"/>
      <c r="O68" s="310"/>
      <c r="P68" s="310"/>
      <c r="Q68" s="310"/>
      <c r="R68" s="310"/>
      <c r="T68" s="291"/>
      <c r="U68" s="292"/>
      <c r="V68" s="292"/>
      <c r="W68" s="293"/>
    </row>
    <row r="69" spans="2:43" ht="16.5" thickTop="1" thickBot="1" x14ac:dyDescent="0.3">
      <c r="B69" s="265" t="s">
        <v>395</v>
      </c>
      <c r="C69" s="266" t="s">
        <v>97</v>
      </c>
      <c r="D69" s="266" t="s">
        <v>166</v>
      </c>
      <c r="E69" s="283"/>
      <c r="F69" s="283"/>
      <c r="G69" s="284" t="s">
        <v>430</v>
      </c>
      <c r="H69" s="349"/>
      <c r="I69" s="309" t="s">
        <v>144</v>
      </c>
      <c r="J69" s="314" t="s">
        <v>98</v>
      </c>
      <c r="K69" s="272">
        <f>IFERROR(VLOOKUP($D69,$Y$9:$AC$10,2,FALSE)/IF($D69="Inhalation",IF($J69="Central Tendency",SUMIFS('Inhalation Exposure'!$J$6:$J$47,'Inhalation Exposure'!$B$6:$B$47,$B69,'Inhalation Exposure'!$D$6:$D$47,$C69),SUMIFS('Inhalation Exposure'!$K$6:$K$47,'Inhalation Exposure'!$B$6:$B$47,$B69,'Inhalation Exposure'!$D$6:$D$47,$C69)),IF($J69="Central Tendency",VLOOKUP($B69,'Dermal Exposure'!$A$6:$L$11,9,FALSE),VLOOKUP($B69,'Dermal Exposure'!$A$6:$L$11,4,FALSE))),"--")</f>
        <v>40946.735751295346</v>
      </c>
      <c r="L69" s="272">
        <f>IFERROR(VLOOKUP($D69,$Y$9:$AC$10,3,FALSE)/IF($D69="Inhalation",IF($J69="Central Tendency",SUMIFS('Inhalation Exposure'!$L$6:$L$47,'Inhalation Exposure'!$B$6:$B$47,$B69,'Inhalation Exposure'!$D$6:$D$47,$C69),SUMIFS('Inhalation Exposure'!$M$6:$M$47,'Inhalation Exposure'!$B$6:$B$47,$B69,'Inhalation Exposure'!$D$6:$D$47,$C69)),IF($J69="Central Tendency",VLOOKUP($B69,'Dermal Exposure'!$A$6:$L$11,10,FALSE),VLOOKUP($B69,'Dermal Exposure'!$A$6:$L$11,5,FALSE))),"--")</f>
        <v>3948.4352331606219</v>
      </c>
      <c r="M69" s="272">
        <f>IFERROR(VLOOKUP($D69,$Y$9:$AC$10,4,FALSE)/IF($D69="Inhalation",IF($J69="Central Tendency",SUMIFS('Inhalation Exposure'!$N$6:$N$47,'Inhalation Exposure'!$B$6:$B$47,$B69,'Inhalation Exposure'!$D$6:$D$47,$C69),SUMIFS('Inhalation Exposure'!$O$6:$O$47,'Inhalation Exposure'!$B$6:$B$47,$B69,'Inhalation Exposure'!$D$6:$D$47,$C69)),IF($J69="Central Tendency",VLOOKUP($B69,'Dermal Exposure'!$A$6:$L$11,11,FALSE),VLOOKUP($B69,'Dermal Exposure'!$A$6:$L$11,6,FALSE))),"--")</f>
        <v>4003.2746113989642</v>
      </c>
      <c r="N69" s="273">
        <f>IFERROR(VLOOKUP($D69,$Y$9:$AC$10,5,FALSE)*IF($D69="Inhalation",IF($J69="Central Tendency",SUMIFS('Inhalation Exposure'!$P$6:$P$47,'Inhalation Exposure'!$B$6:$B$47,$B69,'Inhalation Exposure'!$D$6:$D$47,$C69),SUMIFS('Inhalation Exposure'!$Q$6:$Q$47,'Inhalation Exposure'!$B$6:$B$47,$B69,'Inhalation Exposure'!$D$6:$D$47,$C69)),IF($J69="Central Tendency",VLOOKUP($B69,'Dermal Exposure'!$A$6:$L$11,12,FALSE),VLOOKUP($B69,'Dermal Exposure'!$A$6:$L$11,7,FALSE))),"--")</f>
        <v>9.1657899346360564E-8</v>
      </c>
      <c r="O69" s="310"/>
      <c r="P69" s="310"/>
      <c r="Q69" s="310"/>
      <c r="R69" s="310"/>
      <c r="T69" s="291"/>
      <c r="U69" s="292"/>
      <c r="V69" s="292"/>
      <c r="W69" s="293"/>
    </row>
    <row r="70" spans="2:43" ht="15.75" thickBot="1" x14ac:dyDescent="0.3">
      <c r="B70" s="265" t="s">
        <v>395</v>
      </c>
      <c r="C70" s="266" t="s">
        <v>97</v>
      </c>
      <c r="D70" s="266" t="s">
        <v>166</v>
      </c>
      <c r="E70" s="283"/>
      <c r="F70" s="283"/>
      <c r="G70" s="284"/>
      <c r="H70" s="349"/>
      <c r="I70" s="286"/>
      <c r="J70" s="350"/>
      <c r="K70" s="288"/>
      <c r="L70" s="288"/>
      <c r="M70" s="288"/>
      <c r="N70" s="289"/>
      <c r="O70" s="310"/>
      <c r="P70" s="310"/>
      <c r="Q70" s="310"/>
      <c r="R70" s="310"/>
      <c r="T70" s="291"/>
      <c r="U70" s="292"/>
      <c r="V70" s="292"/>
      <c r="W70" s="293"/>
    </row>
    <row r="71" spans="2:43" ht="25.5" customHeight="1" thickBot="1" x14ac:dyDescent="0.3">
      <c r="B71" s="265" t="s">
        <v>395</v>
      </c>
      <c r="C71" s="266" t="s">
        <v>97</v>
      </c>
      <c r="D71" s="266" t="s">
        <v>166</v>
      </c>
      <c r="E71" s="283"/>
      <c r="F71" s="283"/>
      <c r="G71" s="284"/>
      <c r="H71" s="349"/>
      <c r="I71" s="286"/>
      <c r="J71" s="271" t="s">
        <v>168</v>
      </c>
      <c r="K71" s="339">
        <f>IFERROR(VLOOKUP($D71,$Y$9:$AC$10,2,FALSE)/IF($D71="Inhalation",IF($J71="Central Tendency",SUMIFS('Inhalation Exposure'!$J$6:$J$47,'Inhalation Exposure'!$B$6:$B$47,$B71,'Inhalation Exposure'!$D$6:$D$47,$C71),SUMIFS('Inhalation Exposure'!$K$6:$K$47,'Inhalation Exposure'!$B$6:$B$47,$B71,'Inhalation Exposure'!$D$6:$D$47,$C71)),IF($J71="Central Tendency",VLOOKUP($B71,'Dermal Exposure'!$A$6:$L$11,9,FALSE),VLOOKUP($B71,'Dermal Exposure'!$A$6:$L$11,4,FALSE))),"--")</f>
        <v>28.626128954358858</v>
      </c>
      <c r="L71" s="272">
        <f>IFERROR(VLOOKUP($D71,$Y$9:$AC$10,3,FALSE)/IF($D71="Inhalation",IF($J71="Central Tendency",SUMIFS('Inhalation Exposure'!$L$6:$L$47,'Inhalation Exposure'!$B$6:$B$47,$B71,'Inhalation Exposure'!$D$6:$D$47,$C71),SUMIFS('Inhalation Exposure'!$M$6:$M$47,'Inhalation Exposure'!$B$6:$B$47,$B71,'Inhalation Exposure'!$D$6:$D$47,$C71)),IF($J71="Central Tendency",VLOOKUP($B71,'Dermal Exposure'!$A$6:$L$11,10,FALSE),VLOOKUP($B71,'Dermal Exposure'!$A$6:$L$11,5,FALSE))),"--")</f>
        <v>2.7603767205988894</v>
      </c>
      <c r="M71" s="272">
        <f>IFERROR(VLOOKUP($D71,$Y$9:$AC$10,4,FALSE)/IF($D71="Inhalation",IF($J71="Central Tendency",SUMIFS('Inhalation Exposure'!$N$6:$N$47,'Inhalation Exposure'!$B$6:$B$47,$B71,'Inhalation Exposure'!$D$6:$D$47,$C71),SUMIFS('Inhalation Exposure'!$O$6:$O$47,'Inhalation Exposure'!$B$6:$B$47,$B71,'Inhalation Exposure'!$D$6:$D$47,$C71)),IF($J71="Central Tendency",VLOOKUP($B71,'Dermal Exposure'!$A$6:$L$11,11,FALSE),VLOOKUP($B71,'Dermal Exposure'!$A$6:$L$11,6,FALSE))),"--")</f>
        <v>2.7987152861627629</v>
      </c>
      <c r="N71" s="273">
        <f>IFERROR(VLOOKUP($D71,$Y$9:$AC$10,5,FALSE)*IF($D71="Inhalation",IF($J71="Central Tendency",SUMIFS('Inhalation Exposure'!$P$6:$P$47,'Inhalation Exposure'!$B$6:$B$47,$B71,'Inhalation Exposure'!$D$6:$D$47,$C71),SUMIFS('Inhalation Exposure'!$Q$6:$Q$47,'Inhalation Exposure'!$B$6:$B$47,$B71,'Inhalation Exposure'!$D$6:$D$47,$C71)),IF($J71="Central Tendency",VLOOKUP($B71,'Dermal Exposure'!$A$6:$L$11,12,FALSE),VLOOKUP($B71,'Dermal Exposure'!$A$6:$L$11,7,FALSE))),"--")</f>
        <v>1.6917058830833096E-4</v>
      </c>
      <c r="O71" s="310"/>
      <c r="P71" s="310"/>
      <c r="Q71" s="310"/>
      <c r="R71" s="310"/>
      <c r="T71" s="291"/>
      <c r="U71" s="292"/>
      <c r="V71" s="292"/>
      <c r="W71" s="293"/>
    </row>
    <row r="72" spans="2:43" ht="15.75" thickBot="1" x14ac:dyDescent="0.3">
      <c r="B72" s="265" t="s">
        <v>395</v>
      </c>
      <c r="C72" s="266" t="s">
        <v>97</v>
      </c>
      <c r="D72" s="266" t="s">
        <v>166</v>
      </c>
      <c r="E72" s="283"/>
      <c r="F72" s="283"/>
      <c r="G72" s="341"/>
      <c r="H72" s="349"/>
      <c r="I72" s="286"/>
      <c r="J72" s="301"/>
      <c r="K72" s="342"/>
      <c r="L72" s="288"/>
      <c r="M72" s="288"/>
      <c r="N72" s="289"/>
      <c r="O72" s="310"/>
      <c r="P72" s="310"/>
      <c r="Q72" s="310"/>
      <c r="R72" s="310"/>
      <c r="T72" s="291"/>
      <c r="U72" s="292"/>
      <c r="V72" s="292"/>
      <c r="W72" s="293"/>
    </row>
    <row r="73" spans="2:43" s="2" customFormat="1" ht="16.5" thickTop="1" thickBot="1" x14ac:dyDescent="0.3">
      <c r="B73" s="265">
        <v>3</v>
      </c>
      <c r="C73" s="324" t="s">
        <v>97</v>
      </c>
      <c r="D73" s="324" t="s">
        <v>71</v>
      </c>
      <c r="E73" s="283"/>
      <c r="F73" s="283"/>
      <c r="G73" s="325" t="s">
        <v>431</v>
      </c>
      <c r="H73" s="349"/>
      <c r="I73" s="326" t="s">
        <v>71</v>
      </c>
      <c r="J73" s="326" t="s">
        <v>98</v>
      </c>
      <c r="K73" s="328">
        <f>IFERROR(VLOOKUP($D73,$Y$9:$AC$10,2,FALSE)/IF($D73="Inhalation",IF($J73="Central Tendency",SUMIFS('Inhalation Exposure'!$J$6:$J$47,'Inhalation Exposure'!$B$6:$B$47,$B73,'Inhalation Exposure'!$D$6:$D$47,$C73),SUMIFS('Inhalation Exposure'!$K$6:$K$47,'Inhalation Exposure'!$B$6:$B$47,$B73,'Inhalation Exposure'!$D$6:$D$47,$C73)),IF($J73="Central Tendency",VLOOKUP($B73,'Dermal Exposure'!$A$6:$L$11,9,FALSE),VLOOKUP($B73,'Dermal Exposure'!$A$6:$L$11,4,FALSE))),"--")</f>
        <v>50.903914936236255</v>
      </c>
      <c r="L73" s="328">
        <f>IFERROR(VLOOKUP($D73,$Y$9:$AC$10,3,FALSE)/IF($D73="Inhalation",IF($J73="Central Tendency",SUMIFS('Inhalation Exposure'!$L$6:$L$47,'Inhalation Exposure'!$B$6:$B$47,$B73,'Inhalation Exposure'!$D$6:$D$47,$C73),SUMIFS('Inhalation Exposure'!$M$6:$M$47,'Inhalation Exposure'!$B$6:$B$47,$B73,'Inhalation Exposure'!$D$6:$D$47,$C73)),IF($J73="Central Tendency",VLOOKUP($B73,'Dermal Exposure'!$A$6:$L$11,10,FALSE),VLOOKUP($B73,'Dermal Exposure'!$A$6:$L$11,5,FALSE))),"--")</f>
        <v>109.90617997596463</v>
      </c>
      <c r="M73" s="328">
        <f>IFERROR(VLOOKUP($D73,$Y$9:$AC$10,4,FALSE)/IF($D73="Inhalation",IF($J73="Central Tendency",SUMIFS('Inhalation Exposure'!$N$6:$N$47,'Inhalation Exposure'!$B$6:$B$47,$B73,'Inhalation Exposure'!$D$6:$D$47,$C73),SUMIFS('Inhalation Exposure'!$O$6:$O$47,'Inhalation Exposure'!$B$6:$B$47,$B73,'Inhalation Exposure'!$D$6:$D$47,$C73)),IF($J73="Central Tendency",VLOOKUP($B73,'Dermal Exposure'!$A$6:$L$11,11,FALSE),VLOOKUP($B73,'Dermal Exposure'!$A$6:$L$11,6,FALSE))),"--")</f>
        <v>117.67288336093281</v>
      </c>
      <c r="N73" s="329">
        <f>IFERROR(VLOOKUP($D73,$Y$9:$AC$10,5,FALSE)*IF($D73="Inhalation",IF($J73="Central Tendency",SUMIFS('Inhalation Exposure'!$P$6:$P$47,'Inhalation Exposure'!$B$6:$B$47,$B73,'Inhalation Exposure'!$D$6:$D$47,$C73),SUMIFS('Inhalation Exposure'!$Q$6:$Q$47,'Inhalation Exposure'!$B$6:$B$47,$B73,'Inhalation Exposure'!$D$6:$D$47,$C73)),IF($J73="Central Tendency",VLOOKUP($B73,'Dermal Exposure'!$A$6:$L$11,12,FALSE),VLOOKUP($B73,'Dermal Exposure'!$A$6:$L$11,7,FALSE))),"--")</f>
        <v>1.4246378804379256E-3</v>
      </c>
      <c r="O73" s="357"/>
      <c r="P73" s="357"/>
      <c r="Q73" s="357"/>
      <c r="R73" s="357"/>
      <c r="S73" s="226"/>
      <c r="T73" s="291"/>
      <c r="U73" s="292"/>
      <c r="V73" s="292"/>
      <c r="W73" s="293"/>
      <c r="X73" s="226"/>
      <c r="Y73" s="226"/>
      <c r="Z73" s="226"/>
      <c r="AA73" s="226"/>
      <c r="AB73" s="226"/>
      <c r="AC73" s="226"/>
      <c r="AD73" s="226"/>
      <c r="AE73" s="226"/>
      <c r="AF73" s="226"/>
      <c r="AG73" s="226"/>
      <c r="AH73" s="226"/>
      <c r="AI73" s="226"/>
      <c r="AJ73" s="226"/>
      <c r="AK73" s="226"/>
      <c r="AL73" s="226"/>
      <c r="AM73" s="226"/>
      <c r="AN73" s="226"/>
      <c r="AO73" s="226"/>
      <c r="AP73" s="226"/>
      <c r="AQ73" s="226"/>
    </row>
    <row r="74" spans="2:43" s="2" customFormat="1" ht="15.75" thickBot="1" x14ac:dyDescent="0.3">
      <c r="B74" s="265">
        <v>3</v>
      </c>
      <c r="C74" s="324" t="s">
        <v>97</v>
      </c>
      <c r="D74" s="324" t="s">
        <v>71</v>
      </c>
      <c r="E74" s="283"/>
      <c r="F74" s="283"/>
      <c r="G74" s="331"/>
      <c r="H74" s="349"/>
      <c r="I74" s="285"/>
      <c r="J74" s="345"/>
      <c r="K74" s="333"/>
      <c r="L74" s="333"/>
      <c r="M74" s="333"/>
      <c r="N74" s="334"/>
      <c r="O74" s="357"/>
      <c r="P74" s="357"/>
      <c r="Q74" s="357"/>
      <c r="R74" s="357"/>
      <c r="S74" s="226"/>
      <c r="T74" s="291"/>
      <c r="U74" s="292"/>
      <c r="V74" s="292"/>
      <c r="W74" s="293"/>
      <c r="X74" s="226"/>
      <c r="Y74" s="226"/>
      <c r="Z74" s="226"/>
      <c r="AA74" s="226"/>
      <c r="AB74" s="226"/>
      <c r="AC74" s="226"/>
      <c r="AD74" s="226"/>
      <c r="AE74" s="226"/>
      <c r="AF74" s="226"/>
      <c r="AG74" s="226"/>
      <c r="AH74" s="226"/>
      <c r="AI74" s="226"/>
      <c r="AJ74" s="226"/>
      <c r="AK74" s="226"/>
      <c r="AL74" s="226"/>
      <c r="AM74" s="226"/>
      <c r="AN74" s="226"/>
      <c r="AO74" s="226"/>
      <c r="AP74" s="226"/>
      <c r="AQ74" s="226"/>
    </row>
    <row r="75" spans="2:43" s="2" customFormat="1" ht="15.75" thickBot="1" x14ac:dyDescent="0.3">
      <c r="B75" s="265">
        <v>3</v>
      </c>
      <c r="C75" s="324" t="s">
        <v>97</v>
      </c>
      <c r="D75" s="324" t="s">
        <v>71</v>
      </c>
      <c r="E75" s="283"/>
      <c r="F75" s="283"/>
      <c r="G75" s="331"/>
      <c r="H75" s="349"/>
      <c r="I75" s="285"/>
      <c r="J75" s="285" t="s">
        <v>168</v>
      </c>
      <c r="K75" s="328">
        <f>IFERROR(VLOOKUP($D75,$Y$9:$AC$10,2,FALSE)/IF($D75="Inhalation",IF($J75="Central Tendency",SUMIFS('Inhalation Exposure'!$J$6:$J$47,'Inhalation Exposure'!$B$6:$B$47,$B75,'Inhalation Exposure'!$D$6:$D$47,$C75),SUMIFS('Inhalation Exposure'!$K$6:$K$47,'Inhalation Exposure'!$B$6:$B$47,$B75,'Inhalation Exposure'!$D$6:$D$47,$C75)),IF($J75="Central Tendency",VLOOKUP($B75,'Dermal Exposure'!$A$6:$L$11,9,FALSE),VLOOKUP($B75,'Dermal Exposure'!$A$6:$L$11,4,FALSE))),"--")</f>
        <v>20.421872907419985</v>
      </c>
      <c r="L75" s="328">
        <f>IFERROR(VLOOKUP($D75,$Y$9:$AC$10,3,FALSE)/IF($D75="Inhalation",IF($J75="Central Tendency",SUMIFS('Inhalation Exposure'!$L$6:$L$47,'Inhalation Exposure'!$B$6:$B$47,$B75,'Inhalation Exposure'!$D$6:$D$47,$C75),SUMIFS('Inhalation Exposure'!$M$6:$M$47,'Inhalation Exposure'!$B$6:$B$47,$B75,'Inhalation Exposure'!$D$6:$D$47,$C75)),IF($J75="Central Tendency",VLOOKUP($B75,'Dermal Exposure'!$A$6:$L$11,10,FALSE),VLOOKUP($B75,'Dermal Exposure'!$A$6:$L$11,5,FALSE))),"--")</f>
        <v>44.092680141020431</v>
      </c>
      <c r="M75" s="328">
        <f>IFERROR(VLOOKUP($D75,$Y$9:$AC$10,4,FALSE)/IF($D75="Inhalation",IF($J75="Central Tendency",SUMIFS('Inhalation Exposure'!$N$6:$N$47,'Inhalation Exposure'!$B$6:$B$47,$B75,'Inhalation Exposure'!$D$6:$D$47,$C75),SUMIFS('Inhalation Exposure'!$O$6:$O$47,'Inhalation Exposure'!$B$6:$B$47,$B75,'Inhalation Exposure'!$D$6:$D$47,$C75)),IF($J75="Central Tendency",VLOOKUP($B75,'Dermal Exposure'!$A$6:$L$11,11,FALSE),VLOOKUP($B75,'Dermal Exposure'!$A$6:$L$11,6,FALSE))),"--")</f>
        <v>47.208562870985865</v>
      </c>
      <c r="N75" s="329">
        <f>IFERROR(VLOOKUP($D75,$Y$9:$AC$10,5,FALSE)*IF($D75="Inhalation",IF($J75="Central Tendency",SUMIFS('Inhalation Exposure'!$P$6:$P$47,'Inhalation Exposure'!$B$6:$B$47,$B75,'Inhalation Exposure'!$D$6:$D$47,$C75),SUMIFS('Inhalation Exposure'!$Q$6:$Q$47,'Inhalation Exposure'!$B$6:$B$47,$B75,'Inhalation Exposure'!$D$6:$D$47,$C75)),IF($J75="Central Tendency",VLOOKUP($B75,'Dermal Exposure'!$A$6:$L$11,12,FALSE),VLOOKUP($B75,'Dermal Exposure'!$A$6:$L$11,7,FALSE))),"--")</f>
        <v>3.9884073453844548E-3</v>
      </c>
      <c r="O75" s="357"/>
      <c r="P75" s="357"/>
      <c r="Q75" s="357"/>
      <c r="R75" s="357"/>
      <c r="S75" s="226"/>
      <c r="T75" s="291"/>
      <c r="U75" s="292"/>
      <c r="V75" s="292"/>
      <c r="W75" s="293"/>
      <c r="X75" s="226"/>
      <c r="Y75" s="226"/>
      <c r="Z75" s="226"/>
      <c r="AA75" s="226"/>
      <c r="AB75" s="226"/>
      <c r="AC75" s="226"/>
      <c r="AD75" s="226"/>
      <c r="AE75" s="226"/>
      <c r="AF75" s="226"/>
      <c r="AG75" s="226"/>
      <c r="AH75" s="226"/>
      <c r="AI75" s="226"/>
      <c r="AJ75" s="226"/>
      <c r="AK75" s="226"/>
      <c r="AL75" s="226"/>
      <c r="AM75" s="226"/>
      <c r="AN75" s="226"/>
      <c r="AO75" s="226"/>
      <c r="AP75" s="226"/>
      <c r="AQ75" s="226"/>
    </row>
    <row r="76" spans="2:43" s="2" customFormat="1" ht="15.75" thickBot="1" x14ac:dyDescent="0.3">
      <c r="B76" s="265">
        <v>3</v>
      </c>
      <c r="C76" s="324" t="s">
        <v>97</v>
      </c>
      <c r="D76" s="324" t="s">
        <v>71</v>
      </c>
      <c r="E76" s="283"/>
      <c r="F76" s="283"/>
      <c r="G76" s="336"/>
      <c r="H76" s="358"/>
      <c r="I76" s="285"/>
      <c r="J76" s="285"/>
      <c r="K76" s="333"/>
      <c r="L76" s="333"/>
      <c r="M76" s="333"/>
      <c r="N76" s="334"/>
      <c r="O76" s="357"/>
      <c r="P76" s="357"/>
      <c r="Q76" s="357"/>
      <c r="R76" s="357"/>
      <c r="S76" s="226"/>
      <c r="T76" s="291"/>
      <c r="U76" s="292"/>
      <c r="V76" s="292"/>
      <c r="W76" s="293"/>
      <c r="X76" s="226"/>
      <c r="Y76" s="226"/>
      <c r="Z76" s="226"/>
      <c r="AA76" s="226"/>
      <c r="AB76" s="226"/>
      <c r="AC76" s="226"/>
      <c r="AD76" s="226"/>
      <c r="AE76" s="226"/>
      <c r="AF76" s="226"/>
      <c r="AG76" s="226"/>
      <c r="AH76" s="226"/>
      <c r="AI76" s="226"/>
      <c r="AJ76" s="226"/>
      <c r="AK76" s="226"/>
      <c r="AL76" s="226"/>
      <c r="AM76" s="226"/>
      <c r="AN76" s="226"/>
      <c r="AO76" s="226"/>
      <c r="AP76" s="226"/>
      <c r="AQ76" s="226"/>
    </row>
    <row r="77" spans="2:43" s="2" customFormat="1" ht="16.5" thickTop="1" thickBot="1" x14ac:dyDescent="0.3">
      <c r="B77" s="265" t="s">
        <v>388</v>
      </c>
      <c r="C77" s="266" t="s">
        <v>100</v>
      </c>
      <c r="D77" s="266" t="s">
        <v>166</v>
      </c>
      <c r="E77" s="283"/>
      <c r="F77" s="283"/>
      <c r="G77" s="284" t="s">
        <v>432</v>
      </c>
      <c r="H77" s="286" t="s">
        <v>100</v>
      </c>
      <c r="I77" s="309" t="s">
        <v>144</v>
      </c>
      <c r="J77" s="309" t="s">
        <v>98</v>
      </c>
      <c r="K77" s="272">
        <f>IFERROR(VLOOKUP($D77,$Y$9:$AC$10,2,FALSE)/IF($D77="Inhalation",IF($J77="Central Tendency",SUMIFS('Inhalation Exposure'!$J$6:$J$47,'Inhalation Exposure'!$B$6:$B$47,$B77,'Inhalation Exposure'!$D$6:$D$47,$C77),SUMIFS('Inhalation Exposure'!$K$6:$K$47,'Inhalation Exposure'!$B$6:$B$47,$B77,'Inhalation Exposure'!$D$6:$D$47,$C77)),IF($J77="Central Tendency",VLOOKUP($B77,'Dermal Exposure'!$A$6:$L$11,9,FALSE),VLOOKUP($B77,'Dermal Exposure'!$A$6:$L$11,4,FALSE))),"--")</f>
        <v>8354.8864549414302</v>
      </c>
      <c r="L77" s="272">
        <f>IFERROR(VLOOKUP($D77,$Y$9:$AC$10,3,FALSE)/IF($D77="Inhalation",IF($J77="Central Tendency",SUMIFS('Inhalation Exposure'!$L$6:$L$47,'Inhalation Exposure'!$B$6:$B$47,$B77,'Inhalation Exposure'!$D$6:$D$47,$C77),SUMIFS('Inhalation Exposure'!$M$6:$M$47,'Inhalation Exposure'!$B$6:$B$47,$B77,'Inhalation Exposure'!$D$6:$D$47,$C77)),IF($J77="Central Tendency",VLOOKUP($B77,'Dermal Exposure'!$A$6:$L$11,10,FALSE),VLOOKUP($B77,'Dermal Exposure'!$A$6:$L$11,5,FALSE))),"--")</f>
        <v>73.240887754356677</v>
      </c>
      <c r="M77" s="272">
        <f>IFERROR(VLOOKUP($D77,$Y$9:$AC$10,4,FALSE)/IF($D77="Inhalation",IF($J77="Central Tendency",SUMIFS('Inhalation Exposure'!$N$6:$N$47,'Inhalation Exposure'!$B$6:$B$47,$B77,'Inhalation Exposure'!$D$6:$D$47,$C77),SUMIFS('Inhalation Exposure'!$O$6:$O$47,'Inhalation Exposure'!$B$6:$B$47,$B77,'Inhalation Exposure'!$D$6:$D$47,$C77)),IF($J77="Central Tendency",VLOOKUP($B77,'Dermal Exposure'!$A$6:$L$11,11,FALSE),VLOOKUP($B77,'Dermal Exposure'!$A$6:$L$11,6,FALSE))),"--")</f>
        <v>78.416577155664569</v>
      </c>
      <c r="N77" s="273">
        <f>IFERROR(VLOOKUP($D77,$Y$9:$AC$10,5,FALSE)*IF($D77="Inhalation",IF($J77="Central Tendency",SUMIFS('Inhalation Exposure'!$P$6:$P$47,'Inhalation Exposure'!$B$6:$B$47,$B77,'Inhalation Exposure'!$D$6:$D$47,$C77),SUMIFS('Inhalation Exposure'!$Q$6:$Q$47,'Inhalation Exposure'!$B$6:$B$47,$B77,'Inhalation Exposure'!$D$6:$D$47,$C77)),IF($J77="Central Tendency",VLOOKUP($B77,'Dermal Exposure'!$A$6:$L$11,12,FALSE),VLOOKUP($B77,'Dermal Exposure'!$A$6:$L$11,7,FALSE))),"--")</f>
        <v>4.679262404670528E-6</v>
      </c>
      <c r="O77" s="357"/>
      <c r="P77" s="357"/>
      <c r="Q77" s="357"/>
      <c r="R77" s="357"/>
      <c r="S77" s="226"/>
      <c r="T77" s="291"/>
      <c r="U77" s="292"/>
      <c r="V77" s="292"/>
      <c r="W77" s="293"/>
      <c r="X77" s="226"/>
      <c r="Y77" s="226"/>
      <c r="Z77" s="226"/>
      <c r="AA77" s="226"/>
      <c r="AB77" s="226"/>
      <c r="AC77" s="226"/>
      <c r="AD77" s="226"/>
      <c r="AE77" s="226"/>
      <c r="AF77" s="226"/>
      <c r="AG77" s="226"/>
      <c r="AH77" s="226"/>
      <c r="AI77" s="226"/>
      <c r="AJ77" s="226"/>
      <c r="AK77" s="226"/>
      <c r="AL77" s="226"/>
      <c r="AM77" s="226"/>
      <c r="AN77" s="226"/>
      <c r="AO77" s="226"/>
      <c r="AP77" s="226"/>
      <c r="AQ77" s="226"/>
    </row>
    <row r="78" spans="2:43" s="2" customFormat="1" ht="15.75" thickBot="1" x14ac:dyDescent="0.3">
      <c r="B78" s="265" t="s">
        <v>388</v>
      </c>
      <c r="C78" s="266" t="s">
        <v>100</v>
      </c>
      <c r="D78" s="266" t="s">
        <v>166</v>
      </c>
      <c r="E78" s="283"/>
      <c r="F78" s="283"/>
      <c r="G78" s="284"/>
      <c r="H78" s="286"/>
      <c r="I78" s="286"/>
      <c r="J78" s="359"/>
      <c r="K78" s="288"/>
      <c r="L78" s="288"/>
      <c r="M78" s="288"/>
      <c r="N78" s="289"/>
      <c r="O78" s="357"/>
      <c r="P78" s="357"/>
      <c r="Q78" s="357"/>
      <c r="R78" s="357"/>
      <c r="S78" s="226"/>
      <c r="T78" s="291"/>
      <c r="U78" s="292"/>
      <c r="V78" s="292"/>
      <c r="W78" s="293"/>
      <c r="X78" s="226"/>
      <c r="Y78" s="226"/>
      <c r="Z78" s="226"/>
      <c r="AA78" s="226"/>
      <c r="AB78" s="226"/>
      <c r="AC78" s="226"/>
      <c r="AD78" s="226"/>
      <c r="AE78" s="226"/>
      <c r="AF78" s="226"/>
      <c r="AG78" s="226"/>
      <c r="AH78" s="226"/>
      <c r="AI78" s="226"/>
      <c r="AJ78" s="226"/>
      <c r="AK78" s="226"/>
      <c r="AL78" s="226"/>
      <c r="AM78" s="226"/>
      <c r="AN78" s="226"/>
      <c r="AO78" s="226"/>
      <c r="AP78" s="226"/>
      <c r="AQ78" s="226"/>
    </row>
    <row r="79" spans="2:43" s="2" customFormat="1" ht="15.75" thickBot="1" x14ac:dyDescent="0.3">
      <c r="B79" s="265" t="s">
        <v>388</v>
      </c>
      <c r="C79" s="266" t="s">
        <v>100</v>
      </c>
      <c r="D79" s="266" t="s">
        <v>166</v>
      </c>
      <c r="E79" s="283"/>
      <c r="F79" s="283"/>
      <c r="G79" s="284"/>
      <c r="H79" s="286"/>
      <c r="I79" s="286"/>
      <c r="J79" s="286" t="s">
        <v>168</v>
      </c>
      <c r="K79" s="272">
        <f>IFERROR(VLOOKUP($D79,$Y$9:$AC$10,2,FALSE)/IF($D79="Inhalation",IF($J79="Central Tendency",SUMIFS('Inhalation Exposure'!$J$6:$J$47,'Inhalation Exposure'!$B$6:$B$47,$B79,'Inhalation Exposure'!$D$6:$D$47,$C79),SUMIFS('Inhalation Exposure'!$K$6:$K$47,'Inhalation Exposure'!$B$6:$B$47,$B79,'Inhalation Exposure'!$D$6:$D$47,$C79)),IF($J79="Central Tendency",VLOOKUP($B79,'Dermal Exposure'!$A$6:$L$11,9,FALSE),VLOOKUP($B79,'Dermal Exposure'!$A$6:$L$11,4,FALSE))),"--")</f>
        <v>167.77815048978604</v>
      </c>
      <c r="L79" s="272">
        <f>IFERROR(VLOOKUP($D79,$Y$9:$AC$10,3,FALSE)/IF($D79="Inhalation",IF($J79="Central Tendency",SUMIFS('Inhalation Exposure'!$L$6:$L$47,'Inhalation Exposure'!$B$6:$B$47,$B79,'Inhalation Exposure'!$D$6:$D$47,$C79),SUMIFS('Inhalation Exposure'!$M$6:$M$47,'Inhalation Exposure'!$B$6:$B$47,$B79,'Inhalation Exposure'!$D$6:$D$47,$C79)),IF($J79="Central Tendency",VLOOKUP($B79,'Dermal Exposure'!$A$6:$L$11,10,FALSE),VLOOKUP($B79,'Dermal Exposure'!$A$6:$L$11,5,FALSE))),"--")</f>
        <v>1.4707824880598128</v>
      </c>
      <c r="M79" s="272">
        <f>IFERROR(VLOOKUP($D79,$Y$9:$AC$10,4,FALSE)/IF($D79="Inhalation",IF($J79="Central Tendency",SUMIFS('Inhalation Exposure'!$N$6:$N$47,'Inhalation Exposure'!$B$6:$B$47,$B79,'Inhalation Exposure'!$D$6:$D$47,$C79),SUMIFS('Inhalation Exposure'!$O$6:$O$47,'Inhalation Exposure'!$B$6:$B$47,$B79,'Inhalation Exposure'!$D$6:$D$47,$C79)),IF($J79="Central Tendency",VLOOKUP($B79,'Dermal Exposure'!$A$6:$L$11,11,FALSE),VLOOKUP($B79,'Dermal Exposure'!$A$6:$L$11,6,FALSE))),"--")</f>
        <v>1.5747177838827062</v>
      </c>
      <c r="N79" s="273">
        <f>IFERROR(VLOOKUP($D79,$Y$9:$AC$10,5,FALSE)*IF($D79="Inhalation",IF($J79="Central Tendency",SUMIFS('Inhalation Exposure'!$P$6:$P$47,'Inhalation Exposure'!$B$6:$B$47,$B79,'Inhalation Exposure'!$D$6:$D$47,$C79),SUMIFS('Inhalation Exposure'!$Q$6:$Q$47,'Inhalation Exposure'!$B$6:$B$47,$B79,'Inhalation Exposure'!$D$6:$D$47,$C79)),IF($J79="Central Tendency",VLOOKUP($B79,'Dermal Exposure'!$A$6:$L$11,12,FALSE),VLOOKUP($B79,'Dermal Exposure'!$A$6:$L$11,7,FALSE))),"--")</f>
        <v>3.0066359592401695E-4</v>
      </c>
      <c r="O79" s="357"/>
      <c r="P79" s="357"/>
      <c r="Q79" s="357"/>
      <c r="R79" s="357"/>
      <c r="S79" s="226"/>
      <c r="T79" s="291"/>
      <c r="U79" s="292"/>
      <c r="V79" s="292"/>
      <c r="W79" s="293"/>
      <c r="X79" s="226"/>
      <c r="Y79" s="226"/>
      <c r="Z79" s="226"/>
      <c r="AA79" s="226"/>
      <c r="AB79" s="226"/>
      <c r="AC79" s="226"/>
      <c r="AD79" s="226"/>
      <c r="AE79" s="226"/>
      <c r="AF79" s="226"/>
      <c r="AG79" s="226"/>
      <c r="AH79" s="226"/>
      <c r="AI79" s="226"/>
      <c r="AJ79" s="226"/>
      <c r="AK79" s="226"/>
      <c r="AL79" s="226"/>
      <c r="AM79" s="226"/>
      <c r="AN79" s="226"/>
      <c r="AO79" s="226"/>
      <c r="AP79" s="226"/>
      <c r="AQ79" s="226"/>
    </row>
    <row r="80" spans="2:43" s="2" customFormat="1" ht="15.75" thickBot="1" x14ac:dyDescent="0.3">
      <c r="B80" s="265" t="s">
        <v>388</v>
      </c>
      <c r="C80" s="266" t="s">
        <v>100</v>
      </c>
      <c r="D80" s="266" t="s">
        <v>166</v>
      </c>
      <c r="E80" s="344"/>
      <c r="F80" s="344"/>
      <c r="G80" s="341"/>
      <c r="H80" s="359"/>
      <c r="I80" s="286"/>
      <c r="J80" s="286"/>
      <c r="K80" s="288"/>
      <c r="L80" s="288"/>
      <c r="M80" s="288"/>
      <c r="N80" s="289"/>
      <c r="O80" s="357"/>
      <c r="P80" s="357"/>
      <c r="Q80" s="357"/>
      <c r="R80" s="357"/>
      <c r="S80" s="226"/>
      <c r="T80" s="291"/>
      <c r="U80" s="292"/>
      <c r="V80" s="292"/>
      <c r="W80" s="293"/>
      <c r="X80" s="226"/>
      <c r="Y80" s="226"/>
      <c r="Z80" s="226"/>
      <c r="AA80" s="226"/>
      <c r="AB80" s="226"/>
      <c r="AC80" s="226"/>
      <c r="AD80" s="226"/>
      <c r="AE80" s="226"/>
      <c r="AF80" s="226"/>
      <c r="AG80" s="226"/>
      <c r="AH80" s="226"/>
      <c r="AI80" s="226"/>
      <c r="AJ80" s="226"/>
      <c r="AK80" s="226"/>
      <c r="AL80" s="226"/>
      <c r="AM80" s="226"/>
      <c r="AN80" s="226"/>
      <c r="AO80" s="226"/>
      <c r="AP80" s="226"/>
      <c r="AQ80" s="226"/>
    </row>
    <row r="81" spans="2:43" s="2" customFormat="1" ht="16.5" thickTop="1" thickBot="1" x14ac:dyDescent="0.3">
      <c r="B81" s="265" t="s">
        <v>183</v>
      </c>
      <c r="C81" s="266" t="s">
        <v>97</v>
      </c>
      <c r="D81" s="266" t="s">
        <v>166</v>
      </c>
      <c r="E81" s="267" t="s">
        <v>190</v>
      </c>
      <c r="F81" s="267" t="s">
        <v>191</v>
      </c>
      <c r="G81" s="268" t="s">
        <v>433</v>
      </c>
      <c r="H81" s="285"/>
      <c r="I81" s="309" t="s">
        <v>144</v>
      </c>
      <c r="J81" s="314" t="s">
        <v>98</v>
      </c>
      <c r="K81" s="272">
        <f>IFERROR(VLOOKUP($D81,$Y$9:$AC$10,2,FALSE)/IF($D81="Inhalation",IF($J81="Central Tendency",SUMIFS('Inhalation Exposure'!$J$6:$J$47,'Inhalation Exposure'!$B$6:$B$47,$B81,'Inhalation Exposure'!$D$6:$D$47,$C81),SUMIFS('Inhalation Exposure'!$K$6:$K$47,'Inhalation Exposure'!$B$6:$B$47,$B81,'Inhalation Exposure'!$D$6:$D$47,$C81)),IF($J81="Central Tendency",VLOOKUP($B81,'Dermal Exposure'!$A$6:$L$11,9,FALSE),VLOOKUP($B81,'Dermal Exposure'!$A$6:$L$11,4,FALSE))),"--")</f>
        <v>301.53846153846155</v>
      </c>
      <c r="L81" s="272">
        <f>IFERROR(VLOOKUP($D81,$Y$9:$AC$10,3,FALSE)/IF($D81="Inhalation",IF($J81="Central Tendency",SUMIFS('Inhalation Exposure'!$L$6:$L$47,'Inhalation Exposure'!$B$6:$B$47,$B81,'Inhalation Exposure'!$D$6:$D$47,$C81),SUMIFS('Inhalation Exposure'!$M$6:$M$47,'Inhalation Exposure'!$B$6:$B$47,$B81,'Inhalation Exposure'!$D$6:$D$47,$C81)),IF($J81="Central Tendency",VLOOKUP($B81,'Dermal Exposure'!$A$6:$L$11,10,FALSE),VLOOKUP($B81,'Dermal Exposure'!$A$6:$L$11,5,FALSE))),"--")</f>
        <v>2.6433566433566433</v>
      </c>
      <c r="M81" s="272">
        <f>IFERROR(VLOOKUP($D81,$Y$9:$AC$10,4,FALSE)/IF($D81="Inhalation",IF($J81="Central Tendency",SUMIFS('Inhalation Exposure'!$N$6:$N$47,'Inhalation Exposure'!$B$6:$B$47,$B81,'Inhalation Exposure'!$D$6:$D$47,$C81),SUMIFS('Inhalation Exposure'!$O$6:$O$47,'Inhalation Exposure'!$B$6:$B$47,$B81,'Inhalation Exposure'!$D$6:$D$47,$C81)),IF($J81="Central Tendency",VLOOKUP($B81,'Dermal Exposure'!$A$6:$L$11,11,FALSE),VLOOKUP($B81,'Dermal Exposure'!$A$6:$L$11,6,FALSE))),"--")</f>
        <v>2.8301538461538462</v>
      </c>
      <c r="N81" s="273">
        <f>IFERROR(VLOOKUP($D81,$Y$9:$AC$10,5,FALSE)*IF($D81="Inhalation",IF($J81="Central Tendency",SUMIFS('Inhalation Exposure'!$P$6:$P$47,'Inhalation Exposure'!$B$6:$B$47,$B81,'Inhalation Exposure'!$D$6:$D$47,$C81),SUMIFS('Inhalation Exposure'!$Q$6:$Q$47,'Inhalation Exposure'!$B$6:$B$47,$B81,'Inhalation Exposure'!$D$6:$D$47,$C81)),IF($J81="Central Tendency",VLOOKUP($B81,'Dermal Exposure'!$A$6:$L$11,12,FALSE),VLOOKUP($B81,'Dermal Exposure'!$A$6:$L$11,7,FALSE))),"--")</f>
        <v>1.2965081099252041E-4</v>
      </c>
      <c r="O81" s="357"/>
      <c r="P81" s="357"/>
      <c r="Q81" s="357"/>
      <c r="R81" s="357"/>
      <c r="S81" s="226"/>
      <c r="T81" s="291"/>
      <c r="U81" s="292"/>
      <c r="V81" s="292"/>
      <c r="W81" s="293"/>
      <c r="X81" s="226"/>
      <c r="Y81" s="226"/>
      <c r="Z81" s="226"/>
      <c r="AA81" s="226"/>
      <c r="AB81" s="226"/>
      <c r="AC81" s="226"/>
      <c r="AD81" s="226"/>
      <c r="AE81" s="226"/>
      <c r="AF81" s="226"/>
      <c r="AG81" s="226"/>
      <c r="AH81" s="226"/>
      <c r="AI81" s="226"/>
      <c r="AJ81" s="226"/>
      <c r="AK81" s="226"/>
      <c r="AL81" s="226"/>
      <c r="AM81" s="226"/>
      <c r="AN81" s="226"/>
      <c r="AO81" s="226"/>
      <c r="AP81" s="226"/>
      <c r="AQ81" s="226"/>
    </row>
    <row r="82" spans="2:43" s="2" customFormat="1" ht="15.75" thickBot="1" x14ac:dyDescent="0.3">
      <c r="B82" s="265" t="s">
        <v>183</v>
      </c>
      <c r="C82" s="266" t="s">
        <v>97</v>
      </c>
      <c r="D82" s="266" t="s">
        <v>166</v>
      </c>
      <c r="E82" s="283"/>
      <c r="F82" s="283"/>
      <c r="G82" s="284"/>
      <c r="H82" s="285"/>
      <c r="I82" s="286"/>
      <c r="J82" s="350"/>
      <c r="K82" s="288"/>
      <c r="L82" s="288"/>
      <c r="M82" s="288"/>
      <c r="N82" s="289"/>
      <c r="O82" s="357"/>
      <c r="P82" s="357"/>
      <c r="Q82" s="357"/>
      <c r="R82" s="357"/>
      <c r="S82" s="226"/>
      <c r="T82" s="291"/>
      <c r="U82" s="292"/>
      <c r="V82" s="292"/>
      <c r="W82" s="293"/>
      <c r="X82" s="226"/>
      <c r="Y82" s="226"/>
      <c r="Z82" s="226"/>
      <c r="AA82" s="226"/>
      <c r="AB82" s="226"/>
      <c r="AC82" s="226"/>
      <c r="AD82" s="226"/>
      <c r="AE82" s="226"/>
      <c r="AF82" s="226"/>
      <c r="AG82" s="226"/>
      <c r="AH82" s="226"/>
      <c r="AI82" s="226"/>
      <c r="AJ82" s="226"/>
      <c r="AK82" s="226"/>
      <c r="AL82" s="226"/>
      <c r="AM82" s="226"/>
      <c r="AN82" s="226"/>
      <c r="AO82" s="226"/>
      <c r="AP82" s="226"/>
      <c r="AQ82" s="226"/>
    </row>
    <row r="83" spans="2:43" s="2" customFormat="1" ht="15.75" thickBot="1" x14ac:dyDescent="0.3">
      <c r="B83" s="265" t="s">
        <v>183</v>
      </c>
      <c r="C83" s="266" t="s">
        <v>97</v>
      </c>
      <c r="D83" s="266" t="s">
        <v>166</v>
      </c>
      <c r="E83" s="283"/>
      <c r="F83" s="283"/>
      <c r="G83" s="284"/>
      <c r="H83" s="285"/>
      <c r="I83" s="286"/>
      <c r="J83" s="271" t="s">
        <v>168</v>
      </c>
      <c r="K83" s="272">
        <f>IFERROR(VLOOKUP($D83,$Y$9:$AC$10,2,FALSE)/IF($D83="Inhalation",IF($J83="Central Tendency",SUMIFS('Inhalation Exposure'!$J$6:$J$47,'Inhalation Exposure'!$B$6:$B$47,$B83,'Inhalation Exposure'!$D$6:$D$47,$C83),SUMIFS('Inhalation Exposure'!$K$6:$K$47,'Inhalation Exposure'!$B$6:$B$47,$B83,'Inhalation Exposure'!$D$6:$D$47,$C83)),IF($J83="Central Tendency",VLOOKUP($B83,'Dermal Exposure'!$A$6:$L$11,9,FALSE),VLOOKUP($B83,'Dermal Exposure'!$A$6:$L$11,4,FALSE))),"--")</f>
        <v>115.35762178447911</v>
      </c>
      <c r="L83" s="272">
        <f>IFERROR(VLOOKUP($D83,$Y$9:$AC$10,3,FALSE)/IF($D83="Inhalation",IF($J83="Central Tendency",SUMIFS('Inhalation Exposure'!$L$6:$L$47,'Inhalation Exposure'!$B$6:$B$47,$B83,'Inhalation Exposure'!$D$6:$D$47,$C83),SUMIFS('Inhalation Exposure'!$M$6:$M$47,'Inhalation Exposure'!$B$6:$B$47,$B83,'Inhalation Exposure'!$D$6:$D$47,$C83)),IF($J83="Central Tendency",VLOOKUP($B83,'Dermal Exposure'!$A$6:$L$11,10,FALSE),VLOOKUP($B83,'Dermal Exposure'!$A$6:$L$11,5,FALSE))),"--")</f>
        <v>1.0112518792795246</v>
      </c>
      <c r="M83" s="272">
        <f>IFERROR(VLOOKUP($D83,$Y$9:$AC$10,4,FALSE)/IF($D83="Inhalation",IF($J83="Central Tendency",SUMIFS('Inhalation Exposure'!$N$6:$N$47,'Inhalation Exposure'!$B$6:$B$47,$B83,'Inhalation Exposure'!$D$6:$D$47,$C83),SUMIFS('Inhalation Exposure'!$O$6:$O$47,'Inhalation Exposure'!$B$6:$B$47,$B83,'Inhalation Exposure'!$D$6:$D$47,$C83)),IF($J83="Central Tendency",VLOOKUP($B83,'Dermal Exposure'!$A$6:$L$11,11,FALSE),VLOOKUP($B83,'Dermal Exposure'!$A$6:$L$11,6,FALSE))),"--")</f>
        <v>1.0827136787486111</v>
      </c>
      <c r="N83" s="273">
        <f>IFERROR(VLOOKUP($D83,$Y$9:$AC$10,5,FALSE)*IF($D83="Inhalation",IF($J83="Central Tendency",SUMIFS('Inhalation Exposure'!$P$6:$P$47,'Inhalation Exposure'!$B$6:$B$47,$B83,'Inhalation Exposure'!$D$6:$D$47,$C83),SUMIFS('Inhalation Exposure'!$Q$6:$Q$47,'Inhalation Exposure'!$B$6:$B$47,$B83,'Inhalation Exposure'!$D$6:$D$47,$C83)),IF($J83="Central Tendency",VLOOKUP($B83,'Dermal Exposure'!$A$6:$L$11,12,FALSE),VLOOKUP($B83,'Dermal Exposure'!$A$6:$L$11,7,FALSE))),"--")</f>
        <v>4.3729041274780404E-4</v>
      </c>
      <c r="O83" s="357"/>
      <c r="P83" s="357"/>
      <c r="Q83" s="357"/>
      <c r="R83" s="357"/>
      <c r="S83" s="226"/>
      <c r="T83" s="291"/>
      <c r="U83" s="292"/>
      <c r="V83" s="292"/>
      <c r="W83" s="293"/>
      <c r="X83" s="226"/>
      <c r="Y83" s="226"/>
      <c r="Z83" s="226"/>
      <c r="AA83" s="226"/>
      <c r="AB83" s="226"/>
      <c r="AC83" s="226"/>
      <c r="AD83" s="226"/>
      <c r="AE83" s="226"/>
      <c r="AF83" s="226"/>
      <c r="AG83" s="226"/>
      <c r="AH83" s="226"/>
      <c r="AI83" s="226"/>
      <c r="AJ83" s="226"/>
      <c r="AK83" s="226"/>
      <c r="AL83" s="226"/>
      <c r="AM83" s="226"/>
      <c r="AN83" s="226"/>
      <c r="AO83" s="226"/>
      <c r="AP83" s="226"/>
      <c r="AQ83" s="226"/>
    </row>
    <row r="84" spans="2:43" s="2" customFormat="1" ht="15.75" thickBot="1" x14ac:dyDescent="0.3">
      <c r="B84" s="265" t="s">
        <v>183</v>
      </c>
      <c r="C84" s="266" t="s">
        <v>97</v>
      </c>
      <c r="D84" s="266" t="s">
        <v>166</v>
      </c>
      <c r="E84" s="283"/>
      <c r="F84" s="283"/>
      <c r="G84" s="341"/>
      <c r="H84" s="285"/>
      <c r="I84" s="286"/>
      <c r="J84" s="301"/>
      <c r="K84" s="288"/>
      <c r="L84" s="288"/>
      <c r="M84" s="288"/>
      <c r="N84" s="289"/>
      <c r="O84" s="357"/>
      <c r="P84" s="357"/>
      <c r="Q84" s="357"/>
      <c r="R84" s="357"/>
      <c r="S84" s="226"/>
      <c r="T84" s="291"/>
      <c r="U84" s="292"/>
      <c r="V84" s="292"/>
      <c r="W84" s="293"/>
      <c r="X84" s="226"/>
      <c r="Y84" s="226"/>
      <c r="Z84" s="226"/>
      <c r="AA84" s="226"/>
      <c r="AB84" s="226"/>
      <c r="AC84" s="226"/>
      <c r="AD84" s="226"/>
      <c r="AE84" s="226"/>
      <c r="AF84" s="226"/>
      <c r="AG84" s="226"/>
      <c r="AH84" s="226"/>
      <c r="AI84" s="226"/>
      <c r="AJ84" s="226"/>
      <c r="AK84" s="226"/>
      <c r="AL84" s="226"/>
      <c r="AM84" s="226"/>
      <c r="AN84" s="226"/>
      <c r="AO84" s="226"/>
      <c r="AP84" s="226"/>
      <c r="AQ84" s="226"/>
    </row>
    <row r="85" spans="2:43" s="2" customFormat="1" ht="16.5" thickTop="1" thickBot="1" x14ac:dyDescent="0.3">
      <c r="B85" s="265" t="s">
        <v>186</v>
      </c>
      <c r="C85" s="266" t="s">
        <v>97</v>
      </c>
      <c r="D85" s="266" t="s">
        <v>166</v>
      </c>
      <c r="E85" s="283"/>
      <c r="F85" s="283"/>
      <c r="G85" s="268" t="s">
        <v>434</v>
      </c>
      <c r="H85" s="285"/>
      <c r="I85" s="309" t="s">
        <v>144</v>
      </c>
      <c r="J85" s="314" t="s">
        <v>98</v>
      </c>
      <c r="K85" s="272">
        <f>IFERROR(VLOOKUP($D85,$Y$9:$AC$10,2,FALSE)/IF($D85="Inhalation",IF($J85="Central Tendency",SUMIFS('Inhalation Exposure'!$J$6:$J$47,'Inhalation Exposure'!$B$6:$B$47,$B85,'Inhalation Exposure'!$D$6:$D$47,$C85),SUMIFS('Inhalation Exposure'!$K$6:$K$47,'Inhalation Exposure'!$B$6:$B$47,$B85,'Inhalation Exposure'!$D$6:$D$47,$C85)),IF($J85="Central Tendency",VLOOKUP($B85,'Dermal Exposure'!$A$6:$L$11,9,FALSE),VLOOKUP($B85,'Dermal Exposure'!$A$6:$L$11,4,FALSE))),"--")</f>
        <v>630.23446222553036</v>
      </c>
      <c r="L85" s="272">
        <f>IFERROR(VLOOKUP($D85,$Y$9:$AC$10,3,FALSE)/IF($D85="Inhalation",IF($J85="Central Tendency",SUMIFS('Inhalation Exposure'!$L$6:$L$47,'Inhalation Exposure'!$B$6:$B$47,$B85,'Inhalation Exposure'!$D$6:$D$47,$C85),SUMIFS('Inhalation Exposure'!$M$6:$M$47,'Inhalation Exposure'!$B$6:$B$47,$B85,'Inhalation Exposure'!$D$6:$D$47,$C85)),IF($J85="Central Tendency",VLOOKUP($B85,'Dermal Exposure'!$A$6:$L$11,10,FALSE),VLOOKUP($B85,'Dermal Exposure'!$A$6:$L$11,5,FALSE))),"--")</f>
        <v>5.5247826234056232</v>
      </c>
      <c r="M85" s="272">
        <f>IFERROR(VLOOKUP($D85,$Y$9:$AC$10,4,FALSE)/IF($D85="Inhalation",IF($J85="Central Tendency",SUMIFS('Inhalation Exposure'!$N$6:$N$47,'Inhalation Exposure'!$B$6:$B$47,$B85,'Inhalation Exposure'!$D$6:$D$47,$C85),SUMIFS('Inhalation Exposure'!$O$6:$O$47,'Inhalation Exposure'!$B$6:$B$47,$B85,'Inhalation Exposure'!$D$6:$D$47,$C85)),IF($J85="Central Tendency",VLOOKUP($B85,'Dermal Exposure'!$A$6:$L$11,11,FALSE),VLOOKUP($B85,'Dermal Exposure'!$A$6:$L$11,6,FALSE))),"--")</f>
        <v>5.9152005954596198</v>
      </c>
      <c r="N85" s="273">
        <f>IFERROR(VLOOKUP($D85,$Y$9:$AC$10,5,FALSE)*IF($D85="Inhalation",IF($J85="Central Tendency",SUMIFS('Inhalation Exposure'!$P$6:$P$47,'Inhalation Exposure'!$B$6:$B$47,$B85,'Inhalation Exposure'!$D$6:$D$47,$C85),SUMIFS('Inhalation Exposure'!$Q$6:$Q$47,'Inhalation Exposure'!$B$6:$B$47,$B85,'Inhalation Exposure'!$D$6:$D$47,$C85)),IF($J85="Central Tendency",VLOOKUP($B85,'Dermal Exposure'!$A$6:$L$11,12,FALSE),VLOOKUP($B85,'Dermal Exposure'!$A$6:$L$11,7,FALSE))),"--")</f>
        <v>6.2032003051442716E-5</v>
      </c>
      <c r="O85" s="357"/>
      <c r="P85" s="357"/>
      <c r="Q85" s="357"/>
      <c r="R85" s="357"/>
      <c r="S85" s="226"/>
      <c r="T85" s="291"/>
      <c r="U85" s="292"/>
      <c r="V85" s="292"/>
      <c r="W85" s="293"/>
      <c r="X85" s="226"/>
      <c r="Y85" s="226"/>
      <c r="Z85" s="226"/>
      <c r="AA85" s="226"/>
      <c r="AB85" s="226"/>
      <c r="AC85" s="226"/>
      <c r="AD85" s="226"/>
      <c r="AE85" s="226"/>
      <c r="AF85" s="226"/>
      <c r="AG85" s="226"/>
      <c r="AH85" s="226"/>
      <c r="AI85" s="226"/>
      <c r="AJ85" s="226"/>
      <c r="AK85" s="226"/>
      <c r="AL85" s="226"/>
      <c r="AM85" s="226"/>
      <c r="AN85" s="226"/>
      <c r="AO85" s="226"/>
      <c r="AP85" s="226"/>
      <c r="AQ85" s="226"/>
    </row>
    <row r="86" spans="2:43" s="2" customFormat="1" ht="15.75" thickBot="1" x14ac:dyDescent="0.3">
      <c r="B86" s="265" t="s">
        <v>186</v>
      </c>
      <c r="C86" s="266" t="s">
        <v>97</v>
      </c>
      <c r="D86" s="266" t="s">
        <v>166</v>
      </c>
      <c r="E86" s="283"/>
      <c r="F86" s="283"/>
      <c r="G86" s="284"/>
      <c r="H86" s="285"/>
      <c r="I86" s="286"/>
      <c r="J86" s="350"/>
      <c r="K86" s="288"/>
      <c r="L86" s="288"/>
      <c r="M86" s="288"/>
      <c r="N86" s="289"/>
      <c r="O86" s="357"/>
      <c r="P86" s="357"/>
      <c r="Q86" s="357"/>
      <c r="R86" s="357"/>
      <c r="S86" s="226"/>
      <c r="T86" s="291"/>
      <c r="U86" s="292"/>
      <c r="V86" s="292"/>
      <c r="W86" s="293"/>
      <c r="X86" s="226"/>
      <c r="Y86" s="226"/>
      <c r="Z86" s="226"/>
      <c r="AA86" s="226"/>
      <c r="AB86" s="226"/>
      <c r="AC86" s="226"/>
      <c r="AD86" s="226"/>
      <c r="AE86" s="226"/>
      <c r="AF86" s="226"/>
      <c r="AG86" s="226"/>
      <c r="AH86" s="226"/>
      <c r="AI86" s="226"/>
      <c r="AJ86" s="226"/>
      <c r="AK86" s="226"/>
      <c r="AL86" s="226"/>
      <c r="AM86" s="226"/>
      <c r="AN86" s="226"/>
      <c r="AO86" s="226"/>
      <c r="AP86" s="226"/>
      <c r="AQ86" s="226"/>
    </row>
    <row r="87" spans="2:43" s="2" customFormat="1" ht="15.75" thickBot="1" x14ac:dyDescent="0.3">
      <c r="B87" s="265" t="s">
        <v>186</v>
      </c>
      <c r="C87" s="266" t="s">
        <v>97</v>
      </c>
      <c r="D87" s="266" t="s">
        <v>166</v>
      </c>
      <c r="E87" s="283"/>
      <c r="F87" s="283"/>
      <c r="G87" s="284"/>
      <c r="H87" s="285"/>
      <c r="I87" s="286"/>
      <c r="J87" s="271" t="s">
        <v>168</v>
      </c>
      <c r="K87" s="272">
        <f>IFERROR(VLOOKUP($D87,$Y$9:$AC$10,2,FALSE)/IF($D87="Inhalation",IF($J87="Central Tendency",SUMIFS('Inhalation Exposure'!$J$6:$J$47,'Inhalation Exposure'!$B$6:$B$47,$B87,'Inhalation Exposure'!$D$6:$D$47,$C87),SUMIFS('Inhalation Exposure'!$K$6:$K$47,'Inhalation Exposure'!$B$6:$B$47,$B87,'Inhalation Exposure'!$D$6:$D$47,$C87)),IF($J87="Central Tendency",VLOOKUP($B87,'Dermal Exposure'!$A$6:$L$11,9,FALSE),VLOOKUP($B87,'Dermal Exposure'!$A$6:$L$11,4,FALSE))),"--")</f>
        <v>120.75853041099799</v>
      </c>
      <c r="L87" s="272">
        <f>IFERROR(VLOOKUP($D87,$Y$9:$AC$10,3,FALSE)/IF($D87="Inhalation",IF($J87="Central Tendency",SUMIFS('Inhalation Exposure'!$L$6:$L$47,'Inhalation Exposure'!$B$6:$B$47,$B87,'Inhalation Exposure'!$D$6:$D$47,$C87),SUMIFS('Inhalation Exposure'!$M$6:$M$47,'Inhalation Exposure'!$B$6:$B$47,$B87,'Inhalation Exposure'!$D$6:$D$47,$C87)),IF($J87="Central Tendency",VLOOKUP($B87,'Dermal Exposure'!$A$6:$L$11,10,FALSE),VLOOKUP($B87,'Dermal Exposure'!$A$6:$L$11,5,FALSE))),"--")</f>
        <v>1.0585975068496576</v>
      </c>
      <c r="M87" s="272">
        <f>IFERROR(VLOOKUP($D87,$Y$9:$AC$10,4,FALSE)/IF($D87="Inhalation",IF($J87="Central Tendency",SUMIFS('Inhalation Exposure'!$N$6:$N$47,'Inhalation Exposure'!$B$6:$B$47,$B87,'Inhalation Exposure'!$D$6:$D$47,$C87),SUMIFS('Inhalation Exposure'!$O$6:$O$47,'Inhalation Exposure'!$B$6:$B$47,$B87,'Inhalation Exposure'!$D$6:$D$47,$C87)),IF($J87="Central Tendency",VLOOKUP($B87,'Dermal Exposure'!$A$6:$L$11,11,FALSE),VLOOKUP($B87,'Dermal Exposure'!$A$6:$L$11,6,FALSE))),"--")</f>
        <v>1.1334050640003668</v>
      </c>
      <c r="N87" s="273">
        <f>IFERROR(VLOOKUP($D87,$Y$9:$AC$10,5,FALSE)*IF($D87="Inhalation",IF($J87="Central Tendency",SUMIFS('Inhalation Exposure'!$P$6:$P$47,'Inhalation Exposure'!$B$6:$B$47,$B87,'Inhalation Exposure'!$D$6:$D$47,$C87),SUMIFS('Inhalation Exposure'!$Q$6:$Q$47,'Inhalation Exposure'!$B$6:$B$47,$B87,'Inhalation Exposure'!$D$6:$D$47,$C87)),IF($J87="Central Tendency",VLOOKUP($B87,'Dermal Exposure'!$A$6:$L$11,12,FALSE),VLOOKUP($B87,'Dermal Exposure'!$A$6:$L$11,7,FALSE))),"--")</f>
        <v>4.1773265931651098E-4</v>
      </c>
      <c r="O87" s="357"/>
      <c r="P87" s="357"/>
      <c r="Q87" s="357"/>
      <c r="R87" s="357"/>
      <c r="S87" s="226"/>
      <c r="T87" s="291"/>
      <c r="U87" s="292"/>
      <c r="V87" s="292"/>
      <c r="W87" s="293"/>
      <c r="X87" s="226"/>
      <c r="Y87" s="226"/>
      <c r="Z87" s="226"/>
      <c r="AA87" s="226"/>
      <c r="AB87" s="226"/>
      <c r="AC87" s="226"/>
      <c r="AD87" s="226"/>
      <c r="AE87" s="226"/>
      <c r="AF87" s="226"/>
      <c r="AG87" s="226"/>
      <c r="AH87" s="226"/>
      <c r="AI87" s="226"/>
      <c r="AJ87" s="226"/>
      <c r="AK87" s="226"/>
      <c r="AL87" s="226"/>
      <c r="AM87" s="226"/>
      <c r="AN87" s="226"/>
      <c r="AO87" s="226"/>
      <c r="AP87" s="226"/>
      <c r="AQ87" s="226"/>
    </row>
    <row r="88" spans="2:43" s="2" customFormat="1" ht="15.75" thickBot="1" x14ac:dyDescent="0.3">
      <c r="B88" s="265" t="s">
        <v>186</v>
      </c>
      <c r="C88" s="266" t="s">
        <v>97</v>
      </c>
      <c r="D88" s="266" t="s">
        <v>166</v>
      </c>
      <c r="E88" s="283"/>
      <c r="F88" s="283"/>
      <c r="G88" s="341"/>
      <c r="H88" s="285"/>
      <c r="I88" s="286"/>
      <c r="J88" s="301"/>
      <c r="K88" s="288"/>
      <c r="L88" s="288"/>
      <c r="M88" s="288"/>
      <c r="N88" s="289"/>
      <c r="O88" s="357"/>
      <c r="P88" s="357"/>
      <c r="Q88" s="357"/>
      <c r="R88" s="357"/>
      <c r="S88" s="226"/>
      <c r="T88" s="291"/>
      <c r="U88" s="292"/>
      <c r="V88" s="292"/>
      <c r="W88" s="293"/>
      <c r="X88" s="226"/>
      <c r="Y88" s="226"/>
      <c r="Z88" s="226"/>
      <c r="AA88" s="226"/>
      <c r="AB88" s="226"/>
      <c r="AC88" s="226"/>
      <c r="AD88" s="226"/>
      <c r="AE88" s="226"/>
      <c r="AF88" s="226"/>
      <c r="AG88" s="226"/>
      <c r="AH88" s="226"/>
      <c r="AI88" s="226"/>
      <c r="AJ88" s="226"/>
      <c r="AK88" s="226"/>
      <c r="AL88" s="226"/>
      <c r="AM88" s="226"/>
      <c r="AN88" s="226"/>
      <c r="AO88" s="226"/>
      <c r="AP88" s="226"/>
      <c r="AQ88" s="226"/>
    </row>
    <row r="89" spans="2:43" s="2" customFormat="1" ht="16.5" thickTop="1" thickBot="1" x14ac:dyDescent="0.3">
      <c r="B89" s="265" t="s">
        <v>187</v>
      </c>
      <c r="C89" s="266" t="s">
        <v>97</v>
      </c>
      <c r="D89" s="266" t="s">
        <v>166</v>
      </c>
      <c r="E89" s="283"/>
      <c r="F89" s="283"/>
      <c r="G89" s="284" t="s">
        <v>435</v>
      </c>
      <c r="H89" s="285"/>
      <c r="I89" s="309" t="s">
        <v>144</v>
      </c>
      <c r="J89" s="314" t="s">
        <v>98</v>
      </c>
      <c r="K89" s="272">
        <f>IFERROR(VLOOKUP($D89,$Y$9:$AC$10,2,FALSE)/IF($D89="Inhalation",IF($J89="Central Tendency",SUMIFS('Inhalation Exposure'!$J$6:$J$47,'Inhalation Exposure'!$B$6:$B$47,$B89,'Inhalation Exposure'!$D$6:$D$47,$C89),SUMIFS('Inhalation Exposure'!$K$6:$K$47,'Inhalation Exposure'!$B$6:$B$47,$B89,'Inhalation Exposure'!$D$6:$D$47,$C89)),IF($J89="Central Tendency",VLOOKUP($B89,'Dermal Exposure'!$A$6:$L$11,9,FALSE),VLOOKUP($B89,'Dermal Exposure'!$A$6:$L$11,4,FALSE))),"--")</f>
        <v>693.95152792413069</v>
      </c>
      <c r="L89" s="272">
        <f>IFERROR(VLOOKUP($D89,$Y$9:$AC$10,3,FALSE)/IF($D89="Inhalation",IF($J89="Central Tendency",SUMIFS('Inhalation Exposure'!$L$6:$L$47,'Inhalation Exposure'!$B$6:$B$47,$B89,'Inhalation Exposure'!$D$6:$D$47,$C89),SUMIFS('Inhalation Exposure'!$M$6:$M$47,'Inhalation Exposure'!$B$6:$B$47,$B89,'Inhalation Exposure'!$D$6:$D$47,$C89)),IF($J89="Central Tendency",VLOOKUP($B89,'Dermal Exposure'!$A$6:$L$11,10,FALSE),VLOOKUP($B89,'Dermal Exposure'!$A$6:$L$11,5,FALSE))),"--")</f>
        <v>6.0833413162180285</v>
      </c>
      <c r="M89" s="272">
        <f>IFERROR(VLOOKUP($D89,$Y$9:$AC$10,4,FALSE)/IF($D89="Inhalation",IF($J89="Central Tendency",SUMIFS('Inhalation Exposure'!$N$6:$N$47,'Inhalation Exposure'!$B$6:$B$47,$B89,'Inhalation Exposure'!$D$6:$D$47,$C89),SUMIFS('Inhalation Exposure'!$O$6:$O$47,'Inhalation Exposure'!$B$6:$B$47,$B89,'Inhalation Exposure'!$D$6:$D$47,$C89)),IF($J89="Central Tendency",VLOOKUP($B89,'Dermal Exposure'!$A$6:$L$11,11,FALSE),VLOOKUP($B89,'Dermal Exposure'!$A$6:$L$11,6,FALSE))),"--")</f>
        <v>6.5132307692307698</v>
      </c>
      <c r="N89" s="273">
        <f>IFERROR(VLOOKUP($D89,$Y$9:$AC$10,5,FALSE)*IF($D89="Inhalation",IF($J89="Central Tendency",SUMIFS('Inhalation Exposure'!$P$6:$P$47,'Inhalation Exposure'!$B$6:$B$47,$B89,'Inhalation Exposure'!$D$6:$D$47,$C89),SUMIFS('Inhalation Exposure'!$Q$6:$Q$47,'Inhalation Exposure'!$B$6:$B$47,$B89,'Inhalation Exposure'!$D$6:$D$47,$C89)),IF($J89="Central Tendency",VLOOKUP($B89,'Dermal Exposure'!$A$6:$L$11,12,FALSE),VLOOKUP($B89,'Dermal Exposure'!$A$6:$L$11,7,FALSE))),"--")</f>
        <v>5.6336364300321359E-5</v>
      </c>
      <c r="O89" s="357"/>
      <c r="P89" s="357"/>
      <c r="Q89" s="357"/>
      <c r="R89" s="357"/>
      <c r="S89" s="226"/>
      <c r="T89" s="291"/>
      <c r="U89" s="292"/>
      <c r="V89" s="292"/>
      <c r="W89" s="293"/>
      <c r="X89" s="226"/>
      <c r="Y89" s="226"/>
      <c r="Z89" s="226"/>
      <c r="AA89" s="226"/>
      <c r="AB89" s="226"/>
      <c r="AC89" s="226"/>
      <c r="AD89" s="226"/>
      <c r="AE89" s="226"/>
      <c r="AF89" s="226"/>
      <c r="AG89" s="226"/>
      <c r="AH89" s="226"/>
      <c r="AI89" s="226"/>
      <c r="AJ89" s="226"/>
      <c r="AK89" s="226"/>
      <c r="AL89" s="226"/>
      <c r="AM89" s="226"/>
      <c r="AN89" s="226"/>
      <c r="AO89" s="226"/>
      <c r="AP89" s="226"/>
      <c r="AQ89" s="226"/>
    </row>
    <row r="90" spans="2:43" s="2" customFormat="1" ht="15.75" thickBot="1" x14ac:dyDescent="0.3">
      <c r="B90" s="265" t="s">
        <v>187</v>
      </c>
      <c r="C90" s="266" t="s">
        <v>97</v>
      </c>
      <c r="D90" s="266" t="s">
        <v>166</v>
      </c>
      <c r="E90" s="283"/>
      <c r="F90" s="283"/>
      <c r="G90" s="284"/>
      <c r="H90" s="285"/>
      <c r="I90" s="286"/>
      <c r="J90" s="350"/>
      <c r="K90" s="288"/>
      <c r="L90" s="288"/>
      <c r="M90" s="288"/>
      <c r="N90" s="289"/>
      <c r="O90" s="357"/>
      <c r="P90" s="357"/>
      <c r="Q90" s="357"/>
      <c r="R90" s="357"/>
      <c r="S90" s="226"/>
      <c r="T90" s="291"/>
      <c r="U90" s="292"/>
      <c r="V90" s="292"/>
      <c r="W90" s="293"/>
      <c r="X90" s="226"/>
      <c r="Y90" s="226"/>
      <c r="Z90" s="226"/>
      <c r="AA90" s="226"/>
      <c r="AB90" s="226"/>
      <c r="AC90" s="226"/>
      <c r="AD90" s="226"/>
      <c r="AE90" s="226"/>
      <c r="AF90" s="226"/>
      <c r="AG90" s="226"/>
      <c r="AH90" s="226"/>
      <c r="AI90" s="226"/>
      <c r="AJ90" s="226"/>
      <c r="AK90" s="226"/>
      <c r="AL90" s="226"/>
      <c r="AM90" s="226"/>
      <c r="AN90" s="226"/>
      <c r="AO90" s="226"/>
      <c r="AP90" s="226"/>
      <c r="AQ90" s="226"/>
    </row>
    <row r="91" spans="2:43" s="2" customFormat="1" ht="15.75" thickBot="1" x14ac:dyDescent="0.3">
      <c r="B91" s="265" t="s">
        <v>187</v>
      </c>
      <c r="C91" s="266" t="s">
        <v>97</v>
      </c>
      <c r="D91" s="266" t="s">
        <v>166</v>
      </c>
      <c r="E91" s="283"/>
      <c r="F91" s="283"/>
      <c r="G91" s="284"/>
      <c r="H91" s="285"/>
      <c r="I91" s="286"/>
      <c r="J91" s="271" t="s">
        <v>168</v>
      </c>
      <c r="K91" s="339">
        <f>IFERROR(VLOOKUP($D91,$Y$9:$AC$10,2,FALSE)/IF($D91="Inhalation",IF($J91="Central Tendency",SUMIFS('Inhalation Exposure'!$J$6:$J$47,'Inhalation Exposure'!$B$6:$B$47,$B91,'Inhalation Exposure'!$D$6:$D$47,$C91),SUMIFS('Inhalation Exposure'!$K$6:$K$47,'Inhalation Exposure'!$B$6:$B$47,$B91,'Inhalation Exposure'!$D$6:$D$47,$C91)),IF($J91="Central Tendency",VLOOKUP($B91,'Dermal Exposure'!$A$6:$L$11,9,FALSE),VLOOKUP($B91,'Dermal Exposure'!$A$6:$L$11,4,FALSE))),"--")</f>
        <v>28.21056639695383</v>
      </c>
      <c r="L91" s="272">
        <f>IFERROR(VLOOKUP($D91,$Y$9:$AC$10,3,FALSE)/IF($D91="Inhalation",IF($J91="Central Tendency",SUMIFS('Inhalation Exposure'!$L$6:$L$47,'Inhalation Exposure'!$B$6:$B$47,$B91,'Inhalation Exposure'!$D$6:$D$47,$C91),SUMIFS('Inhalation Exposure'!$M$6:$M$47,'Inhalation Exposure'!$B$6:$B$47,$B91,'Inhalation Exposure'!$D$6:$D$47,$C91)),IF($J91="Central Tendency",VLOOKUP($B91,'Dermal Exposure'!$A$6:$L$11,10,FALSE),VLOOKUP($B91,'Dermal Exposure'!$A$6:$L$11,5,FALSE))),"--")</f>
        <v>0.24730041971355626</v>
      </c>
      <c r="M91" s="272">
        <f>IFERROR(VLOOKUP($D91,$Y$9:$AC$10,4,FALSE)/IF($D91="Inhalation",IF($J91="Central Tendency",SUMIFS('Inhalation Exposure'!$N$6:$N$47,'Inhalation Exposure'!$B$6:$B$47,$B91,'Inhalation Exposure'!$D$6:$D$47,$C91),SUMIFS('Inhalation Exposure'!$O$6:$O$47,'Inhalation Exposure'!$B$6:$B$47,$B91,'Inhalation Exposure'!$D$6:$D$47,$C91)),IF($J91="Central Tendency",VLOOKUP($B91,'Dermal Exposure'!$A$6:$L$11,11,FALSE),VLOOKUP($B91,'Dermal Exposure'!$A$6:$L$11,6,FALSE))),"--")</f>
        <v>0.26477631603998092</v>
      </c>
      <c r="N91" s="273">
        <f>IFERROR(VLOOKUP($D91,$Y$9:$AC$10,5,FALSE)*IF($D91="Inhalation",IF($J91="Central Tendency",SUMIFS('Inhalation Exposure'!$P$6:$P$47,'Inhalation Exposure'!$B$6:$B$47,$B91,'Inhalation Exposure'!$D$6:$D$47,$C91),SUMIFS('Inhalation Exposure'!$Q$6:$Q$47,'Inhalation Exposure'!$B$6:$B$47,$B91,'Inhalation Exposure'!$D$6:$D$47,$C91)),IF($J91="Central Tendency",VLOOKUP($B91,'Dermal Exposure'!$A$6:$L$11,12,FALSE),VLOOKUP($B91,'Dermal Exposure'!$A$6:$L$11,7,FALSE))),"--")</f>
        <v>1.7881520467872268E-3</v>
      </c>
      <c r="O91" s="357"/>
      <c r="P91" s="357"/>
      <c r="Q91" s="357"/>
      <c r="R91" s="357"/>
      <c r="S91" s="226"/>
      <c r="T91" s="291"/>
      <c r="U91" s="292"/>
      <c r="V91" s="292"/>
      <c r="W91" s="293"/>
      <c r="X91" s="226"/>
      <c r="Y91" s="226"/>
      <c r="Z91" s="226"/>
      <c r="AA91" s="226"/>
      <c r="AB91" s="226"/>
      <c r="AC91" s="226"/>
      <c r="AD91" s="226"/>
      <c r="AE91" s="226"/>
      <c r="AF91" s="226"/>
      <c r="AG91" s="226"/>
      <c r="AH91" s="226"/>
      <c r="AI91" s="226"/>
      <c r="AJ91" s="226"/>
      <c r="AK91" s="226"/>
      <c r="AL91" s="226"/>
      <c r="AM91" s="226"/>
      <c r="AN91" s="226"/>
      <c r="AO91" s="226"/>
      <c r="AP91" s="226"/>
      <c r="AQ91" s="226"/>
    </row>
    <row r="92" spans="2:43" s="2" customFormat="1" ht="15.75" thickBot="1" x14ac:dyDescent="0.3">
      <c r="B92" s="265" t="s">
        <v>187</v>
      </c>
      <c r="C92" s="266" t="s">
        <v>97</v>
      </c>
      <c r="D92" s="266" t="s">
        <v>166</v>
      </c>
      <c r="E92" s="283"/>
      <c r="F92" s="283"/>
      <c r="G92" s="341"/>
      <c r="H92" s="285"/>
      <c r="I92" s="286"/>
      <c r="J92" s="301"/>
      <c r="K92" s="342"/>
      <c r="L92" s="288"/>
      <c r="M92" s="288"/>
      <c r="N92" s="289"/>
      <c r="O92" s="357"/>
      <c r="P92" s="357"/>
      <c r="Q92" s="357"/>
      <c r="R92" s="357"/>
      <c r="S92" s="226"/>
      <c r="T92" s="291"/>
      <c r="U92" s="292"/>
      <c r="V92" s="292"/>
      <c r="W92" s="293"/>
      <c r="X92" s="226"/>
      <c r="Y92" s="226"/>
      <c r="Z92" s="226"/>
      <c r="AA92" s="226"/>
      <c r="AB92" s="226"/>
      <c r="AC92" s="226"/>
      <c r="AD92" s="226"/>
      <c r="AE92" s="226"/>
      <c r="AF92" s="226"/>
      <c r="AG92" s="226"/>
      <c r="AH92" s="226"/>
      <c r="AI92" s="226"/>
      <c r="AJ92" s="226"/>
      <c r="AK92" s="226"/>
      <c r="AL92" s="226"/>
      <c r="AM92" s="226"/>
      <c r="AN92" s="226"/>
      <c r="AO92" s="226"/>
      <c r="AP92" s="226"/>
      <c r="AQ92" s="226"/>
    </row>
    <row r="93" spans="2:43" s="2" customFormat="1" ht="16.5" thickTop="1" thickBot="1" x14ac:dyDescent="0.3">
      <c r="B93" s="265" t="s">
        <v>188</v>
      </c>
      <c r="C93" s="266" t="s">
        <v>97</v>
      </c>
      <c r="D93" s="266" t="s">
        <v>166</v>
      </c>
      <c r="E93" s="283"/>
      <c r="F93" s="283"/>
      <c r="G93" s="284" t="s">
        <v>436</v>
      </c>
      <c r="H93" s="285"/>
      <c r="I93" s="309" t="s">
        <v>144</v>
      </c>
      <c r="J93" s="314" t="s">
        <v>98</v>
      </c>
      <c r="K93" s="339">
        <f>IFERROR(VLOOKUP($D93,$Y$9:$AC$10,2,FALSE)/IF($D93="Inhalation",IF($J93="Central Tendency",SUMIFS('Inhalation Exposure'!$J$6:$J$47,'Inhalation Exposure'!$B$6:$B$47,$B93,'Inhalation Exposure'!$D$6:$D$47,$C93),SUMIFS('Inhalation Exposure'!$K$6:$K$47,'Inhalation Exposure'!$B$6:$B$47,$B93,'Inhalation Exposure'!$D$6:$D$47,$C93)),IF($J93="Central Tendency",VLOOKUP($B93,'Dermal Exposure'!$A$6:$L$11,9,FALSE),VLOOKUP($B93,'Dermal Exposure'!$A$6:$L$11,4,FALSE))),"--")</f>
        <v>40946.735751295346</v>
      </c>
      <c r="L93" s="272">
        <f>IFERROR(VLOOKUP($D93,$Y$9:$AC$10,3,FALSE)/IF($D93="Inhalation",IF($J93="Central Tendency",SUMIFS('Inhalation Exposure'!$L$6:$L$47,'Inhalation Exposure'!$B$6:$B$47,$B93,'Inhalation Exposure'!$D$6:$D$47,$C93),SUMIFS('Inhalation Exposure'!$M$6:$M$47,'Inhalation Exposure'!$B$6:$B$47,$B93,'Inhalation Exposure'!$D$6:$D$47,$C93)),IF($J93="Central Tendency",VLOOKUP($B93,'Dermal Exposure'!$A$6:$L$11,10,FALSE),VLOOKUP($B93,'Dermal Exposure'!$A$6:$L$11,5,FALSE))),"--")</f>
        <v>358.94865756005652</v>
      </c>
      <c r="M93" s="272">
        <f>IFERROR(VLOOKUP($D93,$Y$9:$AC$10,4,FALSE)/IF($D93="Inhalation",IF($J93="Central Tendency",SUMIFS('Inhalation Exposure'!$N$6:$N$47,'Inhalation Exposure'!$B$6:$B$47,$B93,'Inhalation Exposure'!$D$6:$D$47,$C93),SUMIFS('Inhalation Exposure'!$O$6:$O$47,'Inhalation Exposure'!$B$6:$B$47,$B93,'Inhalation Exposure'!$D$6:$D$47,$C93)),IF($J93="Central Tendency",VLOOKUP($B93,'Dermal Exposure'!$A$6:$L$11,11,FALSE),VLOOKUP($B93,'Dermal Exposure'!$A$6:$L$11,6,FALSE))),"--")</f>
        <v>384.31436269430054</v>
      </c>
      <c r="N93" s="273">
        <f>IFERROR(VLOOKUP($D93,$Y$9:$AC$10,5,FALSE)*IF($D93="Inhalation",IF($J93="Central Tendency",SUMIFS('Inhalation Exposure'!$P$6:$P$47,'Inhalation Exposure'!$B$6:$B$47,$B93,'Inhalation Exposure'!$D$6:$D$47,$C93),SUMIFS('Inhalation Exposure'!$Q$6:$Q$47,'Inhalation Exposure'!$B$6:$B$47,$B93,'Inhalation Exposure'!$D$6:$D$47,$C93)),IF($J93="Central Tendency",VLOOKUP($B93,'Dermal Exposure'!$A$6:$L$11,12,FALSE),VLOOKUP($B93,'Dermal Exposure'!$A$6:$L$11,7,FALSE))),"--")</f>
        <v>9.5476978485792243E-7</v>
      </c>
      <c r="O93" s="330"/>
      <c r="P93" s="330"/>
      <c r="Q93" s="330"/>
      <c r="R93" s="330"/>
      <c r="S93" s="226"/>
      <c r="T93" s="291"/>
      <c r="U93" s="292"/>
      <c r="V93" s="292"/>
      <c r="W93" s="293"/>
      <c r="X93" s="226"/>
      <c r="Y93" s="226"/>
      <c r="Z93" s="226"/>
      <c r="AA93" s="226"/>
      <c r="AB93" s="226"/>
      <c r="AC93" s="226"/>
      <c r="AD93" s="226"/>
      <c r="AE93" s="226"/>
      <c r="AF93" s="226"/>
      <c r="AG93" s="226"/>
      <c r="AH93" s="226"/>
      <c r="AI93" s="226"/>
      <c r="AJ93" s="226"/>
      <c r="AK93" s="226"/>
      <c r="AL93" s="226"/>
      <c r="AM93" s="226"/>
      <c r="AN93" s="226"/>
      <c r="AO93" s="226"/>
      <c r="AP93" s="226"/>
      <c r="AQ93" s="226"/>
    </row>
    <row r="94" spans="2:43" s="2" customFormat="1" ht="15.75" thickBot="1" x14ac:dyDescent="0.3">
      <c r="B94" s="265" t="s">
        <v>188</v>
      </c>
      <c r="C94" s="266" t="s">
        <v>97</v>
      </c>
      <c r="D94" s="266" t="s">
        <v>166</v>
      </c>
      <c r="E94" s="283"/>
      <c r="F94" s="283"/>
      <c r="G94" s="284"/>
      <c r="H94" s="285"/>
      <c r="I94" s="286"/>
      <c r="J94" s="350"/>
      <c r="K94" s="342"/>
      <c r="L94" s="288"/>
      <c r="M94" s="288"/>
      <c r="N94" s="289"/>
      <c r="O94" s="330"/>
      <c r="P94" s="330"/>
      <c r="Q94" s="330"/>
      <c r="R94" s="330"/>
      <c r="S94" s="226"/>
      <c r="T94" s="291"/>
      <c r="U94" s="292"/>
      <c r="V94" s="292"/>
      <c r="W94" s="293"/>
      <c r="X94" s="226"/>
      <c r="Y94" s="226"/>
      <c r="Z94" s="226"/>
      <c r="AA94" s="226"/>
      <c r="AB94" s="226"/>
      <c r="AC94" s="226"/>
      <c r="AD94" s="226"/>
      <c r="AE94" s="226"/>
      <c r="AF94" s="226"/>
      <c r="AG94" s="226"/>
      <c r="AH94" s="226"/>
      <c r="AI94" s="226"/>
      <c r="AJ94" s="226"/>
      <c r="AK94" s="226"/>
      <c r="AL94" s="226"/>
      <c r="AM94" s="226"/>
      <c r="AN94" s="226"/>
      <c r="AO94" s="226"/>
      <c r="AP94" s="226"/>
      <c r="AQ94" s="226"/>
    </row>
    <row r="95" spans="2:43" s="2" customFormat="1" ht="15.75" thickBot="1" x14ac:dyDescent="0.3">
      <c r="B95" s="265" t="s">
        <v>188</v>
      </c>
      <c r="C95" s="266" t="s">
        <v>97</v>
      </c>
      <c r="D95" s="266" t="s">
        <v>166</v>
      </c>
      <c r="E95" s="283"/>
      <c r="F95" s="283"/>
      <c r="G95" s="284"/>
      <c r="H95" s="285"/>
      <c r="I95" s="286"/>
      <c r="J95" s="271" t="s">
        <v>168</v>
      </c>
      <c r="K95" s="339">
        <f>IFERROR(VLOOKUP($D95,$Y$9:$AC$10,2,FALSE)/IF($D95="Inhalation",IF($J95="Central Tendency",SUMIFS('Inhalation Exposure'!$J$6:$J$47,'Inhalation Exposure'!$B$6:$B$47,$B95,'Inhalation Exposure'!$D$6:$D$47,$C95),SUMIFS('Inhalation Exposure'!$K$6:$K$47,'Inhalation Exposure'!$B$6:$B$47,$B95,'Inhalation Exposure'!$D$6:$D$47,$C95)),IF($J95="Central Tendency",VLOOKUP($B95,'Dermal Exposure'!$A$6:$L$11,9,FALSE),VLOOKUP($B95,'Dermal Exposure'!$A$6:$L$11,4,FALSE))),"--")</f>
        <v>28.626128954358858</v>
      </c>
      <c r="L95" s="272">
        <f>IFERROR(VLOOKUP($D95,$Y$9:$AC$10,3,FALSE)/IF($D95="Inhalation",IF($J95="Central Tendency",SUMIFS('Inhalation Exposure'!$L$6:$L$47,'Inhalation Exposure'!$B$6:$B$47,$B95,'Inhalation Exposure'!$D$6:$D$47,$C95),SUMIFS('Inhalation Exposure'!$M$6:$M$47,'Inhalation Exposure'!$B$6:$B$47,$B95,'Inhalation Exposure'!$D$6:$D$47,$C95)),IF($J95="Central Tendency",VLOOKUP($B95,'Dermal Exposure'!$A$6:$L$11,10,FALSE),VLOOKUP($B95,'Dermal Exposure'!$A$6:$L$11,5,FALSE))),"--")</f>
        <v>0.25094333823626269</v>
      </c>
      <c r="M95" s="272">
        <f>IFERROR(VLOOKUP($D95,$Y$9:$AC$10,4,FALSE)/IF($D95="Inhalation",IF($J95="Central Tendency",SUMIFS('Inhalation Exposure'!$N$6:$N$47,'Inhalation Exposure'!$B$6:$B$47,$B95,'Inhalation Exposure'!$D$6:$D$47,$C95),SUMIFS('Inhalation Exposure'!$O$6:$O$47,'Inhalation Exposure'!$B$6:$B$47,$B95,'Inhalation Exposure'!$D$6:$D$47,$C95)),IF($J95="Central Tendency",VLOOKUP($B95,'Dermal Exposure'!$A$6:$L$11,11,FALSE),VLOOKUP($B95,'Dermal Exposure'!$A$6:$L$11,6,FALSE))),"--")</f>
        <v>0.26867666747162522</v>
      </c>
      <c r="N95" s="273">
        <f>IFERROR(VLOOKUP($D95,$Y$9:$AC$10,5,FALSE)*IF($D95="Inhalation",IF($J95="Central Tendency",SUMIFS('Inhalation Exposure'!$P$6:$P$47,'Inhalation Exposure'!$B$6:$B$47,$B95,'Inhalation Exposure'!$D$6:$D$47,$C95),SUMIFS('Inhalation Exposure'!$Q$6:$Q$47,'Inhalation Exposure'!$B$6:$B$47,$B95,'Inhalation Exposure'!$D$6:$D$47,$C95)),IF($J95="Central Tendency",VLOOKUP($B95,'Dermal Exposure'!$A$6:$L$11,12,FALSE),VLOOKUP($B95,'Dermal Exposure'!$A$6:$L$11,7,FALSE))),"--")</f>
        <v>1.7621936282117808E-3</v>
      </c>
      <c r="O95" s="330"/>
      <c r="P95" s="330"/>
      <c r="Q95" s="330"/>
      <c r="R95" s="330"/>
      <c r="S95" s="226"/>
      <c r="T95" s="291"/>
      <c r="U95" s="292"/>
      <c r="V95" s="292"/>
      <c r="W95" s="293"/>
      <c r="X95" s="226"/>
      <c r="Y95" s="226"/>
      <c r="Z95" s="226"/>
      <c r="AA95" s="226"/>
      <c r="AB95" s="226"/>
      <c r="AC95" s="226"/>
      <c r="AD95" s="226"/>
      <c r="AE95" s="226"/>
      <c r="AF95" s="226"/>
      <c r="AG95" s="226"/>
      <c r="AH95" s="226"/>
      <c r="AI95" s="226"/>
      <c r="AJ95" s="226"/>
      <c r="AK95" s="226"/>
      <c r="AL95" s="226"/>
      <c r="AM95" s="226"/>
      <c r="AN95" s="226"/>
      <c r="AO95" s="226"/>
      <c r="AP95" s="226"/>
      <c r="AQ95" s="226"/>
    </row>
    <row r="96" spans="2:43" s="2" customFormat="1" ht="15.75" thickBot="1" x14ac:dyDescent="0.3">
      <c r="B96" s="265" t="s">
        <v>188</v>
      </c>
      <c r="C96" s="266" t="s">
        <v>97</v>
      </c>
      <c r="D96" s="266" t="s">
        <v>166</v>
      </c>
      <c r="E96" s="283"/>
      <c r="F96" s="283"/>
      <c r="G96" s="284"/>
      <c r="H96" s="285"/>
      <c r="I96" s="286"/>
      <c r="J96" s="301"/>
      <c r="K96" s="342"/>
      <c r="L96" s="288"/>
      <c r="M96" s="288"/>
      <c r="N96" s="289"/>
      <c r="O96" s="330"/>
      <c r="P96" s="330"/>
      <c r="Q96" s="330"/>
      <c r="R96" s="330"/>
      <c r="S96" s="226"/>
      <c r="T96" s="291"/>
      <c r="U96" s="292"/>
      <c r="V96" s="292"/>
      <c r="W96" s="293"/>
      <c r="X96" s="226"/>
      <c r="Y96" s="226"/>
      <c r="Z96" s="226"/>
      <c r="AA96" s="226"/>
      <c r="AB96" s="226"/>
      <c r="AC96" s="226"/>
      <c r="AD96" s="226"/>
      <c r="AE96" s="226"/>
      <c r="AF96" s="226"/>
      <c r="AG96" s="226"/>
      <c r="AH96" s="226"/>
      <c r="AI96" s="226"/>
      <c r="AJ96" s="226"/>
      <c r="AK96" s="226"/>
      <c r="AL96" s="226"/>
      <c r="AM96" s="226"/>
      <c r="AN96" s="226"/>
      <c r="AO96" s="226"/>
      <c r="AP96" s="226"/>
      <c r="AQ96" s="226"/>
    </row>
    <row r="97" spans="2:43" s="2" customFormat="1" ht="38.450000000000003" customHeight="1" thickTop="1" thickBot="1" x14ac:dyDescent="0.3">
      <c r="B97" s="265">
        <v>4</v>
      </c>
      <c r="C97" s="324" t="s">
        <v>97</v>
      </c>
      <c r="D97" s="324" t="s">
        <v>71</v>
      </c>
      <c r="E97" s="283"/>
      <c r="F97" s="283"/>
      <c r="G97" s="325" t="s">
        <v>420</v>
      </c>
      <c r="H97" s="285"/>
      <c r="I97" s="326" t="s">
        <v>71</v>
      </c>
      <c r="J97" s="326" t="s">
        <v>98</v>
      </c>
      <c r="K97" s="328">
        <f>IFERROR(VLOOKUP($D97,$Y$9:$AC$10,2,FALSE)/IF($D97="Inhalation",IF($J97="Central Tendency",SUMIFS('Inhalation Exposure'!$J$6:$J$47,'Inhalation Exposure'!$B$6:$B$47,$B97,'Inhalation Exposure'!$D$6:$D$47,$C97),SUMIFS('Inhalation Exposure'!$K$6:$K$47,'Inhalation Exposure'!$B$6:$B$47,$B97,'Inhalation Exposure'!$D$6:$D$47,$C97)),IF($J97="Central Tendency",VLOOKUP($B97,'Dermal Exposure'!$A$6:$L$11,9,FALSE),VLOOKUP($B97,'Dermal Exposure'!$A$6:$L$11,4,FALSE))),"--")</f>
        <v>50.868409330441558</v>
      </c>
      <c r="L97" s="328">
        <f>IFERROR(VLOOKUP($D97,$Y$9:$AC$10,3,FALSE)/IF($D97="Inhalation",IF($J97="Central Tendency",SUMIFS('Inhalation Exposure'!$L$6:$L$47,'Inhalation Exposure'!$B$6:$B$47,$B97,'Inhalation Exposure'!$D$6:$D$47,$C97),SUMIFS('Inhalation Exposure'!$M$6:$M$47,'Inhalation Exposure'!$B$6:$B$47,$B97,'Inhalation Exposure'!$D$6:$D$47,$C97)),IF($J97="Central Tendency",VLOOKUP($B97,'Dermal Exposure'!$A$6:$L$11,10,FALSE),VLOOKUP($B97,'Dermal Exposure'!$A$6:$L$11,5,FALSE))),"--")</f>
        <v>109.82952014527154</v>
      </c>
      <c r="M97" s="328">
        <f>IFERROR(VLOOKUP($D97,$Y$9:$AC$10,4,FALSE)/IF($D97="Inhalation",IF($J97="Central Tendency",SUMIFS('Inhalation Exposure'!$N$6:$N$47,'Inhalation Exposure'!$B$6:$B$47,$B97,'Inhalation Exposure'!$D$6:$D$47,$C97),SUMIFS('Inhalation Exposure'!$O$6:$O$47,'Inhalation Exposure'!$B$6:$B$47,$B97,'Inhalation Exposure'!$D$6:$D$47,$C97)),IF($J97="Central Tendency",VLOOKUP($B97,'Dermal Exposure'!$A$6:$L$11,11,FALSE),VLOOKUP($B97,'Dermal Exposure'!$A$6:$L$11,6,FALSE))),"--")</f>
        <v>117.59080623553741</v>
      </c>
      <c r="N97" s="329">
        <f>IFERROR(VLOOKUP($D97,$Y$9:$AC$10,5,FALSE)*IF($D97="Inhalation",IF($J97="Central Tendency",SUMIFS('Inhalation Exposure'!$P$6:$P$47,'Inhalation Exposure'!$B$6:$B$47,$B97,'Inhalation Exposure'!$D$6:$D$47,$C97),SUMIFS('Inhalation Exposure'!$Q$6:$Q$47,'Inhalation Exposure'!$B$6:$B$47,$B97,'Inhalation Exposure'!$D$6:$D$47,$C97)),IF($J97="Central Tendency",VLOOKUP($B97,'Dermal Exposure'!$A$6:$L$11,12,FALSE),VLOOKUP($B97,'Dermal Exposure'!$A$6:$L$11,7,FALSE))),"--")</f>
        <v>1.424672096790732E-3</v>
      </c>
      <c r="O97" s="357"/>
      <c r="P97" s="357"/>
      <c r="Q97" s="357"/>
      <c r="R97" s="357"/>
      <c r="S97" s="226"/>
      <c r="T97" s="291"/>
      <c r="U97" s="292"/>
      <c r="V97" s="292"/>
      <c r="W97" s="293"/>
      <c r="X97" s="226"/>
      <c r="Y97" s="226"/>
      <c r="Z97" s="226"/>
      <c r="AA97" s="226"/>
      <c r="AB97" s="226"/>
      <c r="AC97" s="226"/>
      <c r="AD97" s="226"/>
      <c r="AE97" s="226"/>
      <c r="AF97" s="226"/>
      <c r="AG97" s="226"/>
      <c r="AH97" s="226"/>
      <c r="AI97" s="226"/>
      <c r="AJ97" s="226"/>
      <c r="AK97" s="226"/>
      <c r="AL97" s="226"/>
      <c r="AM97" s="226"/>
      <c r="AN97" s="226"/>
      <c r="AO97" s="226"/>
      <c r="AP97" s="226"/>
      <c r="AQ97" s="226"/>
    </row>
    <row r="98" spans="2:43" s="2" customFormat="1" ht="15.75" thickBot="1" x14ac:dyDescent="0.3">
      <c r="B98" s="265">
        <v>4</v>
      </c>
      <c r="C98" s="324" t="s">
        <v>97</v>
      </c>
      <c r="D98" s="324" t="s">
        <v>71</v>
      </c>
      <c r="E98" s="283"/>
      <c r="F98" s="283"/>
      <c r="G98" s="331"/>
      <c r="H98" s="285"/>
      <c r="I98" s="285"/>
      <c r="J98" s="345"/>
      <c r="K98" s="333"/>
      <c r="L98" s="333"/>
      <c r="M98" s="333"/>
      <c r="N98" s="334"/>
      <c r="O98" s="357"/>
      <c r="P98" s="357"/>
      <c r="Q98" s="357"/>
      <c r="R98" s="357"/>
      <c r="S98" s="226"/>
      <c r="T98" s="291"/>
      <c r="U98" s="292"/>
      <c r="V98" s="292"/>
      <c r="W98" s="293"/>
      <c r="X98" s="226"/>
      <c r="Y98" s="226"/>
      <c r="Z98" s="226"/>
      <c r="AA98" s="226"/>
      <c r="AB98" s="226"/>
      <c r="AC98" s="226"/>
      <c r="AD98" s="226"/>
      <c r="AE98" s="226"/>
      <c r="AF98" s="226"/>
      <c r="AG98" s="226"/>
      <c r="AH98" s="226"/>
      <c r="AI98" s="226"/>
      <c r="AJ98" s="226"/>
      <c r="AK98" s="226"/>
      <c r="AL98" s="226"/>
      <c r="AM98" s="226"/>
      <c r="AN98" s="226"/>
      <c r="AO98" s="226"/>
      <c r="AP98" s="226"/>
      <c r="AQ98" s="226"/>
    </row>
    <row r="99" spans="2:43" s="2" customFormat="1" ht="15.75" thickBot="1" x14ac:dyDescent="0.3">
      <c r="B99" s="265">
        <v>4</v>
      </c>
      <c r="C99" s="324" t="s">
        <v>97</v>
      </c>
      <c r="D99" s="324" t="s">
        <v>71</v>
      </c>
      <c r="E99" s="283"/>
      <c r="F99" s="283"/>
      <c r="G99" s="331"/>
      <c r="H99" s="285"/>
      <c r="I99" s="285"/>
      <c r="J99" s="332" t="s">
        <v>168</v>
      </c>
      <c r="K99" s="328">
        <f>IFERROR(VLOOKUP($D99,$Y$9:$AC$10,2,FALSE)/IF($D99="Inhalation",IF($J99="Central Tendency",SUMIFS('Inhalation Exposure'!$J$6:$J$47,'Inhalation Exposure'!$B$6:$B$47,$B99,'Inhalation Exposure'!$D$6:$D$47,$C99),SUMIFS('Inhalation Exposure'!$K$6:$K$47,'Inhalation Exposure'!$B$6:$B$47,$B99,'Inhalation Exposure'!$D$6:$D$47,$C99)),IF($J99="Central Tendency",VLOOKUP($B99,'Dermal Exposure'!$A$6:$L$11,9,FALSE),VLOOKUP($B99,'Dermal Exposure'!$A$6:$L$11,4,FALSE))),"--")</f>
        <v>20.467257930529385</v>
      </c>
      <c r="L99" s="328">
        <f>IFERROR(VLOOKUP($D99,$Y$9:$AC$10,3,FALSE)/IF($D99="Inhalation",IF($J99="Central Tendency",SUMIFS('Inhalation Exposure'!$L$6:$L$47,'Inhalation Exposure'!$B$6:$B$47,$B99,'Inhalation Exposure'!$D$6:$D$47,$C99),SUMIFS('Inhalation Exposure'!$M$6:$M$47,'Inhalation Exposure'!$B$6:$B$47,$B99,'Inhalation Exposure'!$D$6:$D$47,$C99)),IF($J99="Central Tendency",VLOOKUP($B99,'Dermal Exposure'!$A$6:$L$11,10,FALSE),VLOOKUP($B99,'Dermal Exposure'!$A$6:$L$11,5,FALSE))),"--")</f>
        <v>44.190670531824814</v>
      </c>
      <c r="M99" s="328">
        <f>IFERROR(VLOOKUP($D99,$Y$9:$AC$10,4,FALSE)/IF($D99="Inhalation",IF($J99="Central Tendency",SUMIFS('Inhalation Exposure'!$N$6:$N$47,'Inhalation Exposure'!$B$6:$B$47,$B99,'Inhalation Exposure'!$D$6:$D$47,$C99),SUMIFS('Inhalation Exposure'!$O$6:$O$47,'Inhalation Exposure'!$B$6:$B$47,$B99,'Inhalation Exposure'!$D$6:$D$47,$C99)),IF($J99="Central Tendency",VLOOKUP($B99,'Dermal Exposure'!$A$6:$L$11,11,FALSE),VLOOKUP($B99,'Dermal Exposure'!$A$6:$L$11,6,FALSE))),"--")</f>
        <v>47.313477916073765</v>
      </c>
      <c r="N99" s="329">
        <f>IFERROR(VLOOKUP($D99,$Y$9:$AC$10,5,FALSE)*IF($D99="Inhalation",IF($J99="Central Tendency",SUMIFS('Inhalation Exposure'!$P$6:$P$47,'Inhalation Exposure'!$B$6:$B$47,$B99,'Inhalation Exposure'!$D$6:$D$47,$C99),SUMIFS('Inhalation Exposure'!$Q$6:$Q$47,'Inhalation Exposure'!$B$6:$B$47,$B99,'Inhalation Exposure'!$D$6:$D$47,$C99)),IF($J99="Central Tendency",VLOOKUP($B99,'Dermal Exposure'!$A$6:$L$11,12,FALSE),VLOOKUP($B99,'Dermal Exposure'!$A$6:$L$11,7,FALSE))),"--")</f>
        <v>3.9895782933423683E-3</v>
      </c>
      <c r="O99" s="357"/>
      <c r="P99" s="357"/>
      <c r="Q99" s="357"/>
      <c r="R99" s="357"/>
      <c r="S99" s="226"/>
      <c r="T99" s="291"/>
      <c r="U99" s="292"/>
      <c r="V99" s="292"/>
      <c r="W99" s="293"/>
      <c r="X99" s="226"/>
      <c r="Y99" s="226"/>
      <c r="Z99" s="226"/>
      <c r="AA99" s="226"/>
      <c r="AB99" s="226"/>
      <c r="AC99" s="226"/>
      <c r="AD99" s="226"/>
      <c r="AE99" s="226"/>
      <c r="AF99" s="226"/>
      <c r="AG99" s="226"/>
      <c r="AH99" s="226"/>
      <c r="AI99" s="226"/>
      <c r="AJ99" s="226"/>
      <c r="AK99" s="226"/>
      <c r="AL99" s="226"/>
      <c r="AM99" s="226"/>
      <c r="AN99" s="226"/>
      <c r="AO99" s="226"/>
      <c r="AP99" s="226"/>
      <c r="AQ99" s="226"/>
    </row>
    <row r="100" spans="2:43" s="2" customFormat="1" ht="15.75" thickBot="1" x14ac:dyDescent="0.3">
      <c r="B100" s="265">
        <v>4</v>
      </c>
      <c r="C100" s="324" t="s">
        <v>97</v>
      </c>
      <c r="D100" s="324" t="s">
        <v>71</v>
      </c>
      <c r="E100" s="283"/>
      <c r="F100" s="283"/>
      <c r="G100" s="336"/>
      <c r="H100" s="346"/>
      <c r="I100" s="346"/>
      <c r="J100" s="360"/>
      <c r="K100" s="333"/>
      <c r="L100" s="333"/>
      <c r="M100" s="333"/>
      <c r="N100" s="334"/>
      <c r="O100" s="357"/>
      <c r="P100" s="357"/>
      <c r="Q100" s="357"/>
      <c r="R100" s="357"/>
      <c r="S100" s="226"/>
      <c r="T100" s="291"/>
      <c r="U100" s="292"/>
      <c r="V100" s="292"/>
      <c r="W100" s="293"/>
      <c r="X100" s="226"/>
      <c r="Y100" s="226"/>
      <c r="Z100" s="226"/>
      <c r="AA100" s="226"/>
      <c r="AB100" s="226"/>
      <c r="AC100" s="226"/>
      <c r="AD100" s="226"/>
      <c r="AE100" s="226"/>
      <c r="AF100" s="226"/>
      <c r="AG100" s="226"/>
      <c r="AH100" s="226"/>
      <c r="AI100" s="226"/>
      <c r="AJ100" s="226"/>
      <c r="AK100" s="226"/>
      <c r="AL100" s="226"/>
      <c r="AM100" s="226"/>
      <c r="AN100" s="226"/>
      <c r="AO100" s="226"/>
      <c r="AP100" s="226"/>
      <c r="AQ100" s="226"/>
    </row>
    <row r="101" spans="2:43" s="2" customFormat="1" ht="51" customHeight="1" thickBot="1" x14ac:dyDescent="0.3">
      <c r="B101" s="265" t="s">
        <v>189</v>
      </c>
      <c r="C101" s="324" t="s">
        <v>100</v>
      </c>
      <c r="D101" s="324" t="s">
        <v>166</v>
      </c>
      <c r="E101" s="283"/>
      <c r="F101" s="283"/>
      <c r="G101" s="284" t="s">
        <v>437</v>
      </c>
      <c r="H101" s="285" t="s">
        <v>100</v>
      </c>
      <c r="I101" s="285" t="s">
        <v>144</v>
      </c>
      <c r="J101" s="285" t="s">
        <v>98</v>
      </c>
      <c r="K101" s="328">
        <f>IFERROR(VLOOKUP($D101,$Y$9:$AC$10,2,FALSE)/IF($D101="Inhalation",IF($J101="Central Tendency",SUMIFS('Inhalation Exposure'!$J$6:$J$47,'Inhalation Exposure'!$B$6:$B$47,$B101,'Inhalation Exposure'!$D$6:$D$47,$C101),SUMIFS('Inhalation Exposure'!$K$6:$K$47,'Inhalation Exposure'!$B$6:$B$47,$B101,'Inhalation Exposure'!$D$6:$D$47,$C101)),IF($J101="Central Tendency",VLOOKUP($B101,'Dermal Exposure'!$A$6:$L$11,9,FALSE),VLOOKUP($B101,'Dermal Exposure'!$A$6:$L$11,4,FALSE))),"--")</f>
        <v>8354.8864549414302</v>
      </c>
      <c r="L101" s="328">
        <f>IFERROR(VLOOKUP($D101,$Y$9:$AC$10,3,FALSE)/IF($D101="Inhalation",IF($J101="Central Tendency",SUMIFS('Inhalation Exposure'!$L$6:$L$47,'Inhalation Exposure'!$B$6:$B$47,$B101,'Inhalation Exposure'!$D$6:$D$47,$C101),SUMIFS('Inhalation Exposure'!$M$6:$M$47,'Inhalation Exposure'!$B$6:$B$47,$B101,'Inhalation Exposure'!$D$6:$D$47,$C101)),IF($J101="Central Tendency",VLOOKUP($B101,'Dermal Exposure'!$A$6:$L$11,10,FALSE),VLOOKUP($B101,'Dermal Exposure'!$A$6:$L$11,5,FALSE))),"--")</f>
        <v>73.240887754356677</v>
      </c>
      <c r="M101" s="328">
        <f>IFERROR(VLOOKUP($D101,$Y$9:$AC$10,4,FALSE)/IF($D101="Inhalation",IF($J101="Central Tendency",SUMIFS('Inhalation Exposure'!$N$6:$N$47,'Inhalation Exposure'!$B$6:$B$47,$B101,'Inhalation Exposure'!$D$6:$D$47,$C101),SUMIFS('Inhalation Exposure'!$O$6:$O$47,'Inhalation Exposure'!$B$6:$B$47,$B101,'Inhalation Exposure'!$D$6:$D$47,$C101)),IF($J101="Central Tendency",VLOOKUP($B101,'Dermal Exposure'!$A$6:$L$11,11,FALSE),VLOOKUP($B101,'Dermal Exposure'!$A$6:$L$11,6,FALSE))),"--")</f>
        <v>78.416577155664569</v>
      </c>
      <c r="N101" s="329">
        <f>IFERROR(VLOOKUP($D101,$Y$9:$AC$10,5,FALSE)*IF($D101="Inhalation",IF($J101="Central Tendency",SUMIFS('Inhalation Exposure'!$P$6:$P$47,'Inhalation Exposure'!$B$6:$B$47,$B101,'Inhalation Exposure'!$D$6:$D$47,$C101),SUMIFS('Inhalation Exposure'!$Q$6:$Q$47,'Inhalation Exposure'!$B$6:$B$47,$B101,'Inhalation Exposure'!$D$6:$D$47,$C101)),IF($J101="Central Tendency",VLOOKUP($B101,'Dermal Exposure'!$A$6:$L$11,12,FALSE),VLOOKUP($B101,'Dermal Exposure'!$A$6:$L$11,7,FALSE))),"--")</f>
        <v>4.679262404670528E-6</v>
      </c>
      <c r="O101" s="357"/>
      <c r="P101" s="357"/>
      <c r="Q101" s="357"/>
      <c r="R101" s="357"/>
      <c r="S101" s="226"/>
      <c r="T101" s="291"/>
      <c r="U101" s="292"/>
      <c r="V101" s="292"/>
      <c r="W101" s="293"/>
      <c r="X101" s="226"/>
      <c r="Y101" s="226"/>
      <c r="Z101" s="226"/>
      <c r="AA101" s="226"/>
      <c r="AB101" s="226"/>
      <c r="AC101" s="226"/>
      <c r="AD101" s="226"/>
      <c r="AE101" s="226"/>
      <c r="AF101" s="226"/>
      <c r="AG101" s="226"/>
      <c r="AH101" s="226"/>
      <c r="AI101" s="226"/>
      <c r="AJ101" s="226"/>
      <c r="AK101" s="226"/>
      <c r="AL101" s="226"/>
      <c r="AM101" s="226"/>
      <c r="AN101" s="226"/>
      <c r="AO101" s="226"/>
      <c r="AP101" s="226"/>
      <c r="AQ101" s="226"/>
    </row>
    <row r="102" spans="2:43" s="2" customFormat="1" ht="15.75" thickBot="1" x14ac:dyDescent="0.3">
      <c r="B102" s="265" t="s">
        <v>189</v>
      </c>
      <c r="C102" s="324" t="s">
        <v>100</v>
      </c>
      <c r="D102" s="324" t="s">
        <v>166</v>
      </c>
      <c r="E102" s="283"/>
      <c r="F102" s="283"/>
      <c r="G102" s="284"/>
      <c r="H102" s="285"/>
      <c r="I102" s="285"/>
      <c r="J102" s="345"/>
      <c r="K102" s="333"/>
      <c r="L102" s="333"/>
      <c r="M102" s="333"/>
      <c r="N102" s="334"/>
      <c r="O102" s="357"/>
      <c r="P102" s="357"/>
      <c r="Q102" s="357"/>
      <c r="R102" s="357"/>
      <c r="S102" s="226"/>
      <c r="T102" s="291"/>
      <c r="U102" s="292"/>
      <c r="V102" s="292"/>
      <c r="W102" s="293"/>
      <c r="X102" s="226"/>
      <c r="Y102" s="226"/>
      <c r="Z102" s="226"/>
      <c r="AA102" s="226"/>
      <c r="AB102" s="226"/>
      <c r="AC102" s="226"/>
      <c r="AD102" s="226"/>
      <c r="AE102" s="226"/>
      <c r="AF102" s="226"/>
      <c r="AG102" s="226"/>
      <c r="AH102" s="226"/>
      <c r="AI102" s="226"/>
      <c r="AJ102" s="226"/>
      <c r="AK102" s="226"/>
      <c r="AL102" s="226"/>
      <c r="AM102" s="226"/>
      <c r="AN102" s="226"/>
      <c r="AO102" s="226"/>
      <c r="AP102" s="226"/>
      <c r="AQ102" s="226"/>
    </row>
    <row r="103" spans="2:43" s="2" customFormat="1" ht="15.75" thickBot="1" x14ac:dyDescent="0.3">
      <c r="B103" s="265" t="s">
        <v>189</v>
      </c>
      <c r="C103" s="324" t="s">
        <v>100</v>
      </c>
      <c r="D103" s="324" t="s">
        <v>166</v>
      </c>
      <c r="E103" s="283"/>
      <c r="F103" s="283"/>
      <c r="G103" s="284"/>
      <c r="H103" s="285"/>
      <c r="I103" s="285"/>
      <c r="J103" s="269" t="s">
        <v>168</v>
      </c>
      <c r="K103" s="328">
        <f>IFERROR(VLOOKUP($D103,$Y$9:$AC$10,2,FALSE)/IF($D103="Inhalation",IF($J103="Central Tendency",SUMIFS('Inhalation Exposure'!$J$6:$J$47,'Inhalation Exposure'!$B$6:$B$47,$B103,'Inhalation Exposure'!$D$6:$D$47,$C103),SUMIFS('Inhalation Exposure'!$K$6:$K$47,'Inhalation Exposure'!$B$6:$B$47,$B103,'Inhalation Exposure'!$D$6:$D$47,$C103)),IF($J103="Central Tendency",VLOOKUP($B103,'Dermal Exposure'!$A$6:$L$11,9,FALSE),VLOOKUP($B103,'Dermal Exposure'!$A$6:$L$11,4,FALSE))),"--")</f>
        <v>167.77815048978604</v>
      </c>
      <c r="L103" s="328">
        <f>IFERROR(VLOOKUP($D103,$Y$9:$AC$10,3,FALSE)/IF($D103="Inhalation",IF($J103="Central Tendency",SUMIFS('Inhalation Exposure'!$L$6:$L$47,'Inhalation Exposure'!$B$6:$B$47,$B103,'Inhalation Exposure'!$D$6:$D$47,$C103),SUMIFS('Inhalation Exposure'!$M$6:$M$47,'Inhalation Exposure'!$B$6:$B$47,$B103,'Inhalation Exposure'!$D$6:$D$47,$C103)),IF($J103="Central Tendency",VLOOKUP($B103,'Dermal Exposure'!$A$6:$L$11,10,FALSE),VLOOKUP($B103,'Dermal Exposure'!$A$6:$L$11,5,FALSE))),"--")</f>
        <v>1.4707824880598128</v>
      </c>
      <c r="M103" s="328">
        <f>IFERROR(VLOOKUP($D103,$Y$9:$AC$10,4,FALSE)/IF($D103="Inhalation",IF($J103="Central Tendency",SUMIFS('Inhalation Exposure'!$N$6:$N$47,'Inhalation Exposure'!$B$6:$B$47,$B103,'Inhalation Exposure'!$D$6:$D$47,$C103),SUMIFS('Inhalation Exposure'!$O$6:$O$47,'Inhalation Exposure'!$B$6:$B$47,$B103,'Inhalation Exposure'!$D$6:$D$47,$C103)),IF($J103="Central Tendency",VLOOKUP($B103,'Dermal Exposure'!$A$6:$L$11,11,FALSE),VLOOKUP($B103,'Dermal Exposure'!$A$6:$L$11,6,FALSE))),"--")</f>
        <v>1.5747177838827062</v>
      </c>
      <c r="N103" s="329">
        <f>IFERROR(VLOOKUP($D103,$Y$9:$AC$10,5,FALSE)*IF($D103="Inhalation",IF($J103="Central Tendency",SUMIFS('Inhalation Exposure'!$P$6:$P$47,'Inhalation Exposure'!$B$6:$B$47,$B103,'Inhalation Exposure'!$D$6:$D$47,$C103),SUMIFS('Inhalation Exposure'!$Q$6:$Q$47,'Inhalation Exposure'!$B$6:$B$47,$B103,'Inhalation Exposure'!$D$6:$D$47,$C103)),IF($J103="Central Tendency",VLOOKUP($B103,'Dermal Exposure'!$A$6:$L$11,12,FALSE),VLOOKUP($B103,'Dermal Exposure'!$A$6:$L$11,7,FALSE))),"--")</f>
        <v>3.0066359592401695E-4</v>
      </c>
      <c r="O103" s="357"/>
      <c r="P103" s="357"/>
      <c r="Q103" s="357"/>
      <c r="R103" s="357"/>
      <c r="S103" s="226"/>
      <c r="T103" s="291"/>
      <c r="U103" s="292"/>
      <c r="V103" s="292"/>
      <c r="W103" s="293"/>
      <c r="X103" s="226"/>
      <c r="Y103" s="226"/>
      <c r="Z103" s="226"/>
      <c r="AA103" s="226"/>
      <c r="AB103" s="226"/>
      <c r="AC103" s="226"/>
      <c r="AD103" s="226"/>
      <c r="AE103" s="226"/>
      <c r="AF103" s="226"/>
      <c r="AG103" s="226"/>
      <c r="AH103" s="226"/>
      <c r="AI103" s="226"/>
      <c r="AJ103" s="226"/>
      <c r="AK103" s="226"/>
      <c r="AL103" s="226"/>
      <c r="AM103" s="226"/>
      <c r="AN103" s="226"/>
      <c r="AO103" s="226"/>
      <c r="AP103" s="226"/>
      <c r="AQ103" s="226"/>
    </row>
    <row r="104" spans="2:43" s="2" customFormat="1" ht="15.75" thickBot="1" x14ac:dyDescent="0.3">
      <c r="B104" s="265" t="s">
        <v>189</v>
      </c>
      <c r="C104" s="324" t="s">
        <v>100</v>
      </c>
      <c r="D104" s="324" t="s">
        <v>166</v>
      </c>
      <c r="E104" s="344"/>
      <c r="F104" s="344"/>
      <c r="G104" s="341"/>
      <c r="H104" s="345"/>
      <c r="I104" s="345"/>
      <c r="J104" s="345"/>
      <c r="K104" s="333"/>
      <c r="L104" s="333"/>
      <c r="M104" s="333"/>
      <c r="N104" s="334"/>
      <c r="O104" s="357"/>
      <c r="P104" s="357"/>
      <c r="Q104" s="357"/>
      <c r="R104" s="357"/>
      <c r="S104" s="226"/>
      <c r="T104" s="291"/>
      <c r="U104" s="292"/>
      <c r="V104" s="292"/>
      <c r="W104" s="293"/>
      <c r="X104" s="226"/>
      <c r="Y104" s="226"/>
      <c r="Z104" s="226"/>
      <c r="AA104" s="226"/>
      <c r="AB104" s="226"/>
      <c r="AC104" s="226"/>
      <c r="AD104" s="226"/>
      <c r="AE104" s="226"/>
      <c r="AF104" s="226"/>
      <c r="AG104" s="226"/>
      <c r="AH104" s="226"/>
      <c r="AI104" s="226"/>
      <c r="AJ104" s="226"/>
      <c r="AK104" s="226"/>
      <c r="AL104" s="226"/>
      <c r="AM104" s="226"/>
      <c r="AN104" s="226"/>
      <c r="AO104" s="226"/>
      <c r="AP104" s="226"/>
      <c r="AQ104" s="226"/>
    </row>
    <row r="105" spans="2:43" ht="15.75" customHeight="1" thickBot="1" x14ac:dyDescent="0.3">
      <c r="B105" s="265">
        <v>7</v>
      </c>
      <c r="C105" s="266" t="s">
        <v>97</v>
      </c>
      <c r="D105" s="266" t="s">
        <v>166</v>
      </c>
      <c r="E105" s="267" t="s">
        <v>192</v>
      </c>
      <c r="F105" s="267" t="s">
        <v>193</v>
      </c>
      <c r="G105" s="361" t="s">
        <v>423</v>
      </c>
      <c r="H105" s="269" t="s">
        <v>97</v>
      </c>
      <c r="I105" s="270" t="s">
        <v>144</v>
      </c>
      <c r="J105" s="270" t="s">
        <v>98</v>
      </c>
      <c r="K105" s="272">
        <f>IFERROR(VLOOKUP($D105,$Y$9:$AC$10,2,FALSE)/IF($D105="Inhalation",IF($J105="Central Tendency",SUMIFS('Inhalation Exposure'!$J$6:$J$47,'Inhalation Exposure'!$B$6:$B$47,$B105,'Inhalation Exposure'!$D$6:$D$47,$C105),SUMIFS('Inhalation Exposure'!$K$6:$K$47,'Inhalation Exposure'!$B$6:$B$47,$B105,'Inhalation Exposure'!$D$6:$D$47,$C105)),IF($J105="Central Tendency",VLOOKUP($B105,'Dermal Exposure'!$A$6:$L$11,9,FALSE),VLOOKUP($B105,'Dermal Exposure'!$A$6:$L$11,4,FALSE))),"--")</f>
        <v>428.87409551374822</v>
      </c>
      <c r="L105" s="272">
        <f>IFERROR(VLOOKUP($D105,$Y$9:$AC$10,3,FALSE)/IF($D105="Inhalation",IF($J105="Central Tendency",SUMIFS('Inhalation Exposure'!$L$6:$L$47,'Inhalation Exposure'!$B$6:$B$47,$B105,'Inhalation Exposure'!$D$6:$D$47,$C105),SUMIFS('Inhalation Exposure'!$M$6:$M$47,'Inhalation Exposure'!$B$6:$B$47,$B105,'Inhalation Exposure'!$D$6:$D$47,$C105)),IF($J105="Central Tendency",VLOOKUP($B105,'Dermal Exposure'!$A$6:$L$11,10,FALSE),VLOOKUP($B105,'Dermal Exposure'!$A$6:$L$11,5,FALSE))),"--")</f>
        <v>3.7596105775555846</v>
      </c>
      <c r="M105" s="272">
        <f>IFERROR(VLOOKUP($D105,$Y$9:$AC$10,4,FALSE)/IF($D105="Inhalation",IF($J105="Central Tendency",SUMIFS('Inhalation Exposure'!$N$6:$N$47,'Inhalation Exposure'!$B$6:$B$47,$B105,'Inhalation Exposure'!$D$6:$D$47,$C105),SUMIFS('Inhalation Exposure'!$O$6:$O$47,'Inhalation Exposure'!$B$6:$B$47,$B105,'Inhalation Exposure'!$D$6:$D$47,$C105)),IF($J105="Central Tendency",VLOOKUP($B105,'Dermal Exposure'!$A$6:$L$11,11,FALSE),VLOOKUP($B105,'Dermal Exposure'!$A$6:$L$11,6,FALSE))),"--")</f>
        <v>4.0252897250361794</v>
      </c>
      <c r="N105" s="273">
        <f>IFERROR(VLOOKUP($D105,$Y$9:$AC$10,5,FALSE)*IF($D105="Inhalation",IF($J105="Central Tendency",SUMIFS('Inhalation Exposure'!$P$6:$P$47,'Inhalation Exposure'!$B$6:$B$47,$B105,'Inhalation Exposure'!$D$6:$D$47,$C105),SUMIFS('Inhalation Exposure'!$Q$6:$Q$47,'Inhalation Exposure'!$B$6:$B$47,$B105,'Inhalation Exposure'!$D$6:$D$47,$C105)),IF($J105="Central Tendency",VLOOKUP($B105,'Dermal Exposure'!$A$6:$L$11,12,FALSE),VLOOKUP($B105,'Dermal Exposure'!$A$6:$L$11,7,FALSE))),"--")</f>
        <v>9.1156603984362638E-5</v>
      </c>
      <c r="O105" s="310"/>
      <c r="P105" s="310"/>
      <c r="Q105" s="310"/>
      <c r="R105" s="310"/>
      <c r="T105" s="291"/>
      <c r="U105" s="292"/>
      <c r="V105" s="292"/>
      <c r="W105" s="293"/>
    </row>
    <row r="106" spans="2:43" ht="15.75" thickBot="1" x14ac:dyDescent="0.3">
      <c r="B106" s="265">
        <v>7</v>
      </c>
      <c r="C106" s="266" t="s">
        <v>97</v>
      </c>
      <c r="D106" s="266" t="s">
        <v>166</v>
      </c>
      <c r="E106" s="283"/>
      <c r="F106" s="283"/>
      <c r="G106" s="362"/>
      <c r="H106" s="285"/>
      <c r="I106" s="286"/>
      <c r="J106" s="359"/>
      <c r="K106" s="288"/>
      <c r="L106" s="288"/>
      <c r="M106" s="288"/>
      <c r="N106" s="289"/>
      <c r="O106" s="310"/>
      <c r="P106" s="310"/>
      <c r="Q106" s="310"/>
      <c r="R106" s="310"/>
      <c r="T106" s="291"/>
      <c r="U106" s="292"/>
      <c r="V106" s="292"/>
      <c r="W106" s="293"/>
    </row>
    <row r="107" spans="2:43" ht="15.75" thickBot="1" x14ac:dyDescent="0.3">
      <c r="B107" s="265">
        <v>7</v>
      </c>
      <c r="C107" s="266" t="s">
        <v>97</v>
      </c>
      <c r="D107" s="266" t="s">
        <v>166</v>
      </c>
      <c r="E107" s="283"/>
      <c r="F107" s="283"/>
      <c r="G107" s="362"/>
      <c r="H107" s="285"/>
      <c r="I107" s="286"/>
      <c r="J107" s="350" t="s">
        <v>168</v>
      </c>
      <c r="K107" s="272">
        <f>IFERROR(VLOOKUP($D107,$Y$9:$AC$10,2,FALSE)/IF($D107="Inhalation",IF($J107="Central Tendency",SUMIFS('Inhalation Exposure'!$J$6:$J$47,'Inhalation Exposure'!$B$6:$B$47,$B107,'Inhalation Exposure'!$D$6:$D$47,$C107),SUMIFS('Inhalation Exposure'!$K$6:$K$47,'Inhalation Exposure'!$B$6:$B$47,$B107,'Inhalation Exposure'!$D$6:$D$47,$C107)),IF($J107="Central Tendency",VLOOKUP($B107,'Dermal Exposure'!$A$6:$L$11,9,FALSE),VLOOKUP($B107,'Dermal Exposure'!$A$6:$L$11,4,FALSE))),"--")</f>
        <v>119.581156057702</v>
      </c>
      <c r="L107" s="272">
        <f>IFERROR(VLOOKUP($D107,$Y$9:$AC$10,3,FALSE)/IF($D107="Inhalation",IF($J107="Central Tendency",SUMIFS('Inhalation Exposure'!$L$6:$L$47,'Inhalation Exposure'!$B$6:$B$47,$B107,'Inhalation Exposure'!$D$6:$D$47,$C107),SUMIFS('Inhalation Exposure'!$M$6:$M$47,'Inhalation Exposure'!$B$6:$B$47,$B107,'Inhalation Exposure'!$D$6:$D$47,$C107)),IF($J107="Central Tendency",VLOOKUP($B107,'Dermal Exposure'!$A$6:$L$11,10,FALSE),VLOOKUP($B107,'Dermal Exposure'!$A$6:$L$11,5,FALSE))),"--")</f>
        <v>1.0482763680382969</v>
      </c>
      <c r="M107" s="272">
        <f>IFERROR(VLOOKUP($D107,$Y$9:$AC$10,4,FALSE)/IF($D107="Inhalation",IF($J107="Central Tendency",SUMIFS('Inhalation Exposure'!$N$6:$N$47,'Inhalation Exposure'!$B$6:$B$47,$B107,'Inhalation Exposure'!$D$6:$D$47,$C107),SUMIFS('Inhalation Exposure'!$O$6:$O$47,'Inhalation Exposure'!$B$6:$B$47,$B107,'Inhalation Exposure'!$D$6:$D$47,$C107)),IF($J107="Central Tendency",VLOOKUP($B107,'Dermal Exposure'!$A$6:$L$11,11,FALSE),VLOOKUP($B107,'Dermal Exposure'!$A$6:$L$11,6,FALSE))),"--")</f>
        <v>1.1223545647130031</v>
      </c>
      <c r="N107" s="273">
        <f>IFERROR(VLOOKUP($D107,$Y$9:$AC$10,5,FALSE)*IF($D107="Inhalation",IF($J107="Central Tendency",SUMIFS('Inhalation Exposure'!$P$6:$P$47,'Inhalation Exposure'!$B$6:$B$47,$B107,'Inhalation Exposure'!$D$6:$D$47,$C107),SUMIFS('Inhalation Exposure'!$Q$6:$Q$47,'Inhalation Exposure'!$B$6:$B$47,$B107,'Inhalation Exposure'!$D$6:$D$47,$C107)),IF($J107="Central Tendency",VLOOKUP($B107,'Dermal Exposure'!$A$6:$L$11,12,FALSE),VLOOKUP($B107,'Dermal Exposure'!$A$6:$L$11,7,FALSE))),"--")</f>
        <v>4.218455792432597E-4</v>
      </c>
      <c r="O107" s="310"/>
      <c r="P107" s="310"/>
      <c r="Q107" s="310"/>
      <c r="R107" s="310"/>
      <c r="T107" s="291"/>
      <c r="U107" s="292"/>
      <c r="V107" s="292"/>
      <c r="W107" s="293"/>
    </row>
    <row r="108" spans="2:43" ht="15.75" thickBot="1" x14ac:dyDescent="0.3">
      <c r="B108" s="265">
        <v>7</v>
      </c>
      <c r="C108" s="266" t="s">
        <v>97</v>
      </c>
      <c r="D108" s="266" t="s">
        <v>166</v>
      </c>
      <c r="E108" s="283"/>
      <c r="F108" s="283"/>
      <c r="G108" s="362"/>
      <c r="H108" s="285"/>
      <c r="I108" s="300"/>
      <c r="J108" s="301"/>
      <c r="K108" s="288"/>
      <c r="L108" s="288"/>
      <c r="M108" s="288"/>
      <c r="N108" s="289"/>
      <c r="O108" s="310"/>
      <c r="P108" s="310"/>
      <c r="Q108" s="310"/>
      <c r="R108" s="310"/>
      <c r="T108" s="291"/>
      <c r="U108" s="292"/>
      <c r="V108" s="292"/>
      <c r="W108" s="293"/>
    </row>
    <row r="109" spans="2:43" ht="16.5" customHeight="1" thickTop="1" thickBot="1" x14ac:dyDescent="0.3">
      <c r="B109" s="265">
        <v>7</v>
      </c>
      <c r="C109" s="324" t="s">
        <v>97</v>
      </c>
      <c r="D109" s="324" t="s">
        <v>71</v>
      </c>
      <c r="E109" s="283"/>
      <c r="F109" s="283"/>
      <c r="G109" s="362"/>
      <c r="H109" s="285"/>
      <c r="I109" s="326" t="s">
        <v>71</v>
      </c>
      <c r="J109" s="335" t="s">
        <v>98</v>
      </c>
      <c r="K109" s="328">
        <f>IFERROR(VLOOKUP($D109,$Y$9:$AC$10,2,FALSE)/IF($D109="Inhalation",IF($J109="Central Tendency",SUMIFS('Inhalation Exposure'!$J$6:$J$47,'Inhalation Exposure'!$B$6:$B$47,$B109,'Inhalation Exposure'!$D$6:$D$47,$C109),SUMIFS('Inhalation Exposure'!$K$6:$K$47,'Inhalation Exposure'!$B$6:$B$47,$B109,'Inhalation Exposure'!$D$6:$D$47,$C109)),IF($J109="Central Tendency",VLOOKUP($B109,'Dermal Exposure'!$A$6:$L$11,9,FALSE),VLOOKUP($B109,'Dermal Exposure'!$A$6:$L$11,4,FALSE))),"--")</f>
        <v>26758.437957443894</v>
      </c>
      <c r="L109" s="328">
        <f>IFERROR(VLOOKUP($D109,$Y$9:$AC$10,3,FALSE)/IF($D109="Inhalation",IF($J109="Central Tendency",SUMIFS('Inhalation Exposure'!$L$6:$L$47,'Inhalation Exposure'!$B$6:$B$47,$B109,'Inhalation Exposure'!$D$6:$D$47,$C109),SUMIFS('Inhalation Exposure'!$M$6:$M$47,'Inhalation Exposure'!$B$6:$B$47,$B109,'Inhalation Exposure'!$D$6:$D$47,$C109)),IF($J109="Central Tendency",VLOOKUP($B109,'Dermal Exposure'!$A$6:$L$11,10,FALSE),VLOOKUP($B109,'Dermal Exposure'!$A$6:$L$11,5,FALSE))),"--")</f>
        <v>71134.525228074112</v>
      </c>
      <c r="M109" s="328">
        <f>IFERROR(VLOOKUP($D109,$Y$9:$AC$10,4,FALSE)/IF($D109="Inhalation",IF($J109="Central Tendency",SUMIFS('Inhalation Exposure'!$N$6:$N$47,'Inhalation Exposure'!$B$6:$B$47,$B109,'Inhalation Exposure'!$D$6:$D$47,$C109),SUMIFS('Inhalation Exposure'!$O$6:$O$47,'Inhalation Exposure'!$B$6:$B$47,$B109,'Inhalation Exposure'!$D$6:$D$47,$C109)),IF($J109="Central Tendency",VLOOKUP($B109,'Dermal Exposure'!$A$6:$L$11,11,FALSE),VLOOKUP($B109,'Dermal Exposure'!$A$6:$L$11,6,FALSE))),"--")</f>
        <v>76161.365010858033</v>
      </c>
      <c r="N109" s="329">
        <f>IFERROR(VLOOKUP($D109,$Y$9:$AC$10,5,FALSE)*IF($D109="Inhalation",IF($J109="Central Tendency",SUMIFS('Inhalation Exposure'!$P$6:$P$47,'Inhalation Exposure'!$B$6:$B$47,$B109,'Inhalation Exposure'!$D$6:$D$47,$C109),SUMIFS('Inhalation Exposure'!$Q$6:$Q$47,'Inhalation Exposure'!$B$6:$B$47,$B109,'Inhalation Exposure'!$D$6:$D$47,$C109)),IF($J109="Central Tendency",VLOOKUP($B109,'Dermal Exposure'!$A$6:$L$11,12,FALSE),VLOOKUP($B109,'Dermal Exposure'!$A$6:$L$11,7,FALSE))),"--")</f>
        <v>2.2326892563352694E-6</v>
      </c>
      <c r="O109" s="310"/>
      <c r="P109" s="310"/>
      <c r="Q109" s="310"/>
      <c r="R109" s="310"/>
      <c r="T109" s="291"/>
      <c r="U109" s="292"/>
      <c r="V109" s="292"/>
      <c r="W109" s="293"/>
    </row>
    <row r="110" spans="2:43" ht="15.75" thickBot="1" x14ac:dyDescent="0.3">
      <c r="B110" s="265">
        <v>7</v>
      </c>
      <c r="C110" s="324" t="s">
        <v>97</v>
      </c>
      <c r="D110" s="324" t="s">
        <v>71</v>
      </c>
      <c r="E110" s="283"/>
      <c r="F110" s="283"/>
      <c r="G110" s="362"/>
      <c r="H110" s="285"/>
      <c r="I110" s="285"/>
      <c r="J110" s="363"/>
      <c r="K110" s="333"/>
      <c r="L110" s="333"/>
      <c r="M110" s="333"/>
      <c r="N110" s="334"/>
      <c r="O110" s="310"/>
      <c r="P110" s="310"/>
      <c r="Q110" s="310"/>
      <c r="R110" s="310"/>
      <c r="T110" s="291"/>
      <c r="U110" s="292"/>
      <c r="V110" s="292"/>
      <c r="W110" s="293"/>
    </row>
    <row r="111" spans="2:43" ht="15.75" thickBot="1" x14ac:dyDescent="0.3">
      <c r="B111" s="265">
        <v>7</v>
      </c>
      <c r="C111" s="324" t="s">
        <v>97</v>
      </c>
      <c r="D111" s="324" t="s">
        <v>71</v>
      </c>
      <c r="E111" s="283"/>
      <c r="F111" s="283"/>
      <c r="G111" s="362"/>
      <c r="H111" s="285"/>
      <c r="I111" s="285"/>
      <c r="J111" s="335" t="s">
        <v>168</v>
      </c>
      <c r="K111" s="328">
        <f>IFERROR(VLOOKUP($D111,$Y$9:$AC$10,2,FALSE)/IF($D111="Inhalation",IF($J111="Central Tendency",SUMIFS('Inhalation Exposure'!$J$6:$J$47,'Inhalation Exposure'!$B$6:$B$47,$B111,'Inhalation Exposure'!$D$6:$D$47,$C111),SUMIFS('Inhalation Exposure'!$K$6:$K$47,'Inhalation Exposure'!$B$6:$B$47,$B111,'Inhalation Exposure'!$D$6:$D$47,$C111)),IF($J111="Central Tendency",VLOOKUP($B111,'Dermal Exposure'!$A$6:$L$11,9,FALSE),VLOOKUP($B111,'Dermal Exposure'!$A$6:$L$11,4,FALSE))),"--")</f>
        <v>32.629427201806585</v>
      </c>
      <c r="L111" s="328">
        <f>IFERROR(VLOOKUP($D111,$Y$9:$AC$10,3,FALSE)/IF($D111="Inhalation",IF($J111="Central Tendency",SUMIFS('Inhalation Exposure'!$L$6:$L$47,'Inhalation Exposure'!$B$6:$B$47,$B111,'Inhalation Exposure'!$D$6:$D$47,$C111),SUMIFS('Inhalation Exposure'!$M$6:$M$47,'Inhalation Exposure'!$B$6:$B$47,$B111,'Inhalation Exposure'!$D$6:$D$47,$C111)),IF($J111="Central Tendency",VLOOKUP($B111,'Dermal Exposure'!$A$6:$L$11,10,FALSE),VLOOKUP($B111,'Dermal Exposure'!$A$6:$L$11,5,FALSE))),"--")</f>
        <v>86.207072877371132</v>
      </c>
      <c r="M111" s="328">
        <f>IFERROR(VLOOKUP($D111,$Y$9:$AC$10,4,FALSE)/IF($D111="Inhalation",IF($J111="Central Tendency",SUMIFS('Inhalation Exposure'!$N$6:$N$47,'Inhalation Exposure'!$B$6:$B$47,$B111,'Inhalation Exposure'!$D$6:$D$47,$C111),SUMIFS('Inhalation Exposure'!$O$6:$O$47,'Inhalation Exposure'!$B$6:$B$47,$B111,'Inhalation Exposure'!$D$6:$D$47,$C111)),IF($J111="Central Tendency",VLOOKUP($B111,'Dermal Exposure'!$A$6:$L$11,11,FALSE),VLOOKUP($B111,'Dermal Exposure'!$A$6:$L$11,6,FALSE))),"--")</f>
        <v>92.299039360705351</v>
      </c>
      <c r="N111" s="329">
        <f>IFERROR(VLOOKUP($D111,$Y$9:$AC$10,5,FALSE)*IF($D111="Inhalation",IF($J111="Central Tendency",SUMIFS('Inhalation Exposure'!$P$6:$P$47,'Inhalation Exposure'!$B$6:$B$47,$B111,'Inhalation Exposure'!$D$6:$D$47,$C111),SUMIFS('Inhalation Exposure'!$Q$6:$Q$47,'Inhalation Exposure'!$B$6:$B$47,$B111,'Inhalation Exposure'!$D$6:$D$47,$C111)),IF($J111="Central Tendency",VLOOKUP($B111,'Dermal Exposure'!$A$6:$L$11,12,FALSE),VLOOKUP($B111,'Dermal Exposure'!$A$6:$L$11,7,FALSE))),"--")</f>
        <v>1.9108378843331231E-3</v>
      </c>
      <c r="O111" s="310"/>
      <c r="P111" s="310"/>
      <c r="Q111" s="310"/>
      <c r="R111" s="310"/>
      <c r="T111" s="291"/>
      <c r="U111" s="292"/>
      <c r="V111" s="292"/>
      <c r="W111" s="293"/>
    </row>
    <row r="112" spans="2:43" ht="15.75" thickBot="1" x14ac:dyDescent="0.3">
      <c r="B112" s="265">
        <v>7</v>
      </c>
      <c r="C112" s="324" t="s">
        <v>97</v>
      </c>
      <c r="D112" s="324" t="s">
        <v>71</v>
      </c>
      <c r="E112" s="283"/>
      <c r="F112" s="283"/>
      <c r="G112" s="362"/>
      <c r="H112" s="285"/>
      <c r="I112" s="346"/>
      <c r="J112" s="360"/>
      <c r="K112" s="333"/>
      <c r="L112" s="333"/>
      <c r="M112" s="333"/>
      <c r="N112" s="334"/>
      <c r="O112" s="310"/>
      <c r="P112" s="310"/>
      <c r="Q112" s="310"/>
      <c r="R112" s="310"/>
      <c r="T112" s="291"/>
      <c r="U112" s="292"/>
      <c r="V112" s="292"/>
      <c r="W112" s="293"/>
    </row>
    <row r="113" spans="2:23" ht="16.5" customHeight="1" thickTop="1" thickBot="1" x14ac:dyDescent="0.3">
      <c r="B113" s="265">
        <v>7</v>
      </c>
      <c r="C113" s="266" t="s">
        <v>100</v>
      </c>
      <c r="D113" s="266" t="s">
        <v>166</v>
      </c>
      <c r="E113" s="283"/>
      <c r="F113" s="283"/>
      <c r="G113" s="362"/>
      <c r="H113" s="270" t="s">
        <v>100</v>
      </c>
      <c r="I113" s="286" t="s">
        <v>144</v>
      </c>
      <c r="J113" s="314" t="s">
        <v>98</v>
      </c>
      <c r="K113" s="272">
        <f>IFERROR(VLOOKUP($D113,$Y$9:$AC$10,2,FALSE)/IF($D113="Inhalation",IF($J113="Central Tendency",SUMIFS('Inhalation Exposure'!$J$6:$J$47,'Inhalation Exposure'!$B$6:$B$47,$B113,'Inhalation Exposure'!$D$6:$D$47,$C113),SUMIFS('Inhalation Exposure'!$K$6:$K$47,'Inhalation Exposure'!$B$6:$B$47,$B113,'Inhalation Exposure'!$D$6:$D$47,$C113)),IF($J113="Central Tendency",VLOOKUP($B113,'Dermal Exposure'!$A$6:$L$11,9,FALSE),VLOOKUP($B113,'Dermal Exposure'!$A$6:$L$11,4,FALSE))),"--")</f>
        <v>9803.2418127687724</v>
      </c>
      <c r="L113" s="272">
        <f>IFERROR(VLOOKUP($D113,$Y$9:$AC$10,3,FALSE)/IF($D113="Inhalation",IF($J113="Central Tendency",SUMIFS('Inhalation Exposure'!$L$6:$L$47,'Inhalation Exposure'!$B$6:$B$47,$B113,'Inhalation Exposure'!$D$6:$D$47,$C113),SUMIFS('Inhalation Exposure'!$M$6:$M$47,'Inhalation Exposure'!$B$6:$B$47,$B113,'Inhalation Exposure'!$D$6:$D$47,$C113)),IF($J113="Central Tendency",VLOOKUP($B113,'Dermal Exposure'!$A$6:$L$11,10,FALSE),VLOOKUP($B113,'Dermal Exposure'!$A$6:$L$11,5,FALSE))),"--")</f>
        <v>85.937509397648341</v>
      </c>
      <c r="M113" s="272">
        <f>IFERROR(VLOOKUP($D113,$Y$9:$AC$10,4,FALSE)/IF($D113="Inhalation",IF($J113="Central Tendency",SUMIFS('Inhalation Exposure'!$N$6:$N$47,'Inhalation Exposure'!$B$6:$B$47,$B113,'Inhalation Exposure'!$D$6:$D$47,$C113),SUMIFS('Inhalation Exposure'!$O$6:$O$47,'Inhalation Exposure'!$B$6:$B$47,$B113,'Inhalation Exposure'!$D$6:$D$47,$C113)),IF($J113="Central Tendency",VLOOKUP($B113,'Dermal Exposure'!$A$6:$L$11,11,FALSE),VLOOKUP($B113,'Dermal Exposure'!$A$6:$L$11,6,FALSE))),"--")</f>
        <v>92.010426728415482</v>
      </c>
      <c r="N113" s="273">
        <f>IFERROR(VLOOKUP($D113,$Y$9:$AC$10,5,FALSE)*IF($D113="Inhalation",IF($J113="Central Tendency",SUMIFS('Inhalation Exposure'!$P$6:$P$47,'Inhalation Exposure'!$B$6:$B$47,$B113,'Inhalation Exposure'!$D$6:$D$47,$C113),SUMIFS('Inhalation Exposure'!$Q$6:$Q$47,'Inhalation Exposure'!$B$6:$B$47,$B113,'Inhalation Exposure'!$D$6:$D$47,$C113)),IF($J113="Central Tendency",VLOOKUP($B113,'Dermal Exposure'!$A$6:$L$11,12,FALSE),VLOOKUP($B113,'Dermal Exposure'!$A$6:$L$11,7,FALSE))),"--")</f>
        <v>3.9879365245257342E-6</v>
      </c>
      <c r="O113" s="310"/>
      <c r="P113" s="310"/>
      <c r="Q113" s="310"/>
      <c r="R113" s="310"/>
      <c r="T113" s="291"/>
      <c r="U113" s="292"/>
      <c r="V113" s="292"/>
      <c r="W113" s="293"/>
    </row>
    <row r="114" spans="2:23" ht="15.75" thickBot="1" x14ac:dyDescent="0.3">
      <c r="B114" s="265">
        <v>7</v>
      </c>
      <c r="C114" s="266" t="s">
        <v>100</v>
      </c>
      <c r="D114" s="266" t="s">
        <v>166</v>
      </c>
      <c r="E114" s="283"/>
      <c r="F114" s="283"/>
      <c r="G114" s="362"/>
      <c r="H114" s="286"/>
      <c r="I114" s="286"/>
      <c r="J114" s="287"/>
      <c r="K114" s="288"/>
      <c r="L114" s="288"/>
      <c r="M114" s="288"/>
      <c r="N114" s="289"/>
      <c r="O114" s="310"/>
      <c r="P114" s="310"/>
      <c r="Q114" s="310"/>
      <c r="R114" s="310"/>
      <c r="T114" s="291"/>
      <c r="U114" s="292"/>
      <c r="V114" s="292"/>
      <c r="W114" s="293"/>
    </row>
    <row r="115" spans="2:23" ht="15.75" thickBot="1" x14ac:dyDescent="0.3">
      <c r="B115" s="265">
        <v>7</v>
      </c>
      <c r="C115" s="266" t="s">
        <v>100</v>
      </c>
      <c r="D115" s="266" t="s">
        <v>166</v>
      </c>
      <c r="E115" s="283"/>
      <c r="F115" s="283"/>
      <c r="G115" s="362"/>
      <c r="H115" s="286"/>
      <c r="I115" s="286"/>
      <c r="J115" s="271" t="s">
        <v>168</v>
      </c>
      <c r="K115" s="272">
        <f>IFERROR(VLOOKUP($D115,$Y$9:$AC$10,2,FALSE)/IF($D115="Inhalation",IF($J115="Central Tendency",SUMIFS('Inhalation Exposure'!$J$6:$J$47,'Inhalation Exposure'!$B$6:$B$47,$B115,'Inhalation Exposure'!$D$6:$D$47,$C115),SUMIFS('Inhalation Exposure'!$K$6:$K$47,'Inhalation Exposure'!$B$6:$B$47,$B115,'Inhalation Exposure'!$D$6:$D$47,$C115)),IF($J115="Central Tendency",VLOOKUP($B115,'Dermal Exposure'!$A$6:$L$11,9,FALSE),VLOOKUP($B115,'Dermal Exposure'!$A$6:$L$11,4,FALSE))),"--")</f>
        <v>8163.854492362364</v>
      </c>
      <c r="L115" s="272">
        <f>IFERROR(VLOOKUP($D115,$Y$9:$AC$10,3,FALSE)/IF($D115="Inhalation",IF($J115="Central Tendency",SUMIFS('Inhalation Exposure'!$L$6:$L$47,'Inhalation Exposure'!$B$6:$B$47,$B115,'Inhalation Exposure'!$D$6:$D$47,$C115),SUMIFS('Inhalation Exposure'!$M$6:$M$47,'Inhalation Exposure'!$B$6:$B$47,$B115,'Inhalation Exposure'!$D$6:$D$47,$C115)),IF($J115="Central Tendency",VLOOKUP($B115,'Dermal Exposure'!$A$6:$L$11,10,FALSE),VLOOKUP($B115,'Dermal Exposure'!$A$6:$L$11,5,FALSE))),"--")</f>
        <v>71.566256913566193</v>
      </c>
      <c r="M115" s="272">
        <f>IFERROR(VLOOKUP($D115,$Y$9:$AC$10,4,FALSE)/IF($D115="Inhalation",IF($J115="Central Tendency",SUMIFS('Inhalation Exposure'!$N$6:$N$47,'Inhalation Exposure'!$B$6:$B$47,$B115,'Inhalation Exposure'!$D$6:$D$47,$C115),SUMIFS('Inhalation Exposure'!$O$6:$O$47,'Inhalation Exposure'!$B$6:$B$47,$B115,'Inhalation Exposure'!$D$6:$D$47,$C115)),IF($J115="Central Tendency",VLOOKUP($B115,'Dermal Exposure'!$A$6:$L$11,11,FALSE),VLOOKUP($B115,'Dermal Exposure'!$A$6:$L$11,6,FALSE))),"--")</f>
        <v>76.623605735458199</v>
      </c>
      <c r="N115" s="273">
        <f>IFERROR(VLOOKUP($D115,$Y$9:$AC$10,5,FALSE)*IF($D115="Inhalation",IF($J115="Central Tendency",SUMIFS('Inhalation Exposure'!$P$6:$P$47,'Inhalation Exposure'!$B$6:$B$47,$B115,'Inhalation Exposure'!$D$6:$D$47,$C115),SUMIFS('Inhalation Exposure'!$Q$6:$Q$47,'Inhalation Exposure'!$B$6:$B$47,$B115,'Inhalation Exposure'!$D$6:$D$47,$C115)),IF($J115="Central Tendency",VLOOKUP($B115,'Dermal Exposure'!$A$6:$L$11,12,FALSE),VLOOKUP($B115,'Dermal Exposure'!$A$6:$L$11,7,FALSE))),"--")</f>
        <v>6.1790398262160602E-6</v>
      </c>
      <c r="O115" s="310"/>
      <c r="P115" s="310"/>
      <c r="Q115" s="310"/>
      <c r="R115" s="310"/>
      <c r="T115" s="291"/>
      <c r="U115" s="292"/>
      <c r="V115" s="292"/>
      <c r="W115" s="293"/>
    </row>
    <row r="116" spans="2:23" ht="15.75" thickBot="1" x14ac:dyDescent="0.3">
      <c r="B116" s="265">
        <v>7</v>
      </c>
      <c r="C116" s="266" t="s">
        <v>100</v>
      </c>
      <c r="D116" s="266" t="s">
        <v>166</v>
      </c>
      <c r="E116" s="283"/>
      <c r="F116" s="283"/>
      <c r="G116" s="364"/>
      <c r="H116" s="359"/>
      <c r="I116" s="359"/>
      <c r="J116" s="301"/>
      <c r="K116" s="288"/>
      <c r="L116" s="288"/>
      <c r="M116" s="288"/>
      <c r="N116" s="289"/>
      <c r="O116" s="310"/>
      <c r="P116" s="310"/>
      <c r="Q116" s="310"/>
      <c r="R116" s="310"/>
      <c r="T116" s="291"/>
      <c r="U116" s="292"/>
      <c r="V116" s="292"/>
      <c r="W116" s="293"/>
    </row>
    <row r="117" spans="2:23" ht="15" customHeight="1" thickBot="1" x14ac:dyDescent="0.3">
      <c r="B117" s="265" t="s">
        <v>397</v>
      </c>
      <c r="C117" s="324" t="s">
        <v>97</v>
      </c>
      <c r="D117" s="324" t="s">
        <v>166</v>
      </c>
      <c r="E117" s="365" t="s">
        <v>194</v>
      </c>
      <c r="F117" s="267" t="s">
        <v>195</v>
      </c>
      <c r="G117" s="361" t="s">
        <v>439</v>
      </c>
      <c r="H117" s="285" t="s">
        <v>97</v>
      </c>
      <c r="I117" s="285" t="s">
        <v>144</v>
      </c>
      <c r="J117" s="332" t="s">
        <v>98</v>
      </c>
      <c r="K117" s="328">
        <f>IFERROR(VLOOKUP($D117,$Y$9:$AC$10,2,FALSE)/IF($D117="Inhalation",IF($J117="Central Tendency",SUMIFS('Inhalation Exposure'!$J$6:$J$47,'Inhalation Exposure'!$B$6:$B$47,$B117,'Inhalation Exposure'!$D$6:$D$47,$C117),SUMIFS('Inhalation Exposure'!$K$6:$K$47,'Inhalation Exposure'!$B$6:$B$47,$B117,'Inhalation Exposure'!$D$6:$D$47,$C117)),IF($J117="Central Tendency",VLOOKUP($B117,'Dermal Exposure'!$A$6:$L$11,9,FALSE),VLOOKUP($B117,'Dermal Exposure'!$A$6:$L$11,4,FALSE))),"--")</f>
        <v>325.16129032258061</v>
      </c>
      <c r="L117" s="328">
        <f>IFERROR(VLOOKUP($D117,$Y$9:$AC$10,3,FALSE)/IF($D117="Inhalation",IF($J117="Central Tendency",SUMIFS('Inhalation Exposure'!$L$6:$L$47,'Inhalation Exposure'!$B$6:$B$47,$B117,'Inhalation Exposure'!$D$6:$D$47,$C117),SUMIFS('Inhalation Exposure'!$M$6:$M$47,'Inhalation Exposure'!$B$6:$B$47,$B117,'Inhalation Exposure'!$D$6:$D$47,$C117)),IF($J117="Central Tendency",VLOOKUP($B117,'Dermal Exposure'!$A$6:$L$11,10,FALSE),VLOOKUP($B117,'Dermal Exposure'!$A$6:$L$11,5,FALSE))),"--")</f>
        <v>2.8504398826979465</v>
      </c>
      <c r="M117" s="328">
        <f>IFERROR(VLOOKUP($D117,$Y$9:$AC$10,4,FALSE)/IF($D117="Inhalation",IF($J117="Central Tendency",SUMIFS('Inhalation Exposure'!$N$6:$N$47,'Inhalation Exposure'!$B$6:$B$47,$B117,'Inhalation Exposure'!$D$6:$D$47,$C117),SUMIFS('Inhalation Exposure'!$O$6:$O$47,'Inhalation Exposure'!$B$6:$B$47,$B117,'Inhalation Exposure'!$D$6:$D$47,$C117)),IF($J117="Central Tendency",VLOOKUP($B117,'Dermal Exposure'!$A$6:$L$11,11,FALSE),VLOOKUP($B117,'Dermal Exposure'!$A$6:$L$11,6,FALSE))),"--")</f>
        <v>3.0518709677419351</v>
      </c>
      <c r="N117" s="329">
        <f>IFERROR(VLOOKUP($D117,$Y$9:$AC$10,5,FALSE)*IF($D117="Inhalation",IF($J117="Central Tendency",SUMIFS('Inhalation Exposure'!$P$6:$P$47,'Inhalation Exposure'!$B$6:$B$47,$B117,'Inhalation Exposure'!$D$6:$D$47,$C117),SUMIFS('Inhalation Exposure'!$Q$6:$Q$47,'Inhalation Exposure'!$B$6:$B$47,$B117,'Inhalation Exposure'!$D$6:$D$47,$C117)),IF($J117="Central Tendency",VLOOKUP($B117,'Dermal Exposure'!$A$6:$L$11,12,FALSE),VLOOKUP($B117,'Dermal Exposure'!$A$6:$L$11,7,FALSE))),"--")</f>
        <v>1.2023173498024329E-4</v>
      </c>
      <c r="O117" s="310"/>
      <c r="P117" s="310"/>
      <c r="Q117" s="310"/>
      <c r="R117" s="310"/>
      <c r="T117" s="291"/>
      <c r="U117" s="292"/>
      <c r="V117" s="292"/>
      <c r="W117" s="293"/>
    </row>
    <row r="118" spans="2:23" ht="15.75" thickBot="1" x14ac:dyDescent="0.3">
      <c r="B118" s="265" t="s">
        <v>397</v>
      </c>
      <c r="C118" s="324" t="s">
        <v>97</v>
      </c>
      <c r="D118" s="324" t="s">
        <v>166</v>
      </c>
      <c r="E118" s="366"/>
      <c r="F118" s="283"/>
      <c r="G118" s="362"/>
      <c r="H118" s="285"/>
      <c r="I118" s="285"/>
      <c r="J118" s="363"/>
      <c r="K118" s="333"/>
      <c r="L118" s="333"/>
      <c r="M118" s="333"/>
      <c r="N118" s="334"/>
      <c r="O118" s="310"/>
      <c r="P118" s="310"/>
      <c r="Q118" s="310"/>
      <c r="R118" s="310"/>
      <c r="T118" s="291"/>
      <c r="U118" s="292"/>
      <c r="V118" s="292"/>
      <c r="W118" s="293"/>
    </row>
    <row r="119" spans="2:23" ht="15.75" thickBot="1" x14ac:dyDescent="0.3">
      <c r="B119" s="265" t="s">
        <v>397</v>
      </c>
      <c r="C119" s="324" t="s">
        <v>97</v>
      </c>
      <c r="D119" s="324" t="s">
        <v>166</v>
      </c>
      <c r="E119" s="366"/>
      <c r="F119" s="283"/>
      <c r="G119" s="362"/>
      <c r="H119" s="285"/>
      <c r="I119" s="285"/>
      <c r="J119" s="269" t="s">
        <v>168</v>
      </c>
      <c r="K119" s="328">
        <f>IFERROR(VLOOKUP($D119,$Y$9:$AC$10,2,FALSE)/IF($D119="Inhalation",IF($J119="Central Tendency",SUMIFS('Inhalation Exposure'!$J$6:$J$47,'Inhalation Exposure'!$B$6:$B$47,$B119,'Inhalation Exposure'!$D$6:$D$47,$C119),SUMIFS('Inhalation Exposure'!$K$6:$K$47,'Inhalation Exposure'!$B$6:$B$47,$B119,'Inhalation Exposure'!$D$6:$D$47,$C119)),IF($J119="Central Tendency",VLOOKUP($B119,'Dermal Exposure'!$A$6:$L$11,9,FALSE),VLOOKUP($B119,'Dermal Exposure'!$A$6:$L$11,4,FALSE))),"--")</f>
        <v>44.258064516129039</v>
      </c>
      <c r="L119" s="328">
        <f>IFERROR(VLOOKUP($D119,$Y$9:$AC$10,3,FALSE)/IF($D119="Inhalation",IF($J119="Central Tendency",SUMIFS('Inhalation Exposure'!$L$6:$L$47,'Inhalation Exposure'!$B$6:$B$47,$B119,'Inhalation Exposure'!$D$6:$D$47,$C119),SUMIFS('Inhalation Exposure'!$M$6:$M$47,'Inhalation Exposure'!$B$6:$B$47,$B119,'Inhalation Exposure'!$D$6:$D$47,$C119)),IF($J119="Central Tendency",VLOOKUP($B119,'Dermal Exposure'!$A$6:$L$11,10,FALSE),VLOOKUP($B119,'Dermal Exposure'!$A$6:$L$11,5,FALSE))),"--")</f>
        <v>0.38797653958944289</v>
      </c>
      <c r="M119" s="328">
        <f>IFERROR(VLOOKUP($D119,$Y$9:$AC$10,4,FALSE)/IF($D119="Inhalation",IF($J119="Central Tendency",SUMIFS('Inhalation Exposure'!$N$6:$N$47,'Inhalation Exposure'!$B$6:$B$47,$B119,'Inhalation Exposure'!$D$6:$D$47,$C119),SUMIFS('Inhalation Exposure'!$O$6:$O$47,'Inhalation Exposure'!$B$6:$B$47,$B119,'Inhalation Exposure'!$D$6:$D$47,$C119)),IF($J119="Central Tendency",VLOOKUP($B119,'Dermal Exposure'!$A$6:$L$11,11,FALSE),VLOOKUP($B119,'Dermal Exposure'!$A$6:$L$11,6,FALSE))),"--")</f>
        <v>0.4153935483870968</v>
      </c>
      <c r="N119" s="329">
        <f>IFERROR(VLOOKUP($D119,$Y$9:$AC$10,5,FALSE)*IF($D119="Inhalation",IF($J119="Central Tendency",SUMIFS('Inhalation Exposure'!$P$6:$P$47,'Inhalation Exposure'!$B$6:$B$47,$B119,'Inhalation Exposure'!$D$6:$D$47,$C119),SUMIFS('Inhalation Exposure'!$Q$6:$Q$47,'Inhalation Exposure'!$B$6:$B$47,$B119,'Inhalation Exposure'!$D$6:$D$47,$C119)),IF($J119="Central Tendency",VLOOKUP($B119,'Dermal Exposure'!$A$6:$L$11,12,FALSE),VLOOKUP($B119,'Dermal Exposure'!$A$6:$L$11,7,FALSE))),"--")</f>
        <v>1.1397873493847945E-3</v>
      </c>
      <c r="O119" s="310"/>
      <c r="P119" s="310"/>
      <c r="Q119" s="310"/>
      <c r="R119" s="310"/>
      <c r="T119" s="291"/>
      <c r="U119" s="292"/>
      <c r="V119" s="292"/>
      <c r="W119" s="293"/>
    </row>
    <row r="120" spans="2:23" ht="15.75" thickBot="1" x14ac:dyDescent="0.3">
      <c r="B120" s="265" t="s">
        <v>397</v>
      </c>
      <c r="C120" s="324" t="s">
        <v>97</v>
      </c>
      <c r="D120" s="324" t="s">
        <v>166</v>
      </c>
      <c r="E120" s="366"/>
      <c r="F120" s="283"/>
      <c r="G120" s="362"/>
      <c r="H120" s="285"/>
      <c r="I120" s="346"/>
      <c r="J120" s="346"/>
      <c r="K120" s="333"/>
      <c r="L120" s="333"/>
      <c r="M120" s="333"/>
      <c r="N120" s="334"/>
      <c r="O120" s="310"/>
      <c r="P120" s="310"/>
      <c r="Q120" s="310"/>
      <c r="R120" s="310"/>
      <c r="T120" s="291"/>
      <c r="U120" s="292"/>
      <c r="V120" s="292"/>
      <c r="W120" s="293"/>
    </row>
    <row r="121" spans="2:23" ht="16.5" thickTop="1" thickBot="1" x14ac:dyDescent="0.3">
      <c r="B121" s="265">
        <v>8</v>
      </c>
      <c r="C121" s="324" t="s">
        <v>97</v>
      </c>
      <c r="D121" s="324" t="s">
        <v>71</v>
      </c>
      <c r="E121" s="366"/>
      <c r="F121" s="283"/>
      <c r="G121" s="362"/>
      <c r="H121" s="285"/>
      <c r="I121" s="326" t="s">
        <v>71</v>
      </c>
      <c r="J121" s="285" t="s">
        <v>98</v>
      </c>
      <c r="K121" s="328">
        <f>IFERROR(VLOOKUP($D121,$Y$9:$AC$10,2,FALSE)/IF($D121="Inhalation",IF($J121="Central Tendency",SUMIFS('Inhalation Exposure'!$J$6:$J$47,'Inhalation Exposure'!$B$6:$B$47,$B121,'Inhalation Exposure'!$D$6:$D$47,$C121),SUMIFS('Inhalation Exposure'!$K$6:$K$47,'Inhalation Exposure'!$B$6:$B$47,$B121,'Inhalation Exposure'!$D$6:$D$47,$C121)),IF($J121="Central Tendency",VLOOKUP($B121,'Dermal Exposure'!$A$6:$L$11,9,FALSE),VLOOKUP($B121,'Dermal Exposure'!$A$6:$L$11,4,FALSE))),"--")</f>
        <v>143.6421176569732</v>
      </c>
      <c r="L121" s="328">
        <f>IFERROR(VLOOKUP($D121,$Y$9:$AC$10,3,FALSE)/IF($D121="Inhalation",IF($J121="Central Tendency",SUMIFS('Inhalation Exposure'!$L$6:$L$47,'Inhalation Exposure'!$B$6:$B$47,$B121,'Inhalation Exposure'!$D$6:$D$47,$C121),SUMIFS('Inhalation Exposure'!$M$6:$M$47,'Inhalation Exposure'!$B$6:$B$47,$B121,'Inhalation Exposure'!$D$6:$D$47,$C121)),IF($J121="Central Tendency",VLOOKUP($B121,'Dermal Exposure'!$A$6:$L$11,10,FALSE),VLOOKUP($B121,'Dermal Exposure'!$A$6:$L$11,5,FALSE))),"--")</f>
        <v>310.13639039573758</v>
      </c>
      <c r="M121" s="328">
        <f>IFERROR(VLOOKUP($D121,$Y$9:$AC$10,4,FALSE)/IF($D121="Inhalation",IF($J121="Central Tendency",SUMIFS('Inhalation Exposure'!$N$6:$N$47,'Inhalation Exposure'!$B$6:$B$47,$B121,'Inhalation Exposure'!$D$6:$D$47,$C121),SUMIFS('Inhalation Exposure'!$O$6:$O$47,'Inhalation Exposure'!$B$6:$B$47,$B121,'Inhalation Exposure'!$D$6:$D$47,$C121)),IF($J121="Central Tendency",VLOOKUP($B121,'Dermal Exposure'!$A$6:$L$11,11,FALSE),VLOOKUP($B121,'Dermal Exposure'!$A$6:$L$11,6,FALSE))),"--")</f>
        <v>332.05269531703635</v>
      </c>
      <c r="N121" s="329">
        <f>IFERROR(VLOOKUP($D121,$Y$9:$AC$10,5,FALSE)*IF($D121="Inhalation",IF($J121="Central Tendency",SUMIFS('Inhalation Exposure'!$P$6:$P$47,'Inhalation Exposure'!$B$6:$B$47,$B121,'Inhalation Exposure'!$D$6:$D$47,$C121),SUMIFS('Inhalation Exposure'!$Q$6:$Q$47,'Inhalation Exposure'!$B$6:$B$47,$B121,'Inhalation Exposure'!$D$6:$D$47,$C121)),IF($J121="Central Tendency",VLOOKUP($B121,'Dermal Exposure'!$A$6:$L$11,12,FALSE),VLOOKUP($B121,'Dermal Exposure'!$A$6:$L$11,7,FALSE))),"--")</f>
        <v>5.0377826589935806E-4</v>
      </c>
      <c r="O121" s="310"/>
      <c r="P121" s="310"/>
      <c r="Q121" s="310"/>
      <c r="R121" s="310"/>
      <c r="T121" s="291"/>
      <c r="U121" s="292"/>
      <c r="V121" s="292"/>
      <c r="W121" s="293"/>
    </row>
    <row r="122" spans="2:23" ht="15.75" thickBot="1" x14ac:dyDescent="0.3">
      <c r="B122" s="265">
        <v>8</v>
      </c>
      <c r="C122" s="324" t="s">
        <v>97</v>
      </c>
      <c r="D122" s="324" t="s">
        <v>71</v>
      </c>
      <c r="E122" s="366"/>
      <c r="F122" s="283"/>
      <c r="G122" s="362"/>
      <c r="H122" s="285"/>
      <c r="I122" s="285"/>
      <c r="J122" s="345"/>
      <c r="K122" s="333"/>
      <c r="L122" s="333"/>
      <c r="M122" s="333"/>
      <c r="N122" s="334"/>
      <c r="O122" s="310"/>
      <c r="P122" s="310"/>
      <c r="Q122" s="310"/>
      <c r="R122" s="310"/>
      <c r="T122" s="291"/>
      <c r="U122" s="292"/>
      <c r="V122" s="292"/>
      <c r="W122" s="293"/>
    </row>
    <row r="123" spans="2:23" ht="15" customHeight="1" thickBot="1" x14ac:dyDescent="0.3">
      <c r="B123" s="265">
        <v>8</v>
      </c>
      <c r="C123" s="324" t="s">
        <v>97</v>
      </c>
      <c r="D123" s="324" t="s">
        <v>71</v>
      </c>
      <c r="E123" s="366"/>
      <c r="F123" s="283"/>
      <c r="G123" s="362"/>
      <c r="H123" s="285"/>
      <c r="I123" s="285"/>
      <c r="J123" s="332" t="s">
        <v>168</v>
      </c>
      <c r="K123" s="328">
        <f>IFERROR(VLOOKUP($D123,$Y$9:$AC$10,2,FALSE)/IF($D123="Inhalation",IF($J123="Central Tendency",SUMIFS('Inhalation Exposure'!$J$6:$J$47,'Inhalation Exposure'!$B$6:$B$47,$B123,'Inhalation Exposure'!$D$6:$D$47,$C123),SUMIFS('Inhalation Exposure'!$K$6:$K$47,'Inhalation Exposure'!$B$6:$B$47,$B123,'Inhalation Exposure'!$D$6:$D$47,$C123)),IF($J123="Central Tendency",VLOOKUP($B123,'Dermal Exposure'!$A$6:$L$11,9,FALSE),VLOOKUP($B123,'Dermal Exposure'!$A$6:$L$11,4,FALSE))),"--")</f>
        <v>31.854806315647696</v>
      </c>
      <c r="L123" s="328">
        <f>IFERROR(VLOOKUP($D123,$Y$9:$AC$10,3,FALSE)/IF($D123="Inhalation",IF($J123="Central Tendency",SUMIFS('Inhalation Exposure'!$L$6:$L$47,'Inhalation Exposure'!$B$6:$B$47,$B123,'Inhalation Exposure'!$D$6:$D$47,$C123),SUMIFS('Inhalation Exposure'!$M$6:$M$47,'Inhalation Exposure'!$B$6:$B$47,$B123,'Inhalation Exposure'!$D$6:$D$47,$C123)),IF($J123="Central Tendency",VLOOKUP($B123,'Dermal Exposure'!$A$6:$L$11,10,FALSE),VLOOKUP($B123,'Dermal Exposure'!$A$6:$L$11,5,FALSE))),"--")</f>
        <v>68.777422726966634</v>
      </c>
      <c r="M123" s="328">
        <f>IFERROR(VLOOKUP($D123,$Y$9:$AC$10,4,FALSE)/IF($D123="Inhalation",IF($J123="Central Tendency",SUMIFS('Inhalation Exposure'!$N$6:$N$47,'Inhalation Exposure'!$B$6:$B$47,$B123,'Inhalation Exposure'!$D$6:$D$47,$C123),SUMIFS('Inhalation Exposure'!$O$6:$O$47,'Inhalation Exposure'!$B$6:$B$47,$B123,'Inhalation Exposure'!$D$6:$D$47,$C123)),IF($J123="Central Tendency",VLOOKUP($B123,'Dermal Exposure'!$A$6:$L$11,11,FALSE),VLOOKUP($B123,'Dermal Exposure'!$A$6:$L$11,6,FALSE))),"--")</f>
        <v>73.637693933005593</v>
      </c>
      <c r="N123" s="329">
        <f>IFERROR(VLOOKUP($D123,$Y$9:$AC$10,5,FALSE)*IF($D123="Inhalation",IF($J123="Central Tendency",SUMIFS('Inhalation Exposure'!$P$6:$P$47,'Inhalation Exposure'!$B$6:$B$47,$B123,'Inhalation Exposure'!$D$6:$D$47,$C123),SUMIFS('Inhalation Exposure'!$Q$6:$Q$47,'Inhalation Exposure'!$B$6:$B$47,$B123,'Inhalation Exposure'!$D$6:$D$47,$C123)),IF($J123="Central Tendency",VLOOKUP($B123,'Dermal Exposure'!$A$6:$L$11,12,FALSE),VLOOKUP($B123,'Dermal Exposure'!$A$6:$L$11,7,FALSE))),"--")</f>
        <v>2.461718538449962E-3</v>
      </c>
      <c r="O123" s="274" t="str">
        <f>IFERROR(#REF!*T123, "--")</f>
        <v>--</v>
      </c>
      <c r="P123" s="274" t="str">
        <f>IFERROR(#REF!*U123, "--")</f>
        <v>--</v>
      </c>
      <c r="Q123" s="274" t="str">
        <f>IFERROR(#REF!*V123, "--")</f>
        <v>--</v>
      </c>
      <c r="R123" s="315" t="str">
        <f>IFERROR(#REF!/W123, "--")</f>
        <v>--</v>
      </c>
      <c r="T123" s="291">
        <v>5</v>
      </c>
      <c r="U123" s="292">
        <v>5</v>
      </c>
      <c r="V123" s="292">
        <v>5</v>
      </c>
      <c r="W123" s="293">
        <v>5</v>
      </c>
    </row>
    <row r="124" spans="2:23" ht="15.75" thickBot="1" x14ac:dyDescent="0.3">
      <c r="B124" s="265">
        <v>8</v>
      </c>
      <c r="C124" s="324" t="s">
        <v>97</v>
      </c>
      <c r="D124" s="324" t="s">
        <v>71</v>
      </c>
      <c r="E124" s="366"/>
      <c r="F124" s="283"/>
      <c r="G124" s="362"/>
      <c r="H124" s="346"/>
      <c r="I124" s="346"/>
      <c r="J124" s="360"/>
      <c r="K124" s="333"/>
      <c r="L124" s="333"/>
      <c r="M124" s="333"/>
      <c r="N124" s="334"/>
      <c r="O124" s="274" t="str">
        <f>CONCATENATE("(PF ",T123,")")</f>
        <v>(PF 5)</v>
      </c>
      <c r="P124" s="274" t="str">
        <f>CONCATENATE("(PF ",U123,")")</f>
        <v>(PF 5)</v>
      </c>
      <c r="Q124" s="274" t="str">
        <f>CONCATENATE("(PF ",V123,")")</f>
        <v>(PF 5)</v>
      </c>
      <c r="R124" s="315" t="str">
        <f>CONCATENATE("(PF ",W123,")")</f>
        <v>(PF 5)</v>
      </c>
      <c r="T124" s="303" t="s">
        <v>176</v>
      </c>
      <c r="U124" s="304" t="s">
        <v>176</v>
      </c>
      <c r="V124" s="304" t="s">
        <v>176</v>
      </c>
      <c r="W124" s="305" t="s">
        <v>176</v>
      </c>
    </row>
    <row r="125" spans="2:23" ht="16.5" thickTop="1" thickBot="1" x14ac:dyDescent="0.3">
      <c r="B125" s="265" t="s">
        <v>397</v>
      </c>
      <c r="C125" s="324" t="s">
        <v>100</v>
      </c>
      <c r="D125" s="324" t="s">
        <v>166</v>
      </c>
      <c r="E125" s="366"/>
      <c r="F125" s="283"/>
      <c r="G125" s="362"/>
      <c r="H125" s="269" t="s">
        <v>100</v>
      </c>
      <c r="I125" s="285" t="s">
        <v>144</v>
      </c>
      <c r="J125" s="327" t="s">
        <v>98</v>
      </c>
      <c r="K125" s="367">
        <f>IFERROR(VLOOKUP($D125,$Y$9:$AC$10,2,FALSE)/IF($D125="Inhalation",IF($J125="Central Tendency",SUMIFS('Inhalation Exposure'!$J$6:$J$47,'Inhalation Exposure'!$B$6:$B$47,$B125,'Inhalation Exposure'!$D$6:$D$47,$C125),SUMIFS('Inhalation Exposure'!$K$6:$K$47,'Inhalation Exposure'!$B$6:$B$47,$B125,'Inhalation Exposure'!$D$6:$D$47,$C125)),IF($J125="Central Tendency",VLOOKUP($B125,'Dermal Exposure'!$A$6:$L$11,9,FALSE),VLOOKUP($B125,'Dermal Exposure'!$A$6:$L$11,4,FALSE))),"--")</f>
        <v>127381.04448742748</v>
      </c>
      <c r="L125" s="367">
        <f>IFERROR(VLOOKUP($D125,$Y$9:$AC$10,3,FALSE)/IF($D125="Inhalation",IF($J125="Central Tendency",SUMIFS('Inhalation Exposure'!$L$6:$L$47,'Inhalation Exposure'!$B$6:$B$47,$B125,'Inhalation Exposure'!$D$6:$D$47,$C125),SUMIFS('Inhalation Exposure'!$M$6:$M$47,'Inhalation Exposure'!$B$6:$B$47,$B125,'Inhalation Exposure'!$D$6:$D$47,$C125)),IF($J125="Central Tendency",VLOOKUP($B125,'Dermal Exposure'!$A$6:$L$11,10,FALSE),VLOOKUP($B125,'Dermal Exposure'!$A$6:$L$11,5,FALSE))),"--")</f>
        <v>1116.6520133638121</v>
      </c>
      <c r="M125" s="367">
        <f>IFERROR(VLOOKUP($D125,$Y$9:$AC$10,4,FALSE)/IF($D125="Inhalation",IF($J125="Central Tendency",SUMIFS('Inhalation Exposure'!$N$6:$N$47,'Inhalation Exposure'!$B$6:$B$47,$B125,'Inhalation Exposure'!$D$6:$D$47,$C125),SUMIFS('Inhalation Exposure'!$O$6:$O$47,'Inhalation Exposure'!$B$6:$B$47,$B125,'Inhalation Exposure'!$D$6:$D$47,$C125)),IF($J125="Central Tendency",VLOOKUP($B125,'Dermal Exposure'!$A$6:$L$11,11,FALSE),VLOOKUP($B125,'Dermal Exposure'!$A$6:$L$11,6,FALSE))),"--")</f>
        <v>1195.5620889748548</v>
      </c>
      <c r="N125" s="368">
        <f>IFERROR(VLOOKUP($D125,$Y$9:$AC$10,5,FALSE)*IF($D125="Inhalation",IF($J125="Central Tendency",SUMIFS('Inhalation Exposure'!$P$6:$P$47,'Inhalation Exposure'!$B$6:$B$47,$B125,'Inhalation Exposure'!$D$6:$D$47,$C125),SUMIFS('Inhalation Exposure'!$Q$6:$Q$47,'Inhalation Exposure'!$B$6:$B$47,$B125,'Inhalation Exposure'!$D$6:$D$47,$C125)),IF($J125="Central Tendency",VLOOKUP($B125,'Dermal Exposure'!$A$6:$L$11,12,FALSE),VLOOKUP($B125,'Dermal Exposure'!$A$6:$L$11,7,FALSE))),"--")</f>
        <v>3.0691148939163488E-7</v>
      </c>
      <c r="O125" s="274"/>
      <c r="P125" s="274"/>
      <c r="Q125" s="274"/>
      <c r="R125" s="315"/>
      <c r="T125" s="291"/>
      <c r="U125" s="292"/>
      <c r="V125" s="292"/>
      <c r="W125" s="293"/>
    </row>
    <row r="126" spans="2:23" ht="15.75" thickBot="1" x14ac:dyDescent="0.3">
      <c r="B126" s="265" t="s">
        <v>397</v>
      </c>
      <c r="C126" s="324" t="s">
        <v>100</v>
      </c>
      <c r="D126" s="324" t="s">
        <v>166</v>
      </c>
      <c r="E126" s="366"/>
      <c r="F126" s="283"/>
      <c r="G126" s="362"/>
      <c r="H126" s="285"/>
      <c r="I126" s="285"/>
      <c r="J126" s="363"/>
      <c r="K126" s="369"/>
      <c r="L126" s="369"/>
      <c r="M126" s="369"/>
      <c r="N126" s="370"/>
      <c r="O126" s="274"/>
      <c r="P126" s="274"/>
      <c r="Q126" s="274"/>
      <c r="R126" s="315"/>
      <c r="T126" s="291"/>
      <c r="U126" s="292"/>
      <c r="V126" s="292"/>
      <c r="W126" s="293"/>
    </row>
    <row r="127" spans="2:23" ht="15.75" thickBot="1" x14ac:dyDescent="0.3">
      <c r="B127" s="265" t="s">
        <v>397</v>
      </c>
      <c r="C127" s="324" t="s">
        <v>100</v>
      </c>
      <c r="D127" s="324" t="s">
        <v>166</v>
      </c>
      <c r="E127" s="366"/>
      <c r="F127" s="283"/>
      <c r="G127" s="362"/>
      <c r="H127" s="285"/>
      <c r="I127" s="285"/>
      <c r="J127" s="335" t="s">
        <v>168</v>
      </c>
      <c r="K127" s="367">
        <f>IFERROR(VLOOKUP($D127,$Y$9:$AC$10,2,FALSE)/IF($D127="Inhalation",IF($J127="Central Tendency",SUMIFS('Inhalation Exposure'!$J$6:$J$47,'Inhalation Exposure'!$B$6:$B$47,$B127,'Inhalation Exposure'!$D$6:$D$47,$C127),SUMIFS('Inhalation Exposure'!$K$6:$K$47,'Inhalation Exposure'!$B$6:$B$47,$B127,'Inhalation Exposure'!$D$6:$D$47,$C127)),IF($J127="Central Tendency",VLOOKUP($B127,'Dermal Exposure'!$A$6:$L$11,9,FALSE),VLOOKUP($B127,'Dermal Exposure'!$A$6:$L$11,4,FALSE))),"--")</f>
        <v>2283.4071734021654</v>
      </c>
      <c r="L127" s="367">
        <f>IFERROR(VLOOKUP($D127,$Y$9:$AC$10,3,FALSE)/IF($D127="Inhalation",IF($J127="Central Tendency",SUMIFS('Inhalation Exposure'!$L$6:$L$47,'Inhalation Exposure'!$B$6:$B$47,$B127,'Inhalation Exposure'!$D$6:$D$47,$C127),SUMIFS('Inhalation Exposure'!$M$6:$M$47,'Inhalation Exposure'!$B$6:$B$47,$B127,'Inhalation Exposure'!$D$6:$D$47,$C127)),IF($J127="Central Tendency",VLOOKUP($B127,'Dermal Exposure'!$A$6:$L$11,10,FALSE),VLOOKUP($B127,'Dermal Exposure'!$A$6:$L$11,5,FALSE))),"--")</f>
        <v>20.01688106553846</v>
      </c>
      <c r="M127" s="367">
        <f>IFERROR(VLOOKUP($D127,$Y$9:$AC$10,4,FALSE)/IF($D127="Inhalation",IF($J127="Central Tendency",SUMIFS('Inhalation Exposure'!$N$6:$N$47,'Inhalation Exposure'!$B$6:$B$47,$B127,'Inhalation Exposure'!$D$6:$D$47,$C127),SUMIFS('Inhalation Exposure'!$O$6:$O$47,'Inhalation Exposure'!$B$6:$B$47,$B127,'Inhalation Exposure'!$D$6:$D$47,$C127)),IF($J127="Central Tendency",VLOOKUP($B127,'Dermal Exposure'!$A$6:$L$11,11,FALSE),VLOOKUP($B127,'Dermal Exposure'!$A$6:$L$11,6,FALSE))),"--")</f>
        <v>21.43140732750318</v>
      </c>
      <c r="N127" s="368">
        <f>IFERROR(VLOOKUP($D127,$Y$9:$AC$10,5,FALSE)*IF($D127="Inhalation",IF($J127="Central Tendency",SUMIFS('Inhalation Exposure'!$P$6:$P$47,'Inhalation Exposure'!$B$6:$B$47,$B127,'Inhalation Exposure'!$D$6:$D$47,$C127),SUMIFS('Inhalation Exposure'!$Q$6:$Q$47,'Inhalation Exposure'!$B$6:$B$47,$B127,'Inhalation Exposure'!$D$6:$D$47,$C127)),IF($J127="Central Tendency",VLOOKUP($B127,'Dermal Exposure'!$A$6:$L$11,12,FALSE),VLOOKUP($B127,'Dermal Exposure'!$A$6:$L$11,7,FALSE))),"--")</f>
        <v>2.2091890851240374E-5</v>
      </c>
      <c r="O127" s="274"/>
      <c r="P127" s="274"/>
      <c r="Q127" s="274"/>
      <c r="R127" s="315"/>
      <c r="T127" s="291"/>
      <c r="U127" s="292"/>
      <c r="V127" s="292"/>
      <c r="W127" s="293"/>
    </row>
    <row r="128" spans="2:23" ht="15.75" thickBot="1" x14ac:dyDescent="0.3">
      <c r="B128" s="265" t="s">
        <v>397</v>
      </c>
      <c r="C128" s="324" t="s">
        <v>100</v>
      </c>
      <c r="D128" s="324" t="s">
        <v>166</v>
      </c>
      <c r="E128" s="371"/>
      <c r="F128" s="344"/>
      <c r="G128" s="364"/>
      <c r="H128" s="345"/>
      <c r="I128" s="345"/>
      <c r="J128" s="360"/>
      <c r="K128" s="369"/>
      <c r="L128" s="369"/>
      <c r="M128" s="369"/>
      <c r="N128" s="370"/>
      <c r="O128" s="274"/>
      <c r="P128" s="274"/>
      <c r="Q128" s="274"/>
      <c r="R128" s="315"/>
      <c r="T128" s="291"/>
      <c r="U128" s="292"/>
      <c r="V128" s="292"/>
      <c r="W128" s="293"/>
    </row>
    <row r="129" spans="2:43" s="2" customFormat="1" ht="15" customHeight="1" thickBot="1" x14ac:dyDescent="0.3">
      <c r="B129" s="265" t="s">
        <v>398</v>
      </c>
      <c r="C129" s="324" t="s">
        <v>97</v>
      </c>
      <c r="D129" s="324" t="s">
        <v>166</v>
      </c>
      <c r="E129" s="365" t="s">
        <v>194</v>
      </c>
      <c r="F129" s="267" t="s">
        <v>195</v>
      </c>
      <c r="G129" s="372" t="s">
        <v>440</v>
      </c>
      <c r="H129" s="269" t="s">
        <v>97</v>
      </c>
      <c r="I129" s="269" t="s">
        <v>144</v>
      </c>
      <c r="J129" s="335" t="s">
        <v>98</v>
      </c>
      <c r="K129" s="328">
        <f>IFERROR(VLOOKUP($D129,$Y$9:$AC$10,2,FALSE)/IF($D129="Inhalation",IF($J129="Central Tendency",SUMIFS('Inhalation Exposure'!$J$6:$J$47,'Inhalation Exposure'!$B$6:$B$47,$B129,'Inhalation Exposure'!$D$6:$D$47,$C129),SUMIFS('Inhalation Exposure'!$K$6:$K$47,'Inhalation Exposure'!$B$6:$B$47,$B129,'Inhalation Exposure'!$D$6:$D$47,$C129)),IF($J129="Central Tendency",VLOOKUP($B129,'Dermal Exposure'!$A$6:$L$11,9,FALSE),VLOOKUP($B129,'Dermal Exposure'!$A$6:$L$11,4,FALSE))),"--")</f>
        <v>200415.75568729112</v>
      </c>
      <c r="L129" s="328">
        <f>IFERROR(VLOOKUP($D129,$Y$9:$AC$10,3,FALSE)/IF($D129="Inhalation",IF($J129="Central Tendency",SUMIFS('Inhalation Exposure'!$L$6:$L$47,'Inhalation Exposure'!$B$6:$B$47,$B129,'Inhalation Exposure'!$D$6:$D$47,$C129),SUMIFS('Inhalation Exposure'!$M$6:$M$47,'Inhalation Exposure'!$B$6:$B$47,$B129,'Inhalation Exposure'!$D$6:$D$47,$C129)),IF($J129="Central Tendency",VLOOKUP($B129,'Dermal Exposure'!$A$6:$L$11,10,FALSE),VLOOKUP($B129,'Dermal Exposure'!$A$6:$L$11,5,FALSE))),"--")</f>
        <v>1756.8913647911882</v>
      </c>
      <c r="M129" s="328">
        <f>IFERROR(VLOOKUP($D129,$Y$9:$AC$10,4,FALSE)/IF($D129="Inhalation",IF($J129="Central Tendency",SUMIFS('Inhalation Exposure'!$N$6:$N$47,'Inhalation Exposure'!$B$6:$B$47,$B129,'Inhalation Exposure'!$D$6:$D$47,$C129),SUMIFS('Inhalation Exposure'!$O$6:$O$47,'Inhalation Exposure'!$B$6:$B$47,$B129,'Inhalation Exposure'!$D$6:$D$47,$C129)),IF($J129="Central Tendency",VLOOKUP($B129,'Dermal Exposure'!$A$6:$L$11,11,FALSE),VLOOKUP($B129,'Dermal Exposure'!$A$6:$L$11,6,FALSE))),"--")</f>
        <v>1881.0450212364321</v>
      </c>
      <c r="N129" s="329">
        <f>IFERROR(VLOOKUP($D129,$Y$9:$AC$10,5,FALSE)*IF($D129="Inhalation",IF($J129="Central Tendency",SUMIFS('Inhalation Exposure'!$P$6:$P$47,'Inhalation Exposure'!$B$6:$B$47,$B129,'Inhalation Exposure'!$D$6:$D$47,$C129),SUMIFS('Inhalation Exposure'!$Q$6:$Q$47,'Inhalation Exposure'!$B$6:$B$47,$B129,'Inhalation Exposure'!$D$6:$D$47,$C129)),IF($J129="Central Tendency",VLOOKUP($B129,'Dermal Exposure'!$A$6:$L$11,12,FALSE),VLOOKUP($B129,'Dermal Exposure'!$A$6:$L$11,7,FALSE))),"--")</f>
        <v>1.9506802721088437E-7</v>
      </c>
      <c r="O129" s="373"/>
      <c r="P129" s="373"/>
      <c r="Q129" s="373"/>
      <c r="R129" s="374"/>
      <c r="S129" s="226"/>
      <c r="T129" s="291"/>
      <c r="U129" s="292"/>
      <c r="V129" s="292"/>
      <c r="W129" s="293"/>
      <c r="X129" s="226"/>
      <c r="Y129" s="226"/>
      <c r="Z129" s="226"/>
      <c r="AA129" s="226"/>
      <c r="AB129" s="226"/>
      <c r="AC129" s="226"/>
      <c r="AD129" s="226"/>
      <c r="AE129" s="226"/>
      <c r="AF129" s="226"/>
      <c r="AG129" s="226"/>
      <c r="AH129" s="226"/>
      <c r="AI129" s="226"/>
      <c r="AJ129" s="226"/>
      <c r="AK129" s="226"/>
      <c r="AL129" s="226"/>
      <c r="AM129" s="226"/>
      <c r="AN129" s="226"/>
      <c r="AO129" s="226"/>
      <c r="AP129" s="226"/>
      <c r="AQ129" s="226"/>
    </row>
    <row r="130" spans="2:43" s="2" customFormat="1" ht="15.75" thickBot="1" x14ac:dyDescent="0.3">
      <c r="B130" s="265" t="s">
        <v>398</v>
      </c>
      <c r="C130" s="324" t="s">
        <v>97</v>
      </c>
      <c r="D130" s="324" t="s">
        <v>166</v>
      </c>
      <c r="E130" s="366"/>
      <c r="F130" s="283"/>
      <c r="G130" s="375"/>
      <c r="H130" s="285"/>
      <c r="I130" s="285"/>
      <c r="J130" s="363"/>
      <c r="K130" s="333"/>
      <c r="L130" s="333"/>
      <c r="M130" s="333"/>
      <c r="N130" s="334"/>
      <c r="O130" s="373"/>
      <c r="P130" s="373"/>
      <c r="Q130" s="373"/>
      <c r="R130" s="374"/>
      <c r="S130" s="226"/>
      <c r="T130" s="291"/>
      <c r="U130" s="292"/>
      <c r="V130" s="292"/>
      <c r="W130" s="293"/>
      <c r="X130" s="226"/>
      <c r="Y130" s="226"/>
      <c r="Z130" s="226"/>
      <c r="AA130" s="226"/>
      <c r="AB130" s="226"/>
      <c r="AC130" s="226"/>
      <c r="AD130" s="226"/>
      <c r="AE130" s="226"/>
      <c r="AF130" s="226"/>
      <c r="AG130" s="226"/>
      <c r="AH130" s="226"/>
      <c r="AI130" s="226"/>
      <c r="AJ130" s="226"/>
      <c r="AK130" s="226"/>
      <c r="AL130" s="226"/>
      <c r="AM130" s="226"/>
      <c r="AN130" s="226"/>
      <c r="AO130" s="226"/>
      <c r="AP130" s="226"/>
      <c r="AQ130" s="226"/>
    </row>
    <row r="131" spans="2:43" s="2" customFormat="1" ht="15.75" thickBot="1" x14ac:dyDescent="0.3">
      <c r="B131" s="265" t="s">
        <v>398</v>
      </c>
      <c r="C131" s="324" t="s">
        <v>97</v>
      </c>
      <c r="D131" s="324" t="s">
        <v>166</v>
      </c>
      <c r="E131" s="366"/>
      <c r="F131" s="283"/>
      <c r="G131" s="375"/>
      <c r="H131" s="285"/>
      <c r="I131" s="285"/>
      <c r="J131" s="269" t="s">
        <v>168</v>
      </c>
      <c r="K131" s="328">
        <f>IFERROR(VLOOKUP($D131,$Y$9:$AC$10,2,FALSE)/IF($D131="Inhalation",IF($J131="Central Tendency",SUMIFS('Inhalation Exposure'!$J$6:$J$47,'Inhalation Exposure'!$B$6:$B$47,$B131,'Inhalation Exposure'!$D$6:$D$47,$C131),SUMIFS('Inhalation Exposure'!$K$6:$K$47,'Inhalation Exposure'!$B$6:$B$47,$B131,'Inhalation Exposure'!$D$6:$D$47,$C131)),IF($J131="Central Tendency",VLOOKUP($B131,'Dermal Exposure'!$A$6:$L$11,9,FALSE),VLOOKUP($B131,'Dermal Exposure'!$A$6:$L$11,4,FALSE))),"--")</f>
        <v>95097.276073619665</v>
      </c>
      <c r="L131" s="328">
        <f>IFERROR(VLOOKUP($D131,$Y$9:$AC$10,3,FALSE)/IF($D131="Inhalation",IF($J131="Central Tendency",SUMIFS('Inhalation Exposure'!$L$6:$L$47,'Inhalation Exposure'!$B$6:$B$47,$B131,'Inhalation Exposure'!$D$6:$D$47,$C131),SUMIFS('Inhalation Exposure'!$M$6:$M$47,'Inhalation Exposure'!$B$6:$B$47,$B131,'Inhalation Exposure'!$D$6:$D$47,$C131)),IF($J131="Central Tendency",VLOOKUP($B131,'Dermal Exposure'!$A$6:$L$11,10,FALSE),VLOOKUP($B131,'Dermal Exposure'!$A$6:$L$11,5,FALSE))),"--")</f>
        <v>833.64495259341879</v>
      </c>
      <c r="M131" s="328">
        <f>IFERROR(VLOOKUP($D131,$Y$9:$AC$10,4,FALSE)/IF($D131="Inhalation",IF($J131="Central Tendency",SUMIFS('Inhalation Exposure'!$N$6:$N$47,'Inhalation Exposure'!$B$6:$B$47,$B131,'Inhalation Exposure'!$D$6:$D$47,$C131),SUMIFS('Inhalation Exposure'!$O$6:$O$47,'Inhalation Exposure'!$B$6:$B$47,$B131,'Inhalation Exposure'!$D$6:$D$47,$C131)),IF($J131="Central Tendency",VLOOKUP($B131,'Dermal Exposure'!$A$6:$L$11,11,FALSE),VLOOKUP($B131,'Dermal Exposure'!$A$6:$L$11,6,FALSE))),"--")</f>
        <v>892.55586257668722</v>
      </c>
      <c r="N131" s="329">
        <f>IFERROR(VLOOKUP($D131,$Y$9:$AC$10,5,FALSE)*IF($D131="Inhalation",IF($J131="Central Tendency",SUMIFS('Inhalation Exposure'!$P$6:$P$47,'Inhalation Exposure'!$B$6:$B$47,$B131,'Inhalation Exposure'!$D$6:$D$47,$C131),SUMIFS('Inhalation Exposure'!$Q$6:$Q$47,'Inhalation Exposure'!$B$6:$B$47,$B131,'Inhalation Exposure'!$D$6:$D$47,$C131)),IF($J131="Central Tendency",VLOOKUP($B131,'Dermal Exposure'!$A$6:$L$11,12,FALSE),VLOOKUP($B131,'Dermal Exposure'!$A$6:$L$11,7,FALSE))),"--")</f>
        <v>5.3045454219622514E-7</v>
      </c>
      <c r="O131" s="373"/>
      <c r="P131" s="373"/>
      <c r="Q131" s="373"/>
      <c r="R131" s="374"/>
      <c r="S131" s="226"/>
      <c r="T131" s="291"/>
      <c r="U131" s="292"/>
      <c r="V131" s="292"/>
      <c r="W131" s="293"/>
      <c r="X131" s="226"/>
      <c r="Y131" s="226"/>
      <c r="Z131" s="226"/>
      <c r="AA131" s="226"/>
      <c r="AB131" s="226"/>
      <c r="AC131" s="226"/>
      <c r="AD131" s="226"/>
      <c r="AE131" s="226"/>
      <c r="AF131" s="226"/>
      <c r="AG131" s="226"/>
      <c r="AH131" s="226"/>
      <c r="AI131" s="226"/>
      <c r="AJ131" s="226"/>
      <c r="AK131" s="226"/>
      <c r="AL131" s="226"/>
      <c r="AM131" s="226"/>
      <c r="AN131" s="226"/>
      <c r="AO131" s="226"/>
      <c r="AP131" s="226"/>
      <c r="AQ131" s="226"/>
    </row>
    <row r="132" spans="2:43" s="2" customFormat="1" ht="15.75" thickBot="1" x14ac:dyDescent="0.3">
      <c r="B132" s="265" t="s">
        <v>398</v>
      </c>
      <c r="C132" s="324" t="s">
        <v>97</v>
      </c>
      <c r="D132" s="324" t="s">
        <v>166</v>
      </c>
      <c r="E132" s="366"/>
      <c r="F132" s="283"/>
      <c r="G132" s="375"/>
      <c r="H132" s="285"/>
      <c r="I132" s="346"/>
      <c r="J132" s="346"/>
      <c r="K132" s="333"/>
      <c r="L132" s="333"/>
      <c r="M132" s="333"/>
      <c r="N132" s="334"/>
      <c r="O132" s="373"/>
      <c r="P132" s="373"/>
      <c r="Q132" s="373"/>
      <c r="R132" s="374"/>
      <c r="S132" s="226"/>
      <c r="T132" s="291"/>
      <c r="U132" s="292"/>
      <c r="V132" s="292"/>
      <c r="W132" s="293"/>
      <c r="X132" s="226"/>
      <c r="Y132" s="226"/>
      <c r="Z132" s="226"/>
      <c r="AA132" s="226"/>
      <c r="AB132" s="226"/>
      <c r="AC132" s="226"/>
      <c r="AD132" s="226"/>
      <c r="AE132" s="226"/>
      <c r="AF132" s="226"/>
      <c r="AG132" s="226"/>
      <c r="AH132" s="226"/>
      <c r="AI132" s="226"/>
      <c r="AJ132" s="226"/>
      <c r="AK132" s="226"/>
      <c r="AL132" s="226"/>
      <c r="AM132" s="226"/>
      <c r="AN132" s="226"/>
      <c r="AO132" s="226"/>
      <c r="AP132" s="226"/>
      <c r="AQ132" s="226"/>
    </row>
    <row r="133" spans="2:43" ht="16.5" thickTop="1" thickBot="1" x14ac:dyDescent="0.3">
      <c r="B133" s="265">
        <v>8</v>
      </c>
      <c r="C133" s="324" t="s">
        <v>97</v>
      </c>
      <c r="D133" s="324" t="s">
        <v>71</v>
      </c>
      <c r="E133" s="366"/>
      <c r="F133" s="283"/>
      <c r="G133" s="375"/>
      <c r="H133" s="285"/>
      <c r="I133" s="326" t="s">
        <v>71</v>
      </c>
      <c r="J133" s="285" t="s">
        <v>98</v>
      </c>
      <c r="K133" s="328">
        <f>IFERROR(VLOOKUP($D133,$Y$9:$AC$10,2,FALSE)/IF($D133="Inhalation",IF($J133="Central Tendency",SUMIFS('Inhalation Exposure'!$J$6:$J$47,'Inhalation Exposure'!$B$6:$B$47,$B133,'Inhalation Exposure'!$D$6:$D$47,$C133),SUMIFS('Inhalation Exposure'!$K$6:$K$47,'Inhalation Exposure'!$B$6:$B$47,$B133,'Inhalation Exposure'!$D$6:$D$47,$C133)),IF($J133="Central Tendency",VLOOKUP($B133,'Dermal Exposure'!$A$6:$L$11,9,FALSE),VLOOKUP($B133,'Dermal Exposure'!$A$6:$L$11,4,FALSE))),"--")</f>
        <v>143.6421176569732</v>
      </c>
      <c r="L133" s="272">
        <f>IFERROR(VLOOKUP($D133,$Y$9:$AC$10,3,FALSE)/IF($D133="Inhalation",IF($J133="Central Tendency",SUMIFS('Inhalation Exposure'!$L$6:$L$47,'Inhalation Exposure'!$B$6:$B$47,$B133,'Inhalation Exposure'!$D$6:$D$47,$C133),SUMIFS('Inhalation Exposure'!$M$6:$M$47,'Inhalation Exposure'!$B$6:$B$47,$B133,'Inhalation Exposure'!$D$6:$D$47,$C133)),IF($J133="Central Tendency",VLOOKUP($B133,'Dermal Exposure'!$A$6:$L$11,10,FALSE),VLOOKUP($B133,'Dermal Exposure'!$A$6:$L$11,5,FALSE))),"--")</f>
        <v>310.13639039573758</v>
      </c>
      <c r="M133" s="328">
        <f>IFERROR(VLOOKUP($D133,$Y$9:$AC$10,4,FALSE)/IF($D133="Inhalation",IF($J133="Central Tendency",SUMIFS('Inhalation Exposure'!$N$6:$N$47,'Inhalation Exposure'!$B$6:$B$47,$B133,'Inhalation Exposure'!$D$6:$D$47,$C133),SUMIFS('Inhalation Exposure'!$O$6:$O$47,'Inhalation Exposure'!$B$6:$B$47,$B133,'Inhalation Exposure'!$D$6:$D$47,$C133)),IF($J133="Central Tendency",VLOOKUP($B133,'Dermal Exposure'!$A$6:$L$11,11,FALSE),VLOOKUP($B133,'Dermal Exposure'!$A$6:$L$11,6,FALSE))),"--")</f>
        <v>332.05269531703635</v>
      </c>
      <c r="N133" s="329">
        <f>IFERROR(VLOOKUP($D133,$Y$9:$AC$10,5,FALSE)*IF($D133="Inhalation",IF($J133="Central Tendency",SUMIFS('Inhalation Exposure'!$P$6:$P$47,'Inhalation Exposure'!$B$6:$B$47,$B133,'Inhalation Exposure'!$D$6:$D$47,$C133),SUMIFS('Inhalation Exposure'!$Q$6:$Q$47,'Inhalation Exposure'!$B$6:$B$47,$B133,'Inhalation Exposure'!$D$6:$D$47,$C133)),IF($J133="Central Tendency",VLOOKUP($B133,'Dermal Exposure'!$A$6:$L$11,12,FALSE),VLOOKUP($B133,'Dermal Exposure'!$A$6:$L$11,7,FALSE))),"--")</f>
        <v>5.0377826589935806E-4</v>
      </c>
      <c r="O133" s="274"/>
      <c r="P133" s="274"/>
      <c r="Q133" s="274"/>
      <c r="R133" s="315"/>
      <c r="T133" s="291"/>
      <c r="U133" s="292"/>
      <c r="V133" s="292"/>
      <c r="W133" s="293"/>
    </row>
    <row r="134" spans="2:43" ht="15.75" thickBot="1" x14ac:dyDescent="0.3">
      <c r="B134" s="265">
        <v>8</v>
      </c>
      <c r="C134" s="324" t="s">
        <v>97</v>
      </c>
      <c r="D134" s="324" t="s">
        <v>71</v>
      </c>
      <c r="E134" s="366"/>
      <c r="F134" s="283"/>
      <c r="G134" s="375"/>
      <c r="H134" s="285"/>
      <c r="I134" s="285"/>
      <c r="J134" s="345"/>
      <c r="K134" s="333"/>
      <c r="L134" s="288"/>
      <c r="M134" s="333"/>
      <c r="N134" s="334"/>
      <c r="O134" s="274"/>
      <c r="P134" s="274"/>
      <c r="Q134" s="274"/>
      <c r="R134" s="315"/>
      <c r="T134" s="291"/>
      <c r="U134" s="292"/>
      <c r="V134" s="292"/>
      <c r="W134" s="293"/>
    </row>
    <row r="135" spans="2:43" ht="15" customHeight="1" thickBot="1" x14ac:dyDescent="0.3">
      <c r="B135" s="265">
        <v>8</v>
      </c>
      <c r="C135" s="324" t="s">
        <v>97</v>
      </c>
      <c r="D135" s="324" t="s">
        <v>71</v>
      </c>
      <c r="E135" s="366"/>
      <c r="F135" s="283"/>
      <c r="G135" s="375"/>
      <c r="H135" s="285"/>
      <c r="I135" s="285"/>
      <c r="J135" s="269" t="s">
        <v>168</v>
      </c>
      <c r="K135" s="328">
        <f>IFERROR(VLOOKUP($D135,$Y$9:$AC$10,2,FALSE)/IF($D135="Inhalation",IF($J135="Central Tendency",SUMIFS('Inhalation Exposure'!$J$6:$J$47,'Inhalation Exposure'!$B$6:$B$47,$B135,'Inhalation Exposure'!$D$6:$D$47,$C135),SUMIFS('Inhalation Exposure'!$K$6:$K$47,'Inhalation Exposure'!$B$6:$B$47,$B135,'Inhalation Exposure'!$D$6:$D$47,$C135)),IF($J135="Central Tendency",VLOOKUP($B135,'Dermal Exposure'!$A$6:$L$11,9,FALSE),VLOOKUP($B135,'Dermal Exposure'!$A$6:$L$11,4,FALSE))),"--")</f>
        <v>31.854806315647696</v>
      </c>
      <c r="L135" s="272">
        <f>IFERROR(VLOOKUP($D135,$Y$9:$AC$10,3,FALSE)/IF($D135="Inhalation",IF($J135="Central Tendency",SUMIFS('Inhalation Exposure'!$L$6:$L$47,'Inhalation Exposure'!$B$6:$B$47,$B135,'Inhalation Exposure'!$D$6:$D$47,$C135),SUMIFS('Inhalation Exposure'!$M$6:$M$47,'Inhalation Exposure'!$B$6:$B$47,$B135,'Inhalation Exposure'!$D$6:$D$47,$C135)),IF($J135="Central Tendency",VLOOKUP($B135,'Dermal Exposure'!$A$6:$L$11,10,FALSE),VLOOKUP($B135,'Dermal Exposure'!$A$6:$L$11,5,FALSE))),"--")</f>
        <v>68.777422726966634</v>
      </c>
      <c r="M135" s="328">
        <f>IFERROR(VLOOKUP($D135,$Y$9:$AC$10,4,FALSE)/IF($D135="Inhalation",IF($J135="Central Tendency",SUMIFS('Inhalation Exposure'!$N$6:$N$47,'Inhalation Exposure'!$B$6:$B$47,$B135,'Inhalation Exposure'!$D$6:$D$47,$C135),SUMIFS('Inhalation Exposure'!$O$6:$O$47,'Inhalation Exposure'!$B$6:$B$47,$B135,'Inhalation Exposure'!$D$6:$D$47,$C135)),IF($J135="Central Tendency",VLOOKUP($B135,'Dermal Exposure'!$A$6:$L$11,11,FALSE),VLOOKUP($B135,'Dermal Exposure'!$A$6:$L$11,6,FALSE))),"--")</f>
        <v>73.637693933005593</v>
      </c>
      <c r="N135" s="329">
        <f>IFERROR(VLOOKUP($D135,$Y$9:$AC$10,5,FALSE)*IF($D135="Inhalation",IF($J135="Central Tendency",SUMIFS('Inhalation Exposure'!$P$6:$P$47,'Inhalation Exposure'!$B$6:$B$47,$B135,'Inhalation Exposure'!$D$6:$D$47,$C135),SUMIFS('Inhalation Exposure'!$Q$6:$Q$47,'Inhalation Exposure'!$B$6:$B$47,$B135,'Inhalation Exposure'!$D$6:$D$47,$C135)),IF($J135="Central Tendency",VLOOKUP($B135,'Dermal Exposure'!$A$6:$L$11,12,FALSE),VLOOKUP($B135,'Dermal Exposure'!$A$6:$L$11,7,FALSE))),"--")</f>
        <v>2.461718538449962E-3</v>
      </c>
      <c r="O135" s="274"/>
      <c r="P135" s="274"/>
      <c r="Q135" s="274"/>
      <c r="R135" s="315"/>
      <c r="T135" s="291"/>
      <c r="U135" s="292"/>
      <c r="V135" s="292"/>
      <c r="W135" s="293"/>
    </row>
    <row r="136" spans="2:43" ht="15.75" thickBot="1" x14ac:dyDescent="0.3">
      <c r="B136" s="265">
        <v>8</v>
      </c>
      <c r="C136" s="324" t="s">
        <v>97</v>
      </c>
      <c r="D136" s="324" t="s">
        <v>71</v>
      </c>
      <c r="E136" s="366"/>
      <c r="F136" s="283"/>
      <c r="G136" s="375"/>
      <c r="H136" s="346"/>
      <c r="I136" s="346"/>
      <c r="J136" s="346"/>
      <c r="K136" s="333"/>
      <c r="L136" s="288"/>
      <c r="M136" s="333"/>
      <c r="N136" s="334"/>
      <c r="O136" s="274"/>
      <c r="P136" s="274"/>
      <c r="Q136" s="274"/>
      <c r="R136" s="315"/>
      <c r="T136" s="291"/>
      <c r="U136" s="292"/>
      <c r="V136" s="292"/>
      <c r="W136" s="293"/>
    </row>
    <row r="137" spans="2:43" s="2" customFormat="1" ht="16.5" thickTop="1" thickBot="1" x14ac:dyDescent="0.3">
      <c r="B137" s="265" t="s">
        <v>398</v>
      </c>
      <c r="C137" s="324" t="s">
        <v>100</v>
      </c>
      <c r="D137" s="324" t="s">
        <v>166</v>
      </c>
      <c r="E137" s="366"/>
      <c r="F137" s="283"/>
      <c r="G137" s="375"/>
      <c r="H137" s="269" t="s">
        <v>100</v>
      </c>
      <c r="I137" s="285" t="s">
        <v>144</v>
      </c>
      <c r="J137" s="327" t="s">
        <v>98</v>
      </c>
      <c r="K137" s="328">
        <f>IFERROR(VLOOKUP($D137,$Y$9:$AC$10,2,FALSE)/IF($D137="Inhalation",IF($J137="Central Tendency",SUMIFS('Inhalation Exposure'!$J$6:$J$47,'Inhalation Exposure'!$B$6:$B$47,$B137,'Inhalation Exposure'!$D$6:$D$47,$C137),SUMIFS('Inhalation Exposure'!$K$6:$K$47,'Inhalation Exposure'!$B$6:$B$47,$B137,'Inhalation Exposure'!$D$6:$D$47,$C137)),IF($J137="Central Tendency",VLOOKUP($B137,'Dermal Exposure'!$A$6:$L$11,9,FALSE),VLOOKUP($B137,'Dermal Exposure'!$A$6:$L$11,4,FALSE))),"--")</f>
        <v>200415.75568729112</v>
      </c>
      <c r="L137" s="328">
        <f>IFERROR(VLOOKUP($D137,$Y$9:$AC$10,3,FALSE)/IF($D137="Inhalation",IF($J137="Central Tendency",SUMIFS('Inhalation Exposure'!$L$6:$L$47,'Inhalation Exposure'!$B$6:$B$47,$B137,'Inhalation Exposure'!$D$6:$D$47,$C137),SUMIFS('Inhalation Exposure'!$M$6:$M$47,'Inhalation Exposure'!$B$6:$B$47,$B137,'Inhalation Exposure'!$D$6:$D$47,$C137)),IF($J137="Central Tendency",VLOOKUP($B137,'Dermal Exposure'!$A$6:$L$11,10,FALSE),VLOOKUP($B137,'Dermal Exposure'!$A$6:$L$11,5,FALSE))),"--")</f>
        <v>1756.8913647911882</v>
      </c>
      <c r="M137" s="328">
        <f>IFERROR(VLOOKUP($D137,$Y$9:$AC$10,4,FALSE)/IF($D137="Inhalation",IF($J137="Central Tendency",SUMIFS('Inhalation Exposure'!$N$6:$N$47,'Inhalation Exposure'!$B$6:$B$47,$B137,'Inhalation Exposure'!$D$6:$D$47,$C137),SUMIFS('Inhalation Exposure'!$O$6:$O$47,'Inhalation Exposure'!$B$6:$B$47,$B137,'Inhalation Exposure'!$D$6:$D$47,$C137)),IF($J137="Central Tendency",VLOOKUP($B137,'Dermal Exposure'!$A$6:$L$11,11,FALSE),VLOOKUP($B137,'Dermal Exposure'!$A$6:$L$11,6,FALSE))),"--")</f>
        <v>1881.0450212364321</v>
      </c>
      <c r="N137" s="329">
        <f>IFERROR(VLOOKUP($D137,$Y$9:$AC$10,5,FALSE)*IF($D137="Inhalation",IF($J137="Central Tendency",SUMIFS('Inhalation Exposure'!$P$6:$P$47,'Inhalation Exposure'!$B$6:$B$47,$B137,'Inhalation Exposure'!$D$6:$D$47,$C137),SUMIFS('Inhalation Exposure'!$Q$6:$Q$47,'Inhalation Exposure'!$B$6:$B$47,$B137,'Inhalation Exposure'!$D$6:$D$47,$C137)),IF($J137="Central Tendency",VLOOKUP($B137,'Dermal Exposure'!$A$6:$L$11,12,FALSE),VLOOKUP($B137,'Dermal Exposure'!$A$6:$L$11,7,FALSE))),"--")</f>
        <v>1.9506802721088437E-7</v>
      </c>
      <c r="O137" s="373"/>
      <c r="P137" s="373"/>
      <c r="Q137" s="373"/>
      <c r="R137" s="374"/>
      <c r="S137" s="226"/>
      <c r="T137" s="291"/>
      <c r="U137" s="292"/>
      <c r="V137" s="292"/>
      <c r="W137" s="293"/>
      <c r="X137" s="226"/>
      <c r="Y137" s="226"/>
      <c r="Z137" s="226"/>
      <c r="AA137" s="226"/>
      <c r="AB137" s="226"/>
      <c r="AC137" s="226"/>
      <c r="AD137" s="226"/>
      <c r="AE137" s="226"/>
      <c r="AF137" s="226"/>
      <c r="AG137" s="226"/>
      <c r="AH137" s="226"/>
      <c r="AI137" s="226"/>
      <c r="AJ137" s="226"/>
      <c r="AK137" s="226"/>
      <c r="AL137" s="226"/>
      <c r="AM137" s="226"/>
      <c r="AN137" s="226"/>
      <c r="AO137" s="226"/>
      <c r="AP137" s="226"/>
      <c r="AQ137" s="226"/>
    </row>
    <row r="138" spans="2:43" s="2" customFormat="1" ht="15.75" thickBot="1" x14ac:dyDescent="0.3">
      <c r="B138" s="265" t="s">
        <v>398</v>
      </c>
      <c r="C138" s="324" t="s">
        <v>100</v>
      </c>
      <c r="D138" s="324" t="s">
        <v>166</v>
      </c>
      <c r="E138" s="366"/>
      <c r="F138" s="283"/>
      <c r="G138" s="375"/>
      <c r="H138" s="285"/>
      <c r="I138" s="285"/>
      <c r="J138" s="363"/>
      <c r="K138" s="333"/>
      <c r="L138" s="333"/>
      <c r="M138" s="333"/>
      <c r="N138" s="334"/>
      <c r="O138" s="373"/>
      <c r="P138" s="373"/>
      <c r="Q138" s="373"/>
      <c r="R138" s="374"/>
      <c r="S138" s="226"/>
      <c r="T138" s="291"/>
      <c r="U138" s="292"/>
      <c r="V138" s="292"/>
      <c r="W138" s="293"/>
      <c r="X138" s="226"/>
      <c r="Y138" s="226"/>
      <c r="Z138" s="226"/>
      <c r="AA138" s="226"/>
      <c r="AB138" s="226"/>
      <c r="AC138" s="226"/>
      <c r="AD138" s="226"/>
      <c r="AE138" s="226"/>
      <c r="AF138" s="226"/>
      <c r="AG138" s="226"/>
      <c r="AH138" s="226"/>
      <c r="AI138" s="226"/>
      <c r="AJ138" s="226"/>
      <c r="AK138" s="226"/>
      <c r="AL138" s="226"/>
      <c r="AM138" s="226"/>
      <c r="AN138" s="226"/>
      <c r="AO138" s="226"/>
      <c r="AP138" s="226"/>
      <c r="AQ138" s="226"/>
    </row>
    <row r="139" spans="2:43" s="2" customFormat="1" ht="15.75" thickBot="1" x14ac:dyDescent="0.3">
      <c r="B139" s="265" t="s">
        <v>398</v>
      </c>
      <c r="C139" s="324" t="s">
        <v>100</v>
      </c>
      <c r="D139" s="324" t="s">
        <v>166</v>
      </c>
      <c r="E139" s="366"/>
      <c r="F139" s="283"/>
      <c r="G139" s="375"/>
      <c r="H139" s="285"/>
      <c r="I139" s="285"/>
      <c r="J139" s="335" t="s">
        <v>168</v>
      </c>
      <c r="K139" s="328">
        <f>IFERROR(VLOOKUP($D139,$Y$9:$AC$10,2,FALSE)/IF($D139="Inhalation",IF($J139="Central Tendency",SUMIFS('Inhalation Exposure'!$J$6:$J$47,'Inhalation Exposure'!$B$6:$B$47,$B139,'Inhalation Exposure'!$D$6:$D$47,$C139),SUMIFS('Inhalation Exposure'!$K$6:$K$47,'Inhalation Exposure'!$B$6:$B$47,$B139,'Inhalation Exposure'!$D$6:$D$47,$C139)),IF($J139="Central Tendency",VLOOKUP($B139,'Dermal Exposure'!$A$6:$L$11,9,FALSE),VLOOKUP($B139,'Dermal Exposure'!$A$6:$L$11,4,FALSE))),"--")</f>
        <v>200415.75568729112</v>
      </c>
      <c r="L139" s="328">
        <f>IFERROR(VLOOKUP($D139,$Y$9:$AC$10,3,FALSE)/IF($D139="Inhalation",IF($J139="Central Tendency",SUMIFS('Inhalation Exposure'!$L$6:$L$47,'Inhalation Exposure'!$B$6:$B$47,$B139,'Inhalation Exposure'!$D$6:$D$47,$C139),SUMIFS('Inhalation Exposure'!$M$6:$M$47,'Inhalation Exposure'!$B$6:$B$47,$B139,'Inhalation Exposure'!$D$6:$D$47,$C139)),IF($J139="Central Tendency",VLOOKUP($B139,'Dermal Exposure'!$A$6:$L$11,10,FALSE),VLOOKUP($B139,'Dermal Exposure'!$A$6:$L$11,5,FALSE))),"--")</f>
        <v>1756.8913647911882</v>
      </c>
      <c r="M139" s="328">
        <f>IFERROR(VLOOKUP($D139,$Y$9:$AC$10,4,FALSE)/IF($D139="Inhalation",IF($J139="Central Tendency",SUMIFS('Inhalation Exposure'!$N$6:$N$47,'Inhalation Exposure'!$B$6:$B$47,$B139,'Inhalation Exposure'!$D$6:$D$47,$C139),SUMIFS('Inhalation Exposure'!$O$6:$O$47,'Inhalation Exposure'!$B$6:$B$47,$B139,'Inhalation Exposure'!$D$6:$D$47,$C139)),IF($J139="Central Tendency",VLOOKUP($B139,'Dermal Exposure'!$A$6:$L$11,11,FALSE),VLOOKUP($B139,'Dermal Exposure'!$A$6:$L$11,6,FALSE))),"--")</f>
        <v>1881.0450212364321</v>
      </c>
      <c r="N139" s="329">
        <f>IFERROR(VLOOKUP($D139,$Y$9:$AC$10,5,FALSE)*IF($D139="Inhalation",IF($J139="Central Tendency",SUMIFS('Inhalation Exposure'!$P$6:$P$47,'Inhalation Exposure'!$B$6:$B$47,$B139,'Inhalation Exposure'!$D$6:$D$47,$C139),SUMIFS('Inhalation Exposure'!$Q$6:$Q$47,'Inhalation Exposure'!$B$6:$B$47,$B139,'Inhalation Exposure'!$D$6:$D$47,$C139)),IF($J139="Central Tendency",VLOOKUP($B139,'Dermal Exposure'!$A$6:$L$11,12,FALSE),VLOOKUP($B139,'Dermal Exposure'!$A$6:$L$11,7,FALSE))),"--")</f>
        <v>2.517006802721089E-7</v>
      </c>
      <c r="O139" s="373"/>
      <c r="P139" s="373"/>
      <c r="Q139" s="373"/>
      <c r="R139" s="374"/>
      <c r="S139" s="226"/>
      <c r="T139" s="291"/>
      <c r="U139" s="292"/>
      <c r="V139" s="292"/>
      <c r="W139" s="293"/>
      <c r="X139" s="226"/>
      <c r="Y139" s="226"/>
      <c r="Z139" s="226"/>
      <c r="AA139" s="226"/>
      <c r="AB139" s="226"/>
      <c r="AC139" s="226"/>
      <c r="AD139" s="226"/>
      <c r="AE139" s="226"/>
      <c r="AF139" s="226"/>
      <c r="AG139" s="226"/>
      <c r="AH139" s="226"/>
      <c r="AI139" s="226"/>
      <c r="AJ139" s="226"/>
      <c r="AK139" s="226"/>
      <c r="AL139" s="226"/>
      <c r="AM139" s="226"/>
      <c r="AN139" s="226"/>
      <c r="AO139" s="226"/>
      <c r="AP139" s="226"/>
      <c r="AQ139" s="226"/>
    </row>
    <row r="140" spans="2:43" s="2" customFormat="1" ht="15.75" thickBot="1" x14ac:dyDescent="0.3">
      <c r="B140" s="265" t="s">
        <v>398</v>
      </c>
      <c r="C140" s="324" t="s">
        <v>100</v>
      </c>
      <c r="D140" s="324" t="s">
        <v>166</v>
      </c>
      <c r="E140" s="371"/>
      <c r="F140" s="344"/>
      <c r="G140" s="376"/>
      <c r="H140" s="345"/>
      <c r="I140" s="345"/>
      <c r="J140" s="360"/>
      <c r="K140" s="333"/>
      <c r="L140" s="333"/>
      <c r="M140" s="333"/>
      <c r="N140" s="334"/>
      <c r="O140" s="373"/>
      <c r="P140" s="373"/>
      <c r="Q140" s="373"/>
      <c r="R140" s="374"/>
      <c r="S140" s="226"/>
      <c r="T140" s="291"/>
      <c r="U140" s="292"/>
      <c r="V140" s="292"/>
      <c r="W140" s="293"/>
      <c r="X140" s="226"/>
      <c r="Y140" s="226"/>
      <c r="Z140" s="226"/>
      <c r="AA140" s="226"/>
      <c r="AB140" s="226"/>
      <c r="AC140" s="226"/>
      <c r="AD140" s="226"/>
      <c r="AE140" s="226"/>
      <c r="AF140" s="226"/>
      <c r="AG140" s="226"/>
      <c r="AH140" s="226"/>
      <c r="AI140" s="226"/>
      <c r="AJ140" s="226"/>
      <c r="AK140" s="226"/>
      <c r="AL140" s="226"/>
      <c r="AM140" s="226"/>
      <c r="AN140" s="226"/>
      <c r="AO140" s="226"/>
      <c r="AP140" s="226"/>
      <c r="AQ140" s="226"/>
    </row>
    <row r="141" spans="2:43" ht="15" customHeight="1" thickBot="1" x14ac:dyDescent="0.3">
      <c r="B141" s="265" t="s">
        <v>399</v>
      </c>
      <c r="C141" s="324" t="s">
        <v>97</v>
      </c>
      <c r="D141" s="324" t="s">
        <v>166</v>
      </c>
      <c r="E141" s="365" t="s">
        <v>194</v>
      </c>
      <c r="F141" s="267" t="s">
        <v>195</v>
      </c>
      <c r="G141" s="372" t="s">
        <v>441</v>
      </c>
      <c r="H141" s="269" t="s">
        <v>97</v>
      </c>
      <c r="I141" s="269" t="s">
        <v>144</v>
      </c>
      <c r="J141" s="335" t="s">
        <v>98</v>
      </c>
      <c r="K141" s="328">
        <f>IFERROR(VLOOKUP($D141,$Y$9:$AC$10,2,FALSE)/IF($D141="Inhalation",IF($J141="Central Tendency",SUMIFS('Inhalation Exposure'!$J$6:$J$47,'Inhalation Exposure'!$B$6:$B$47,$B141,'Inhalation Exposure'!$D$6:$D$47,$C141),SUMIFS('Inhalation Exposure'!$K$6:$K$47,'Inhalation Exposure'!$B$6:$B$47,$B141,'Inhalation Exposure'!$D$6:$D$47,$C141)),IF($J141="Central Tendency",VLOOKUP($B141,'Dermal Exposure'!$A$6:$L$11,9,FALSE),VLOOKUP($B141,'Dermal Exposure'!$A$6:$L$11,4,FALSE))),"--")</f>
        <v>325.16129032258061</v>
      </c>
      <c r="L141" s="328">
        <f>IFERROR(VLOOKUP($D141,$Y$9:$AC$10,3,FALSE)/IF($D141="Inhalation",IF($J141="Central Tendency",SUMIFS('Inhalation Exposure'!$L$6:$L$47,'Inhalation Exposure'!$B$6:$B$47,$B141,'Inhalation Exposure'!$D$6:$D$47,$C141),SUMIFS('Inhalation Exposure'!$M$6:$M$47,'Inhalation Exposure'!$B$6:$B$47,$B141,'Inhalation Exposure'!$D$6:$D$47,$C141)),IF($J141="Central Tendency",VLOOKUP($B141,'Dermal Exposure'!$A$6:$L$11,10,FALSE),VLOOKUP($B141,'Dermal Exposure'!$A$6:$L$11,5,FALSE))),"--")</f>
        <v>2.8504398826979465</v>
      </c>
      <c r="M141" s="328">
        <f>IFERROR(VLOOKUP($D141,$Y$9:$AC$10,4,FALSE)/IF($D141="Inhalation",IF($J141="Central Tendency",SUMIFS('Inhalation Exposure'!$N$6:$N$47,'Inhalation Exposure'!$B$6:$B$47,$B141,'Inhalation Exposure'!$D$6:$D$47,$C141),SUMIFS('Inhalation Exposure'!$O$6:$O$47,'Inhalation Exposure'!$B$6:$B$47,$B141,'Inhalation Exposure'!$D$6:$D$47,$C141)),IF($J141="Central Tendency",VLOOKUP($B141,'Dermal Exposure'!$A$6:$L$11,11,FALSE),VLOOKUP($B141,'Dermal Exposure'!$A$6:$L$11,6,FALSE))),"--")</f>
        <v>3.0518709677419351</v>
      </c>
      <c r="N141" s="329">
        <f>IFERROR(VLOOKUP($D141,$Y$9:$AC$10,5,FALSE)*IF($D141="Inhalation",IF($J141="Central Tendency",SUMIFS('Inhalation Exposure'!$P$6:$P$47,'Inhalation Exposure'!$B$6:$B$47,$B141,'Inhalation Exposure'!$D$6:$D$47,$C141),SUMIFS('Inhalation Exposure'!$Q$6:$Q$47,'Inhalation Exposure'!$B$6:$B$47,$B141,'Inhalation Exposure'!$D$6:$D$47,$C141)),IF($J141="Central Tendency",VLOOKUP($B141,'Dermal Exposure'!$A$6:$L$11,12,FALSE),VLOOKUP($B141,'Dermal Exposure'!$A$6:$L$11,7,FALSE))),"--")</f>
        <v>1.2023173498024329E-4</v>
      </c>
      <c r="O141" s="310"/>
      <c r="P141" s="310"/>
      <c r="Q141" s="310"/>
      <c r="R141" s="310"/>
      <c r="T141" s="291"/>
      <c r="U141" s="292"/>
      <c r="V141" s="292"/>
      <c r="W141" s="293"/>
    </row>
    <row r="142" spans="2:43" ht="15.75" thickBot="1" x14ac:dyDescent="0.3">
      <c r="B142" s="265" t="s">
        <v>399</v>
      </c>
      <c r="C142" s="324" t="s">
        <v>97</v>
      </c>
      <c r="D142" s="324" t="s">
        <v>166</v>
      </c>
      <c r="E142" s="366"/>
      <c r="F142" s="283"/>
      <c r="G142" s="375"/>
      <c r="H142" s="285"/>
      <c r="I142" s="285"/>
      <c r="J142" s="363"/>
      <c r="K142" s="333"/>
      <c r="L142" s="333"/>
      <c r="M142" s="333"/>
      <c r="N142" s="334"/>
      <c r="O142" s="310"/>
      <c r="P142" s="310"/>
      <c r="Q142" s="310"/>
      <c r="R142" s="310"/>
      <c r="T142" s="291"/>
      <c r="U142" s="292"/>
      <c r="V142" s="292"/>
      <c r="W142" s="293"/>
    </row>
    <row r="143" spans="2:43" ht="15.75" thickBot="1" x14ac:dyDescent="0.3">
      <c r="B143" s="265" t="s">
        <v>399</v>
      </c>
      <c r="C143" s="324" t="s">
        <v>97</v>
      </c>
      <c r="D143" s="324" t="s">
        <v>166</v>
      </c>
      <c r="E143" s="366"/>
      <c r="F143" s="283"/>
      <c r="G143" s="375"/>
      <c r="H143" s="285"/>
      <c r="I143" s="285"/>
      <c r="J143" s="269" t="s">
        <v>168</v>
      </c>
      <c r="K143" s="328">
        <f>IFERROR(VLOOKUP($D143,$Y$9:$AC$10,2,FALSE)/IF($D143="Inhalation",IF($J143="Central Tendency",SUMIFS('Inhalation Exposure'!$J$6:$J$47,'Inhalation Exposure'!$B$6:$B$47,$B143,'Inhalation Exposure'!$D$6:$D$47,$C143),SUMIFS('Inhalation Exposure'!$K$6:$K$47,'Inhalation Exposure'!$B$6:$B$47,$B143,'Inhalation Exposure'!$D$6:$D$47,$C143)),IF($J143="Central Tendency",VLOOKUP($B143,'Dermal Exposure'!$A$6:$L$11,9,FALSE),VLOOKUP($B143,'Dermal Exposure'!$A$6:$L$11,4,FALSE))),"--")</f>
        <v>44.258064516129039</v>
      </c>
      <c r="L143" s="328">
        <f>IFERROR(VLOOKUP($D143,$Y$9:$AC$10,3,FALSE)/IF($D143="Inhalation",IF($J143="Central Tendency",SUMIFS('Inhalation Exposure'!$L$6:$L$47,'Inhalation Exposure'!$B$6:$B$47,$B143,'Inhalation Exposure'!$D$6:$D$47,$C143),SUMIFS('Inhalation Exposure'!$M$6:$M$47,'Inhalation Exposure'!$B$6:$B$47,$B143,'Inhalation Exposure'!$D$6:$D$47,$C143)),IF($J143="Central Tendency",VLOOKUP($B143,'Dermal Exposure'!$A$6:$L$11,10,FALSE),VLOOKUP($B143,'Dermal Exposure'!$A$6:$L$11,5,FALSE))),"--")</f>
        <v>0.38797653958944289</v>
      </c>
      <c r="M143" s="328">
        <f>IFERROR(VLOOKUP($D143,$Y$9:$AC$10,4,FALSE)/IF($D143="Inhalation",IF($J143="Central Tendency",SUMIFS('Inhalation Exposure'!$N$6:$N$47,'Inhalation Exposure'!$B$6:$B$47,$B143,'Inhalation Exposure'!$D$6:$D$47,$C143),SUMIFS('Inhalation Exposure'!$O$6:$O$47,'Inhalation Exposure'!$B$6:$B$47,$B143,'Inhalation Exposure'!$D$6:$D$47,$C143)),IF($J143="Central Tendency",VLOOKUP($B143,'Dermal Exposure'!$A$6:$L$11,11,FALSE),VLOOKUP($B143,'Dermal Exposure'!$A$6:$L$11,6,FALSE))),"--")</f>
        <v>0.4153935483870968</v>
      </c>
      <c r="N143" s="329">
        <f>IFERROR(VLOOKUP($D143,$Y$9:$AC$10,5,FALSE)*IF($D143="Inhalation",IF($J143="Central Tendency",SUMIFS('Inhalation Exposure'!$P$6:$P$47,'Inhalation Exposure'!$B$6:$B$47,$B143,'Inhalation Exposure'!$D$6:$D$47,$C143),SUMIFS('Inhalation Exposure'!$Q$6:$Q$47,'Inhalation Exposure'!$B$6:$B$47,$B143,'Inhalation Exposure'!$D$6:$D$47,$C143)),IF($J143="Central Tendency",VLOOKUP($B143,'Dermal Exposure'!$A$6:$L$11,12,FALSE),VLOOKUP($B143,'Dermal Exposure'!$A$6:$L$11,7,FALSE))),"--")</f>
        <v>1.1397873493847945E-3</v>
      </c>
      <c r="O143" s="310"/>
      <c r="P143" s="310"/>
      <c r="Q143" s="310"/>
      <c r="R143" s="310"/>
      <c r="T143" s="291"/>
      <c r="U143" s="292"/>
      <c r="V143" s="292"/>
      <c r="W143" s="293"/>
    </row>
    <row r="144" spans="2:43" ht="15.75" thickBot="1" x14ac:dyDescent="0.3">
      <c r="B144" s="265" t="s">
        <v>399</v>
      </c>
      <c r="C144" s="324" t="s">
        <v>97</v>
      </c>
      <c r="D144" s="324" t="s">
        <v>166</v>
      </c>
      <c r="E144" s="366"/>
      <c r="F144" s="283"/>
      <c r="G144" s="375"/>
      <c r="H144" s="285"/>
      <c r="I144" s="346"/>
      <c r="J144" s="346"/>
      <c r="K144" s="333"/>
      <c r="L144" s="333"/>
      <c r="M144" s="333"/>
      <c r="N144" s="334"/>
      <c r="O144" s="310"/>
      <c r="P144" s="310"/>
      <c r="Q144" s="310"/>
      <c r="R144" s="310"/>
      <c r="T144" s="291"/>
      <c r="U144" s="292"/>
      <c r="V144" s="292"/>
      <c r="W144" s="293"/>
    </row>
    <row r="145" spans="2:23" ht="16.5" thickTop="1" thickBot="1" x14ac:dyDescent="0.3">
      <c r="B145" s="265">
        <v>8</v>
      </c>
      <c r="C145" s="324" t="s">
        <v>97</v>
      </c>
      <c r="D145" s="324" t="s">
        <v>71</v>
      </c>
      <c r="E145" s="366"/>
      <c r="F145" s="283"/>
      <c r="G145" s="375"/>
      <c r="H145" s="285"/>
      <c r="I145" s="326" t="s">
        <v>71</v>
      </c>
      <c r="J145" s="285" t="s">
        <v>98</v>
      </c>
      <c r="K145" s="328">
        <f>IFERROR(VLOOKUP($D145,$Y$9:$AC$10,2,FALSE)/IF($D145="Inhalation",IF($J145="Central Tendency",SUMIFS('Inhalation Exposure'!$J$6:$J$47,'Inhalation Exposure'!$B$6:$B$47,$B145,'Inhalation Exposure'!$D$6:$D$47,$C145),SUMIFS('Inhalation Exposure'!$K$6:$K$47,'Inhalation Exposure'!$B$6:$B$47,$B145,'Inhalation Exposure'!$D$6:$D$47,$C145)),IF($J145="Central Tendency",VLOOKUP($B145,'Dermal Exposure'!$A$6:$L$11,9,FALSE),VLOOKUP($B145,'Dermal Exposure'!$A$6:$L$11,4,FALSE))),"--")</f>
        <v>143.6421176569732</v>
      </c>
      <c r="L145" s="328">
        <f>IFERROR(VLOOKUP($D145,$Y$9:$AC$10,3,FALSE)/IF($D145="Inhalation",IF($J145="Central Tendency",SUMIFS('Inhalation Exposure'!$L$6:$L$47,'Inhalation Exposure'!$B$6:$B$47,$B145,'Inhalation Exposure'!$D$6:$D$47,$C145),SUMIFS('Inhalation Exposure'!$M$6:$M$47,'Inhalation Exposure'!$B$6:$B$47,$B145,'Inhalation Exposure'!$D$6:$D$47,$C145)),IF($J145="Central Tendency",VLOOKUP($B145,'Dermal Exposure'!$A$6:$L$11,10,FALSE),VLOOKUP($B145,'Dermal Exposure'!$A$6:$L$11,5,FALSE))),"--")</f>
        <v>310.13639039573758</v>
      </c>
      <c r="M145" s="328">
        <f>IFERROR(VLOOKUP($D145,$Y$9:$AC$10,4,FALSE)/IF($D145="Inhalation",IF($J145="Central Tendency",SUMIFS('Inhalation Exposure'!$N$6:$N$47,'Inhalation Exposure'!$B$6:$B$47,$B145,'Inhalation Exposure'!$D$6:$D$47,$C145),SUMIFS('Inhalation Exposure'!$O$6:$O$47,'Inhalation Exposure'!$B$6:$B$47,$B145,'Inhalation Exposure'!$D$6:$D$47,$C145)),IF($J145="Central Tendency",VLOOKUP($B145,'Dermal Exposure'!$A$6:$L$11,11,FALSE),VLOOKUP($B145,'Dermal Exposure'!$A$6:$L$11,6,FALSE))),"--")</f>
        <v>332.05269531703635</v>
      </c>
      <c r="N145" s="329">
        <f>IFERROR(VLOOKUP($D145,$Y$9:$AC$10,5,FALSE)*IF($D145="Inhalation",IF($J145="Central Tendency",SUMIFS('Inhalation Exposure'!$P$6:$P$47,'Inhalation Exposure'!$B$6:$B$47,$B145,'Inhalation Exposure'!$D$6:$D$47,$C145),SUMIFS('Inhalation Exposure'!$Q$6:$Q$47,'Inhalation Exposure'!$B$6:$B$47,$B145,'Inhalation Exposure'!$D$6:$D$47,$C145)),IF($J145="Central Tendency",VLOOKUP($B145,'Dermal Exposure'!$A$6:$L$11,12,FALSE),VLOOKUP($B145,'Dermal Exposure'!$A$6:$L$11,7,FALSE))),"--")</f>
        <v>5.0377826589935806E-4</v>
      </c>
      <c r="O145" s="310"/>
      <c r="P145" s="310"/>
      <c r="Q145" s="310"/>
      <c r="R145" s="310"/>
      <c r="T145" s="291"/>
      <c r="U145" s="292"/>
      <c r="V145" s="292"/>
      <c r="W145" s="293"/>
    </row>
    <row r="146" spans="2:23" ht="15.75" thickBot="1" x14ac:dyDescent="0.3">
      <c r="B146" s="265">
        <v>8</v>
      </c>
      <c r="C146" s="324" t="s">
        <v>97</v>
      </c>
      <c r="D146" s="324" t="s">
        <v>71</v>
      </c>
      <c r="E146" s="366"/>
      <c r="F146" s="283"/>
      <c r="G146" s="375"/>
      <c r="H146" s="285"/>
      <c r="I146" s="285"/>
      <c r="J146" s="345"/>
      <c r="K146" s="333"/>
      <c r="L146" s="333"/>
      <c r="M146" s="333"/>
      <c r="N146" s="334"/>
      <c r="O146" s="310"/>
      <c r="P146" s="310"/>
      <c r="Q146" s="310"/>
      <c r="R146" s="310"/>
      <c r="T146" s="291"/>
      <c r="U146" s="292"/>
      <c r="V146" s="292"/>
      <c r="W146" s="293"/>
    </row>
    <row r="147" spans="2:23" ht="15.75" thickBot="1" x14ac:dyDescent="0.3">
      <c r="B147" s="265">
        <v>8</v>
      </c>
      <c r="C147" s="324" t="s">
        <v>97</v>
      </c>
      <c r="D147" s="324" t="s">
        <v>71</v>
      </c>
      <c r="E147" s="366"/>
      <c r="F147" s="283"/>
      <c r="G147" s="375"/>
      <c r="H147" s="285"/>
      <c r="I147" s="285"/>
      <c r="J147" s="269" t="s">
        <v>168</v>
      </c>
      <c r="K147" s="328">
        <f>IFERROR(VLOOKUP($D147,$Y$9:$AC$10,2,FALSE)/IF($D147="Inhalation",IF($J147="Central Tendency",SUMIFS('Inhalation Exposure'!$J$6:$J$47,'Inhalation Exposure'!$B$6:$B$47,$B147,'Inhalation Exposure'!$D$6:$D$47,$C147),SUMIFS('Inhalation Exposure'!$K$6:$K$47,'Inhalation Exposure'!$B$6:$B$47,$B147,'Inhalation Exposure'!$D$6:$D$47,$C147)),IF($J147="Central Tendency",VLOOKUP($B147,'Dermal Exposure'!$A$6:$L$11,9,FALSE),VLOOKUP($B147,'Dermal Exposure'!$A$6:$L$11,4,FALSE))),"--")</f>
        <v>31.854806315647696</v>
      </c>
      <c r="L147" s="328">
        <f>IFERROR(VLOOKUP($D147,$Y$9:$AC$10,3,FALSE)/IF($D147="Inhalation",IF($J147="Central Tendency",SUMIFS('Inhalation Exposure'!$L$6:$L$47,'Inhalation Exposure'!$B$6:$B$47,$B147,'Inhalation Exposure'!$D$6:$D$47,$C147),SUMIFS('Inhalation Exposure'!$M$6:$M$47,'Inhalation Exposure'!$B$6:$B$47,$B147,'Inhalation Exposure'!$D$6:$D$47,$C147)),IF($J147="Central Tendency",VLOOKUP($B147,'Dermal Exposure'!$A$6:$L$11,10,FALSE),VLOOKUP($B147,'Dermal Exposure'!$A$6:$L$11,5,FALSE))),"--")</f>
        <v>68.777422726966634</v>
      </c>
      <c r="M147" s="328">
        <f>IFERROR(VLOOKUP($D147,$Y$9:$AC$10,4,FALSE)/IF($D147="Inhalation",IF($J147="Central Tendency",SUMIFS('Inhalation Exposure'!$N$6:$N$47,'Inhalation Exposure'!$B$6:$B$47,$B147,'Inhalation Exposure'!$D$6:$D$47,$C147),SUMIFS('Inhalation Exposure'!$O$6:$O$47,'Inhalation Exposure'!$B$6:$B$47,$B147,'Inhalation Exposure'!$D$6:$D$47,$C147)),IF($J147="Central Tendency",VLOOKUP($B147,'Dermal Exposure'!$A$6:$L$11,11,FALSE),VLOOKUP($B147,'Dermal Exposure'!$A$6:$L$11,6,FALSE))),"--")</f>
        <v>73.637693933005593</v>
      </c>
      <c r="N147" s="329">
        <f>IFERROR(VLOOKUP($D147,$Y$9:$AC$10,5,FALSE)*IF($D147="Inhalation",IF($J147="Central Tendency",SUMIFS('Inhalation Exposure'!$P$6:$P$47,'Inhalation Exposure'!$B$6:$B$47,$B147,'Inhalation Exposure'!$D$6:$D$47,$C147),SUMIFS('Inhalation Exposure'!$Q$6:$Q$47,'Inhalation Exposure'!$B$6:$B$47,$B147,'Inhalation Exposure'!$D$6:$D$47,$C147)),IF($J147="Central Tendency",VLOOKUP($B147,'Dermal Exposure'!$A$6:$L$11,12,FALSE),VLOOKUP($B147,'Dermal Exposure'!$A$6:$L$11,7,FALSE))),"--")</f>
        <v>2.461718538449962E-3</v>
      </c>
      <c r="O147" s="310"/>
      <c r="P147" s="310"/>
      <c r="Q147" s="310"/>
      <c r="R147" s="310"/>
      <c r="T147" s="291"/>
      <c r="U147" s="292"/>
      <c r="V147" s="292"/>
      <c r="W147" s="293"/>
    </row>
    <row r="148" spans="2:23" ht="15.75" thickBot="1" x14ac:dyDescent="0.3">
      <c r="B148" s="265">
        <v>8</v>
      </c>
      <c r="C148" s="324" t="s">
        <v>97</v>
      </c>
      <c r="D148" s="324" t="s">
        <v>71</v>
      </c>
      <c r="E148" s="366"/>
      <c r="F148" s="283"/>
      <c r="G148" s="375"/>
      <c r="H148" s="346"/>
      <c r="I148" s="346"/>
      <c r="J148" s="346"/>
      <c r="K148" s="333"/>
      <c r="L148" s="333"/>
      <c r="M148" s="333"/>
      <c r="N148" s="334"/>
      <c r="O148" s="310"/>
      <c r="P148" s="310"/>
      <c r="Q148" s="310"/>
      <c r="R148" s="310"/>
      <c r="T148" s="291"/>
      <c r="U148" s="292"/>
      <c r="V148" s="292"/>
      <c r="W148" s="293"/>
    </row>
    <row r="149" spans="2:23" ht="16.5" thickTop="1" thickBot="1" x14ac:dyDescent="0.3">
      <c r="B149" s="265" t="s">
        <v>399</v>
      </c>
      <c r="C149" s="324" t="s">
        <v>100</v>
      </c>
      <c r="D149" s="324" t="s">
        <v>166</v>
      </c>
      <c r="E149" s="366"/>
      <c r="F149" s="283"/>
      <c r="G149" s="375"/>
      <c r="H149" s="269" t="s">
        <v>100</v>
      </c>
      <c r="I149" s="285" t="s">
        <v>144</v>
      </c>
      <c r="J149" s="327" t="s">
        <v>98</v>
      </c>
      <c r="K149" s="328">
        <f>IFERROR(VLOOKUP($D149,$Y$9:$AC$10,2,FALSE)/IF($D149="Inhalation",IF($J149="Central Tendency",SUMIFS('Inhalation Exposure'!$J$6:$J$47,'Inhalation Exposure'!$B$6:$B$47,$B149,'Inhalation Exposure'!$D$6:$D$47,$C149),SUMIFS('Inhalation Exposure'!$K$6:$K$47,'Inhalation Exposure'!$B$6:$B$47,$B149,'Inhalation Exposure'!$D$6:$D$47,$C149)),IF($J149="Central Tendency",VLOOKUP($B149,'Dermal Exposure'!$A$6:$L$11,9,FALSE),VLOOKUP($B149,'Dermal Exposure'!$A$6:$L$11,4,FALSE))),"--")</f>
        <v>127381.04448742748</v>
      </c>
      <c r="L149" s="328">
        <f>IFERROR(VLOOKUP($D149,$Y$9:$AC$10,3,FALSE)/IF($D149="Inhalation",IF($J149="Central Tendency",SUMIFS('Inhalation Exposure'!$L$6:$L$47,'Inhalation Exposure'!$B$6:$B$47,$B149,'Inhalation Exposure'!$D$6:$D$47,$C149),SUMIFS('Inhalation Exposure'!$M$6:$M$47,'Inhalation Exposure'!$B$6:$B$47,$B149,'Inhalation Exposure'!$D$6:$D$47,$C149)),IF($J149="Central Tendency",VLOOKUP($B149,'Dermal Exposure'!$A$6:$L$11,10,FALSE),VLOOKUP($B149,'Dermal Exposure'!$A$6:$L$11,5,FALSE))),"--")</f>
        <v>1116.6520133638121</v>
      </c>
      <c r="M149" s="328">
        <f>IFERROR(VLOOKUP($D149,$Y$9:$AC$10,4,FALSE)/IF($D149="Inhalation",IF($J149="Central Tendency",SUMIFS('Inhalation Exposure'!$N$6:$N$47,'Inhalation Exposure'!$B$6:$B$47,$B149,'Inhalation Exposure'!$D$6:$D$47,$C149),SUMIFS('Inhalation Exposure'!$O$6:$O$47,'Inhalation Exposure'!$B$6:$B$47,$B149,'Inhalation Exposure'!$D$6:$D$47,$C149)),IF($J149="Central Tendency",VLOOKUP($B149,'Dermal Exposure'!$A$6:$L$11,11,FALSE),VLOOKUP($B149,'Dermal Exposure'!$A$6:$L$11,6,FALSE))),"--")</f>
        <v>1195.5620889748548</v>
      </c>
      <c r="N149" s="329">
        <f>IFERROR(VLOOKUP($D149,$Y$9:$AC$10,5,FALSE)*IF($D149="Inhalation",IF($J149="Central Tendency",SUMIFS('Inhalation Exposure'!$P$6:$P$47,'Inhalation Exposure'!$B$6:$B$47,$B149,'Inhalation Exposure'!$D$6:$D$47,$C149),SUMIFS('Inhalation Exposure'!$Q$6:$Q$47,'Inhalation Exposure'!$B$6:$B$47,$B149,'Inhalation Exposure'!$D$6:$D$47,$C149)),IF($J149="Central Tendency",VLOOKUP($B149,'Dermal Exposure'!$A$6:$L$11,12,FALSE),VLOOKUP($B149,'Dermal Exposure'!$A$6:$L$11,7,FALSE))),"--")</f>
        <v>3.0691148939163488E-7</v>
      </c>
      <c r="O149" s="310"/>
      <c r="P149" s="310"/>
      <c r="Q149" s="310"/>
      <c r="R149" s="310"/>
      <c r="T149" s="291"/>
      <c r="U149" s="292"/>
      <c r="V149" s="292"/>
      <c r="W149" s="293"/>
    </row>
    <row r="150" spans="2:23" ht="15.75" thickBot="1" x14ac:dyDescent="0.3">
      <c r="B150" s="265" t="s">
        <v>399</v>
      </c>
      <c r="C150" s="324" t="s">
        <v>100</v>
      </c>
      <c r="D150" s="324" t="s">
        <v>166</v>
      </c>
      <c r="E150" s="366"/>
      <c r="F150" s="283"/>
      <c r="G150" s="375"/>
      <c r="H150" s="285"/>
      <c r="I150" s="285"/>
      <c r="J150" s="363"/>
      <c r="K150" s="333"/>
      <c r="L150" s="333"/>
      <c r="M150" s="333"/>
      <c r="N150" s="334"/>
      <c r="O150" s="310"/>
      <c r="P150" s="310"/>
      <c r="Q150" s="310"/>
      <c r="R150" s="310"/>
      <c r="T150" s="291"/>
      <c r="U150" s="292"/>
      <c r="V150" s="292"/>
      <c r="W150" s="293"/>
    </row>
    <row r="151" spans="2:23" ht="15.75" thickBot="1" x14ac:dyDescent="0.3">
      <c r="B151" s="265" t="s">
        <v>399</v>
      </c>
      <c r="C151" s="324" t="s">
        <v>100</v>
      </c>
      <c r="D151" s="324" t="s">
        <v>166</v>
      </c>
      <c r="E151" s="366"/>
      <c r="F151" s="283"/>
      <c r="G151" s="375"/>
      <c r="H151" s="285"/>
      <c r="I151" s="285"/>
      <c r="J151" s="335" t="s">
        <v>168</v>
      </c>
      <c r="K151" s="328">
        <f>IFERROR(VLOOKUP($D151,$Y$9:$AC$10,2,FALSE)/IF($D151="Inhalation",IF($J151="Central Tendency",SUMIFS('Inhalation Exposure'!$J$6:$J$47,'Inhalation Exposure'!$B$6:$B$47,$B151,'Inhalation Exposure'!$D$6:$D$47,$C151),SUMIFS('Inhalation Exposure'!$K$6:$K$47,'Inhalation Exposure'!$B$6:$B$47,$B151,'Inhalation Exposure'!$D$6:$D$47,$C151)),IF($J151="Central Tendency",VLOOKUP($B151,'Dermal Exposure'!$A$6:$L$11,9,FALSE),VLOOKUP($B151,'Dermal Exposure'!$A$6:$L$11,4,FALSE))),"--")</f>
        <v>2283.4071734021654</v>
      </c>
      <c r="L151" s="367">
        <f>IFERROR(VLOOKUP($D151,$Y$9:$AC$10,3,FALSE)/IF($D151="Inhalation",IF($J151="Central Tendency",SUMIFS('Inhalation Exposure'!$L$6:$L$47,'Inhalation Exposure'!$B$6:$B$47,$B151,'Inhalation Exposure'!$D$6:$D$47,$C151),SUMIFS('Inhalation Exposure'!$M$6:$M$47,'Inhalation Exposure'!$B$6:$B$47,$B151,'Inhalation Exposure'!$D$6:$D$47,$C151)),IF($J151="Central Tendency",VLOOKUP($B151,'Dermal Exposure'!$A$6:$L$11,10,FALSE),VLOOKUP($B151,'Dermal Exposure'!$A$6:$L$11,5,FALSE))),"--")</f>
        <v>20.01688106553846</v>
      </c>
      <c r="M151" s="328">
        <f>IFERROR(VLOOKUP($D151,$Y$9:$AC$10,4,FALSE)/IF($D151="Inhalation",IF($J151="Central Tendency",SUMIFS('Inhalation Exposure'!$N$6:$N$47,'Inhalation Exposure'!$B$6:$B$47,$B151,'Inhalation Exposure'!$D$6:$D$47,$C151),SUMIFS('Inhalation Exposure'!$O$6:$O$47,'Inhalation Exposure'!$B$6:$B$47,$B151,'Inhalation Exposure'!$D$6:$D$47,$C151)),IF($J151="Central Tendency",VLOOKUP($B151,'Dermal Exposure'!$A$6:$L$11,11,FALSE),VLOOKUP($B151,'Dermal Exposure'!$A$6:$L$11,6,FALSE))),"--")</f>
        <v>21.43140732750318</v>
      </c>
      <c r="N151" s="329">
        <f>IFERROR(VLOOKUP($D151,$Y$9:$AC$10,5,FALSE)*IF($D151="Inhalation",IF($J151="Central Tendency",SUMIFS('Inhalation Exposure'!$P$6:$P$47,'Inhalation Exposure'!$B$6:$B$47,$B151,'Inhalation Exposure'!$D$6:$D$47,$C151),SUMIFS('Inhalation Exposure'!$Q$6:$Q$47,'Inhalation Exposure'!$B$6:$B$47,$B151,'Inhalation Exposure'!$D$6:$D$47,$C151)),IF($J151="Central Tendency",VLOOKUP($B151,'Dermal Exposure'!$A$6:$L$11,12,FALSE),VLOOKUP($B151,'Dermal Exposure'!$A$6:$L$11,7,FALSE))),"--")</f>
        <v>2.2091890851240374E-5</v>
      </c>
      <c r="O151" s="310"/>
      <c r="P151" s="310"/>
      <c r="Q151" s="310"/>
      <c r="R151" s="310"/>
      <c r="T151" s="291"/>
      <c r="U151" s="292"/>
      <c r="V151" s="292"/>
      <c r="W151" s="293"/>
    </row>
    <row r="152" spans="2:23" ht="15.75" thickBot="1" x14ac:dyDescent="0.3">
      <c r="B152" s="265" t="s">
        <v>399</v>
      </c>
      <c r="C152" s="324" t="s">
        <v>100</v>
      </c>
      <c r="D152" s="324" t="s">
        <v>166</v>
      </c>
      <c r="E152" s="371"/>
      <c r="F152" s="344"/>
      <c r="G152" s="376"/>
      <c r="H152" s="345"/>
      <c r="I152" s="345"/>
      <c r="J152" s="360"/>
      <c r="K152" s="333"/>
      <c r="L152" s="369"/>
      <c r="M152" s="333"/>
      <c r="N152" s="334"/>
      <c r="O152" s="310"/>
      <c r="P152" s="310"/>
      <c r="Q152" s="310"/>
      <c r="R152" s="310"/>
      <c r="T152" s="291"/>
      <c r="U152" s="292"/>
      <c r="V152" s="292"/>
      <c r="W152" s="293"/>
    </row>
    <row r="153" spans="2:23" ht="15.75" thickBot="1" x14ac:dyDescent="0.3">
      <c r="B153" s="265" t="s">
        <v>400</v>
      </c>
      <c r="C153" s="324" t="s">
        <v>97</v>
      </c>
      <c r="D153" s="324" t="s">
        <v>166</v>
      </c>
      <c r="E153" s="365" t="s">
        <v>194</v>
      </c>
      <c r="F153" s="267" t="s">
        <v>195</v>
      </c>
      <c r="G153" s="372" t="s">
        <v>442</v>
      </c>
      <c r="H153" s="269" t="s">
        <v>97</v>
      </c>
      <c r="I153" s="269" t="s">
        <v>144</v>
      </c>
      <c r="J153" s="335" t="s">
        <v>98</v>
      </c>
      <c r="K153" s="328">
        <f>IFERROR(VLOOKUP($D153,$Y$9:$AC$10,2,FALSE)/IF($D153="Inhalation",IF($J153="Central Tendency",SUMIFS('Inhalation Exposure'!$J$6:$J$47,'Inhalation Exposure'!$B$6:$B$47,$B153,'Inhalation Exposure'!$D$6:$D$47,$C153),SUMIFS('Inhalation Exposure'!$K$6:$K$47,'Inhalation Exposure'!$B$6:$B$47,$B153,'Inhalation Exposure'!$D$6:$D$47,$C153)),IF($J153="Central Tendency",VLOOKUP($B153,'Dermal Exposure'!$A$6:$L$11,9,FALSE),VLOOKUP($B153,'Dermal Exposure'!$A$6:$L$11,4,FALSE))),"--")</f>
        <v>286.22672944585298</v>
      </c>
      <c r="L153" s="328">
        <f>IFERROR(VLOOKUP($D153,$Y$9:$AC$10,3,FALSE)/IF($D153="Inhalation",IF($J153="Central Tendency",SUMIFS('Inhalation Exposure'!$L$6:$L$47,'Inhalation Exposure'!$B$6:$B$47,$B153,'Inhalation Exposure'!$D$6:$D$47,$C153),SUMIFS('Inhalation Exposure'!$M$6:$M$47,'Inhalation Exposure'!$B$6:$B$47,$B153,'Inhalation Exposure'!$D$6:$D$47,$C153)),IF($J153="Central Tendency",VLOOKUP($B153,'Dermal Exposure'!$A$6:$L$11,10,FALSE),VLOOKUP($B153,'Dermal Exposure'!$A$6:$L$11,5,FALSE))),"--")</f>
        <v>2.5091304204668927</v>
      </c>
      <c r="M153" s="328">
        <f>IFERROR(VLOOKUP($D153,$Y$9:$AC$10,4,FALSE)/IF($D153="Inhalation",IF($J153="Central Tendency",SUMIFS('Inhalation Exposure'!$N$6:$N$47,'Inhalation Exposure'!$B$6:$B$47,$B153,'Inhalation Exposure'!$D$6:$D$47,$C153),SUMIFS('Inhalation Exposure'!$O$6:$O$47,'Inhalation Exposure'!$B$6:$B$47,$B153,'Inhalation Exposure'!$D$6:$D$47,$C153)),IF($J153="Central Tendency",VLOOKUP($B153,'Dermal Exposure'!$A$6:$L$11,11,FALSE),VLOOKUP($B153,'Dermal Exposure'!$A$6:$L$11,6,FALSE))),"--")</f>
        <v>2.6864423035132199</v>
      </c>
      <c r="N153" s="329">
        <f>IFERROR(VLOOKUP($D153,$Y$9:$AC$10,5,FALSE)*IF($D153="Inhalation",IF($J153="Central Tendency",SUMIFS('Inhalation Exposure'!$P$6:$P$47,'Inhalation Exposure'!$B$6:$B$47,$B153,'Inhalation Exposure'!$D$6:$D$47,$C153),SUMIFS('Inhalation Exposure'!$Q$6:$Q$47,'Inhalation Exposure'!$B$6:$B$47,$B153,'Inhalation Exposure'!$D$6:$D$47,$C153)),IF($J153="Central Tendency",VLOOKUP($B153,'Dermal Exposure'!$A$6:$L$11,12,FALSE),VLOOKUP($B153,'Dermal Exposure'!$A$6:$L$11,7,FALSE))),"--")</f>
        <v>1.3658649616542614E-4</v>
      </c>
      <c r="O153" s="377"/>
      <c r="P153" s="377"/>
      <c r="Q153" s="377"/>
      <c r="R153" s="377"/>
      <c r="T153" s="44"/>
      <c r="U153" s="44"/>
      <c r="V153" s="44"/>
      <c r="W153" s="44"/>
    </row>
    <row r="154" spans="2:23" ht="15.75" thickBot="1" x14ac:dyDescent="0.3">
      <c r="B154" s="265" t="s">
        <v>400</v>
      </c>
      <c r="C154" s="324" t="s">
        <v>97</v>
      </c>
      <c r="D154" s="324" t="s">
        <v>166</v>
      </c>
      <c r="E154" s="366"/>
      <c r="F154" s="283"/>
      <c r="G154" s="375"/>
      <c r="H154" s="285"/>
      <c r="I154" s="285"/>
      <c r="J154" s="363"/>
      <c r="K154" s="333"/>
      <c r="L154" s="333"/>
      <c r="M154" s="333"/>
      <c r="N154" s="334"/>
      <c r="O154" s="377"/>
      <c r="P154" s="377"/>
      <c r="Q154" s="377"/>
      <c r="R154" s="377"/>
      <c r="T154" s="44"/>
      <c r="U154" s="44"/>
      <c r="V154" s="44"/>
      <c r="W154" s="44"/>
    </row>
    <row r="155" spans="2:23" ht="15.75" thickBot="1" x14ac:dyDescent="0.3">
      <c r="B155" s="265" t="s">
        <v>400</v>
      </c>
      <c r="C155" s="324" t="s">
        <v>97</v>
      </c>
      <c r="D155" s="324" t="s">
        <v>166</v>
      </c>
      <c r="E155" s="366"/>
      <c r="F155" s="283"/>
      <c r="G155" s="375"/>
      <c r="H155" s="285"/>
      <c r="I155" s="285"/>
      <c r="J155" s="269" t="s">
        <v>168</v>
      </c>
      <c r="K155" s="328">
        <f>IFERROR(VLOOKUP($D155,$Y$9:$AC$10,2,FALSE)/IF($D155="Inhalation",IF($J155="Central Tendency",SUMIFS('Inhalation Exposure'!$J$6:$J$47,'Inhalation Exposure'!$B$6:$B$47,$B155,'Inhalation Exposure'!$D$6:$D$47,$C155),SUMIFS('Inhalation Exposure'!$K$6:$K$47,'Inhalation Exposure'!$B$6:$B$47,$B155,'Inhalation Exposure'!$D$6:$D$47,$C155)),IF($J155="Central Tendency",VLOOKUP($B155,'Dermal Exposure'!$A$6:$L$11,9,FALSE),VLOOKUP($B155,'Dermal Exposure'!$A$6:$L$11,4,FALSE))),"--")</f>
        <v>141.44329896907217</v>
      </c>
      <c r="L155" s="328">
        <f>IFERROR(VLOOKUP($D155,$Y$9:$AC$10,3,FALSE)/IF($D155="Inhalation",IF($J155="Central Tendency",SUMIFS('Inhalation Exposure'!$L$6:$L$47,'Inhalation Exposure'!$B$6:$B$47,$B155,'Inhalation Exposure'!$D$6:$D$47,$C155),SUMIFS('Inhalation Exposure'!$M$6:$M$47,'Inhalation Exposure'!$B$6:$B$47,$B155,'Inhalation Exposure'!$D$6:$D$47,$C155)),IF($J155="Central Tendency",VLOOKUP($B155,'Dermal Exposure'!$A$6:$L$11,10,FALSE),VLOOKUP($B155,'Dermal Exposure'!$A$6:$L$11,5,FALSE))),"--")</f>
        <v>1.2399250234301782</v>
      </c>
      <c r="M155" s="328">
        <f>IFERROR(VLOOKUP($D155,$Y$9:$AC$10,4,FALSE)/IF($D155="Inhalation",IF($J155="Central Tendency",SUMIFS('Inhalation Exposure'!$N$6:$N$47,'Inhalation Exposure'!$B$6:$B$47,$B155,'Inhalation Exposure'!$D$6:$D$47,$C155),SUMIFS('Inhalation Exposure'!$O$6:$O$47,'Inhalation Exposure'!$B$6:$B$47,$B155,'Inhalation Exposure'!$D$6:$D$47,$C155)),IF($J155="Central Tendency",VLOOKUP($B155,'Dermal Exposure'!$A$6:$L$11,11,FALSE),VLOOKUP($B155,'Dermal Exposure'!$A$6:$L$11,6,FALSE))),"--")</f>
        <v>1.3275463917525776</v>
      </c>
      <c r="N155" s="329">
        <f>IFERROR(VLOOKUP($D155,$Y$9:$AC$10,5,FALSE)*IF($D155="Inhalation",IF($J155="Central Tendency",SUMIFS('Inhalation Exposure'!$P$6:$P$47,'Inhalation Exposure'!$B$6:$B$47,$B155,'Inhalation Exposure'!$D$6:$D$47,$C155),SUMIFS('Inhalation Exposure'!$Q$6:$Q$47,'Inhalation Exposure'!$B$6:$B$47,$B155,'Inhalation Exposure'!$D$6:$D$47,$C155)),IF($J155="Central Tendency",VLOOKUP($B155,'Dermal Exposure'!$A$6:$L$11,12,FALSE),VLOOKUP($B155,'Dermal Exposure'!$A$6:$L$11,7,FALSE))),"--")</f>
        <v>3.5664313835588726E-4</v>
      </c>
      <c r="O155" s="377"/>
      <c r="P155" s="377"/>
      <c r="Q155" s="377"/>
      <c r="R155" s="377"/>
      <c r="T155" s="44"/>
      <c r="U155" s="44"/>
      <c r="V155" s="44"/>
      <c r="W155" s="44"/>
    </row>
    <row r="156" spans="2:23" ht="15.75" thickBot="1" x14ac:dyDescent="0.3">
      <c r="B156" s="265" t="s">
        <v>400</v>
      </c>
      <c r="C156" s="324" t="s">
        <v>97</v>
      </c>
      <c r="D156" s="324" t="s">
        <v>166</v>
      </c>
      <c r="E156" s="366"/>
      <c r="F156" s="283"/>
      <c r="G156" s="375"/>
      <c r="H156" s="285"/>
      <c r="I156" s="346"/>
      <c r="J156" s="346"/>
      <c r="K156" s="333"/>
      <c r="L156" s="333"/>
      <c r="M156" s="333"/>
      <c r="N156" s="334"/>
      <c r="O156" s="377"/>
      <c r="P156" s="377"/>
      <c r="Q156" s="377"/>
      <c r="R156" s="377"/>
      <c r="T156" s="44"/>
      <c r="U156" s="44"/>
      <c r="V156" s="44"/>
      <c r="W156" s="44"/>
    </row>
    <row r="157" spans="2:23" ht="16.5" thickTop="1" thickBot="1" x14ac:dyDescent="0.3">
      <c r="B157" s="265">
        <v>8</v>
      </c>
      <c r="C157" s="324" t="s">
        <v>97</v>
      </c>
      <c r="D157" s="324" t="s">
        <v>71</v>
      </c>
      <c r="E157" s="366"/>
      <c r="F157" s="283"/>
      <c r="G157" s="375"/>
      <c r="H157" s="285"/>
      <c r="I157" s="326" t="s">
        <v>71</v>
      </c>
      <c r="J157" s="285" t="s">
        <v>98</v>
      </c>
      <c r="K157" s="328">
        <f>IFERROR(VLOOKUP($D157,$Y$9:$AC$10,2,FALSE)/IF($D157="Inhalation",IF($J157="Central Tendency",SUMIFS('Inhalation Exposure'!$J$6:$J$47,'Inhalation Exposure'!$B$6:$B$47,$B157,'Inhalation Exposure'!$D$6:$D$47,$C157),SUMIFS('Inhalation Exposure'!$K$6:$K$47,'Inhalation Exposure'!$B$6:$B$47,$B157,'Inhalation Exposure'!$D$6:$D$47,$C157)),IF($J157="Central Tendency",VLOOKUP($B157,'Dermal Exposure'!$A$6:$L$11,9,FALSE),VLOOKUP($B157,'Dermal Exposure'!$A$6:$L$11,4,FALSE))),"--")</f>
        <v>143.6421176569732</v>
      </c>
      <c r="L157" s="328">
        <f>IFERROR(VLOOKUP($D157,$Y$9:$AC$10,3,FALSE)/IF($D157="Inhalation",IF($J157="Central Tendency",SUMIFS('Inhalation Exposure'!$L$6:$L$47,'Inhalation Exposure'!$B$6:$B$47,$B157,'Inhalation Exposure'!$D$6:$D$47,$C157),SUMIFS('Inhalation Exposure'!$M$6:$M$47,'Inhalation Exposure'!$B$6:$B$47,$B157,'Inhalation Exposure'!$D$6:$D$47,$C157)),IF($J157="Central Tendency",VLOOKUP($B157,'Dermal Exposure'!$A$6:$L$11,10,FALSE),VLOOKUP($B157,'Dermal Exposure'!$A$6:$L$11,5,FALSE))),"--")</f>
        <v>310.13639039573758</v>
      </c>
      <c r="M157" s="328">
        <f>IFERROR(VLOOKUP($D157,$Y$9:$AC$10,4,FALSE)/IF($D157="Inhalation",IF($J157="Central Tendency",SUMIFS('Inhalation Exposure'!$N$6:$N$47,'Inhalation Exposure'!$B$6:$B$47,$B157,'Inhalation Exposure'!$D$6:$D$47,$C157),SUMIFS('Inhalation Exposure'!$O$6:$O$47,'Inhalation Exposure'!$B$6:$B$47,$B157,'Inhalation Exposure'!$D$6:$D$47,$C157)),IF($J157="Central Tendency",VLOOKUP($B157,'Dermal Exposure'!$A$6:$L$11,11,FALSE),VLOOKUP($B157,'Dermal Exposure'!$A$6:$L$11,6,FALSE))),"--")</f>
        <v>332.05269531703635</v>
      </c>
      <c r="N157" s="329">
        <f>IFERROR(VLOOKUP($D157,$Y$9:$AC$10,5,FALSE)*IF($D157="Inhalation",IF($J157="Central Tendency",SUMIFS('Inhalation Exposure'!$P$6:$P$47,'Inhalation Exposure'!$B$6:$B$47,$B157,'Inhalation Exposure'!$D$6:$D$47,$C157),SUMIFS('Inhalation Exposure'!$Q$6:$Q$47,'Inhalation Exposure'!$B$6:$B$47,$B157,'Inhalation Exposure'!$D$6:$D$47,$C157)),IF($J157="Central Tendency",VLOOKUP($B157,'Dermal Exposure'!$A$6:$L$11,12,FALSE),VLOOKUP($B157,'Dermal Exposure'!$A$6:$L$11,7,FALSE))),"--")</f>
        <v>5.0377826589935806E-4</v>
      </c>
      <c r="O157" s="377"/>
      <c r="P157" s="377"/>
      <c r="Q157" s="377"/>
      <c r="R157" s="377"/>
      <c r="T157" s="44"/>
      <c r="U157" s="44"/>
      <c r="V157" s="44"/>
      <c r="W157" s="44"/>
    </row>
    <row r="158" spans="2:23" ht="15.75" thickBot="1" x14ac:dyDescent="0.3">
      <c r="B158" s="265">
        <v>8</v>
      </c>
      <c r="C158" s="324" t="s">
        <v>97</v>
      </c>
      <c r="D158" s="324" t="s">
        <v>71</v>
      </c>
      <c r="E158" s="366"/>
      <c r="F158" s="283"/>
      <c r="G158" s="375"/>
      <c r="H158" s="285"/>
      <c r="I158" s="285"/>
      <c r="J158" s="345"/>
      <c r="K158" s="333"/>
      <c r="L158" s="333"/>
      <c r="M158" s="333"/>
      <c r="N158" s="334"/>
      <c r="O158" s="377"/>
      <c r="P158" s="377"/>
      <c r="Q158" s="377"/>
      <c r="R158" s="377"/>
      <c r="T158" s="44"/>
      <c r="U158" s="44"/>
      <c r="V158" s="44"/>
      <c r="W158" s="44"/>
    </row>
    <row r="159" spans="2:23" ht="15.75" thickBot="1" x14ac:dyDescent="0.3">
      <c r="B159" s="265">
        <v>8</v>
      </c>
      <c r="C159" s="324" t="s">
        <v>97</v>
      </c>
      <c r="D159" s="324" t="s">
        <v>71</v>
      </c>
      <c r="E159" s="366"/>
      <c r="F159" s="283"/>
      <c r="G159" s="375"/>
      <c r="H159" s="285"/>
      <c r="I159" s="285"/>
      <c r="J159" s="269" t="s">
        <v>168</v>
      </c>
      <c r="K159" s="328">
        <f>IFERROR(VLOOKUP($D159,$Y$9:$AC$10,2,FALSE)/IF($D159="Inhalation",IF($J159="Central Tendency",SUMIFS('Inhalation Exposure'!$J$6:$J$47,'Inhalation Exposure'!$B$6:$B$47,$B159,'Inhalation Exposure'!$D$6:$D$47,$C159),SUMIFS('Inhalation Exposure'!$K$6:$K$47,'Inhalation Exposure'!$B$6:$B$47,$B159,'Inhalation Exposure'!$D$6:$D$47,$C159)),IF($J159="Central Tendency",VLOOKUP($B159,'Dermal Exposure'!$A$6:$L$11,9,FALSE),VLOOKUP($B159,'Dermal Exposure'!$A$6:$L$11,4,FALSE))),"--")</f>
        <v>31.854806315647696</v>
      </c>
      <c r="L159" s="328">
        <f>IFERROR(VLOOKUP($D159,$Y$9:$AC$10,3,FALSE)/IF($D159="Inhalation",IF($J159="Central Tendency",SUMIFS('Inhalation Exposure'!$L$6:$L$47,'Inhalation Exposure'!$B$6:$B$47,$B159,'Inhalation Exposure'!$D$6:$D$47,$C159),SUMIFS('Inhalation Exposure'!$M$6:$M$47,'Inhalation Exposure'!$B$6:$B$47,$B159,'Inhalation Exposure'!$D$6:$D$47,$C159)),IF($J159="Central Tendency",VLOOKUP($B159,'Dermal Exposure'!$A$6:$L$11,10,FALSE),VLOOKUP($B159,'Dermal Exposure'!$A$6:$L$11,5,FALSE))),"--")</f>
        <v>68.777422726966634</v>
      </c>
      <c r="M159" s="328">
        <f>IFERROR(VLOOKUP($D159,$Y$9:$AC$10,4,FALSE)/IF($D159="Inhalation",IF($J159="Central Tendency",SUMIFS('Inhalation Exposure'!$N$6:$N$47,'Inhalation Exposure'!$B$6:$B$47,$B159,'Inhalation Exposure'!$D$6:$D$47,$C159),SUMIFS('Inhalation Exposure'!$O$6:$O$47,'Inhalation Exposure'!$B$6:$B$47,$B159,'Inhalation Exposure'!$D$6:$D$47,$C159)),IF($J159="Central Tendency",VLOOKUP($B159,'Dermal Exposure'!$A$6:$L$11,11,FALSE),VLOOKUP($B159,'Dermal Exposure'!$A$6:$L$11,6,FALSE))),"--")</f>
        <v>73.637693933005593</v>
      </c>
      <c r="N159" s="329">
        <f>IFERROR(VLOOKUP($D159,$Y$9:$AC$10,5,FALSE)*IF($D159="Inhalation",IF($J159="Central Tendency",SUMIFS('Inhalation Exposure'!$P$6:$P$47,'Inhalation Exposure'!$B$6:$B$47,$B159,'Inhalation Exposure'!$D$6:$D$47,$C159),SUMIFS('Inhalation Exposure'!$Q$6:$Q$47,'Inhalation Exposure'!$B$6:$B$47,$B159,'Inhalation Exposure'!$D$6:$D$47,$C159)),IF($J159="Central Tendency",VLOOKUP($B159,'Dermal Exposure'!$A$6:$L$11,12,FALSE),VLOOKUP($B159,'Dermal Exposure'!$A$6:$L$11,7,FALSE))),"--")</f>
        <v>2.461718538449962E-3</v>
      </c>
      <c r="O159" s="377"/>
      <c r="P159" s="377"/>
      <c r="Q159" s="377"/>
      <c r="R159" s="377"/>
      <c r="T159" s="44"/>
      <c r="U159" s="44"/>
      <c r="V159" s="44"/>
      <c r="W159" s="44"/>
    </row>
    <row r="160" spans="2:23" ht="15.75" thickBot="1" x14ac:dyDescent="0.3">
      <c r="B160" s="265">
        <v>8</v>
      </c>
      <c r="C160" s="324" t="s">
        <v>97</v>
      </c>
      <c r="D160" s="324" t="s">
        <v>71</v>
      </c>
      <c r="E160" s="366"/>
      <c r="F160" s="283"/>
      <c r="G160" s="375"/>
      <c r="H160" s="346"/>
      <c r="I160" s="346"/>
      <c r="J160" s="346"/>
      <c r="K160" s="333"/>
      <c r="L160" s="333"/>
      <c r="M160" s="333"/>
      <c r="N160" s="334"/>
      <c r="O160" s="377"/>
      <c r="P160" s="377"/>
      <c r="Q160" s="377"/>
      <c r="R160" s="377"/>
      <c r="T160" s="44"/>
      <c r="U160" s="44"/>
      <c r="V160" s="44"/>
      <c r="W160" s="44"/>
    </row>
    <row r="161" spans="2:23" ht="16.5" thickTop="1" thickBot="1" x14ac:dyDescent="0.3">
      <c r="B161" s="265" t="s">
        <v>400</v>
      </c>
      <c r="C161" s="324" t="s">
        <v>100</v>
      </c>
      <c r="D161" s="324" t="s">
        <v>166</v>
      </c>
      <c r="E161" s="366"/>
      <c r="F161" s="283"/>
      <c r="G161" s="375"/>
      <c r="H161" s="269" t="s">
        <v>100</v>
      </c>
      <c r="I161" s="285" t="s">
        <v>144</v>
      </c>
      <c r="J161" s="327" t="s">
        <v>98</v>
      </c>
      <c r="K161" s="328">
        <f>IFERROR(VLOOKUP($D161,$Y$9:$AC$10,2,FALSE)/IF($D161="Inhalation",IF($J161="Central Tendency",SUMIFS('Inhalation Exposure'!$J$6:$J$47,'Inhalation Exposure'!$B$6:$B$47,$B161,'Inhalation Exposure'!$D$6:$D$47,$C161),SUMIFS('Inhalation Exposure'!$K$6:$K$47,'Inhalation Exposure'!$B$6:$B$47,$B161,'Inhalation Exposure'!$D$6:$D$47,$C161)),IF($J161="Central Tendency",VLOOKUP($B161,'Dermal Exposure'!$A$6:$L$11,9,FALSE),VLOOKUP($B161,'Dermal Exposure'!$A$6:$L$11,4,FALSE))),"--")</f>
        <v>286.22672944585298</v>
      </c>
      <c r="L161" s="328">
        <f>IFERROR(VLOOKUP($D161,$Y$9:$AC$10,3,FALSE)/IF($D161="Inhalation",IF($J161="Central Tendency",SUMIFS('Inhalation Exposure'!$L$6:$L$47,'Inhalation Exposure'!$B$6:$B$47,$B161,'Inhalation Exposure'!$D$6:$D$47,$C161),SUMIFS('Inhalation Exposure'!$M$6:$M$47,'Inhalation Exposure'!$B$6:$B$47,$B161,'Inhalation Exposure'!$D$6:$D$47,$C161)),IF($J161="Central Tendency",VLOOKUP($B161,'Dermal Exposure'!$A$6:$L$11,10,FALSE),VLOOKUP($B161,'Dermal Exposure'!$A$6:$L$11,5,FALSE))),"--")</f>
        <v>2.5091304204668927</v>
      </c>
      <c r="M161" s="328">
        <f>IFERROR(VLOOKUP($D161,$Y$9:$AC$10,4,FALSE)/IF($D161="Inhalation",IF($J161="Central Tendency",SUMIFS('Inhalation Exposure'!$N$6:$N$47,'Inhalation Exposure'!$B$6:$B$47,$B161,'Inhalation Exposure'!$D$6:$D$47,$C161),SUMIFS('Inhalation Exposure'!$O$6:$O$47,'Inhalation Exposure'!$B$6:$B$47,$B161,'Inhalation Exposure'!$D$6:$D$47,$C161)),IF($J161="Central Tendency",VLOOKUP($B161,'Dermal Exposure'!$A$6:$L$11,11,FALSE),VLOOKUP($B161,'Dermal Exposure'!$A$6:$L$11,6,FALSE))),"--")</f>
        <v>2.6864423035132199</v>
      </c>
      <c r="N161" s="329">
        <f>IFERROR(VLOOKUP($D161,$Y$9:$AC$10,5,FALSE)*IF($D161="Inhalation",IF($J161="Central Tendency",SUMIFS('Inhalation Exposure'!$P$6:$P$47,'Inhalation Exposure'!$B$6:$B$47,$B161,'Inhalation Exposure'!$D$6:$D$47,$C161),SUMIFS('Inhalation Exposure'!$Q$6:$Q$47,'Inhalation Exposure'!$B$6:$B$47,$B161,'Inhalation Exposure'!$D$6:$D$47,$C161)),IF($J161="Central Tendency",VLOOKUP($B161,'Dermal Exposure'!$A$6:$L$11,12,FALSE),VLOOKUP($B161,'Dermal Exposure'!$A$6:$L$11,7,FALSE))),"--")</f>
        <v>1.3658649616542614E-4</v>
      </c>
      <c r="O161" s="377"/>
      <c r="P161" s="377"/>
      <c r="Q161" s="377"/>
      <c r="R161" s="377"/>
      <c r="T161" s="44"/>
      <c r="U161" s="44"/>
      <c r="V161" s="44"/>
      <c r="W161" s="44"/>
    </row>
    <row r="162" spans="2:23" ht="15.75" thickBot="1" x14ac:dyDescent="0.3">
      <c r="B162" s="265" t="s">
        <v>400</v>
      </c>
      <c r="C162" s="324" t="s">
        <v>100</v>
      </c>
      <c r="D162" s="324" t="s">
        <v>166</v>
      </c>
      <c r="E162" s="366"/>
      <c r="F162" s="283"/>
      <c r="G162" s="375"/>
      <c r="H162" s="285"/>
      <c r="I162" s="285"/>
      <c r="J162" s="363"/>
      <c r="K162" s="333"/>
      <c r="L162" s="333"/>
      <c r="M162" s="333"/>
      <c r="N162" s="334"/>
      <c r="O162" s="377"/>
      <c r="P162" s="377"/>
      <c r="Q162" s="377"/>
      <c r="R162" s="377"/>
      <c r="T162" s="44"/>
      <c r="U162" s="44"/>
      <c r="V162" s="44"/>
      <c r="W162" s="44"/>
    </row>
    <row r="163" spans="2:23" ht="15.75" thickBot="1" x14ac:dyDescent="0.3">
      <c r="B163" s="265" t="s">
        <v>400</v>
      </c>
      <c r="C163" s="324" t="s">
        <v>100</v>
      </c>
      <c r="D163" s="324" t="s">
        <v>166</v>
      </c>
      <c r="E163" s="366"/>
      <c r="F163" s="283"/>
      <c r="G163" s="375"/>
      <c r="H163" s="285"/>
      <c r="I163" s="285"/>
      <c r="J163" s="335" t="s">
        <v>168</v>
      </c>
      <c r="K163" s="328">
        <f>IFERROR(VLOOKUP($D163,$Y$9:$AC$10,2,FALSE)/IF($D163="Inhalation",IF($J163="Central Tendency",SUMIFS('Inhalation Exposure'!$J$6:$J$47,'Inhalation Exposure'!$B$6:$B$47,$B163,'Inhalation Exposure'!$D$6:$D$47,$C163),SUMIFS('Inhalation Exposure'!$K$6:$K$47,'Inhalation Exposure'!$B$6:$B$47,$B163,'Inhalation Exposure'!$D$6:$D$47,$C163)),IF($J163="Central Tendency",VLOOKUP($B163,'Dermal Exposure'!$A$6:$L$11,9,FALSE),VLOOKUP($B163,'Dermal Exposure'!$A$6:$L$11,4,FALSE))),"--")</f>
        <v>286.22672944585298</v>
      </c>
      <c r="L163" s="328">
        <f>IFERROR(VLOOKUP($D163,$Y$9:$AC$10,3,FALSE)/IF($D163="Inhalation",IF($J163="Central Tendency",SUMIFS('Inhalation Exposure'!$L$6:$L$47,'Inhalation Exposure'!$B$6:$B$47,$B163,'Inhalation Exposure'!$D$6:$D$47,$C163),SUMIFS('Inhalation Exposure'!$M$6:$M$47,'Inhalation Exposure'!$B$6:$B$47,$B163,'Inhalation Exposure'!$D$6:$D$47,$C163)),IF($J163="Central Tendency",VLOOKUP($B163,'Dermal Exposure'!$A$6:$L$11,10,FALSE),VLOOKUP($B163,'Dermal Exposure'!$A$6:$L$11,5,FALSE))),"--")</f>
        <v>2.5091304204668927</v>
      </c>
      <c r="M163" s="328">
        <f>IFERROR(VLOOKUP($D163,$Y$9:$AC$10,4,FALSE)/IF($D163="Inhalation",IF($J163="Central Tendency",SUMIFS('Inhalation Exposure'!$N$6:$N$47,'Inhalation Exposure'!$B$6:$B$47,$B163,'Inhalation Exposure'!$D$6:$D$47,$C163),SUMIFS('Inhalation Exposure'!$O$6:$O$47,'Inhalation Exposure'!$B$6:$B$47,$B163,'Inhalation Exposure'!$D$6:$D$47,$C163)),IF($J163="Central Tendency",VLOOKUP($B163,'Dermal Exposure'!$A$6:$L$11,11,FALSE),VLOOKUP($B163,'Dermal Exposure'!$A$6:$L$11,6,FALSE))),"--")</f>
        <v>2.6864423035132199</v>
      </c>
      <c r="N163" s="329">
        <f>IFERROR(VLOOKUP($D163,$Y$9:$AC$10,5,FALSE)*IF($D163="Inhalation",IF($J163="Central Tendency",SUMIFS('Inhalation Exposure'!$P$6:$P$47,'Inhalation Exposure'!$B$6:$B$47,$B163,'Inhalation Exposure'!$D$6:$D$47,$C163),SUMIFS('Inhalation Exposure'!$Q$6:$Q$47,'Inhalation Exposure'!$B$6:$B$47,$B163,'Inhalation Exposure'!$D$6:$D$47,$C163)),IF($J163="Central Tendency",VLOOKUP($B163,'Dermal Exposure'!$A$6:$L$11,12,FALSE),VLOOKUP($B163,'Dermal Exposure'!$A$6:$L$11,7,FALSE))),"--")</f>
        <v>1.7624064021345309E-4</v>
      </c>
      <c r="O163" s="377"/>
      <c r="P163" s="377"/>
      <c r="Q163" s="377"/>
      <c r="R163" s="377"/>
      <c r="T163" s="44"/>
      <c r="U163" s="44"/>
      <c r="V163" s="44"/>
      <c r="W163" s="44"/>
    </row>
    <row r="164" spans="2:23" ht="15.75" thickBot="1" x14ac:dyDescent="0.3">
      <c r="B164" s="265" t="s">
        <v>400</v>
      </c>
      <c r="C164" s="324" t="s">
        <v>100</v>
      </c>
      <c r="D164" s="324" t="s">
        <v>166</v>
      </c>
      <c r="E164" s="371"/>
      <c r="F164" s="344"/>
      <c r="G164" s="376"/>
      <c r="H164" s="345"/>
      <c r="I164" s="345"/>
      <c r="J164" s="360"/>
      <c r="K164" s="333"/>
      <c r="L164" s="333"/>
      <c r="M164" s="333"/>
      <c r="N164" s="334"/>
      <c r="O164" s="377"/>
      <c r="P164" s="377"/>
      <c r="Q164" s="377"/>
      <c r="R164" s="377"/>
      <c r="T164" s="44"/>
      <c r="U164" s="44"/>
      <c r="V164" s="44"/>
      <c r="W164" s="44"/>
    </row>
    <row r="165" spans="2:23" x14ac:dyDescent="0.25">
      <c r="T165" s="44"/>
      <c r="U165" s="44"/>
      <c r="V165" s="44"/>
      <c r="W165" s="44"/>
    </row>
    <row r="166" spans="2:23" x14ac:dyDescent="0.25">
      <c r="T166" s="44"/>
      <c r="U166" s="44"/>
      <c r="V166" s="44"/>
      <c r="W166" s="44"/>
    </row>
    <row r="167" spans="2:23" x14ac:dyDescent="0.25">
      <c r="T167" s="44"/>
      <c r="U167" s="44"/>
      <c r="V167" s="44"/>
      <c r="W167" s="44"/>
    </row>
    <row r="168" spans="2:23" x14ac:dyDescent="0.25">
      <c r="T168" s="44"/>
      <c r="U168" s="44"/>
      <c r="V168" s="44"/>
      <c r="W168" s="44"/>
    </row>
  </sheetData>
  <sheetProtection sheet="1" objects="1" scenarios="1" formatCells="0" formatColumns="0" formatRows="0" sort="0" autoFilter="0"/>
  <autoFilter ref="B7:AC8" xr:uid="{CB24E7FE-9D99-4B66-A2F9-D57F9F4A70CF}">
    <filterColumn colId="9" showButton="0"/>
    <filterColumn colId="10" showButton="0"/>
    <filterColumn colId="11" showButton="0"/>
    <filterColumn colId="13" showButton="0"/>
    <filterColumn colId="14" showButton="0"/>
    <filterColumn colId="15" showButton="0"/>
    <filterColumn colId="18" showButton="0"/>
    <filterColumn colId="19" showButton="0"/>
    <filterColumn colId="20" showButton="0"/>
  </autoFilter>
  <mergeCells count="511">
    <mergeCell ref="E9:E40"/>
    <mergeCell ref="F9:F40"/>
    <mergeCell ref="L91:L92"/>
    <mergeCell ref="M91:M92"/>
    <mergeCell ref="N91:N92"/>
    <mergeCell ref="I89:I92"/>
    <mergeCell ref="J89:J90"/>
    <mergeCell ref="K89:K90"/>
    <mergeCell ref="L89:L90"/>
    <mergeCell ref="M89:M90"/>
    <mergeCell ref="L83:L84"/>
    <mergeCell ref="M83:M84"/>
    <mergeCell ref="N83:N84"/>
    <mergeCell ref="I85:I88"/>
    <mergeCell ref="J85:J86"/>
    <mergeCell ref="K85:K86"/>
    <mergeCell ref="L85:L86"/>
    <mergeCell ref="M85:M86"/>
    <mergeCell ref="K15:K16"/>
    <mergeCell ref="L15:L16"/>
    <mergeCell ref="M15:M16"/>
    <mergeCell ref="N15:N16"/>
    <mergeCell ref="K21:K22"/>
    <mergeCell ref="L21:L22"/>
    <mergeCell ref="J93:J94"/>
    <mergeCell ref="K93:K94"/>
    <mergeCell ref="L93:L94"/>
    <mergeCell ref="M93:M94"/>
    <mergeCell ref="J17:J18"/>
    <mergeCell ref="J19:J20"/>
    <mergeCell ref="N85:N86"/>
    <mergeCell ref="J87:J88"/>
    <mergeCell ref="K87:K88"/>
    <mergeCell ref="L87:L88"/>
    <mergeCell ref="M87:M88"/>
    <mergeCell ref="N87:N88"/>
    <mergeCell ref="J81:J82"/>
    <mergeCell ref="K81:K82"/>
    <mergeCell ref="L81:L82"/>
    <mergeCell ref="M81:M82"/>
    <mergeCell ref="N81:N82"/>
    <mergeCell ref="J83:J84"/>
    <mergeCell ref="K83:K84"/>
    <mergeCell ref="M21:M22"/>
    <mergeCell ref="N21:N22"/>
    <mergeCell ref="K23:K24"/>
    <mergeCell ref="M23:M24"/>
    <mergeCell ref="N23:N24"/>
    <mergeCell ref="N103:N104"/>
    <mergeCell ref="M29:M30"/>
    <mergeCell ref="M39:M40"/>
    <mergeCell ref="N39:N40"/>
    <mergeCell ref="M47:M48"/>
    <mergeCell ref="M67:M68"/>
    <mergeCell ref="N67:N68"/>
    <mergeCell ref="K97:K98"/>
    <mergeCell ref="M51:M52"/>
    <mergeCell ref="N29:N30"/>
    <mergeCell ref="N31:N32"/>
    <mergeCell ref="N99:N100"/>
    <mergeCell ref="L97:L98"/>
    <mergeCell ref="L95:L96"/>
    <mergeCell ref="M95:M96"/>
    <mergeCell ref="N95:N96"/>
    <mergeCell ref="N101:N102"/>
    <mergeCell ref="N61:N62"/>
    <mergeCell ref="N57:N58"/>
    <mergeCell ref="M59:M60"/>
    <mergeCell ref="N69:N70"/>
    <mergeCell ref="M69:M70"/>
    <mergeCell ref="M57:M58"/>
    <mergeCell ref="N97:N98"/>
    <mergeCell ref="Y11:AC11"/>
    <mergeCell ref="Y12:AC12"/>
    <mergeCell ref="Y13:AC13"/>
    <mergeCell ref="Y14:AC14"/>
    <mergeCell ref="L39:L40"/>
    <mergeCell ref="K47:K48"/>
    <mergeCell ref="L47:L48"/>
    <mergeCell ref="L43:L44"/>
    <mergeCell ref="L45:L46"/>
    <mergeCell ref="M31:M32"/>
    <mergeCell ref="N47:N48"/>
    <mergeCell ref="M13:M14"/>
    <mergeCell ref="N13:N14"/>
    <mergeCell ref="M35:M36"/>
    <mergeCell ref="N77:N78"/>
    <mergeCell ref="M79:M80"/>
    <mergeCell ref="N79:N80"/>
    <mergeCell ref="N89:N90"/>
    <mergeCell ref="N93:N94"/>
    <mergeCell ref="M71:M72"/>
    <mergeCell ref="N71:N72"/>
    <mergeCell ref="M65:M66"/>
    <mergeCell ref="N65:N66"/>
    <mergeCell ref="M77:M78"/>
    <mergeCell ref="M61:M62"/>
    <mergeCell ref="N73:N74"/>
    <mergeCell ref="N75:N76"/>
    <mergeCell ref="N53:N54"/>
    <mergeCell ref="N55:N56"/>
    <mergeCell ref="N63:N64"/>
    <mergeCell ref="N45:N46"/>
    <mergeCell ref="M37:M38"/>
    <mergeCell ref="N37:N38"/>
    <mergeCell ref="N51:N52"/>
    <mergeCell ref="M41:M42"/>
    <mergeCell ref="N41:N42"/>
    <mergeCell ref="M43:M44"/>
    <mergeCell ref="N43:N44"/>
    <mergeCell ref="M45:M46"/>
    <mergeCell ref="N49:N50"/>
    <mergeCell ref="N59:N60"/>
    <mergeCell ref="M73:M74"/>
    <mergeCell ref="E41:E46"/>
    <mergeCell ref="F41:F46"/>
    <mergeCell ref="E47:E52"/>
    <mergeCell ref="F47:F52"/>
    <mergeCell ref="G41:G52"/>
    <mergeCell ref="E53:E80"/>
    <mergeCell ref="L69:L70"/>
    <mergeCell ref="L77:L78"/>
    <mergeCell ref="J71:J72"/>
    <mergeCell ref="K71:K72"/>
    <mergeCell ref="L71:L72"/>
    <mergeCell ref="J41:J42"/>
    <mergeCell ref="J43:J44"/>
    <mergeCell ref="J45:J46"/>
    <mergeCell ref="K43:K44"/>
    <mergeCell ref="J57:J58"/>
    <mergeCell ref="K45:K46"/>
    <mergeCell ref="L79:L80"/>
    <mergeCell ref="I41:I44"/>
    <mergeCell ref="I45:I48"/>
    <mergeCell ref="K41:K42"/>
    <mergeCell ref="L41:L42"/>
    <mergeCell ref="I53:I56"/>
    <mergeCell ref="I57:I60"/>
    <mergeCell ref="M97:M98"/>
    <mergeCell ref="L101:L102"/>
    <mergeCell ref="J75:J76"/>
    <mergeCell ref="L99:L100"/>
    <mergeCell ref="K99:K100"/>
    <mergeCell ref="J47:J48"/>
    <mergeCell ref="K75:K76"/>
    <mergeCell ref="L75:L76"/>
    <mergeCell ref="M75:M76"/>
    <mergeCell ref="M53:M54"/>
    <mergeCell ref="M55:M56"/>
    <mergeCell ref="M63:M64"/>
    <mergeCell ref="K73:K74"/>
    <mergeCell ref="L73:L74"/>
    <mergeCell ref="M49:M50"/>
    <mergeCell ref="L49:L50"/>
    <mergeCell ref="K57:K58"/>
    <mergeCell ref="K91:K92"/>
    <mergeCell ref="K51:K52"/>
    <mergeCell ref="L51:L52"/>
    <mergeCell ref="L57:L58"/>
    <mergeCell ref="L63:L64"/>
    <mergeCell ref="L61:L62"/>
    <mergeCell ref="L67:L68"/>
    <mergeCell ref="N149:N150"/>
    <mergeCell ref="J151:J152"/>
    <mergeCell ref="K151:K152"/>
    <mergeCell ref="L151:L152"/>
    <mergeCell ref="M151:M152"/>
    <mergeCell ref="N151:N152"/>
    <mergeCell ref="N153:N154"/>
    <mergeCell ref="N155:N156"/>
    <mergeCell ref="K131:K132"/>
    <mergeCell ref="L131:L132"/>
    <mergeCell ref="M131:M132"/>
    <mergeCell ref="N131:N132"/>
    <mergeCell ref="K137:K138"/>
    <mergeCell ref="L137:L138"/>
    <mergeCell ref="M137:M138"/>
    <mergeCell ref="N137:N138"/>
    <mergeCell ref="J139:J140"/>
    <mergeCell ref="K139:K140"/>
    <mergeCell ref="L139:L140"/>
    <mergeCell ref="M139:M140"/>
    <mergeCell ref="N139:N140"/>
    <mergeCell ref="K135:K136"/>
    <mergeCell ref="L135:L136"/>
    <mergeCell ref="M135:M136"/>
    <mergeCell ref="N161:N162"/>
    <mergeCell ref="J163:J164"/>
    <mergeCell ref="K163:K164"/>
    <mergeCell ref="L163:L164"/>
    <mergeCell ref="M163:M164"/>
    <mergeCell ref="N163:N164"/>
    <mergeCell ref="N141:N142"/>
    <mergeCell ref="J143:J144"/>
    <mergeCell ref="K143:K144"/>
    <mergeCell ref="L143:L144"/>
    <mergeCell ref="M143:M144"/>
    <mergeCell ref="N143:N144"/>
    <mergeCell ref="L159:L160"/>
    <mergeCell ref="M159:M160"/>
    <mergeCell ref="N159:N160"/>
    <mergeCell ref="N145:N146"/>
    <mergeCell ref="J147:J148"/>
    <mergeCell ref="K147:K148"/>
    <mergeCell ref="L147:L148"/>
    <mergeCell ref="M147:M148"/>
    <mergeCell ref="N147:N148"/>
    <mergeCell ref="L157:L158"/>
    <mergeCell ref="M157:M158"/>
    <mergeCell ref="N157:N158"/>
    <mergeCell ref="E153:E164"/>
    <mergeCell ref="F153:F164"/>
    <mergeCell ref="G153:G164"/>
    <mergeCell ref="H153:H160"/>
    <mergeCell ref="I153:I156"/>
    <mergeCell ref="J153:J154"/>
    <mergeCell ref="K153:K154"/>
    <mergeCell ref="L153:L154"/>
    <mergeCell ref="M153:M154"/>
    <mergeCell ref="J155:J156"/>
    <mergeCell ref="K155:K156"/>
    <mergeCell ref="L155:L156"/>
    <mergeCell ref="M155:M156"/>
    <mergeCell ref="I157:I160"/>
    <mergeCell ref="J157:J158"/>
    <mergeCell ref="K157:K158"/>
    <mergeCell ref="J159:J160"/>
    <mergeCell ref="K159:K160"/>
    <mergeCell ref="H161:H164"/>
    <mergeCell ref="I161:I164"/>
    <mergeCell ref="J161:J162"/>
    <mergeCell ref="K161:K162"/>
    <mergeCell ref="L161:L162"/>
    <mergeCell ref="M161:M162"/>
    <mergeCell ref="N135:N136"/>
    <mergeCell ref="E141:E152"/>
    <mergeCell ref="F141:F152"/>
    <mergeCell ref="G141:G152"/>
    <mergeCell ref="H141:H148"/>
    <mergeCell ref="I141:I144"/>
    <mergeCell ref="J141:J142"/>
    <mergeCell ref="K141:K142"/>
    <mergeCell ref="L141:L142"/>
    <mergeCell ref="M141:M142"/>
    <mergeCell ref="H149:H152"/>
    <mergeCell ref="I149:I152"/>
    <mergeCell ref="J149:J150"/>
    <mergeCell ref="K149:K150"/>
    <mergeCell ref="L149:L150"/>
    <mergeCell ref="M149:M150"/>
    <mergeCell ref="I145:I148"/>
    <mergeCell ref="J145:J146"/>
    <mergeCell ref="K145:K146"/>
    <mergeCell ref="L145:L146"/>
    <mergeCell ref="M145:M146"/>
    <mergeCell ref="E129:E140"/>
    <mergeCell ref="F129:F140"/>
    <mergeCell ref="G129:G140"/>
    <mergeCell ref="H129:H136"/>
    <mergeCell ref="I129:I132"/>
    <mergeCell ref="J129:J130"/>
    <mergeCell ref="I133:I136"/>
    <mergeCell ref="J133:J134"/>
    <mergeCell ref="H137:H140"/>
    <mergeCell ref="I137:I140"/>
    <mergeCell ref="J137:J138"/>
    <mergeCell ref="J131:J132"/>
    <mergeCell ref="J135:J136"/>
    <mergeCell ref="K133:K134"/>
    <mergeCell ref="L133:L134"/>
    <mergeCell ref="M133:M134"/>
    <mergeCell ref="N133:N134"/>
    <mergeCell ref="K105:K106"/>
    <mergeCell ref="M109:M110"/>
    <mergeCell ref="N109:N110"/>
    <mergeCell ref="K125:K126"/>
    <mergeCell ref="L125:L126"/>
    <mergeCell ref="M125:M126"/>
    <mergeCell ref="N125:N126"/>
    <mergeCell ref="K113:K114"/>
    <mergeCell ref="M119:M120"/>
    <mergeCell ref="N119:N120"/>
    <mergeCell ref="K127:K128"/>
    <mergeCell ref="L127:L128"/>
    <mergeCell ref="M127:M128"/>
    <mergeCell ref="N127:N128"/>
    <mergeCell ref="K129:K130"/>
    <mergeCell ref="L129:L130"/>
    <mergeCell ref="M129:M130"/>
    <mergeCell ref="N129:N130"/>
    <mergeCell ref="K123:K124"/>
    <mergeCell ref="M123:M124"/>
    <mergeCell ref="G37:G40"/>
    <mergeCell ref="H37:H40"/>
    <mergeCell ref="I37:I40"/>
    <mergeCell ref="J37:J38"/>
    <mergeCell ref="J39:J40"/>
    <mergeCell ref="K37:K38"/>
    <mergeCell ref="L37:L38"/>
    <mergeCell ref="K27:K28"/>
    <mergeCell ref="L27:L28"/>
    <mergeCell ref="K39:K40"/>
    <mergeCell ref="G33:G36"/>
    <mergeCell ref="I33:I36"/>
    <mergeCell ref="J33:J34"/>
    <mergeCell ref="J35:J36"/>
    <mergeCell ref="G29:G32"/>
    <mergeCell ref="I29:I32"/>
    <mergeCell ref="J29:J30"/>
    <mergeCell ref="K35:K36"/>
    <mergeCell ref="L35:L36"/>
    <mergeCell ref="L33:L34"/>
    <mergeCell ref="G25:G28"/>
    <mergeCell ref="J31:J32"/>
    <mergeCell ref="K31:K32"/>
    <mergeCell ref="L31:L32"/>
    <mergeCell ref="G13:G16"/>
    <mergeCell ref="G21:G24"/>
    <mergeCell ref="I13:I16"/>
    <mergeCell ref="I21:I24"/>
    <mergeCell ref="J13:J14"/>
    <mergeCell ref="J15:J16"/>
    <mergeCell ref="M33:M34"/>
    <mergeCell ref="N33:N34"/>
    <mergeCell ref="N35:N36"/>
    <mergeCell ref="I25:I28"/>
    <mergeCell ref="J25:J26"/>
    <mergeCell ref="K25:K26"/>
    <mergeCell ref="L25:L26"/>
    <mergeCell ref="K33:K34"/>
    <mergeCell ref="K29:K30"/>
    <mergeCell ref="L29:L30"/>
    <mergeCell ref="J21:J22"/>
    <mergeCell ref="J23:J24"/>
    <mergeCell ref="K13:K14"/>
    <mergeCell ref="L13:L14"/>
    <mergeCell ref="L23:L24"/>
    <mergeCell ref="L53:L54"/>
    <mergeCell ref="H9:H36"/>
    <mergeCell ref="J27:J28"/>
    <mergeCell ref="K9:K10"/>
    <mergeCell ref="J49:J50"/>
    <mergeCell ref="M115:M116"/>
    <mergeCell ref="N115:N116"/>
    <mergeCell ref="M107:M108"/>
    <mergeCell ref="N107:N108"/>
    <mergeCell ref="N105:N106"/>
    <mergeCell ref="M111:M112"/>
    <mergeCell ref="N111:N112"/>
    <mergeCell ref="M105:M106"/>
    <mergeCell ref="M113:M114"/>
    <mergeCell ref="N113:N114"/>
    <mergeCell ref="J65:J66"/>
    <mergeCell ref="K65:K66"/>
    <mergeCell ref="K67:K68"/>
    <mergeCell ref="J97:J98"/>
    <mergeCell ref="L109:L110"/>
    <mergeCell ref="L113:L114"/>
    <mergeCell ref="K115:K116"/>
    <mergeCell ref="L115:L116"/>
    <mergeCell ref="K111:K112"/>
    <mergeCell ref="N123:N124"/>
    <mergeCell ref="L117:L118"/>
    <mergeCell ref="M117:M118"/>
    <mergeCell ref="N117:N118"/>
    <mergeCell ref="K119:K120"/>
    <mergeCell ref="L119:L120"/>
    <mergeCell ref="L123:L124"/>
    <mergeCell ref="K121:K122"/>
    <mergeCell ref="L121:L122"/>
    <mergeCell ref="M121:M122"/>
    <mergeCell ref="N121:N122"/>
    <mergeCell ref="K117:K118"/>
    <mergeCell ref="E117:E128"/>
    <mergeCell ref="F117:F128"/>
    <mergeCell ref="G117:G128"/>
    <mergeCell ref="I117:I120"/>
    <mergeCell ref="J117:J118"/>
    <mergeCell ref="J119:J120"/>
    <mergeCell ref="I121:I124"/>
    <mergeCell ref="J121:J122"/>
    <mergeCell ref="J123:J124"/>
    <mergeCell ref="H117:H124"/>
    <mergeCell ref="H125:H128"/>
    <mergeCell ref="I125:I128"/>
    <mergeCell ref="J125:J126"/>
    <mergeCell ref="J127:J128"/>
    <mergeCell ref="T7:W7"/>
    <mergeCell ref="M9:M10"/>
    <mergeCell ref="J73:J74"/>
    <mergeCell ref="M25:M26"/>
    <mergeCell ref="N25:N26"/>
    <mergeCell ref="M27:M28"/>
    <mergeCell ref="N27:N28"/>
    <mergeCell ref="K17:K18"/>
    <mergeCell ref="L17:L18"/>
    <mergeCell ref="M17:M18"/>
    <mergeCell ref="N17:N18"/>
    <mergeCell ref="K19:K20"/>
    <mergeCell ref="L19:L20"/>
    <mergeCell ref="M19:M20"/>
    <mergeCell ref="N19:N20"/>
    <mergeCell ref="J59:J60"/>
    <mergeCell ref="K59:K60"/>
    <mergeCell ref="L59:L60"/>
    <mergeCell ref="L65:L66"/>
    <mergeCell ref="J67:J68"/>
    <mergeCell ref="J61:J62"/>
    <mergeCell ref="J51:J52"/>
    <mergeCell ref="K49:K50"/>
    <mergeCell ref="K55:K56"/>
    <mergeCell ref="A1:R1"/>
    <mergeCell ref="K3:R3"/>
    <mergeCell ref="B7:B8"/>
    <mergeCell ref="C7:C8"/>
    <mergeCell ref="D7:D8"/>
    <mergeCell ref="E7:E8"/>
    <mergeCell ref="F7:F8"/>
    <mergeCell ref="G7:G8"/>
    <mergeCell ref="H7:H8"/>
    <mergeCell ref="I7:I8"/>
    <mergeCell ref="J7:J8"/>
    <mergeCell ref="K7:N7"/>
    <mergeCell ref="O7:R7"/>
    <mergeCell ref="F81:F104"/>
    <mergeCell ref="J99:J100"/>
    <mergeCell ref="J91:J92"/>
    <mergeCell ref="N9:N10"/>
    <mergeCell ref="L11:L12"/>
    <mergeCell ref="L9:L10"/>
    <mergeCell ref="M11:M12"/>
    <mergeCell ref="N11:N12"/>
    <mergeCell ref="G9:G12"/>
    <mergeCell ref="I9:I12"/>
    <mergeCell ref="J9:J10"/>
    <mergeCell ref="J11:J12"/>
    <mergeCell ref="K11:K12"/>
    <mergeCell ref="I49:I52"/>
    <mergeCell ref="G17:G20"/>
    <mergeCell ref="I17:I20"/>
    <mergeCell ref="I73:I76"/>
    <mergeCell ref="H53:H76"/>
    <mergeCell ref="H41:H48"/>
    <mergeCell ref="L55:L56"/>
    <mergeCell ref="J95:J96"/>
    <mergeCell ref="K95:K96"/>
    <mergeCell ref="G57:G60"/>
    <mergeCell ref="G61:G64"/>
    <mergeCell ref="J69:J70"/>
    <mergeCell ref="K69:K70"/>
    <mergeCell ref="J53:J54"/>
    <mergeCell ref="K53:K54"/>
    <mergeCell ref="J55:J56"/>
    <mergeCell ref="J63:J64"/>
    <mergeCell ref="K63:K64"/>
    <mergeCell ref="K77:K78"/>
    <mergeCell ref="J79:J80"/>
    <mergeCell ref="J77:J78"/>
    <mergeCell ref="K61:K62"/>
    <mergeCell ref="K79:K80"/>
    <mergeCell ref="E81:E104"/>
    <mergeCell ref="G73:G76"/>
    <mergeCell ref="G53:G56"/>
    <mergeCell ref="H101:H104"/>
    <mergeCell ref="H81:H100"/>
    <mergeCell ref="I97:I100"/>
    <mergeCell ref="I101:I104"/>
    <mergeCell ref="G69:G72"/>
    <mergeCell ref="G97:G100"/>
    <mergeCell ref="G81:G84"/>
    <mergeCell ref="G85:G88"/>
    <mergeCell ref="G89:G92"/>
    <mergeCell ref="G93:G96"/>
    <mergeCell ref="G101:G104"/>
    <mergeCell ref="I93:I96"/>
    <mergeCell ref="I81:I84"/>
    <mergeCell ref="G65:G68"/>
    <mergeCell ref="F53:F80"/>
    <mergeCell ref="I69:I72"/>
    <mergeCell ref="I61:I64"/>
    <mergeCell ref="I65:I68"/>
    <mergeCell ref="H77:H80"/>
    <mergeCell ref="G77:G80"/>
    <mergeCell ref="I77:I80"/>
    <mergeCell ref="E105:E116"/>
    <mergeCell ref="F105:F116"/>
    <mergeCell ref="G105:G116"/>
    <mergeCell ref="H113:H116"/>
    <mergeCell ref="I113:I116"/>
    <mergeCell ref="J113:J114"/>
    <mergeCell ref="H105:H112"/>
    <mergeCell ref="I109:I112"/>
    <mergeCell ref="J105:J106"/>
    <mergeCell ref="J115:J116"/>
    <mergeCell ref="M103:M104"/>
    <mergeCell ref="M99:M100"/>
    <mergeCell ref="K107:K108"/>
    <mergeCell ref="I105:I108"/>
    <mergeCell ref="L105:L106"/>
    <mergeCell ref="M101:M102"/>
    <mergeCell ref="L107:L108"/>
    <mergeCell ref="L111:L112"/>
    <mergeCell ref="K109:K110"/>
    <mergeCell ref="J111:J112"/>
    <mergeCell ref="J107:J108"/>
    <mergeCell ref="J109:J110"/>
    <mergeCell ref="J101:J102"/>
    <mergeCell ref="J103:J104"/>
    <mergeCell ref="K101:K102"/>
    <mergeCell ref="K103:K104"/>
    <mergeCell ref="L103:L104"/>
  </mergeCells>
  <conditionalFormatting sqref="K9:K164">
    <cfRule type="expression" dxfId="142" priority="18">
      <formula>K9&lt;$K$4</formula>
    </cfRule>
  </conditionalFormatting>
  <conditionalFormatting sqref="K33:K36 K81:K100">
    <cfRule type="expression" dxfId="141" priority="343">
      <formula>K33&lt;$K$5</formula>
    </cfRule>
  </conditionalFormatting>
  <conditionalFormatting sqref="K45:K48">
    <cfRule type="expression" dxfId="140" priority="337">
      <formula>K45&lt;$K$5</formula>
    </cfRule>
  </conditionalFormatting>
  <conditionalFormatting sqref="K53:K72 K117:K164">
    <cfRule type="expression" dxfId="139" priority="349">
      <formula>K53&lt;$K$5</formula>
    </cfRule>
  </conditionalFormatting>
  <conditionalFormatting sqref="K109:K112">
    <cfRule type="expression" dxfId="138" priority="301">
      <formula>K109&lt;$K$5</formula>
    </cfRule>
  </conditionalFormatting>
  <conditionalFormatting sqref="K9:R164">
    <cfRule type="cellIs" dxfId="137" priority="19" operator="greaterThanOrEqual">
      <formula>10000</formula>
    </cfRule>
    <cfRule type="cellIs" dxfId="136" priority="20" operator="greaterThanOrEqual">
      <formula>10</formula>
    </cfRule>
    <cfRule type="cellIs" dxfId="135" priority="21" operator="between">
      <formula>1</formula>
      <formula>10</formula>
    </cfRule>
    <cfRule type="cellIs" dxfId="134" priority="22" operator="between">
      <formula>0.1</formula>
      <formula>0.999</formula>
    </cfRule>
    <cfRule type="cellIs" dxfId="133" priority="23" operator="lessThan">
      <formula>0.1</formula>
    </cfRule>
  </conditionalFormatting>
  <conditionalFormatting sqref="L9:L32 L37:L44 L49:L72 L77:L96 L101:L108 L113:L120 L125:L132 L137:L144 L149:L156 L161:L164">
    <cfRule type="expression" dxfId="132" priority="16">
      <formula>L9&lt;$L$4</formula>
    </cfRule>
  </conditionalFormatting>
  <conditionalFormatting sqref="L33:L36">
    <cfRule type="expression" dxfId="131" priority="131">
      <formula>L33&lt;$L$5</formula>
    </cfRule>
  </conditionalFormatting>
  <conditionalFormatting sqref="L45:L48">
    <cfRule type="expression" dxfId="130" priority="123">
      <formula>L45&lt;$L$5</formula>
    </cfRule>
  </conditionalFormatting>
  <conditionalFormatting sqref="L73:L76 L117:L164">
    <cfRule type="expression" dxfId="129" priority="139">
      <formula>L73&lt;$L$5</formula>
    </cfRule>
  </conditionalFormatting>
  <conditionalFormatting sqref="L97:L100">
    <cfRule type="expression" dxfId="128" priority="99">
      <formula>L97&lt;$L$5</formula>
    </cfRule>
  </conditionalFormatting>
  <conditionalFormatting sqref="L109:L112">
    <cfRule type="expression" dxfId="127" priority="75">
      <formula>L109&lt;$L$5</formula>
    </cfRule>
  </conditionalFormatting>
  <conditionalFormatting sqref="M9:M32 M49:M72 M77:M96 M101:M108 M113:M164">
    <cfRule type="expression" dxfId="126" priority="5">
      <formula>M9&lt;$M$4</formula>
    </cfRule>
  </conditionalFormatting>
  <conditionalFormatting sqref="M33:M36">
    <cfRule type="expression" dxfId="125" priority="130">
      <formula>M33&lt;$M$5</formula>
    </cfRule>
  </conditionalFormatting>
  <conditionalFormatting sqref="M37:M44">
    <cfRule type="expression" dxfId="124" priority="15">
      <formula>M37&lt;$M$4</formula>
    </cfRule>
  </conditionalFormatting>
  <conditionalFormatting sqref="M45:M48">
    <cfRule type="expression" dxfId="123" priority="122">
      <formula>M45&lt;$M$5</formula>
    </cfRule>
  </conditionalFormatting>
  <conditionalFormatting sqref="M73:M76">
    <cfRule type="expression" dxfId="122" priority="12">
      <formula>M73&lt;$M$5</formula>
    </cfRule>
  </conditionalFormatting>
  <conditionalFormatting sqref="M97:M100">
    <cfRule type="expression" dxfId="121" priority="98">
      <formula>M97&lt;$M$5</formula>
    </cfRule>
  </conditionalFormatting>
  <conditionalFormatting sqref="M109:M112">
    <cfRule type="expression" dxfId="120" priority="74">
      <formula>M109&lt;$M$5</formula>
    </cfRule>
  </conditionalFormatting>
  <conditionalFormatting sqref="M121:M124">
    <cfRule type="expression" dxfId="119" priority="10">
      <formula>M121&lt;$M$5</formula>
    </cfRule>
  </conditionalFormatting>
  <conditionalFormatting sqref="M133:M136">
    <cfRule type="expression" dxfId="118" priority="8">
      <formula>M133&lt;$M$5</formula>
    </cfRule>
  </conditionalFormatting>
  <conditionalFormatting sqref="M145:M148">
    <cfRule type="expression" dxfId="117" priority="7">
      <formula>M145&lt;$M$5</formula>
    </cfRule>
  </conditionalFormatting>
  <conditionalFormatting sqref="M157:M160">
    <cfRule type="expression" dxfId="116" priority="6">
      <formula>M157&lt;$M$5</formula>
    </cfRule>
  </conditionalFormatting>
  <conditionalFormatting sqref="N9:N164">
    <cfRule type="expression" dxfId="115" priority="24">
      <formula>N9&gt;$N$5</formula>
    </cfRule>
  </conditionalFormatting>
  <conditionalFormatting sqref="O9:Q9 O11:Q11 O25:Q25 O27:Q27 O123:Q123">
    <cfRule type="expression" dxfId="114" priority="1239">
      <formula>O9&lt;$O$5</formula>
    </cfRule>
  </conditionalFormatting>
  <conditionalFormatting sqref="P9:Q9 P11:Q11 P25:Q25 P27:Q27 P123:Q123">
    <cfRule type="expression" dxfId="113" priority="1240">
      <formula>P9&lt;$Q$5</formula>
    </cfRule>
  </conditionalFormatting>
  <conditionalFormatting sqref="R9 R11 R25 R27 R123">
    <cfRule type="expression" dxfId="112" priority="1241">
      <formula>R9&gt;$R$5</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F53F590B-A07D-4623-BF0D-F103D0FBB70E}">
          <x14:formula1>
            <xm:f>'List Values'!$F$20:$F$22</xm:f>
          </x14:formula1>
          <xm:sqref>T9:W9 T11:W11</xm:sqref>
        </x14:dataValidation>
        <x14:dataValidation type="list" allowBlank="1" showInputMessage="1" showErrorMessage="1" xr:uid="{33A76FC7-DD05-46C6-BA35-45A3ED0A97E7}">
          <x14:formula1>
            <xm:f>'List Values'!$I$2:$I$4</xm:f>
          </x14:formula1>
          <xm:sqref>T25:W25 T27:W27 T123:W123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AD8A6-1677-465E-88B2-1343E7284108}">
  <sheetPr codeName="Sheet6">
    <tabColor rgb="FF92D050"/>
  </sheetPr>
  <dimension ref="A1:AB66"/>
  <sheetViews>
    <sheetView workbookViewId="0"/>
  </sheetViews>
  <sheetFormatPr defaultColWidth="8.85546875" defaultRowHeight="12.75" x14ac:dyDescent="0.25"/>
  <cols>
    <col min="1" max="1" width="2.28515625" style="214" customWidth="1"/>
    <col min="2" max="2" width="4.85546875" style="211" bestFit="1" customWidth="1"/>
    <col min="3" max="3" width="11.7109375" style="66" customWidth="1"/>
    <col min="4" max="4" width="14.28515625" style="378" customWidth="1"/>
    <col min="5" max="5" width="22.140625" style="66" customWidth="1"/>
    <col min="6" max="6" width="18.5703125" style="66" customWidth="1"/>
    <col min="7" max="7" width="2.7109375" style="214" customWidth="1"/>
    <col min="8" max="8" width="21.7109375" style="214" customWidth="1"/>
    <col min="9" max="9" width="17.42578125" style="214" customWidth="1"/>
    <col min="10" max="10" width="16.7109375" style="214" customWidth="1"/>
    <col min="11" max="13" width="14" style="214" customWidth="1"/>
    <col min="14" max="14" width="16.140625" style="214" customWidth="1"/>
    <col min="15" max="16" width="14" style="214" customWidth="1"/>
    <col min="17" max="17" width="7.42578125" style="214" customWidth="1"/>
    <col min="18" max="18" width="6.85546875" style="214" customWidth="1"/>
    <col min="19" max="19" width="18" style="214" bestFit="1" customWidth="1"/>
    <col min="20" max="20" width="16.85546875" style="214" customWidth="1"/>
    <col min="21" max="21" width="12.85546875" style="214" customWidth="1"/>
    <col min="22" max="22" width="15.7109375" style="214" customWidth="1"/>
    <col min="23" max="23" width="14" style="214" customWidth="1"/>
    <col min="24" max="24" width="10.42578125" style="214" customWidth="1"/>
    <col min="25" max="25" width="10.140625" style="214" customWidth="1"/>
    <col min="26" max="16384" width="8.85546875" style="214"/>
  </cols>
  <sheetData>
    <row r="1" spans="1:25" ht="13.5" thickBot="1" x14ac:dyDescent="0.3"/>
    <row r="2" spans="1:25" s="171" customFormat="1" ht="15.75" customHeight="1" thickBot="1" x14ac:dyDescent="0.3">
      <c r="B2" s="379"/>
      <c r="C2" s="67"/>
      <c r="D2" s="67"/>
      <c r="E2" s="67"/>
      <c r="F2" s="67"/>
      <c r="H2" s="380" t="s">
        <v>70</v>
      </c>
      <c r="I2" s="381" t="s">
        <v>196</v>
      </c>
      <c r="J2" s="382"/>
      <c r="L2" s="383"/>
      <c r="S2" s="384" t="s">
        <v>71</v>
      </c>
    </row>
    <row r="3" spans="1:25" s="171" customFormat="1" ht="25.5" x14ac:dyDescent="0.25">
      <c r="B3" s="379"/>
      <c r="C3" s="67"/>
      <c r="D3" s="67"/>
      <c r="E3" s="67"/>
      <c r="F3" s="67"/>
      <c r="H3" s="385" t="s">
        <v>72</v>
      </c>
      <c r="I3" s="386" t="s">
        <v>197</v>
      </c>
      <c r="J3" s="387"/>
      <c r="S3" s="388" t="s">
        <v>73</v>
      </c>
    </row>
    <row r="4" spans="1:25" s="171" customFormat="1" ht="25.5" x14ac:dyDescent="0.25">
      <c r="B4" s="379"/>
      <c r="C4" s="67"/>
      <c r="D4" s="67"/>
      <c r="E4" s="67"/>
      <c r="F4" s="67"/>
      <c r="H4" s="389" t="s">
        <v>407</v>
      </c>
      <c r="I4" s="390" t="s">
        <v>97</v>
      </c>
      <c r="J4" s="61"/>
      <c r="S4" s="391" t="str">
        <f>VLOOKUP(H4, 'List Values'!B2:C26, 2, FALSE)</f>
        <v>Manufacture (OES #1)</v>
      </c>
    </row>
    <row r="5" spans="1:25" s="171" customFormat="1" ht="23.25" customHeight="1" x14ac:dyDescent="0.25">
      <c r="A5" s="392"/>
      <c r="B5" s="379"/>
      <c r="C5" s="67"/>
      <c r="D5" s="67"/>
      <c r="E5" s="67"/>
      <c r="F5" s="67"/>
      <c r="J5" s="67"/>
      <c r="K5" s="67"/>
      <c r="L5" s="393"/>
      <c r="M5" s="393"/>
      <c r="S5" s="66"/>
      <c r="T5" s="67"/>
      <c r="U5" s="394"/>
    </row>
    <row r="6" spans="1:25" s="171" customFormat="1" x14ac:dyDescent="0.25">
      <c r="B6" s="379"/>
      <c r="C6" s="67"/>
      <c r="D6" s="67"/>
      <c r="E6" s="67"/>
      <c r="F6" s="67"/>
      <c r="H6" s="394" t="s">
        <v>74</v>
      </c>
      <c r="I6" s="379"/>
      <c r="J6" s="67"/>
      <c r="K6" s="67"/>
      <c r="L6" s="67"/>
      <c r="M6" s="67"/>
      <c r="S6" s="394" t="s">
        <v>71</v>
      </c>
      <c r="T6" s="214"/>
      <c r="U6" s="214"/>
      <c r="V6" s="66"/>
      <c r="W6" s="67"/>
    </row>
    <row r="7" spans="1:25" ht="13.5" thickBot="1" x14ac:dyDescent="0.3">
      <c r="H7" s="395" t="s">
        <v>75</v>
      </c>
      <c r="I7" s="211"/>
      <c r="L7" s="67"/>
      <c r="M7" s="67"/>
      <c r="S7" s="395" t="s">
        <v>75</v>
      </c>
      <c r="V7" s="66"/>
      <c r="W7" s="67"/>
    </row>
    <row r="8" spans="1:25" ht="51" x14ac:dyDescent="0.25">
      <c r="H8" s="396" t="s">
        <v>76</v>
      </c>
      <c r="I8" s="111" t="s">
        <v>77</v>
      </c>
      <c r="J8" s="74" t="s">
        <v>78</v>
      </c>
      <c r="K8" s="74" t="s">
        <v>79</v>
      </c>
      <c r="L8" s="74" t="s">
        <v>80</v>
      </c>
      <c r="M8" s="74" t="s">
        <v>81</v>
      </c>
      <c r="N8" s="75" t="s">
        <v>82</v>
      </c>
      <c r="S8" s="72" t="s">
        <v>76</v>
      </c>
      <c r="T8" s="77" t="s">
        <v>77</v>
      </c>
      <c r="U8" s="74" t="s">
        <v>83</v>
      </c>
      <c r="V8" s="74" t="s">
        <v>84</v>
      </c>
      <c r="W8" s="74" t="s">
        <v>85</v>
      </c>
      <c r="X8" s="74" t="s">
        <v>86</v>
      </c>
      <c r="Y8" s="75" t="s">
        <v>87</v>
      </c>
    </row>
    <row r="9" spans="1:25" ht="40.5" customHeight="1" thickBot="1" x14ac:dyDescent="0.3">
      <c r="H9" s="397"/>
      <c r="I9" s="119"/>
      <c r="J9" s="80" t="s">
        <v>88</v>
      </c>
      <c r="K9" s="80" t="s">
        <v>89</v>
      </c>
      <c r="L9" s="80" t="s">
        <v>90</v>
      </c>
      <c r="M9" s="80" t="s">
        <v>90</v>
      </c>
      <c r="N9" s="81" t="s">
        <v>91</v>
      </c>
      <c r="S9" s="78"/>
      <c r="T9" s="398"/>
      <c r="U9" s="80" t="s">
        <v>92</v>
      </c>
      <c r="V9" s="80" t="s">
        <v>93</v>
      </c>
      <c r="W9" s="80" t="s">
        <v>94</v>
      </c>
      <c r="X9" s="80" t="s">
        <v>95</v>
      </c>
      <c r="Y9" s="81" t="s">
        <v>96</v>
      </c>
    </row>
    <row r="10" spans="1:25" x14ac:dyDescent="0.25">
      <c r="H10" s="86" t="s">
        <v>97</v>
      </c>
      <c r="I10" s="399" t="s">
        <v>98</v>
      </c>
      <c r="J10" s="88">
        <f>SUMIFS('Inhalation Exposure'!$H:$H,'Inhalation Exposure'!$C:$C,$H$4,'Inhalation Exposure'!$D:$D,$H10)</f>
        <v>4.9656250000000004E-3</v>
      </c>
      <c r="K10" s="88">
        <f>SUMIFS('Inhalation Exposure'!$J:$J,'Inhalation Exposure'!$C:$C,$H$4,'Inhalation Exposure'!$D:$D,$H10)</f>
        <v>3.3779761904761908E-3</v>
      </c>
      <c r="L10" s="88">
        <f>SUMIFS('Inhalation Exposure'!$L:$L,'Inhalation Exposure'!$C:$C,$H$4,'Inhalation Exposure'!$D:$D,$H10)</f>
        <v>2.4771825396825401E-3</v>
      </c>
      <c r="M10" s="88">
        <f>SUMIFS('Inhalation Exposure'!$N:$N,'Inhalation Exposure'!$C:$C,$H$4,'Inhalation Exposure'!$D:$D,$H10)</f>
        <v>2.3136823222439664E-3</v>
      </c>
      <c r="N10" s="89">
        <f>SUMIFS('Inhalation Exposure'!$P:$P,'Inhalation Exposure'!$C:$C,$H$4,'Inhalation Exposure'!$D:$D,$H10)</f>
        <v>9.1954041012260205E-4</v>
      </c>
      <c r="S10" s="400" t="s">
        <v>99</v>
      </c>
      <c r="T10" s="401" t="s">
        <v>98</v>
      </c>
      <c r="U10" s="402">
        <f ca="1">IF($I$4="ONU","-",SUMIF('Dermal Exposure'!$B$6:$B$15,$S$4,'Dermal Exposure'!H$6:H$11))</f>
        <v>11.328176041097972</v>
      </c>
      <c r="V10" s="402">
        <f ca="1">IF($I$4="ONU","-",SUMIF('Dermal Exposure'!$B$6:$B$15,$S$4,'Dermal Exposure'!I$6:I$11))</f>
        <v>0.14160220051372466</v>
      </c>
      <c r="W10" s="402">
        <f ca="1">IF($I$4="ONU","-",SUMIF('Dermal Exposure'!$B$6:$B$15,$S$4,'Dermal Exposure'!J$6:J$11))</f>
        <v>0.10384161371006476</v>
      </c>
      <c r="X10" s="402">
        <f ca="1">IF($I$4="ONU","-",SUMIF('Dermal Exposure'!$B$6:$B$15,$S$4,'Dermal Exposure'!K$6:K$11))</f>
        <v>9.6987808571044276E-2</v>
      </c>
      <c r="Y10" s="403">
        <f ca="1">IF($I$4="ONU","-",SUMIF('Dermal Exposure'!$B$6:$B$15,$S$4,'Dermal Exposure'!L$6:L$11))</f>
        <v>3.5595848339469563E-2</v>
      </c>
    </row>
    <row r="11" spans="1:25" x14ac:dyDescent="0.25">
      <c r="H11" s="95" t="s">
        <v>100</v>
      </c>
      <c r="I11" s="404"/>
      <c r="J11" s="88">
        <f>SUMIFS('Inhalation Exposure'!$H:$H,'Inhalation Exposure'!$C:$C,$H$4,'Inhalation Exposure'!$D:$D,$H11)</f>
        <v>4.9211458333333334E-4</v>
      </c>
      <c r="K11" s="88">
        <f>SUMIFS('Inhalation Exposure'!$J:$J,'Inhalation Exposure'!$C:$C,$H$4,'Inhalation Exposure'!$D:$D,$H11)</f>
        <v>3.3477182539682536E-4</v>
      </c>
      <c r="L11" s="88">
        <f>SUMIFS('Inhalation Exposure'!$L:$L,'Inhalation Exposure'!$C:$C,$H$4,'Inhalation Exposure'!$D:$D,$H11)</f>
        <v>2.4549933862433863E-4</v>
      </c>
      <c r="M11" s="88">
        <f>SUMIFS('Inhalation Exposure'!$N:$N,'Inhalation Exposure'!$C:$C,$H$4,'Inhalation Exposure'!$D:$D,$H11)</f>
        <v>2.2929577081974345E-4</v>
      </c>
      <c r="N11" s="89">
        <f>SUMIFS('Inhalation Exposure'!$P:$P,'Inhalation Exposure'!$C:$C,$H$4,'Inhalation Exposure'!$D:$D,$H11)</f>
        <v>9.1130370454000595E-5</v>
      </c>
      <c r="S11" s="91"/>
      <c r="T11" s="92" t="s">
        <v>198</v>
      </c>
      <c r="U11" s="88">
        <f ca="1">IF($I$4="ONU","-",SUMIF('Dermal Exposure'!$B$6:$B$15,$S$4,'Dermal Exposure'!C$6:C$11))</f>
        <v>28.177423570461148</v>
      </c>
      <c r="V11" s="88">
        <f ca="1">IF($I$4="ONU","-",SUMIF('Dermal Exposure'!$B$6:$B$15,$S$4,'Dermal Exposure'!D$6:D$11))</f>
        <v>0.35221779463076436</v>
      </c>
      <c r="W11" s="88">
        <f ca="1">IF($I$4="ONU","-",SUMIF('Dermal Exposure'!$B$6:$B$15,$S$4,'Dermal Exposure'!E$6:E$11))</f>
        <v>0.25829304939589387</v>
      </c>
      <c r="X11" s="402">
        <f ca="1">IF($I$4="ONU","-",SUMIF('Dermal Exposure'!$B$6:$B$15,$S$4,'Dermal Exposure'!F$6:F$11))</f>
        <v>0.24124506481559202</v>
      </c>
      <c r="Y11" s="403">
        <f ca="1">IF($I$4="ONU","-",SUMIF('Dermal Exposure'!$B$6:$B$15,$S$4,'Dermal Exposure'!G$6:G$11))</f>
        <v>9.980347228755046E-2</v>
      </c>
    </row>
    <row r="12" spans="1:25" x14ac:dyDescent="0.25">
      <c r="H12" s="95" t="s">
        <v>97</v>
      </c>
      <c r="I12" s="405" t="s">
        <v>101</v>
      </c>
      <c r="J12" s="88">
        <f>SUMIFS('Inhalation Exposure'!$I:$I,'Inhalation Exposure'!$C:$C,$H$4,'Inhalation Exposure'!$D:$D,$H12)</f>
        <v>2.6409062499999997E-2</v>
      </c>
      <c r="K12" s="88">
        <f>SUMIFS('Inhalation Exposure'!$K:$K,'Inhalation Exposure'!$C:$C,$H$4,'Inhalation Exposure'!$D:$D,$H12)</f>
        <v>1.7965348639455783E-2</v>
      </c>
      <c r="L12" s="88">
        <f>SUMIFS('Inhalation Exposure'!$M:$M,'Inhalation Exposure'!$C:$C,$H$4,'Inhalation Exposure'!$D:$D,$H12)</f>
        <v>1.3174589002267574E-2</v>
      </c>
      <c r="M12" s="88">
        <f>SUMIFS('Inhalation Exposure'!$O:$O,'Inhalation Exposure'!$C:$C,$H$4,'Inhalation Exposure'!$D:$D,$H12)</f>
        <v>1.2305033314695742E-2</v>
      </c>
      <c r="N12" s="89">
        <f>SUMIFS('Inhalation Exposure'!$Q:$Q,'Inhalation Exposure'!$C:$C,$H$4,'Inhalation Exposure'!$D:$D,$H12)</f>
        <v>6.3102734947157648E-3</v>
      </c>
      <c r="S12" s="406" t="str">
        <f>_xlfn.CONCAT("Worker with Gloves; 
PF of ",'List Values'!I2)</f>
        <v>Worker with Gloves; 
PF of 5</v>
      </c>
      <c r="T12" s="92" t="s">
        <v>98</v>
      </c>
      <c r="U12" s="88">
        <f ca="1">IFERROR(U10/'List Values'!$I$2, "-")</f>
        <v>2.2656352082195945</v>
      </c>
      <c r="V12" s="88">
        <f ca="1">IFERROR(V10/'List Values'!$I$2, "-")</f>
        <v>2.8320440102744933E-2</v>
      </c>
      <c r="W12" s="88">
        <f ca="1">IFERROR(W10/'List Values'!$I$2, "-")</f>
        <v>2.076832274201295E-2</v>
      </c>
      <c r="X12" s="88">
        <f ca="1">IFERROR(X10/'List Values'!$I$2, "-")</f>
        <v>1.9397561714208856E-2</v>
      </c>
      <c r="Y12" s="89">
        <f ca="1">IFERROR(Y10/'List Values'!$I$2, "-")</f>
        <v>7.1191696678939128E-3</v>
      </c>
    </row>
    <row r="13" spans="1:25" ht="13.5" thickBot="1" x14ac:dyDescent="0.3">
      <c r="H13" s="103" t="s">
        <v>100</v>
      </c>
      <c r="I13" s="407"/>
      <c r="J13" s="105">
        <f>SUMIFS('Inhalation Exposure'!$I:$I,'Inhalation Exposure'!$C:$C,$H$4,'Inhalation Exposure'!$D:$D,$H13)</f>
        <v>1.7867187499999995E-3</v>
      </c>
      <c r="K13" s="105">
        <f>SUMIFS('Inhalation Exposure'!$K:$K,'Inhalation Exposure'!$C:$C,$H$4,'Inhalation Exposure'!$D:$D,$H13)</f>
        <v>1.2154549319727888E-3</v>
      </c>
      <c r="L13" s="105">
        <f>SUMIFS('Inhalation Exposure'!$M:$M,'Inhalation Exposure'!$C:$C,$H$4,'Inhalation Exposure'!$D:$D,$H13)</f>
        <v>8.9133361678004513E-4</v>
      </c>
      <c r="M13" s="105">
        <f>SUMIFS('Inhalation Exposure'!$O:$O,'Inhalation Exposure'!$C:$C,$H$4,'Inhalation Exposure'!$D:$D,$H13)</f>
        <v>8.3250337806355394E-4</v>
      </c>
      <c r="N13" s="106">
        <f>SUMIFS('Inhalation Exposure'!$Q:$Q,'Inhalation Exposure'!$C:$C,$H$4,'Inhalation Exposure'!$D:$D,$H13)</f>
        <v>4.2692480926336099E-4</v>
      </c>
      <c r="S13" s="406"/>
      <c r="T13" s="92" t="s">
        <v>198</v>
      </c>
      <c r="U13" s="88">
        <f ca="1">IFERROR(U11/'List Values'!$I$2, "-")</f>
        <v>5.6354847140922297</v>
      </c>
      <c r="V13" s="88">
        <f ca="1">IFERROR(V11/'List Values'!$I$2, "-")</f>
        <v>7.0443558926152866E-2</v>
      </c>
      <c r="W13" s="88">
        <f ca="1">IFERROR(W11/'List Values'!$I$2, "-")</f>
        <v>5.1658609879178773E-2</v>
      </c>
      <c r="X13" s="88">
        <f ca="1">IFERROR(X11/'List Values'!$I$2, "-")</f>
        <v>4.8249012963118405E-2</v>
      </c>
      <c r="Y13" s="89">
        <f ca="1">IFERROR(Y11/'List Values'!$I$2, "-")</f>
        <v>1.9960694457510093E-2</v>
      </c>
    </row>
    <row r="14" spans="1:25" x14ac:dyDescent="0.25">
      <c r="S14" s="406" t="str">
        <f>_xlfn.CONCAT("Worker with Gloves; 
PF of ",'List Values'!I3)</f>
        <v>Worker with Gloves; 
PF of 10</v>
      </c>
      <c r="T14" s="92" t="s">
        <v>98</v>
      </c>
      <c r="U14" s="88">
        <f ca="1">IFERROR(U10/'List Values'!$I$3, "-")</f>
        <v>1.1328176041097973</v>
      </c>
      <c r="V14" s="88">
        <f ca="1">IFERROR(V10/'List Values'!$I$3, "-")</f>
        <v>1.4160220051372466E-2</v>
      </c>
      <c r="W14" s="88">
        <f ca="1">IFERROR(W10/'List Values'!$I$3, "-")</f>
        <v>1.0384161371006475E-2</v>
      </c>
      <c r="X14" s="88">
        <f ca="1">IFERROR(X10/'List Values'!$I$3, "-")</f>
        <v>9.698780857104428E-3</v>
      </c>
      <c r="Y14" s="89">
        <f ca="1">IFERROR(Y10/'List Values'!$I$3, "-")</f>
        <v>3.5595848339469564E-3</v>
      </c>
    </row>
    <row r="15" spans="1:25" x14ac:dyDescent="0.25">
      <c r="D15" s="66"/>
      <c r="H15" s="211"/>
      <c r="S15" s="406"/>
      <c r="T15" s="92" t="s">
        <v>198</v>
      </c>
      <c r="U15" s="88">
        <f ca="1">IFERROR(U11/'List Values'!$I$3, "-")</f>
        <v>2.8177423570461149</v>
      </c>
      <c r="V15" s="88">
        <f ca="1">IFERROR(V11/'List Values'!$I$3, "-")</f>
        <v>3.5221779463076433E-2</v>
      </c>
      <c r="W15" s="88">
        <f ca="1">IFERROR(W11/'List Values'!$I$3, "-")</f>
        <v>2.5829304939589386E-2</v>
      </c>
      <c r="X15" s="88">
        <f ca="1">IFERROR(X11/'List Values'!$I$3, "-")</f>
        <v>2.4124506481559203E-2</v>
      </c>
      <c r="Y15" s="89">
        <f ca="1">IFERROR(Y11/'List Values'!$I$3, "-")</f>
        <v>9.9803472287550467E-3</v>
      </c>
    </row>
    <row r="16" spans="1:25" ht="15" customHeight="1" x14ac:dyDescent="0.25">
      <c r="D16" s="66"/>
      <c r="H16" s="211"/>
      <c r="S16" s="406" t="str">
        <f>_xlfn.CONCAT("Worker with Gloves; 
PF of ",'List Values'!I4)</f>
        <v>Worker with Gloves; 
PF of 20</v>
      </c>
      <c r="T16" s="92" t="s">
        <v>98</v>
      </c>
      <c r="U16" s="88">
        <f ca="1">IFERROR(U10/'List Values'!$I$4, "-")</f>
        <v>0.56640880205489863</v>
      </c>
      <c r="V16" s="88">
        <f ca="1">IFERROR(V10/'List Values'!$I$4, "-")</f>
        <v>7.0801100256862332E-3</v>
      </c>
      <c r="W16" s="88">
        <f ca="1">IFERROR(W10/'List Values'!$I$4, "-")</f>
        <v>5.1920806855032375E-3</v>
      </c>
      <c r="X16" s="88">
        <f ca="1">IFERROR(X10/'List Values'!$I$4, "-")</f>
        <v>4.849390428552214E-3</v>
      </c>
      <c r="Y16" s="89">
        <f ca="1">IFERROR(Y10/'List Values'!$I$4, "-")</f>
        <v>1.7797924169734782E-3</v>
      </c>
    </row>
    <row r="17" spans="2:28" ht="13.5" thickBot="1" x14ac:dyDescent="0.3">
      <c r="D17" s="66"/>
      <c r="H17" s="211"/>
      <c r="S17" s="408"/>
      <c r="T17" s="98" t="s">
        <v>198</v>
      </c>
      <c r="U17" s="105">
        <f ca="1">IFERROR(U11/'List Values'!$I$4, "-")</f>
        <v>1.4088711785230574</v>
      </c>
      <c r="V17" s="105">
        <f ca="1">IFERROR(V11/'List Values'!$I$4, "-")</f>
        <v>1.7610889731538217E-2</v>
      </c>
      <c r="W17" s="105">
        <f ca="1">IFERROR(W11/'List Values'!$I$4, "-")</f>
        <v>1.2914652469794693E-2</v>
      </c>
      <c r="X17" s="105">
        <f ca="1">IFERROR(X11/'List Values'!$I$4, "-")</f>
        <v>1.2062253240779601E-2</v>
      </c>
      <c r="Y17" s="106">
        <f ca="1">IFERROR(Y11/'List Values'!$I$4, "-")</f>
        <v>4.9901736143775233E-3</v>
      </c>
    </row>
    <row r="18" spans="2:28" s="171" customFormat="1" x14ac:dyDescent="0.25">
      <c r="B18" s="379"/>
      <c r="C18" s="76"/>
      <c r="D18" s="76"/>
      <c r="E18" s="76"/>
      <c r="F18" s="76"/>
      <c r="G18" s="76"/>
      <c r="H18" s="148"/>
      <c r="I18" s="67"/>
      <c r="K18" s="148"/>
      <c r="L18" s="148"/>
      <c r="M18" s="148"/>
      <c r="N18" s="148"/>
      <c r="O18" s="148"/>
      <c r="P18" s="148"/>
      <c r="R18" s="76"/>
      <c r="S18" s="148"/>
      <c r="T18" s="67"/>
      <c r="V18" s="148"/>
    </row>
    <row r="19" spans="2:28" s="171" customFormat="1" ht="36" customHeight="1" thickBot="1" x14ac:dyDescent="0.3">
      <c r="B19" s="379"/>
      <c r="C19" s="67"/>
      <c r="D19" s="117"/>
      <c r="E19" s="117"/>
      <c r="F19" s="117"/>
      <c r="G19" s="409"/>
      <c r="H19" s="409" t="s">
        <v>199</v>
      </c>
      <c r="I19" s="67"/>
      <c r="K19" s="148"/>
      <c r="L19" s="410"/>
      <c r="M19" s="410"/>
      <c r="N19" s="411"/>
      <c r="O19" s="411"/>
      <c r="T19" s="409" t="s">
        <v>200</v>
      </c>
      <c r="U19" s="412"/>
      <c r="V19" s="412"/>
    </row>
    <row r="20" spans="2:28" s="171" customFormat="1" ht="13.5" customHeight="1" thickBot="1" x14ac:dyDescent="0.3">
      <c r="C20" s="413" t="s">
        <v>201</v>
      </c>
      <c r="D20" s="413" t="s">
        <v>202</v>
      </c>
      <c r="E20" s="413"/>
      <c r="F20" s="414" t="s">
        <v>203</v>
      </c>
      <c r="G20" s="415"/>
      <c r="H20" s="110" t="s">
        <v>105</v>
      </c>
      <c r="I20" s="111" t="s">
        <v>77</v>
      </c>
      <c r="J20" s="113" t="s">
        <v>106</v>
      </c>
      <c r="K20" s="416" t="str">
        <f>_xlfn.CONCAT("Exposure Estimates: ",$I$4," MOE")</f>
        <v>Exposure Estimates: Worker MOE</v>
      </c>
      <c r="L20" s="417"/>
      <c r="M20" s="417"/>
      <c r="N20" s="417"/>
      <c r="O20" s="417"/>
      <c r="P20" s="418"/>
      <c r="Q20" s="76"/>
      <c r="S20" s="419" t="s">
        <v>202</v>
      </c>
      <c r="T20" s="420" t="s">
        <v>203</v>
      </c>
      <c r="U20" s="421" t="s">
        <v>108</v>
      </c>
      <c r="V20" s="111" t="s">
        <v>77</v>
      </c>
      <c r="W20" s="113" t="s">
        <v>106</v>
      </c>
      <c r="X20" s="181" t="str">
        <f>_xlfn.CONCAT("Exposure Estimates: ",$I$4," MOE")</f>
        <v>Exposure Estimates: Worker MOE</v>
      </c>
      <c r="Y20" s="422"/>
      <c r="Z20" s="422"/>
      <c r="AA20" s="182"/>
    </row>
    <row r="21" spans="2:28" s="171" customFormat="1" ht="12.75" customHeight="1" thickBot="1" x14ac:dyDescent="0.3">
      <c r="C21" s="423"/>
      <c r="D21" s="423"/>
      <c r="E21" s="423"/>
      <c r="F21" s="424"/>
      <c r="G21" s="425"/>
      <c r="H21" s="118"/>
      <c r="I21" s="119"/>
      <c r="J21" s="124"/>
      <c r="K21" s="121" t="s">
        <v>204</v>
      </c>
      <c r="L21" s="80" t="s">
        <v>205</v>
      </c>
      <c r="M21" s="80" t="s">
        <v>206</v>
      </c>
      <c r="N21" s="80" t="s">
        <v>207</v>
      </c>
      <c r="O21" s="80" t="s">
        <v>208</v>
      </c>
      <c r="P21" s="81" t="s">
        <v>209</v>
      </c>
      <c r="Q21" s="76"/>
      <c r="S21" s="426"/>
      <c r="T21" s="427"/>
      <c r="U21" s="428"/>
      <c r="V21" s="119"/>
      <c r="W21" s="124"/>
      <c r="X21" s="429" t="s">
        <v>210</v>
      </c>
      <c r="Y21" s="429" t="s">
        <v>211</v>
      </c>
      <c r="Z21" s="429" t="s">
        <v>212</v>
      </c>
      <c r="AA21" s="430" t="s">
        <v>213</v>
      </c>
    </row>
    <row r="22" spans="2:28" s="171" customFormat="1" ht="20.25" customHeight="1" x14ac:dyDescent="0.25">
      <c r="B22" s="431" t="s">
        <v>113</v>
      </c>
      <c r="C22" s="432" t="s">
        <v>214</v>
      </c>
      <c r="D22" s="433" t="str">
        <f>INDEX('Health Data'!$D:$D, MATCH($B22, 'Health Data'!$F:$F, 0))</f>
        <v>CNS depression in rats</v>
      </c>
      <c r="E22" s="434"/>
      <c r="F22" s="435" t="str">
        <f>INDEX('Health Data'!$E:$E, MATCH($B22, 'Health Data'!$F:$F, 0))</f>
        <v>Kirk,1995, 688858</v>
      </c>
      <c r="G22" s="436"/>
      <c r="H22" s="437">
        <f>INDEX('Health Data'!$G:$G,MATCH(B22,'Health Data'!$F:$F,0))</f>
        <v>8.4</v>
      </c>
      <c r="I22" s="438" t="s">
        <v>98</v>
      </c>
      <c r="J22" s="439">
        <f>INDEX('Health Data'!$H:$H,MATCH(B22,'Health Data'!$F:$F,0))</f>
        <v>30</v>
      </c>
      <c r="K22" s="176">
        <f>IFERROR($H22/IF($I$4="Worker",$K$10,$K$11), "")</f>
        <v>2486.6960352422907</v>
      </c>
      <c r="L22" s="440">
        <f>IFERROR($K22*'List Values'!$F$20, "")</f>
        <v>24866.960352422906</v>
      </c>
      <c r="M22" s="440">
        <f>IFERROR($K22*'List Values'!$F$21, "")</f>
        <v>62167.40088105727</v>
      </c>
      <c r="N22" s="440">
        <f>IFERROR($K22*'List Values'!$F$22, "")</f>
        <v>124334.80176211454</v>
      </c>
      <c r="O22" s="440">
        <f>IFERROR($K22*'List Values'!$F$23, "")</f>
        <v>2486696.0352422907</v>
      </c>
      <c r="P22" s="132">
        <f>IFERROR($K22*'List Values'!$F$24, "")</f>
        <v>24866960.352422908</v>
      </c>
      <c r="Q22" s="133"/>
      <c r="R22" s="171" t="s">
        <v>114</v>
      </c>
      <c r="S22" s="441" t="str">
        <f>INDEX('Health Data'!$D:$D, MATCH($R22, 'Health Data'!$F:$F, 0))</f>
        <v>CNS depression in rats</v>
      </c>
      <c r="T22" s="442" t="str">
        <f>INDEX('Health Data'!$E:$E, MATCH($R22, 'Health Data'!$F:$F, 0))</f>
        <v>Kirk et al 1995, 688858</v>
      </c>
      <c r="U22" s="443">
        <f>INDEX('Health Data'!$G:$G,MATCH(R22,'Health Data'!$F:$F,0))</f>
        <v>7.2</v>
      </c>
      <c r="V22" s="401" t="s">
        <v>98</v>
      </c>
      <c r="W22" s="444">
        <f>INDEX('Health Data'!$H:$H,MATCH(R22,'Health Data'!$F:$F,0))</f>
        <v>30</v>
      </c>
      <c r="X22" s="445">
        <f ca="1">IFERROR($U22/V$10, "")</f>
        <v>50.84666745205098</v>
      </c>
      <c r="Y22" s="446">
        <f ca="1">IFERROR($U22/V$12, "")</f>
        <v>254.2333372602549</v>
      </c>
      <c r="Z22" s="446">
        <f ca="1">IFERROR($U22/V$14, "")</f>
        <v>508.4666745205098</v>
      </c>
      <c r="AA22" s="447">
        <f ca="1">IFERROR($U22/V$16, "")</f>
        <v>1016.9333490410196</v>
      </c>
    </row>
    <row r="23" spans="2:28" s="171" customFormat="1" ht="20.25" customHeight="1" thickBot="1" x14ac:dyDescent="0.3">
      <c r="B23" s="431"/>
      <c r="C23" s="448"/>
      <c r="D23" s="449"/>
      <c r="E23" s="450"/>
      <c r="F23" s="451"/>
      <c r="G23" s="436"/>
      <c r="H23" s="452"/>
      <c r="I23" s="453" t="s">
        <v>101</v>
      </c>
      <c r="J23" s="454">
        <f>INDEX('Health Data'!$H:$H,MATCH(B22,'Health Data'!$F:$F,0))</f>
        <v>30</v>
      </c>
      <c r="K23" s="455">
        <f>IFERROR($H22/IF($I$4="Worker",$K$12,$K$13), "")</f>
        <v>467.56676803654051</v>
      </c>
      <c r="L23" s="455">
        <f>IFERROR($K23*'List Values'!$F$20, "")</f>
        <v>4675.6676803654054</v>
      </c>
      <c r="M23" s="455">
        <f>IFERROR($K23*'List Values'!$F$21, "")</f>
        <v>11689.169200913513</v>
      </c>
      <c r="N23" s="455">
        <f>IFERROR($K23*'List Values'!$F$22, "")</f>
        <v>23378.338401827026</v>
      </c>
      <c r="O23" s="455">
        <f>IFERROR($K23*'List Values'!$F$23, "")</f>
        <v>467566.76803654048</v>
      </c>
      <c r="P23" s="456">
        <f>IFERROR($K23*'List Values'!$F$24, "")</f>
        <v>4675667.680365405</v>
      </c>
      <c r="Q23" s="133"/>
      <c r="S23" s="457"/>
      <c r="T23" s="458"/>
      <c r="U23" s="459"/>
      <c r="V23" s="98" t="s">
        <v>101</v>
      </c>
      <c r="W23" s="460">
        <f>INDEX('Health Data'!$H:$H,MATCH(R22,'Health Data'!$F:$F,0))</f>
        <v>30</v>
      </c>
      <c r="X23" s="461">
        <f ca="1">IFERROR($U22/V$11, "")</f>
        <v>20.441897342375555</v>
      </c>
      <c r="Y23" s="461">
        <f ca="1">IFERROR($U22/V$13, "")</f>
        <v>102.20948671187777</v>
      </c>
      <c r="Z23" s="461">
        <f ca="1">IFERROR($U22/V$15, "")</f>
        <v>204.41897342375555</v>
      </c>
      <c r="AA23" s="143">
        <f ca="1">IFERROR($U22/V$17, "")</f>
        <v>408.83794684751109</v>
      </c>
    </row>
    <row r="24" spans="2:28" s="171" customFormat="1" ht="20.25" customHeight="1" x14ac:dyDescent="0.25">
      <c r="B24" s="462" t="s">
        <v>118</v>
      </c>
      <c r="C24" s="432" t="s">
        <v>215</v>
      </c>
      <c r="D24" s="433" t="str">
        <f>INDEX('Health Data'!$D:$D, MATCH($B24, 'Health Data'!$F:$F, 0))</f>
        <v>Nasial lesions in rats</v>
      </c>
      <c r="E24" s="434"/>
      <c r="F24" s="435" t="str">
        <f>INDEX('Health Data'!$E:$E, MATCH($B24, 'Health Data'!$F:$F, 0))</f>
        <v>Dow Chemical 1988, 3065001/688893</v>
      </c>
      <c r="G24" s="436"/>
      <c r="H24" s="437">
        <f>INDEX('Health Data'!$G:$G,MATCH(B24,'Health Data'!$F:$F,0))</f>
        <v>5.3999999999999999E-2</v>
      </c>
      <c r="I24" s="438" t="s">
        <v>98</v>
      </c>
      <c r="J24" s="463">
        <f>INDEX('Health Data'!$H:$H,MATCH(B24,'Health Data'!$F:$F,0))</f>
        <v>30</v>
      </c>
      <c r="K24" s="176">
        <f>IFERROR($H24/IF($I$4="Worker",$L$10,$L$11), "")</f>
        <v>21.798958750500596</v>
      </c>
      <c r="L24" s="440">
        <f>IFERROR($K24*'List Values'!$F$20, "")</f>
        <v>217.98958750500594</v>
      </c>
      <c r="M24" s="440">
        <f>IFERROR($K24*'List Values'!$F$21, "")</f>
        <v>544.97396876251491</v>
      </c>
      <c r="N24" s="440">
        <f>IFERROR($K24*'List Values'!$F$22, "")</f>
        <v>1089.9479375250298</v>
      </c>
      <c r="O24" s="440">
        <f>IFERROR($K24*'List Values'!$F$23, "")</f>
        <v>21798.958750500595</v>
      </c>
      <c r="P24" s="132">
        <f>IFERROR($K24*'List Values'!$F$24, "")</f>
        <v>217989.58750500597</v>
      </c>
      <c r="Q24" s="133"/>
      <c r="R24" s="171" t="s">
        <v>119</v>
      </c>
      <c r="S24" s="464" t="str">
        <f>INDEX('Health Data'!$D:$D, MATCH($R24, 'Health Data'!$F:$F, 0))</f>
        <v>CNS depression in rats</v>
      </c>
      <c r="T24" s="442" t="str">
        <f>INDEX('Health Data'!$E:$E, MATCH($R24, 'Health Data'!$F:$F, 0))</f>
        <v>Kirk et al 1995, 688858</v>
      </c>
      <c r="U24" s="443">
        <f>INDEX('Health Data'!$G:$G,MATCH(R24,'Health Data'!$F:$F,0))</f>
        <v>11.4</v>
      </c>
      <c r="V24" s="401" t="s">
        <v>98</v>
      </c>
      <c r="W24" s="465">
        <f>INDEX('Health Data'!$H:$H,MATCH(R24,'Health Data'!$F:$F,0))</f>
        <v>30</v>
      </c>
      <c r="X24" s="440">
        <f ca="1">IFERROR($U24/W$10, "")</f>
        <v>109.78257745329188</v>
      </c>
      <c r="Y24" s="440">
        <f ca="1">IFERROR($U24/W$12, "")</f>
        <v>548.91288726645951</v>
      </c>
      <c r="Z24" s="440">
        <f ca="1">IFERROR($U24/W$14, "")</f>
        <v>1097.825774532919</v>
      </c>
      <c r="AA24" s="132">
        <f ca="1">IFERROR($U24/W$16, "")</f>
        <v>2195.651549065838</v>
      </c>
    </row>
    <row r="25" spans="2:28" s="171" customFormat="1" ht="20.25" customHeight="1" thickBot="1" x14ac:dyDescent="0.3">
      <c r="B25" s="462"/>
      <c r="C25" s="466"/>
      <c r="D25" s="467"/>
      <c r="E25" s="468"/>
      <c r="F25" s="451"/>
      <c r="G25" s="436"/>
      <c r="H25" s="452"/>
      <c r="I25" s="453" t="s">
        <v>101</v>
      </c>
      <c r="J25" s="469">
        <f>INDEX('Health Data'!$H:$H,MATCH(B24,'Health Data'!$F:$F,0))</f>
        <v>30</v>
      </c>
      <c r="K25" s="455">
        <f>IFERROR($H24/IF($I$4="Worker",$L$12,$L$13), "")</f>
        <v>4.0987995899307119</v>
      </c>
      <c r="L25" s="455">
        <f>IFERROR($K25*'List Values'!$F$20, "")</f>
        <v>40.987995899307123</v>
      </c>
      <c r="M25" s="455">
        <f>IFERROR($K25*'List Values'!$F$21, "")</f>
        <v>102.46998974826779</v>
      </c>
      <c r="N25" s="455">
        <f>IFERROR($K25*'List Values'!$F$22, "")</f>
        <v>204.93997949653559</v>
      </c>
      <c r="O25" s="455">
        <f>IFERROR($K25*'List Values'!$F$23, "")</f>
        <v>4098.7995899307116</v>
      </c>
      <c r="P25" s="456">
        <f>IFERROR($K25*'List Values'!$F$24, "")</f>
        <v>40987.99589930712</v>
      </c>
      <c r="Q25" s="133"/>
      <c r="S25" s="470"/>
      <c r="T25" s="458"/>
      <c r="U25" s="459"/>
      <c r="V25" s="98" t="s">
        <v>101</v>
      </c>
      <c r="W25" s="471">
        <f>INDEX('Health Data'!$H:$H,MATCH(R24,'Health Data'!$F:$F,0))</f>
        <v>30</v>
      </c>
      <c r="X25" s="461">
        <f ca="1">IFERROR($U24/W$11, "")</f>
        <v>44.135914716492671</v>
      </c>
      <c r="Y25" s="461">
        <f ca="1">IFERROR($U24/W$13, "")</f>
        <v>220.67957358246335</v>
      </c>
      <c r="Z25" s="461">
        <f ca="1">IFERROR($U24/W$15, "")</f>
        <v>441.3591471649267</v>
      </c>
      <c r="AA25" s="143">
        <f ca="1">IFERROR($U24/W$17, "")</f>
        <v>882.71829432985339</v>
      </c>
    </row>
    <row r="26" spans="2:28" s="171" customFormat="1" ht="20.25" customHeight="1" x14ac:dyDescent="0.25">
      <c r="B26" s="431" t="s">
        <v>122</v>
      </c>
      <c r="C26" s="472" t="s">
        <v>216</v>
      </c>
      <c r="D26" s="433" t="str">
        <f>INDEX('Health Data'!$D:$D, MATCH($B26, 'Health Data'!$F:$F, 0))</f>
        <v>Nasial lesions in rats</v>
      </c>
      <c r="E26" s="434"/>
      <c r="F26" s="435" t="str">
        <f>INDEX('Health Data'!$E:$E, MATCH($B26, 'Health Data'!$F:$F, 0))</f>
        <v>Dow Chemical 1988, 3065001/688893</v>
      </c>
      <c r="G26" s="436"/>
      <c r="H26" s="437">
        <f>INDEX('Health Data'!$G:$G,MATCH(B26,'Health Data'!$F:$F,0))</f>
        <v>5.3999999999999999E-2</v>
      </c>
      <c r="I26" s="438" t="s">
        <v>98</v>
      </c>
      <c r="J26" s="463">
        <f>INDEX('Health Data'!$H:$H,MATCH(B26,'Health Data'!$F:$F,0))</f>
        <v>30</v>
      </c>
      <c r="K26" s="176">
        <f>IFERROR($H26/IF($I$4="Worker",$M$10,$M$11), "")</f>
        <v>23.339418502202641</v>
      </c>
      <c r="L26" s="440">
        <f>IFERROR($K26*'List Values'!$F$20, "")</f>
        <v>233.39418502202642</v>
      </c>
      <c r="M26" s="440">
        <f>IFERROR($K26*'List Values'!$F$21, "")</f>
        <v>583.48546255506596</v>
      </c>
      <c r="N26" s="440">
        <f>IFERROR($K26*'List Values'!$F$22, "")</f>
        <v>1166.9709251101319</v>
      </c>
      <c r="O26" s="440">
        <f>IFERROR($K26*'List Values'!$F$23, "")</f>
        <v>23339.41850220264</v>
      </c>
      <c r="P26" s="132">
        <f>IFERROR($K26*'List Values'!$F$24, "")</f>
        <v>233394.18502202642</v>
      </c>
      <c r="Q26" s="133"/>
      <c r="R26" s="67" t="s">
        <v>123</v>
      </c>
      <c r="S26" s="473" t="str">
        <f>INDEX('Health Data'!$D:$D, MATCH($R26, 'Health Data'!$F:$F, 0))</f>
        <v>CNS depression in rats</v>
      </c>
      <c r="T26" s="474" t="str">
        <f>INDEX('Health Data'!$E:$E, MATCH($R26, 'Health Data'!$F:$F, 0))</f>
        <v>Kirk et al 1995, 688858</v>
      </c>
      <c r="U26" s="443">
        <f>INDEX('Health Data'!$G:$G,MATCH(R26,'Health Data'!$F:$F,0))</f>
        <v>11.4</v>
      </c>
      <c r="V26" s="401" t="s">
        <v>98</v>
      </c>
      <c r="W26" s="465">
        <f>INDEX('Health Data'!$H:$H,MATCH(R26,'Health Data'!$F:$F,0))</f>
        <v>30</v>
      </c>
      <c r="X26" s="440">
        <f ca="1">IFERROR($U26/X$10, "")</f>
        <v>117.5405462599912</v>
      </c>
      <c r="Y26" s="440">
        <f ca="1">IFERROR($U26/X$12, "")</f>
        <v>587.70273129995599</v>
      </c>
      <c r="Z26" s="440">
        <f ca="1">IFERROR($U26/X$14, "")</f>
        <v>1175.405462599912</v>
      </c>
      <c r="AA26" s="132">
        <f ca="1">IFERROR($U26/X$16, "")</f>
        <v>2350.8109251998239</v>
      </c>
    </row>
    <row r="27" spans="2:28" s="171" customFormat="1" ht="20.25" customHeight="1" thickBot="1" x14ac:dyDescent="0.3">
      <c r="B27" s="431"/>
      <c r="C27" s="475"/>
      <c r="D27" s="467"/>
      <c r="E27" s="468"/>
      <c r="F27" s="476"/>
      <c r="G27" s="436"/>
      <c r="H27" s="452"/>
      <c r="I27" s="453" t="s">
        <v>101</v>
      </c>
      <c r="J27" s="469">
        <f>INDEX('Health Data'!$H:$H,MATCH(B26,'Health Data'!$F:$F,0))</f>
        <v>30</v>
      </c>
      <c r="K27" s="455">
        <f>IFERROR($H26/IF($I$4="Worker",$M$12,$M$13), "")</f>
        <v>4.3884480942858159</v>
      </c>
      <c r="L27" s="455">
        <f>IFERROR($K27*'List Values'!$F$20, "")</f>
        <v>43.884480942858161</v>
      </c>
      <c r="M27" s="455">
        <f>IFERROR($K27*'List Values'!$F$21, "")</f>
        <v>109.7112023571454</v>
      </c>
      <c r="N27" s="455">
        <f>IFERROR($K27*'List Values'!$F$22, "")</f>
        <v>219.42240471429079</v>
      </c>
      <c r="O27" s="455">
        <f>IFERROR($K27*'List Values'!$F$23, "")</f>
        <v>4388.4480942858163</v>
      </c>
      <c r="P27" s="456">
        <f>IFERROR($K27*'List Values'!$F$24, "")</f>
        <v>43884.480942858158</v>
      </c>
      <c r="Q27" s="133"/>
      <c r="R27" s="67"/>
      <c r="S27" s="470"/>
      <c r="T27" s="458"/>
      <c r="U27" s="459"/>
      <c r="V27" s="98" t="s">
        <v>101</v>
      </c>
      <c r="W27" s="471">
        <f>INDEX('Health Data'!$H:$H,MATCH(R26,'Health Data'!$F:$F,0))</f>
        <v>30</v>
      </c>
      <c r="X27" s="461">
        <f ca="1">IFERROR($U26/X$11, "")</f>
        <v>47.254852689791491</v>
      </c>
      <c r="Y27" s="461">
        <f ca="1">IFERROR($U26/X$13, "")</f>
        <v>236.27426344895744</v>
      </c>
      <c r="Z27" s="461">
        <f ca="1">IFERROR($U26/X$15, "")</f>
        <v>472.54852689791488</v>
      </c>
      <c r="AA27" s="143">
        <f ca="1">IFERROR($U26/X$17, "")</f>
        <v>945.09705379582977</v>
      </c>
    </row>
    <row r="28" spans="2:28" s="171" customFormat="1" ht="20.25" customHeight="1" thickBot="1" x14ac:dyDescent="0.3">
      <c r="B28" s="379"/>
      <c r="C28" s="226"/>
      <c r="D28" s="226"/>
      <c r="E28" s="226"/>
      <c r="F28" s="226"/>
      <c r="G28" s="436"/>
      <c r="H28" s="110" t="s">
        <v>217</v>
      </c>
      <c r="I28" s="111" t="s">
        <v>77</v>
      </c>
      <c r="J28" s="113" t="s">
        <v>106</v>
      </c>
      <c r="K28" s="416" t="str">
        <f>_xlfn.CONCAT("Exposure Estimates: ",$I$4," MOE")</f>
        <v>Exposure Estimates: Worker MOE</v>
      </c>
      <c r="L28" s="417"/>
      <c r="M28" s="417"/>
      <c r="N28" s="417"/>
      <c r="O28" s="417"/>
      <c r="P28" s="418"/>
      <c r="Q28" s="76"/>
      <c r="R28" s="67"/>
      <c r="S28" s="67"/>
      <c r="T28" s="67"/>
      <c r="U28" s="477" t="s">
        <v>218</v>
      </c>
      <c r="V28" s="478" t="s">
        <v>77</v>
      </c>
      <c r="W28" s="113" t="s">
        <v>106</v>
      </c>
      <c r="X28" s="181" t="str">
        <f>_xlfn.CONCAT("Exposure Estimates: ",$I$4," MOE")</f>
        <v>Exposure Estimates: Worker MOE</v>
      </c>
      <c r="Y28" s="422"/>
      <c r="Z28" s="422"/>
      <c r="AA28" s="182"/>
    </row>
    <row r="29" spans="2:28" s="171" customFormat="1" ht="20.25" customHeight="1" thickBot="1" x14ac:dyDescent="0.3">
      <c r="B29" s="379"/>
      <c r="C29" s="226"/>
      <c r="D29" s="226"/>
      <c r="E29" s="226"/>
      <c r="F29" s="226"/>
      <c r="G29" s="436"/>
      <c r="H29" s="118"/>
      <c r="I29" s="119"/>
      <c r="J29" s="124"/>
      <c r="K29" s="121" t="s">
        <v>204</v>
      </c>
      <c r="L29" s="80" t="s">
        <v>205</v>
      </c>
      <c r="M29" s="80" t="s">
        <v>206</v>
      </c>
      <c r="N29" s="80" t="s">
        <v>207</v>
      </c>
      <c r="O29" s="80" t="s">
        <v>208</v>
      </c>
      <c r="P29" s="81" t="s">
        <v>209</v>
      </c>
      <c r="Q29" s="76"/>
      <c r="T29" s="67"/>
      <c r="U29" s="479"/>
      <c r="V29" s="480"/>
      <c r="W29" s="124"/>
      <c r="X29" s="429" t="s">
        <v>210</v>
      </c>
      <c r="Y29" s="429" t="s">
        <v>211</v>
      </c>
      <c r="Z29" s="429" t="s">
        <v>212</v>
      </c>
      <c r="AA29" s="430" t="s">
        <v>213</v>
      </c>
    </row>
    <row r="30" spans="2:28" s="171" customFormat="1" ht="27.75" customHeight="1" x14ac:dyDescent="0.25">
      <c r="B30" s="431" t="s">
        <v>132</v>
      </c>
      <c r="C30" s="481" t="s">
        <v>219</v>
      </c>
      <c r="D30" s="482" t="s">
        <v>160</v>
      </c>
      <c r="E30" s="483">
        <f>INDEX('Health Data'!$D:$D, MATCH($B30, 'Health Data'!$F:$F, 0))</f>
        <v>0</v>
      </c>
      <c r="F30" s="484" t="str">
        <f>INDEX('Health Data'!$E:$E, MATCH($B30, 'Health Data'!$F:$F, 0))</f>
        <v>NTP, 1986, 67963; Umeda, 2010, 866039</v>
      </c>
      <c r="G30" s="485"/>
      <c r="H30" s="486">
        <f>INDEX('Health Data'!$I:$I,MATCH(B30,'Health Data'!$F:$F,0))</f>
        <v>1.7097177914110431E-2</v>
      </c>
      <c r="I30" s="438" t="s">
        <v>98</v>
      </c>
      <c r="J30" s="194" t="s">
        <v>133</v>
      </c>
      <c r="K30" s="487">
        <f>IFERROR($H30*IF($I$4="Worker",$N$10,$N$11), "")</f>
        <v>1.5721545991080199E-5</v>
      </c>
      <c r="L30" s="487">
        <f>IFERROR($K30/'List Values'!$F$20, "")</f>
        <v>1.5721545991080199E-6</v>
      </c>
      <c r="M30" s="487">
        <f>IFERROR($K30/'List Values'!$F$21, "")</f>
        <v>6.288618396432079E-7</v>
      </c>
      <c r="N30" s="487">
        <f>IFERROR($K30/'List Values'!$F$22, "")</f>
        <v>3.1443091982160395E-7</v>
      </c>
      <c r="O30" s="487">
        <f>IFERROR($K30/'List Values'!$F$23, "")</f>
        <v>1.5721545991080198E-8</v>
      </c>
      <c r="P30" s="488">
        <f>IFERROR($K30/'List Values'!$F$24, "")</f>
        <v>1.5721545991080199E-9</v>
      </c>
      <c r="Q30" s="489"/>
      <c r="R30" s="67" t="s">
        <v>134</v>
      </c>
      <c r="S30" s="490" t="s">
        <v>160</v>
      </c>
      <c r="T30" s="442" t="str">
        <f>INDEX('Health Data'!$E:$E, MATCH($R30, 'Health Data'!$F:$F, 0))</f>
        <v>NTP, 1986, 67963; Umeda, 2010, 866039</v>
      </c>
      <c r="U30" s="491">
        <f>INDEX('Health Data'!$I:$I,MATCH(R30,'Health Data'!$F:$F,0))</f>
        <v>0.04</v>
      </c>
      <c r="V30" s="401" t="s">
        <v>98</v>
      </c>
      <c r="W30" s="200" t="s">
        <v>133</v>
      </c>
      <c r="X30" s="440">
        <f ca="1">IFERROR($U$30*Y10, "")</f>
        <v>1.4238339335787826E-3</v>
      </c>
      <c r="Y30" s="440">
        <f ca="1">IFERROR($U$30*Y12, "")</f>
        <v>2.847667867157565E-4</v>
      </c>
      <c r="Z30" s="440">
        <f ca="1">IFERROR($U$30*Y14, "")</f>
        <v>1.4238339335787825E-4</v>
      </c>
      <c r="AA30" s="132">
        <f ca="1">IFERROR($U$30*Y16, "")</f>
        <v>7.1191696678939124E-5</v>
      </c>
    </row>
    <row r="31" spans="2:28" s="171" customFormat="1" ht="27.75" customHeight="1" thickBot="1" x14ac:dyDescent="0.3">
      <c r="B31" s="431"/>
      <c r="C31" s="492"/>
      <c r="D31" s="493"/>
      <c r="E31" s="494"/>
      <c r="F31" s="495"/>
      <c r="G31" s="496"/>
      <c r="H31" s="497"/>
      <c r="I31" s="453" t="s">
        <v>101</v>
      </c>
      <c r="J31" s="203" t="s">
        <v>133</v>
      </c>
      <c r="K31" s="498">
        <f>IFERROR($H30*IF($I$4="Worker",$N$12,$N$13), "")</f>
        <v>1.0788786862585082E-4</v>
      </c>
      <c r="L31" s="498">
        <f>IFERROR($K31/'List Values'!$F$20, "")</f>
        <v>1.0788786862585081E-5</v>
      </c>
      <c r="M31" s="498">
        <f>IFERROR($K31/'List Values'!$F$21, "")</f>
        <v>4.315514745034033E-6</v>
      </c>
      <c r="N31" s="498">
        <f>IFERROR($K31/'List Values'!$F$22, "")</f>
        <v>2.1577573725170165E-6</v>
      </c>
      <c r="O31" s="498">
        <f>IFERROR($K31/'List Values'!$F$23, "")</f>
        <v>1.0788786862585082E-7</v>
      </c>
      <c r="P31" s="499">
        <f>IFERROR($K31/'List Values'!$F$24, "")</f>
        <v>1.0788786862585082E-8</v>
      </c>
      <c r="Q31" s="489"/>
      <c r="S31" s="500"/>
      <c r="T31" s="458"/>
      <c r="U31" s="501"/>
      <c r="V31" s="98" t="s">
        <v>101</v>
      </c>
      <c r="W31" s="209"/>
      <c r="X31" s="461">
        <f ca="1">IFERROR($U$30*Y11, "")</f>
        <v>3.9921388915020182E-3</v>
      </c>
      <c r="Y31" s="461">
        <f ca="1">IFERROR($U$30*Y13, "")</f>
        <v>7.9842777830040372E-4</v>
      </c>
      <c r="Z31" s="461">
        <f ca="1">IFERROR($U$30*Y15, "")</f>
        <v>3.9921388915020186E-4</v>
      </c>
      <c r="AA31" s="143">
        <f ca="1">IFERROR($U$30*Y17, "")</f>
        <v>1.9960694457510093E-4</v>
      </c>
      <c r="AB31" s="214"/>
    </row>
    <row r="32" spans="2:28" s="171" customFormat="1" ht="25.5" customHeight="1" x14ac:dyDescent="0.25">
      <c r="B32" s="502"/>
      <c r="C32" s="503"/>
      <c r="D32" s="504"/>
      <c r="E32" s="505"/>
      <c r="F32" s="505"/>
      <c r="G32" s="506"/>
      <c r="H32" s="507"/>
      <c r="I32" s="211"/>
      <c r="J32" s="212"/>
      <c r="K32" s="508"/>
      <c r="L32" s="509"/>
      <c r="M32" s="509"/>
      <c r="N32" s="509"/>
      <c r="O32" s="509"/>
      <c r="P32" s="509"/>
      <c r="Q32" s="509"/>
      <c r="U32" s="510"/>
      <c r="V32" s="506"/>
      <c r="W32" s="511"/>
      <c r="X32" s="213"/>
      <c r="Y32" s="133"/>
      <c r="Z32" s="133"/>
      <c r="AA32" s="133"/>
    </row>
    <row r="33" spans="1:27" s="171" customFormat="1" ht="24" customHeight="1" x14ac:dyDescent="0.25">
      <c r="B33" s="502"/>
      <c r="C33" s="503"/>
      <c r="D33" s="504"/>
      <c r="E33" s="505"/>
      <c r="F33" s="505"/>
      <c r="G33" s="506"/>
      <c r="H33" s="512"/>
      <c r="I33" s="211"/>
      <c r="J33" s="212"/>
      <c r="K33" s="508"/>
      <c r="L33" s="509"/>
      <c r="M33" s="509"/>
      <c r="N33" s="509"/>
      <c r="O33" s="509"/>
      <c r="P33" s="509"/>
      <c r="Q33" s="509"/>
      <c r="U33" s="510"/>
      <c r="V33" s="506"/>
      <c r="W33" s="511"/>
      <c r="X33" s="133"/>
      <c r="Y33" s="133"/>
      <c r="Z33" s="133"/>
      <c r="AA33" s="133"/>
    </row>
    <row r="34" spans="1:27" s="226" customFormat="1" ht="15" x14ac:dyDescent="0.25"/>
    <row r="35" spans="1:27" s="226" customFormat="1" ht="15" x14ac:dyDescent="0.25"/>
    <row r="36" spans="1:27" s="171" customFormat="1" x14ac:dyDescent="0.25">
      <c r="B36" s="211"/>
      <c r="C36" s="66"/>
      <c r="D36" s="378"/>
      <c r="E36" s="66"/>
      <c r="F36" s="66"/>
      <c r="G36" s="214"/>
      <c r="H36" s="214"/>
      <c r="I36" s="214"/>
      <c r="J36" s="214"/>
      <c r="K36" s="214"/>
      <c r="L36" s="214"/>
      <c r="M36" s="214"/>
      <c r="O36" s="214"/>
      <c r="P36" s="214"/>
      <c r="Q36" s="214"/>
      <c r="R36" s="214"/>
      <c r="S36" s="214"/>
    </row>
    <row r="37" spans="1:27" s="171" customFormat="1" x14ac:dyDescent="0.25">
      <c r="B37" s="211"/>
      <c r="C37" s="66"/>
      <c r="D37" s="378"/>
      <c r="E37" s="66"/>
      <c r="F37" s="66"/>
      <c r="G37" s="214"/>
      <c r="H37" s="214"/>
      <c r="I37" s="214"/>
      <c r="J37" s="214"/>
      <c r="K37" s="214"/>
      <c r="L37" s="214"/>
      <c r="M37" s="214"/>
      <c r="N37" s="214"/>
      <c r="O37" s="214"/>
      <c r="P37" s="214"/>
      <c r="Q37" s="214"/>
      <c r="R37" s="214"/>
      <c r="S37" s="214"/>
    </row>
    <row r="38" spans="1:27" x14ac:dyDescent="0.25">
      <c r="A38" s="171"/>
    </row>
    <row r="44" spans="1:27" x14ac:dyDescent="0.25">
      <c r="I44" s="171"/>
      <c r="J44" s="171"/>
      <c r="K44" s="171"/>
      <c r="L44" s="171"/>
      <c r="M44" s="171"/>
    </row>
    <row r="49" spans="1:20" x14ac:dyDescent="0.25">
      <c r="O49" s="171"/>
      <c r="P49" s="171"/>
      <c r="Q49" s="171"/>
      <c r="R49" s="171"/>
    </row>
    <row r="50" spans="1:20" x14ac:dyDescent="0.25">
      <c r="C50" s="67"/>
      <c r="D50" s="148"/>
      <c r="E50" s="67"/>
      <c r="F50" s="67"/>
      <c r="G50" s="171"/>
      <c r="H50" s="171"/>
    </row>
    <row r="52" spans="1:20" x14ac:dyDescent="0.25">
      <c r="B52" s="379"/>
    </row>
    <row r="53" spans="1:20" x14ac:dyDescent="0.25">
      <c r="B53" s="513"/>
      <c r="S53" s="171"/>
    </row>
    <row r="54" spans="1:20" x14ac:dyDescent="0.25">
      <c r="B54" s="513"/>
      <c r="I54" s="514"/>
      <c r="J54" s="514"/>
      <c r="K54" s="514"/>
      <c r="L54" s="514"/>
      <c r="M54" s="514"/>
      <c r="N54" s="171"/>
    </row>
    <row r="55" spans="1:20" s="171" customFormat="1" x14ac:dyDescent="0.25">
      <c r="A55" s="214"/>
      <c r="B55" s="513"/>
      <c r="C55" s="66"/>
      <c r="D55" s="378"/>
      <c r="E55" s="66"/>
      <c r="F55" s="66"/>
      <c r="G55" s="214"/>
      <c r="H55" s="214"/>
      <c r="I55" s="514"/>
      <c r="J55" s="514"/>
      <c r="K55" s="514"/>
      <c r="L55" s="514"/>
      <c r="M55" s="514"/>
      <c r="N55" s="214"/>
      <c r="O55" s="214"/>
      <c r="P55" s="214"/>
      <c r="Q55" s="214"/>
      <c r="R55" s="214"/>
      <c r="S55" s="214"/>
    </row>
    <row r="56" spans="1:20" x14ac:dyDescent="0.25">
      <c r="A56" s="171"/>
      <c r="B56" s="513"/>
      <c r="I56" s="515"/>
      <c r="J56" s="515"/>
      <c r="K56" s="515"/>
      <c r="L56" s="515"/>
      <c r="M56" s="515"/>
    </row>
    <row r="57" spans="1:20" x14ac:dyDescent="0.25">
      <c r="B57" s="513"/>
      <c r="I57" s="515"/>
      <c r="J57" s="515"/>
      <c r="K57" s="515"/>
      <c r="L57" s="515"/>
      <c r="M57" s="515"/>
    </row>
    <row r="58" spans="1:20" x14ac:dyDescent="0.25">
      <c r="B58" s="513"/>
    </row>
    <row r="59" spans="1:20" x14ac:dyDescent="0.25">
      <c r="B59" s="513"/>
      <c r="C59" s="516"/>
      <c r="D59" s="517"/>
      <c r="E59" s="516"/>
      <c r="R59" s="515"/>
      <c r="S59" s="515"/>
      <c r="T59" s="515"/>
    </row>
    <row r="60" spans="1:20" ht="63.75" x14ac:dyDescent="0.25">
      <c r="B60" s="513"/>
      <c r="E60" s="516"/>
      <c r="F60" s="514"/>
      <c r="G60" s="515"/>
      <c r="H60" s="518" t="s">
        <v>135</v>
      </c>
      <c r="I60" s="519" t="str">
        <f>I30</f>
        <v>Central Tendency</v>
      </c>
      <c r="J60" s="520" t="str">
        <f>I31</f>
        <v>High End</v>
      </c>
      <c r="R60" s="521" t="s">
        <v>137</v>
      </c>
      <c r="S60" s="519" t="str">
        <f>V30</f>
        <v>Central Tendency</v>
      </c>
      <c r="T60" s="520" t="str">
        <f>V31</f>
        <v>High End</v>
      </c>
    </row>
    <row r="61" spans="1:20" ht="38.25" x14ac:dyDescent="0.25">
      <c r="H61" s="84" t="s">
        <v>204</v>
      </c>
      <c r="I61" s="522">
        <f>K30</f>
        <v>1.5721545991080199E-5</v>
      </c>
      <c r="J61" s="522">
        <f>K31</f>
        <v>1.0788786862585082E-4</v>
      </c>
      <c r="R61" s="523" t="s">
        <v>220</v>
      </c>
      <c r="S61" s="522">
        <f ca="1">X30</f>
        <v>1.4238339335787826E-3</v>
      </c>
      <c r="T61" s="522">
        <f ca="1">X31</f>
        <v>3.9921388915020182E-3</v>
      </c>
    </row>
    <row r="62" spans="1:20" ht="51" x14ac:dyDescent="0.25">
      <c r="H62" s="84" t="s">
        <v>205</v>
      </c>
      <c r="I62" s="522">
        <f>L30</f>
        <v>1.5721545991080199E-6</v>
      </c>
      <c r="J62" s="522">
        <f>L31</f>
        <v>1.0788786862585081E-5</v>
      </c>
      <c r="R62" s="523" t="s">
        <v>221</v>
      </c>
      <c r="S62" s="522">
        <f ca="1">Y30</f>
        <v>2.847667867157565E-4</v>
      </c>
      <c r="T62" s="522">
        <f ca="1">Y31</f>
        <v>7.9842777830040372E-4</v>
      </c>
    </row>
    <row r="63" spans="1:20" ht="102" x14ac:dyDescent="0.25">
      <c r="H63" s="84" t="s">
        <v>206</v>
      </c>
      <c r="I63" s="522">
        <f>M30</f>
        <v>6.288618396432079E-7</v>
      </c>
      <c r="J63" s="522">
        <f>M31</f>
        <v>4.315514745034033E-6</v>
      </c>
      <c r="R63" s="523" t="s">
        <v>222</v>
      </c>
      <c r="S63" s="522">
        <f ca="1">Z30</f>
        <v>1.4238339335787825E-4</v>
      </c>
      <c r="T63" s="522">
        <f ca="1">Z31</f>
        <v>3.9921388915020186E-4</v>
      </c>
    </row>
    <row r="64" spans="1:20" ht="102" x14ac:dyDescent="0.25">
      <c r="A64" s="214" t="s">
        <v>223</v>
      </c>
      <c r="H64" s="84" t="s">
        <v>207</v>
      </c>
      <c r="I64" s="522">
        <f>N30</f>
        <v>3.1443091982160395E-7</v>
      </c>
      <c r="J64" s="522">
        <f>N31</f>
        <v>2.1577573725170165E-6</v>
      </c>
      <c r="R64" s="523" t="s">
        <v>224</v>
      </c>
      <c r="S64" s="522">
        <f ca="1">AA30</f>
        <v>7.1191696678939124E-5</v>
      </c>
      <c r="T64" s="522">
        <f ca="1">AA31</f>
        <v>1.9960694457510093E-4</v>
      </c>
    </row>
    <row r="65" spans="8:20" x14ac:dyDescent="0.25">
      <c r="H65" s="84" t="s">
        <v>208</v>
      </c>
      <c r="I65" s="522">
        <f>O30</f>
        <v>1.5721545991080198E-8</v>
      </c>
      <c r="J65" s="522">
        <f>O31</f>
        <v>1.0788786862585082E-7</v>
      </c>
      <c r="T65" s="524"/>
    </row>
    <row r="66" spans="8:20" x14ac:dyDescent="0.25">
      <c r="H66" s="84" t="s">
        <v>209</v>
      </c>
      <c r="I66" s="522">
        <f>P30</f>
        <v>1.5721545991080199E-9</v>
      </c>
      <c r="J66" s="522">
        <f>P31</f>
        <v>1.0788786862585082E-8</v>
      </c>
    </row>
  </sheetData>
  <sheetProtection sheet="1" objects="1" scenarios="1" formatCells="0" formatColumns="0" formatRows="0" sort="0" autoFilter="0"/>
  <autoFilter ref="A1:AB66" xr:uid="{920AD8A6-1677-465E-88B2-1343E7284108}"/>
  <dataConsolidate link="1"/>
  <mergeCells count="75">
    <mergeCell ref="X28:AA28"/>
    <mergeCell ref="D22:E23"/>
    <mergeCell ref="D24:E25"/>
    <mergeCell ref="D26:E27"/>
    <mergeCell ref="C24:C25"/>
    <mergeCell ref="F24:F25"/>
    <mergeCell ref="U24:U25"/>
    <mergeCell ref="S24:S25"/>
    <mergeCell ref="T24:T25"/>
    <mergeCell ref="S26:S27"/>
    <mergeCell ref="T26:T27"/>
    <mergeCell ref="B32:B33"/>
    <mergeCell ref="H32:H33"/>
    <mergeCell ref="U32:U33"/>
    <mergeCell ref="B30:B31"/>
    <mergeCell ref="H30:H31"/>
    <mergeCell ref="U30:U31"/>
    <mergeCell ref="C30:C31"/>
    <mergeCell ref="C32:C33"/>
    <mergeCell ref="D32:D33"/>
    <mergeCell ref="D30:D31"/>
    <mergeCell ref="S30:S31"/>
    <mergeCell ref="T30:T31"/>
    <mergeCell ref="W32:W33"/>
    <mergeCell ref="W30:W31"/>
    <mergeCell ref="E32:E33"/>
    <mergeCell ref="E30:E31"/>
    <mergeCell ref="H26:H27"/>
    <mergeCell ref="F32:F33"/>
    <mergeCell ref="U26:U27"/>
    <mergeCell ref="H28:H29"/>
    <mergeCell ref="U28:U29"/>
    <mergeCell ref="F30:F31"/>
    <mergeCell ref="I28:I29"/>
    <mergeCell ref="J28:J29"/>
    <mergeCell ref="F26:F27"/>
    <mergeCell ref="V28:V29"/>
    <mergeCell ref="W28:W29"/>
    <mergeCell ref="K28:P28"/>
    <mergeCell ref="S8:S9"/>
    <mergeCell ref="L19:M19"/>
    <mergeCell ref="H22:H23"/>
    <mergeCell ref="U22:U23"/>
    <mergeCell ref="T8:T9"/>
    <mergeCell ref="S10:S11"/>
    <mergeCell ref="S12:S13"/>
    <mergeCell ref="S16:S17"/>
    <mergeCell ref="S14:S15"/>
    <mergeCell ref="T22:T23"/>
    <mergeCell ref="S22:S23"/>
    <mergeCell ref="X20:AA20"/>
    <mergeCell ref="H20:H21"/>
    <mergeCell ref="I20:I21"/>
    <mergeCell ref="J20:J21"/>
    <mergeCell ref="U20:U21"/>
    <mergeCell ref="K20:P20"/>
    <mergeCell ref="W20:W21"/>
    <mergeCell ref="V20:V21"/>
    <mergeCell ref="T20:T21"/>
    <mergeCell ref="S20:S21"/>
    <mergeCell ref="B26:B27"/>
    <mergeCell ref="I3:J3"/>
    <mergeCell ref="I4:J4"/>
    <mergeCell ref="F20:F21"/>
    <mergeCell ref="D20:E21"/>
    <mergeCell ref="C20:C21"/>
    <mergeCell ref="I10:I11"/>
    <mergeCell ref="I12:I13"/>
    <mergeCell ref="H8:H9"/>
    <mergeCell ref="I8:I9"/>
    <mergeCell ref="C22:C23"/>
    <mergeCell ref="F22:F23"/>
    <mergeCell ref="B22:B23"/>
    <mergeCell ref="H24:H25"/>
    <mergeCell ref="C26:C27"/>
  </mergeCells>
  <conditionalFormatting sqref="J10:N13">
    <cfRule type="cellIs" dxfId="111" priority="45" operator="between">
      <formula>1</formula>
      <formula>9.999</formula>
    </cfRule>
    <cfRule type="cellIs" dxfId="110" priority="43" operator="greaterThanOrEqual">
      <formula>10000</formula>
    </cfRule>
    <cfRule type="cellIs" dxfId="109" priority="44" operator="greaterThanOrEqual">
      <formula>10</formula>
    </cfRule>
    <cfRule type="cellIs" dxfId="108" priority="49" operator="equal">
      <formula>0</formula>
    </cfRule>
    <cfRule type="containsBlanks" dxfId="107" priority="48" stopIfTrue="1">
      <formula>LEN(TRIM(J10))=0</formula>
    </cfRule>
    <cfRule type="cellIs" dxfId="106" priority="47" operator="lessThanOrEqual">
      <formula>0.1</formula>
    </cfRule>
    <cfRule type="cellIs" dxfId="105" priority="46" operator="between">
      <formula>0.1</formula>
      <formula>0.999</formula>
    </cfRule>
  </conditionalFormatting>
  <conditionalFormatting sqref="K22:P27">
    <cfRule type="cellIs" dxfId="104" priority="102" operator="lessThan">
      <formula>$J22</formula>
    </cfRule>
    <cfRule type="containsBlanks" dxfId="103" priority="100" stopIfTrue="1">
      <formula>LEN(TRIM(K22))=0</formula>
    </cfRule>
    <cfRule type="cellIs" dxfId="102" priority="99" operator="lessThanOrEqual">
      <formula>0.1</formula>
    </cfRule>
    <cfRule type="cellIs" dxfId="101" priority="98" operator="between">
      <formula>0.1</formula>
      <formula>0.999</formula>
    </cfRule>
    <cfRule type="cellIs" dxfId="100" priority="97" operator="between">
      <formula>1</formula>
      <formula>9.999</formula>
    </cfRule>
    <cfRule type="cellIs" dxfId="99" priority="96" operator="greaterThanOrEqual">
      <formula>10</formula>
    </cfRule>
    <cfRule type="cellIs" dxfId="98" priority="95" operator="greaterThanOrEqual">
      <formula>10000</formula>
    </cfRule>
    <cfRule type="cellIs" dxfId="97" priority="101" operator="greaterThanOrEqual">
      <formula>$J22</formula>
    </cfRule>
  </conditionalFormatting>
  <conditionalFormatting sqref="K30:P31">
    <cfRule type="cellIs" dxfId="96" priority="37" operator="between">
      <formula>0.1</formula>
      <formula>0.999</formula>
    </cfRule>
    <cfRule type="cellIs" dxfId="95" priority="38" operator="lessThanOrEqual">
      <formula>0.1</formula>
    </cfRule>
    <cfRule type="containsBlanks" dxfId="94" priority="39" stopIfTrue="1">
      <formula>LEN(TRIM(K30))=0</formula>
    </cfRule>
    <cfRule type="cellIs" dxfId="93" priority="40" operator="greaterThanOrEqual">
      <formula>0.0001</formula>
    </cfRule>
    <cfRule type="containsBlanks" dxfId="92" priority="41" stopIfTrue="1">
      <formula>LEN(TRIM(K30))=0</formula>
    </cfRule>
    <cfRule type="cellIs" dxfId="91" priority="42" operator="greaterThanOrEqual">
      <formula>0.0001</formula>
    </cfRule>
    <cfRule type="cellIs" dxfId="90" priority="36" operator="between">
      <formula>1</formula>
      <formula>9.999</formula>
    </cfRule>
    <cfRule type="cellIs" dxfId="89" priority="34" operator="greaterThanOrEqual">
      <formula>10000</formula>
    </cfRule>
    <cfRule type="cellIs" dxfId="88" priority="35" operator="greaterThanOrEqual">
      <formula>10</formula>
    </cfRule>
  </conditionalFormatting>
  <conditionalFormatting sqref="K31:Q33 Q22:Q27 Q30 X32:AA33">
    <cfRule type="cellIs" dxfId="87" priority="179" operator="greaterThan">
      <formula>100</formula>
    </cfRule>
    <cfRule type="cellIs" dxfId="86" priority="177" operator="between">
      <formula>0.01</formula>
      <formula>1</formula>
    </cfRule>
    <cfRule type="cellIs" dxfId="85" priority="176" operator="lessThan">
      <formula>0.01</formula>
    </cfRule>
  </conditionalFormatting>
  <conditionalFormatting sqref="L30:P30">
    <cfRule type="cellIs" dxfId="84" priority="92" operator="greaterThanOrEqual">
      <formula>0.0001</formula>
    </cfRule>
    <cfRule type="cellIs" dxfId="83" priority="90" operator="between">
      <formula>0.1</formula>
      <formula>0.999</formula>
    </cfRule>
    <cfRule type="cellIs" dxfId="82" priority="89" operator="between">
      <formula>1</formula>
      <formula>9.999</formula>
    </cfRule>
    <cfRule type="containsBlanks" dxfId="81" priority="91" stopIfTrue="1">
      <formula>LEN(TRIM(L30))=0</formula>
    </cfRule>
  </conditionalFormatting>
  <conditionalFormatting sqref="Q22:Q27 Q30 K31:Q33 X32:AA33">
    <cfRule type="cellIs" dxfId="80" priority="178" operator="between">
      <formula>1</formula>
      <formula>100</formula>
    </cfRule>
    <cfRule type="containsBlanks" dxfId="79" priority="180" stopIfTrue="1">
      <formula>LEN(TRIM(K22))=0</formula>
    </cfRule>
  </conditionalFormatting>
  <conditionalFormatting sqref="Q22:Q27">
    <cfRule type="cellIs" dxfId="78" priority="182" operator="lessThan">
      <formula>$J22</formula>
    </cfRule>
    <cfRule type="cellIs" dxfId="77" priority="181" operator="greaterThanOrEqual">
      <formula>$J22</formula>
    </cfRule>
  </conditionalFormatting>
  <conditionalFormatting sqref="Q30 K31:Q33 X32:AA33">
    <cfRule type="cellIs" dxfId="76" priority="186" operator="greaterThanOrEqual">
      <formula>0.0001</formula>
    </cfRule>
  </conditionalFormatting>
  <conditionalFormatting sqref="U10:Y17">
    <cfRule type="cellIs" dxfId="75" priority="55" operator="greaterThanOrEqual">
      <formula>10000</formula>
    </cfRule>
    <cfRule type="cellIs" dxfId="74" priority="62" operator="lessThan">
      <formula>0.1</formula>
    </cfRule>
    <cfRule type="cellIs" dxfId="73" priority="63" operator="between">
      <formula>0.1</formula>
      <formula>0.999</formula>
    </cfRule>
    <cfRule type="cellIs" dxfId="72" priority="64" operator="between">
      <formula>1</formula>
      <formula>10</formula>
    </cfRule>
    <cfRule type="cellIs" dxfId="71" priority="65" operator="greaterThan">
      <formula>10</formula>
    </cfRule>
    <cfRule type="cellIs" dxfId="70" priority="66" operator="greaterThan">
      <formula>10000</formula>
    </cfRule>
    <cfRule type="cellIs" dxfId="69" priority="56" operator="greaterThanOrEqual">
      <formula>10</formula>
    </cfRule>
    <cfRule type="cellIs" dxfId="68" priority="57" operator="between">
      <formula>1</formula>
      <formula>9.999</formula>
    </cfRule>
    <cfRule type="cellIs" dxfId="67" priority="58" operator="between">
      <formula>0.1</formula>
      <formula>0.999</formula>
    </cfRule>
    <cfRule type="cellIs" dxfId="66" priority="59" operator="lessThanOrEqual">
      <formula>0.1</formula>
    </cfRule>
    <cfRule type="containsBlanks" dxfId="65" priority="60" stopIfTrue="1">
      <formula>LEN(TRIM(U10))=0</formula>
    </cfRule>
    <cfRule type="cellIs" dxfId="64" priority="61" operator="equal">
      <formula>0</formula>
    </cfRule>
  </conditionalFormatting>
  <conditionalFormatting sqref="X22:AA22">
    <cfRule type="cellIs" dxfId="63" priority="18" operator="lessThan">
      <formula>$W22</formula>
    </cfRule>
    <cfRule type="cellIs" dxfId="62" priority="17" operator="greaterThanOrEqual">
      <formula>$W22</formula>
    </cfRule>
    <cfRule type="cellIs" dxfId="61" priority="15" operator="greaterThanOrEqual">
      <formula>$J22</formula>
    </cfRule>
    <cfRule type="containsBlanks" dxfId="60" priority="11" stopIfTrue="1">
      <formula>LEN(TRIM(X22))=0</formula>
    </cfRule>
    <cfRule type="cellIs" dxfId="59" priority="12" operator="greaterThanOrEqual">
      <formula>10000</formula>
    </cfRule>
    <cfRule type="cellIs" dxfId="58" priority="10" operator="between">
      <formula>0.1</formula>
      <formula>0.999</formula>
    </cfRule>
    <cfRule type="cellIs" dxfId="57" priority="9" operator="between">
      <formula>1</formula>
      <formula>9.999</formula>
    </cfRule>
    <cfRule type="cellIs" dxfId="56" priority="16" operator="lessThan">
      <formula>$J22</formula>
    </cfRule>
  </conditionalFormatting>
  <conditionalFormatting sqref="X22:AA23">
    <cfRule type="cellIs" dxfId="55" priority="14" operator="lessThanOrEqual">
      <formula>0.1</formula>
    </cfRule>
    <cfRule type="cellIs" dxfId="54" priority="13" operator="greaterThanOrEqual">
      <formula>10</formula>
    </cfRule>
  </conditionalFormatting>
  <conditionalFormatting sqref="X23:AA23">
    <cfRule type="cellIs" dxfId="53" priority="21" operator="lessThan">
      <formula>$W23</formula>
    </cfRule>
    <cfRule type="containsBlanks" dxfId="52" priority="19" stopIfTrue="1">
      <formula>LEN(TRIM(X23))=0</formula>
    </cfRule>
    <cfRule type="cellIs" dxfId="51" priority="20" operator="greaterThanOrEqual">
      <formula>$W23</formula>
    </cfRule>
  </conditionalFormatting>
  <conditionalFormatting sqref="X23:AA27">
    <cfRule type="cellIs" dxfId="50" priority="2" operator="greaterThanOrEqual">
      <formula>10000</formula>
    </cfRule>
  </conditionalFormatting>
  <conditionalFormatting sqref="X24:AA27">
    <cfRule type="cellIs" dxfId="49" priority="3" operator="greaterThanOrEqual">
      <formula>10</formula>
    </cfRule>
    <cfRule type="cellIs" dxfId="48" priority="4" operator="lessThanOrEqual">
      <formula>0.1</formula>
    </cfRule>
    <cfRule type="containsBlanks" dxfId="47" priority="5" stopIfTrue="1">
      <formula>LEN(TRIM(X24))=0</formula>
    </cfRule>
    <cfRule type="cellIs" dxfId="46" priority="7" operator="lessThan">
      <formula>$W24</formula>
    </cfRule>
    <cfRule type="cellIs" dxfId="45" priority="1" operator="between">
      <formula>1</formula>
      <formula>9.999</formula>
    </cfRule>
    <cfRule type="cellIs" dxfId="44" priority="6" operator="greaterThanOrEqual">
      <formula>$W24</formula>
    </cfRule>
  </conditionalFormatting>
  <conditionalFormatting sqref="X30:AA31">
    <cfRule type="cellIs" dxfId="43" priority="33" operator="greaterThanOrEqual">
      <formula>0.0001</formula>
    </cfRule>
    <cfRule type="cellIs" dxfId="42" priority="29" operator="greaterThanOrEqual">
      <formula>10000</formula>
    </cfRule>
    <cfRule type="containsBlanks" dxfId="41" priority="32" stopIfTrue="1">
      <formula>LEN(TRIM(X30))=0</formula>
    </cfRule>
    <cfRule type="cellIs" dxfId="40" priority="31" operator="lessThanOrEqual">
      <formula>0.1</formula>
    </cfRule>
    <cfRule type="cellIs" dxfId="39" priority="30" operator="greaterThanOrEqual">
      <formula>10</formula>
    </cfRule>
  </conditionalFormatting>
  <dataValidations count="1">
    <dataValidation allowBlank="1" showErrorMessage="1" sqref="S8 H8 H12:H13 J8:J9 U8:U9" xr:uid="{B6FDB558-C6DA-450F-B0A7-6A9F371395FE}"/>
  </dataValidations>
  <pageMargins left="0.7" right="0.7" top="0.75" bottom="0.75" header="0.3" footer="0.3"/>
  <pageSetup orientation="portrait" r:id="rId1"/>
  <ignoredErrors>
    <ignoredError sqref="K27" formula="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7B888423-487C-4515-BD78-F21A071FAC4A}">
          <x14:formula1>
            <xm:f>'List Values'!$I$13:$I$14</xm:f>
          </x14:formula1>
          <xm:sqref>I4</xm:sqref>
        </x14:dataValidation>
        <x14:dataValidation type="list" allowBlank="1" showInputMessage="1" showErrorMessage="1" xr:uid="{EEB43209-65D0-4ECD-98C8-2D730F6098A1}">
          <x14:formula1>
            <xm:f>'List Values'!$B$3:$B$23</xm:f>
          </x14:formula1>
          <xm:sqref>H4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8EF52-814B-4965-936D-BDFF45BDBA8C}">
  <sheetPr codeName="Sheet7"/>
  <dimension ref="A2:U16"/>
  <sheetViews>
    <sheetView workbookViewId="0"/>
  </sheetViews>
  <sheetFormatPr defaultRowHeight="15" x14ac:dyDescent="0.25"/>
  <cols>
    <col min="1" max="1" width="9.140625" style="525"/>
    <col min="2" max="2" width="50.85546875" style="2" customWidth="1"/>
    <col min="3" max="3" width="14.140625" style="2" customWidth="1"/>
    <col min="4" max="4" width="14.28515625" style="2" customWidth="1"/>
    <col min="5" max="5" width="16" style="2" customWidth="1"/>
    <col min="6" max="6" width="15.140625" style="2" customWidth="1"/>
    <col min="7" max="7" width="13.42578125" style="2" customWidth="1"/>
    <col min="8" max="8" width="13.140625" style="2" customWidth="1"/>
    <col min="9" max="9" width="13.7109375" style="2" customWidth="1"/>
    <col min="10" max="10" width="15.5703125" style="2" customWidth="1"/>
    <col min="11" max="11" width="17.28515625" style="2" customWidth="1"/>
    <col min="12" max="12" width="15.140625" style="2" customWidth="1"/>
    <col min="13" max="16384" width="9.140625" style="2"/>
  </cols>
  <sheetData>
    <row r="2" spans="1:21" ht="15.75" thickBot="1" x14ac:dyDescent="0.3">
      <c r="N2" s="526" t="s">
        <v>225</v>
      </c>
      <c r="O2" s="526"/>
      <c r="P2" s="526"/>
      <c r="Q2" s="526"/>
      <c r="R2" s="526"/>
      <c r="S2" s="526"/>
      <c r="T2" s="526"/>
      <c r="U2" s="526"/>
    </row>
    <row r="3" spans="1:21" x14ac:dyDescent="0.25">
      <c r="C3" s="527" t="s">
        <v>226</v>
      </c>
      <c r="D3" s="528"/>
      <c r="E3" s="528"/>
      <c r="F3" s="528"/>
      <c r="G3" s="529"/>
      <c r="H3" s="528" t="s">
        <v>227</v>
      </c>
      <c r="I3" s="528"/>
      <c r="J3" s="528"/>
      <c r="K3" s="528"/>
      <c r="L3" s="529"/>
      <c r="N3" s="530" t="s">
        <v>228</v>
      </c>
      <c r="O3" s="530"/>
      <c r="P3" s="530" t="s">
        <v>229</v>
      </c>
      <c r="Q3" s="530"/>
      <c r="R3" s="531" t="s">
        <v>230</v>
      </c>
      <c r="S3" s="531"/>
      <c r="T3" s="530" t="s">
        <v>231</v>
      </c>
      <c r="U3" s="530"/>
    </row>
    <row r="4" spans="1:21" ht="53.65" customHeight="1" thickBot="1" x14ac:dyDescent="0.3">
      <c r="C4" s="532" t="s">
        <v>83</v>
      </c>
      <c r="D4" s="533" t="s">
        <v>84</v>
      </c>
      <c r="E4" s="533" t="s">
        <v>85</v>
      </c>
      <c r="F4" s="533" t="s">
        <v>86</v>
      </c>
      <c r="G4" s="534" t="s">
        <v>87</v>
      </c>
      <c r="H4" s="533" t="s">
        <v>83</v>
      </c>
      <c r="I4" s="533" t="s">
        <v>84</v>
      </c>
      <c r="J4" s="533" t="s">
        <v>85</v>
      </c>
      <c r="K4" s="533" t="s">
        <v>86</v>
      </c>
      <c r="L4" s="534" t="s">
        <v>87</v>
      </c>
      <c r="N4" s="530"/>
      <c r="O4" s="530"/>
      <c r="P4" s="530"/>
      <c r="Q4" s="530"/>
      <c r="R4" s="531"/>
      <c r="S4" s="531"/>
      <c r="T4" s="530"/>
      <c r="U4" s="530"/>
    </row>
    <row r="5" spans="1:21" ht="33.75" thickBot="1" x14ac:dyDescent="0.3">
      <c r="A5" s="535" t="s">
        <v>406</v>
      </c>
      <c r="B5" s="536" t="s">
        <v>232</v>
      </c>
      <c r="C5" s="537" t="s">
        <v>233</v>
      </c>
      <c r="D5" s="538" t="s">
        <v>234</v>
      </c>
      <c r="E5" s="538" t="s">
        <v>235</v>
      </c>
      <c r="F5" s="538" t="s">
        <v>236</v>
      </c>
      <c r="G5" s="539" t="s">
        <v>237</v>
      </c>
      <c r="H5" s="540" t="s">
        <v>233</v>
      </c>
      <c r="I5" s="538" t="s">
        <v>234</v>
      </c>
      <c r="J5" s="538" t="s">
        <v>235</v>
      </c>
      <c r="K5" s="538" t="s">
        <v>236</v>
      </c>
      <c r="L5" s="539" t="s">
        <v>237</v>
      </c>
      <c r="N5" s="541" t="s">
        <v>98</v>
      </c>
      <c r="O5" s="541" t="s">
        <v>101</v>
      </c>
      <c r="P5" s="541" t="s">
        <v>98</v>
      </c>
      <c r="Q5" s="541" t="s">
        <v>101</v>
      </c>
      <c r="R5" s="541" t="s">
        <v>98</v>
      </c>
      <c r="S5" s="541" t="s">
        <v>101</v>
      </c>
      <c r="T5" s="541" t="s">
        <v>98</v>
      </c>
      <c r="U5" s="541" t="s">
        <v>101</v>
      </c>
    </row>
    <row r="6" spans="1:21" x14ac:dyDescent="0.25">
      <c r="A6" s="542">
        <v>1</v>
      </c>
      <c r="B6" s="543" t="s">
        <v>418</v>
      </c>
      <c r="C6" s="544">
        <v>28.177423570461148</v>
      </c>
      <c r="D6" s="545">
        <v>0.35221779463076436</v>
      </c>
      <c r="E6" s="545">
        <v>0.25829304939589387</v>
      </c>
      <c r="F6" s="545">
        <v>0.24124506481559202</v>
      </c>
      <c r="G6" s="546">
        <v>9.980347228755046E-2</v>
      </c>
      <c r="H6" s="547">
        <v>11.328176041097972</v>
      </c>
      <c r="I6" s="545">
        <v>0.14160220051372466</v>
      </c>
      <c r="J6" s="545">
        <v>0.10384161371006476</v>
      </c>
      <c r="K6" s="545">
        <v>9.6987808571044276E-2</v>
      </c>
      <c r="L6" s="546">
        <v>3.5595848339469563E-2</v>
      </c>
      <c r="N6" s="545">
        <f>'Health Data'!$G$15/I6</f>
        <v>50.84666745205098</v>
      </c>
      <c r="O6" s="545">
        <f>'Health Data'!$G$15/D6</f>
        <v>20.441897342375555</v>
      </c>
      <c r="P6" s="545">
        <f>'Health Data'!$G$16/'Dermal Exposure'!J6</f>
        <v>109.78257745329188</v>
      </c>
      <c r="Q6" s="545">
        <f>'Health Data'!$G$16/E6</f>
        <v>44.135914716492671</v>
      </c>
      <c r="R6" s="545">
        <f>'Health Data'!$G$17/'Dermal Exposure'!K6</f>
        <v>117.5405462599912</v>
      </c>
      <c r="S6" s="545">
        <f>'Health Data'!$G$17/F6</f>
        <v>47.254852689791491</v>
      </c>
      <c r="T6" s="545">
        <f>'Health Data'!$I$18*L6</f>
        <v>1.4238339335787826E-3</v>
      </c>
      <c r="U6" s="545">
        <f>'Health Data'!$I$18*G6</f>
        <v>3.9921388915020182E-3</v>
      </c>
    </row>
    <row r="7" spans="1:21" x14ac:dyDescent="0.25">
      <c r="A7" s="542">
        <v>2</v>
      </c>
      <c r="B7" s="548" t="s">
        <v>438</v>
      </c>
      <c r="C7" s="544">
        <v>28.190222932104643</v>
      </c>
      <c r="D7" s="545">
        <v>0.35237778665130803</v>
      </c>
      <c r="E7" s="545">
        <v>0.21810682911710152</v>
      </c>
      <c r="F7" s="545">
        <v>0.2037112351654124</v>
      </c>
      <c r="G7" s="546">
        <v>8.4071433286280653E-2</v>
      </c>
      <c r="H7" s="547">
        <v>11.333598974793102</v>
      </c>
      <c r="I7" s="545">
        <v>0.14166998718491378</v>
      </c>
      <c r="J7" s="545">
        <v>8.3300141636625885E-2</v>
      </c>
      <c r="K7" s="545">
        <v>7.7802124816275728E-2</v>
      </c>
      <c r="L7" s="546">
        <v>2.8655488643205052E-2</v>
      </c>
      <c r="N7" s="545">
        <f>'Health Data'!$G$15/I7</f>
        <v>50.822338189402458</v>
      </c>
      <c r="O7" s="545">
        <f>'Health Data'!$G$15/D7</f>
        <v>20.432615995527236</v>
      </c>
      <c r="P7" s="545">
        <f>'Health Data'!$G$16/'Dermal Exposure'!J7</f>
        <v>136.8545092003491</v>
      </c>
      <c r="Q7" s="545">
        <f>'Health Data'!$G$16/E7</f>
        <v>52.267964493121589</v>
      </c>
      <c r="R7" s="545">
        <f>'Health Data'!$G$17/'Dermal Exposure'!K7</f>
        <v>146.52556118384044</v>
      </c>
      <c r="S7" s="545">
        <f>'Health Data'!$G$17/F7</f>
        <v>55.961567317302176</v>
      </c>
      <c r="T7" s="545">
        <f>'Health Data'!$I$18*L7</f>
        <v>1.1462195457282022E-3</v>
      </c>
      <c r="U7" s="545">
        <f>'Health Data'!$I$18*G7</f>
        <v>3.3628573314512262E-3</v>
      </c>
    </row>
    <row r="8" spans="1:21" x14ac:dyDescent="0.25">
      <c r="A8" s="549">
        <v>3</v>
      </c>
      <c r="B8" s="550" t="s">
        <v>419</v>
      </c>
      <c r="C8" s="544">
        <v>28.205052622314525</v>
      </c>
      <c r="D8" s="545">
        <v>0.35256315777893155</v>
      </c>
      <c r="E8" s="545">
        <v>0.25854631570454978</v>
      </c>
      <c r="F8" s="545">
        <v>0.24148161491707643</v>
      </c>
      <c r="G8" s="546">
        <v>9.9710183634611371E-2</v>
      </c>
      <c r="H8" s="547">
        <v>11.315436164811972</v>
      </c>
      <c r="I8" s="545">
        <v>0.14144295206014965</v>
      </c>
      <c r="J8" s="545">
        <v>0.10372483151077641</v>
      </c>
      <c r="K8" s="545">
        <v>9.687873428777373E-2</v>
      </c>
      <c r="L8" s="546">
        <v>3.561594701094814E-2</v>
      </c>
      <c r="N8" s="545">
        <f>'Health Data'!$G$15/I8</f>
        <v>50.903914936236255</v>
      </c>
      <c r="O8" s="545">
        <f>'Health Data'!$G$15/D8</f>
        <v>20.421872907419985</v>
      </c>
      <c r="P8" s="545">
        <f>'Health Data'!$G$16/'Dermal Exposure'!J8</f>
        <v>109.90617997596463</v>
      </c>
      <c r="Q8" s="545">
        <f>'Health Data'!$G$16/E8</f>
        <v>44.092680141020431</v>
      </c>
      <c r="R8" s="545">
        <f>'Health Data'!$G$17/'Dermal Exposure'!K8</f>
        <v>117.67288336093281</v>
      </c>
      <c r="S8" s="545">
        <f>'Health Data'!$G$17/F8</f>
        <v>47.208562870985865</v>
      </c>
      <c r="T8" s="545">
        <f>'Health Data'!$I$18*L8</f>
        <v>1.4246378804379256E-3</v>
      </c>
      <c r="U8" s="545">
        <f>'Health Data'!$I$18*G8</f>
        <v>3.9884073453844548E-3</v>
      </c>
    </row>
    <row r="9" spans="1:21" x14ac:dyDescent="0.25">
      <c r="A9" s="549">
        <v>4</v>
      </c>
      <c r="B9" s="551" t="s">
        <v>420</v>
      </c>
      <c r="C9" s="544">
        <v>28.142509463411141</v>
      </c>
      <c r="D9" s="545">
        <v>0.35178136829263928</v>
      </c>
      <c r="E9" s="545">
        <v>0.25797300341460211</v>
      </c>
      <c r="F9" s="545">
        <v>0.2409461426661913</v>
      </c>
      <c r="G9" s="546">
        <v>9.9739457333559212E-2</v>
      </c>
      <c r="H9" s="547">
        <v>11.323334218263044</v>
      </c>
      <c r="I9" s="545">
        <v>0.14154167772828805</v>
      </c>
      <c r="J9" s="545">
        <v>0.10379723033407791</v>
      </c>
      <c r="K9" s="545">
        <v>9.6946354608416468E-2</v>
      </c>
      <c r="L9" s="546">
        <v>3.5616802419768299E-2</v>
      </c>
      <c r="N9" s="545">
        <f>'Health Data'!$G$15/I9</f>
        <v>50.868409330441558</v>
      </c>
      <c r="O9" s="545">
        <f>'Health Data'!$G$15/D9</f>
        <v>20.467257930529385</v>
      </c>
      <c r="P9" s="545">
        <f>'Health Data'!$G$16/'Dermal Exposure'!J9</f>
        <v>109.82952014527154</v>
      </c>
      <c r="Q9" s="545">
        <f>'Health Data'!$G$16/E9</f>
        <v>44.190670531824814</v>
      </c>
      <c r="R9" s="545">
        <f>'Health Data'!$G$17/'Dermal Exposure'!K9</f>
        <v>117.59080623553741</v>
      </c>
      <c r="S9" s="545">
        <f>'Health Data'!$G$17/F9</f>
        <v>47.313477916073765</v>
      </c>
      <c r="T9" s="545">
        <f>'Health Data'!$I$18*L9</f>
        <v>1.424672096790732E-3</v>
      </c>
      <c r="U9" s="545">
        <f>'Health Data'!$I$18*G9</f>
        <v>3.9895782933423683E-3</v>
      </c>
    </row>
    <row r="10" spans="1:21" x14ac:dyDescent="0.25">
      <c r="A10" s="549">
        <v>7</v>
      </c>
      <c r="B10" s="552" t="s">
        <v>423</v>
      </c>
      <c r="C10" s="544">
        <v>17.652776937748659</v>
      </c>
      <c r="D10" s="545">
        <v>0.22065971172185822</v>
      </c>
      <c r="E10" s="545">
        <v>0.13223972951983196</v>
      </c>
      <c r="F10" s="545">
        <v>0.12351157800731503</v>
      </c>
      <c r="G10" s="546">
        <v>4.7770947108328077E-2</v>
      </c>
      <c r="H10" s="547">
        <v>2.1525920194447049E-2</v>
      </c>
      <c r="I10" s="545">
        <v>2.6907400243058813E-4</v>
      </c>
      <c r="J10" s="545">
        <v>1.6025973271697398E-4</v>
      </c>
      <c r="K10" s="545">
        <v>1.4968219120514378E-4</v>
      </c>
      <c r="L10" s="546">
        <v>5.5817231408381739E-5</v>
      </c>
      <c r="N10" s="545">
        <f>'Health Data'!$G$15/I10</f>
        <v>26758.437957443894</v>
      </c>
      <c r="O10" s="545">
        <f>'Health Data'!$G$15/D10</f>
        <v>32.629427201806585</v>
      </c>
      <c r="P10" s="545">
        <f>'Health Data'!$G$16/'Dermal Exposure'!J10</f>
        <v>71134.525228074112</v>
      </c>
      <c r="Q10" s="545">
        <f>'Health Data'!$G$16/E10</f>
        <v>86.207072877371132</v>
      </c>
      <c r="R10" s="545">
        <f>'Health Data'!$G$17/'Dermal Exposure'!K10</f>
        <v>76161.365010858033</v>
      </c>
      <c r="S10" s="545">
        <f>'Health Data'!$G$17/F10</f>
        <v>92.299039360705351</v>
      </c>
      <c r="T10" s="545">
        <f>'Health Data'!$I$18*L10</f>
        <v>2.2326892563352694E-6</v>
      </c>
      <c r="U10" s="545">
        <f>'Health Data'!$I$18*G10</f>
        <v>1.9108378843331231E-3</v>
      </c>
    </row>
    <row r="11" spans="1:21" x14ac:dyDescent="0.25">
      <c r="A11" s="549">
        <v>8</v>
      </c>
      <c r="B11" s="552" t="s">
        <v>439</v>
      </c>
      <c r="C11" s="544">
        <v>18.082043704565162</v>
      </c>
      <c r="D11" s="545">
        <v>0.22602554630706453</v>
      </c>
      <c r="E11" s="545">
        <v>0.1657520672918473</v>
      </c>
      <c r="F11" s="545">
        <v>0.15481201801853736</v>
      </c>
      <c r="G11" s="546">
        <v>6.1542963461249045E-2</v>
      </c>
      <c r="H11" s="547">
        <v>4.0099659444977398</v>
      </c>
      <c r="I11" s="545">
        <v>5.0124574306221747E-2</v>
      </c>
      <c r="J11" s="545">
        <v>3.6758021157895948E-2</v>
      </c>
      <c r="K11" s="545">
        <v>3.4331900209740925E-2</v>
      </c>
      <c r="L11" s="546">
        <v>1.2594456647483951E-2</v>
      </c>
      <c r="N11" s="545">
        <f>'Health Data'!$G$15/I11</f>
        <v>143.6421176569732</v>
      </c>
      <c r="O11" s="545">
        <f>'Health Data'!$G$15/D11</f>
        <v>31.854806315647696</v>
      </c>
      <c r="P11" s="545">
        <f>'Health Data'!$G$16/'Dermal Exposure'!J11</f>
        <v>310.13639039573758</v>
      </c>
      <c r="Q11" s="545">
        <f>'Health Data'!$G$16/E11</f>
        <v>68.777422726966634</v>
      </c>
      <c r="R11" s="545">
        <f>'Health Data'!$G$17/'Dermal Exposure'!K11</f>
        <v>332.05269531703635</v>
      </c>
      <c r="S11" s="545">
        <f>'Health Data'!$G$17/F11</f>
        <v>73.637693933005593</v>
      </c>
      <c r="T11" s="545">
        <f>'Health Data'!$I$18*L11</f>
        <v>5.0377826589935806E-4</v>
      </c>
      <c r="U11" s="545">
        <f>'Health Data'!$I$18*G11</f>
        <v>2.461718538449962E-3</v>
      </c>
    </row>
    <row r="12" spans="1:21" x14ac:dyDescent="0.25">
      <c r="A12" s="549">
        <v>8</v>
      </c>
      <c r="B12" s="552" t="s">
        <v>440</v>
      </c>
      <c r="C12" s="544">
        <v>18.082043704565162</v>
      </c>
      <c r="D12" s="545">
        <v>0.22602554630706453</v>
      </c>
      <c r="E12" s="545">
        <v>0.1657520672918473</v>
      </c>
      <c r="F12" s="545">
        <v>0.15481201801853736</v>
      </c>
      <c r="G12" s="546">
        <v>6.1542963461249045E-2</v>
      </c>
      <c r="H12" s="547">
        <v>4.0099659444977398</v>
      </c>
      <c r="I12" s="545">
        <v>5.0124574306221747E-2</v>
      </c>
      <c r="J12" s="545">
        <v>3.6758021157895948E-2</v>
      </c>
      <c r="K12" s="545">
        <v>3.4331900209740925E-2</v>
      </c>
      <c r="L12" s="546">
        <v>1.2594456647483951E-2</v>
      </c>
      <c r="N12" s="545">
        <f>'Health Data'!$G$15/I12</f>
        <v>143.6421176569732</v>
      </c>
      <c r="O12" s="545">
        <f>'Health Data'!$G$15/D12</f>
        <v>31.854806315647696</v>
      </c>
      <c r="P12" s="545">
        <f>'Health Data'!$G$16/'Dermal Exposure'!J12</f>
        <v>310.13639039573758</v>
      </c>
      <c r="Q12" s="545">
        <f>'Health Data'!$G$16/E12</f>
        <v>68.777422726966634</v>
      </c>
      <c r="R12" s="545">
        <f>'Health Data'!$G$17/'Dermal Exposure'!K12</f>
        <v>332.05269531703635</v>
      </c>
      <c r="S12" s="545">
        <f>'Health Data'!$G$17/F12</f>
        <v>73.637693933005593</v>
      </c>
      <c r="T12" s="545">
        <f>'Health Data'!$I$18*L12</f>
        <v>5.0377826589935806E-4</v>
      </c>
      <c r="U12" s="545">
        <f>'Health Data'!$I$18*G12</f>
        <v>2.461718538449962E-3</v>
      </c>
    </row>
    <row r="13" spans="1:21" x14ac:dyDescent="0.25">
      <c r="A13" s="549">
        <v>8</v>
      </c>
      <c r="B13" s="552" t="s">
        <v>441</v>
      </c>
      <c r="C13" s="544">
        <v>18.082043704565162</v>
      </c>
      <c r="D13" s="545">
        <v>0.22602554630706453</v>
      </c>
      <c r="E13" s="545">
        <v>0.1657520672918473</v>
      </c>
      <c r="F13" s="545">
        <v>0.15481201801853736</v>
      </c>
      <c r="G13" s="546">
        <v>6.1542963461249045E-2</v>
      </c>
      <c r="H13" s="547">
        <v>4.0099659444977398</v>
      </c>
      <c r="I13" s="545">
        <v>5.0124574306221747E-2</v>
      </c>
      <c r="J13" s="545">
        <v>3.6758021157895948E-2</v>
      </c>
      <c r="K13" s="545">
        <v>3.4331900209740925E-2</v>
      </c>
      <c r="L13" s="546">
        <v>1.2594456647483951E-2</v>
      </c>
      <c r="N13" s="545">
        <f>'Health Data'!$G$15/I13</f>
        <v>143.6421176569732</v>
      </c>
      <c r="O13" s="545">
        <f>'Health Data'!$G$15/D13</f>
        <v>31.854806315647696</v>
      </c>
      <c r="P13" s="545">
        <f>'Health Data'!$G$16/'Dermal Exposure'!J13</f>
        <v>310.13639039573758</v>
      </c>
      <c r="Q13" s="545">
        <f>'Health Data'!$G$16/E13</f>
        <v>68.777422726966634</v>
      </c>
      <c r="R13" s="545">
        <f>'Health Data'!$G$17/'Dermal Exposure'!K13</f>
        <v>332.05269531703635</v>
      </c>
      <c r="S13" s="545">
        <f>'Health Data'!$G$17/F13</f>
        <v>73.637693933005593</v>
      </c>
      <c r="T13" s="545">
        <f>'Health Data'!$I$18*L13</f>
        <v>5.0377826589935806E-4</v>
      </c>
      <c r="U13" s="545">
        <f>'Health Data'!$I$18*G13</f>
        <v>2.461718538449962E-3</v>
      </c>
    </row>
    <row r="14" spans="1:21" ht="15.75" thickBot="1" x14ac:dyDescent="0.3">
      <c r="A14" s="553">
        <v>8</v>
      </c>
      <c r="B14" s="554" t="s">
        <v>442</v>
      </c>
      <c r="C14" s="555">
        <v>18.082043704565162</v>
      </c>
      <c r="D14" s="556">
        <v>0.22602554630706453</v>
      </c>
      <c r="E14" s="556">
        <v>0.1657520672918473</v>
      </c>
      <c r="F14" s="556">
        <v>0.15481201801853736</v>
      </c>
      <c r="G14" s="557">
        <v>6.1542963461249045E-2</v>
      </c>
      <c r="H14" s="558">
        <v>4.0099659444977398</v>
      </c>
      <c r="I14" s="556">
        <v>5.0124574306221747E-2</v>
      </c>
      <c r="J14" s="556">
        <v>3.6758021157895948E-2</v>
      </c>
      <c r="K14" s="556">
        <v>3.4331900209740925E-2</v>
      </c>
      <c r="L14" s="557">
        <v>1.2594456647483951E-2</v>
      </c>
      <c r="N14" s="545">
        <f>'Health Data'!$G$15/I14</f>
        <v>143.6421176569732</v>
      </c>
      <c r="O14" s="545">
        <f>'Health Data'!$G$15/D14</f>
        <v>31.854806315647696</v>
      </c>
      <c r="P14" s="545">
        <f>'Health Data'!$G$16/'Dermal Exposure'!J14</f>
        <v>310.13639039573758</v>
      </c>
      <c r="Q14" s="545">
        <f>'Health Data'!$G$16/E14</f>
        <v>68.777422726966634</v>
      </c>
      <c r="R14" s="545">
        <f>'Health Data'!$G$17/'Dermal Exposure'!K14</f>
        <v>332.05269531703635</v>
      </c>
      <c r="S14" s="545">
        <f>'Health Data'!$G$17/F14</f>
        <v>73.637693933005593</v>
      </c>
      <c r="T14" s="545">
        <f>'Health Data'!$I$18*L14</f>
        <v>5.0377826589935806E-4</v>
      </c>
      <c r="U14" s="545">
        <f>'Health Data'!$I$18*G14</f>
        <v>2.461718538449962E-3</v>
      </c>
    </row>
    <row r="15" spans="1:21" x14ac:dyDescent="0.25">
      <c r="A15" s="559"/>
      <c r="B15" s="560"/>
    </row>
    <row r="16" spans="1:21" x14ac:dyDescent="0.25">
      <c r="A16" s="559"/>
    </row>
  </sheetData>
  <sheetProtection sheet="1" objects="1" scenarios="1" formatCells="0" formatColumns="0" formatRows="0" sort="0" autoFilter="0"/>
  <autoFilter ref="A5:U5" xr:uid="{E908EF52-814B-4965-936D-BDFF45BDBA8C}"/>
  <mergeCells count="7">
    <mergeCell ref="C3:G3"/>
    <mergeCell ref="H3:L3"/>
    <mergeCell ref="N2:U2"/>
    <mergeCell ref="N3:O4"/>
    <mergeCell ref="P3:Q4"/>
    <mergeCell ref="R3:S4"/>
    <mergeCell ref="T3:U4"/>
  </mergeCells>
  <conditionalFormatting sqref="C6:L14">
    <cfRule type="cellIs" dxfId="38" priority="1" operator="equal">
      <formula>0</formula>
    </cfRule>
    <cfRule type="cellIs" dxfId="37" priority="2" operator="lessThan">
      <formula>0.1</formula>
    </cfRule>
    <cfRule type="cellIs" dxfId="36" priority="3" operator="between">
      <formula>0.1</formula>
      <formula>0.999</formula>
    </cfRule>
    <cfRule type="cellIs" dxfId="35" priority="4" operator="between">
      <formula>1</formula>
      <formula>10</formula>
    </cfRule>
    <cfRule type="cellIs" dxfId="34" priority="5" operator="greaterThan">
      <formula>10</formula>
    </cfRule>
    <cfRule type="cellIs" dxfId="33" priority="6" operator="greaterThan">
      <formula>10000</formula>
    </cfRule>
  </conditionalFormatting>
  <conditionalFormatting sqref="N6:U14">
    <cfRule type="cellIs" dxfId="32" priority="19" operator="equal">
      <formula>0</formula>
    </cfRule>
    <cfRule type="cellIs" dxfId="31" priority="20" operator="lessThan">
      <formula>0.1</formula>
    </cfRule>
    <cfRule type="cellIs" dxfId="30" priority="21" operator="between">
      <formula>0.1</formula>
      <formula>0.999</formula>
    </cfRule>
    <cfRule type="cellIs" dxfId="29" priority="22" operator="between">
      <formula>1</formula>
      <formula>10</formula>
    </cfRule>
    <cfRule type="cellIs" dxfId="28" priority="23" operator="greaterThan">
      <formula>10000</formula>
    </cfRule>
    <cfRule type="cellIs" dxfId="27" priority="24" operator="greaterThan">
      <formula>10</formula>
    </cfRule>
  </conditionalFormatting>
  <dataValidations count="1">
    <dataValidation allowBlank="1" showErrorMessage="1" sqref="C3:C5 H3:H5" xr:uid="{6AF3334F-E071-4101-99EC-7B2CE3F4732F}"/>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9850F-DA4A-4D3D-97A6-3832AB231949}">
  <sheetPr codeName="Sheet8"/>
  <dimension ref="A1:Q25"/>
  <sheetViews>
    <sheetView topLeftCell="J1" workbookViewId="0">
      <selection sqref="A1:M1"/>
    </sheetView>
  </sheetViews>
  <sheetFormatPr defaultColWidth="8.7109375" defaultRowHeight="15" x14ac:dyDescent="0.25"/>
  <cols>
    <col min="1" max="1" width="3.5703125" style="226" customWidth="1"/>
    <col min="2" max="2" width="21.7109375" style="226" customWidth="1"/>
    <col min="3" max="3" width="20.28515625" style="226" customWidth="1"/>
    <col min="4" max="4" width="30" style="226" customWidth="1"/>
    <col min="5" max="5" width="26.28515625" style="226" customWidth="1"/>
    <col min="6" max="6" width="8.7109375" style="226"/>
    <col min="7" max="8" width="21.42578125" style="226" customWidth="1"/>
    <col min="9" max="9" width="18.7109375" style="226" customWidth="1"/>
    <col min="10" max="10" width="20.7109375" style="226" customWidth="1"/>
    <col min="11" max="11" width="16.7109375" style="226" customWidth="1"/>
    <col min="12" max="12" width="14.28515625" style="226" customWidth="1"/>
    <col min="13" max="13" width="14.85546875" style="226" customWidth="1"/>
    <col min="14" max="14" width="18.5703125" style="226" customWidth="1"/>
    <col min="15" max="15" width="18" style="226" customWidth="1"/>
    <col min="16" max="16" width="20.7109375" style="226" bestFit="1" customWidth="1"/>
    <col min="17" max="17" width="14.7109375" style="226" customWidth="1"/>
    <col min="18" max="18" width="6.5703125" style="226" customWidth="1"/>
    <col min="19" max="16384" width="8.7109375" style="226"/>
  </cols>
  <sheetData>
    <row r="1" spans="1:16" s="226" customFormat="1" x14ac:dyDescent="0.25">
      <c r="A1" s="225"/>
      <c r="B1" s="225"/>
      <c r="C1" s="225"/>
      <c r="D1" s="225"/>
      <c r="E1" s="225"/>
      <c r="F1" s="225"/>
      <c r="G1" s="225"/>
      <c r="H1" s="225"/>
      <c r="I1" s="225"/>
      <c r="J1" s="225"/>
      <c r="K1" s="225"/>
      <c r="L1" s="225"/>
      <c r="M1" s="225"/>
    </row>
    <row r="3" spans="1:16" s="226" customFormat="1" ht="18.75" x14ac:dyDescent="0.3">
      <c r="B3" s="561" t="s">
        <v>238</v>
      </c>
    </row>
    <row r="4" spans="1:16" s="226" customFormat="1" ht="39" customHeight="1" x14ac:dyDescent="0.25">
      <c r="B4" s="562" t="s">
        <v>239</v>
      </c>
      <c r="C4" s="562"/>
      <c r="D4" s="562"/>
      <c r="E4" s="562"/>
      <c r="F4" s="562"/>
      <c r="G4" s="563"/>
      <c r="H4" s="563"/>
      <c r="I4" s="564"/>
      <c r="N4" s="226" t="s">
        <v>240</v>
      </c>
    </row>
    <row r="5" spans="1:16" s="226" customFormat="1" ht="14.45" customHeight="1" x14ac:dyDescent="0.25">
      <c r="B5" s="565" t="s">
        <v>166</v>
      </c>
      <c r="C5" s="566"/>
      <c r="D5" s="566"/>
      <c r="E5" s="566"/>
      <c r="F5" s="567"/>
      <c r="G5" s="568" t="s">
        <v>241</v>
      </c>
      <c r="H5" s="568"/>
      <c r="I5" s="569" t="s">
        <v>242</v>
      </c>
      <c r="N5" s="570" t="s">
        <v>243</v>
      </c>
      <c r="O5" s="571"/>
      <c r="P5" s="572"/>
    </row>
    <row r="6" spans="1:16" s="226" customFormat="1" ht="45" x14ac:dyDescent="0.25">
      <c r="B6" s="573"/>
      <c r="C6" s="568" t="s">
        <v>202</v>
      </c>
      <c r="D6" s="568"/>
      <c r="E6" s="574" t="s">
        <v>203</v>
      </c>
      <c r="F6" s="574" t="s">
        <v>244</v>
      </c>
      <c r="G6" s="575" t="s">
        <v>105</v>
      </c>
      <c r="H6" s="576" t="s">
        <v>245</v>
      </c>
      <c r="I6" s="577" t="s">
        <v>246</v>
      </c>
      <c r="N6" s="578"/>
      <c r="O6" s="579" t="s">
        <v>247</v>
      </c>
      <c r="P6" s="580" t="s">
        <v>248</v>
      </c>
    </row>
    <row r="7" spans="1:16" s="226" customFormat="1" x14ac:dyDescent="0.25">
      <c r="B7" s="581" t="s">
        <v>214</v>
      </c>
      <c r="C7" s="573"/>
      <c r="D7" s="582" t="s">
        <v>249</v>
      </c>
      <c r="E7" s="583" t="s">
        <v>250</v>
      </c>
      <c r="F7" s="583" t="s">
        <v>113</v>
      </c>
      <c r="G7" s="584">
        <v>8.4</v>
      </c>
      <c r="H7" s="585">
        <v>30</v>
      </c>
      <c r="I7" s="586" t="s">
        <v>251</v>
      </c>
      <c r="N7" s="587"/>
      <c r="O7" s="226" t="s">
        <v>101</v>
      </c>
      <c r="P7" s="588"/>
    </row>
    <row r="8" spans="1:16" s="226" customFormat="1" ht="30" x14ac:dyDescent="0.25">
      <c r="B8" s="581" t="s">
        <v>215</v>
      </c>
      <c r="D8" s="582" t="s">
        <v>252</v>
      </c>
      <c r="E8" s="583" t="s">
        <v>253</v>
      </c>
      <c r="F8" s="583" t="s">
        <v>118</v>
      </c>
      <c r="G8" s="589">
        <v>5.3999999999999999E-2</v>
      </c>
      <c r="H8" s="590">
        <v>30</v>
      </c>
      <c r="I8" s="586" t="s">
        <v>251</v>
      </c>
      <c r="N8" s="587"/>
      <c r="O8" s="226" t="s">
        <v>98</v>
      </c>
      <c r="P8" s="588"/>
    </row>
    <row r="9" spans="1:16" s="226" customFormat="1" ht="30" x14ac:dyDescent="0.25">
      <c r="B9" s="581" t="s">
        <v>216</v>
      </c>
      <c r="C9" s="591"/>
      <c r="D9" s="582" t="s">
        <v>252</v>
      </c>
      <c r="E9" s="583" t="s">
        <v>253</v>
      </c>
      <c r="F9" s="583" t="s">
        <v>122</v>
      </c>
      <c r="G9" s="589">
        <v>5.3999999999999999E-2</v>
      </c>
      <c r="H9" s="585">
        <v>30</v>
      </c>
      <c r="I9" s="586" t="s">
        <v>251</v>
      </c>
      <c r="N9" s="587"/>
      <c r="P9" s="588"/>
    </row>
    <row r="10" spans="1:16" s="226" customFormat="1" ht="30.75" customHeight="1" x14ac:dyDescent="0.25">
      <c r="B10" s="581" t="s">
        <v>219</v>
      </c>
      <c r="C10" s="592" t="s">
        <v>160</v>
      </c>
      <c r="D10" s="593"/>
      <c r="E10" s="594" t="s">
        <v>254</v>
      </c>
      <c r="F10" s="573" t="s">
        <v>132</v>
      </c>
      <c r="G10" s="595" t="s">
        <v>251</v>
      </c>
      <c r="H10" s="595" t="s">
        <v>251</v>
      </c>
      <c r="I10" s="596">
        <f>0.0037*O14/O15</f>
        <v>1.7097177914110431E-2</v>
      </c>
      <c r="J10" s="233"/>
      <c r="K10" s="233"/>
      <c r="L10" s="233"/>
      <c r="M10" s="597"/>
      <c r="N10" s="598"/>
      <c r="O10" s="599"/>
      <c r="P10" s="600">
        <f>0.0001</f>
        <v>1E-4</v>
      </c>
    </row>
    <row r="11" spans="1:16" s="226" customFormat="1" x14ac:dyDescent="0.25">
      <c r="B11" s="601"/>
      <c r="C11" s="602"/>
      <c r="D11" s="233"/>
      <c r="E11" s="233"/>
      <c r="G11" s="603"/>
      <c r="H11" s="603"/>
      <c r="I11" s="603"/>
    </row>
    <row r="12" spans="1:16" s="226" customFormat="1" ht="48" customHeight="1" x14ac:dyDescent="0.25">
      <c r="D12" s="43"/>
      <c r="N12" s="604" t="s">
        <v>255</v>
      </c>
      <c r="O12" s="604"/>
      <c r="P12" s="604"/>
    </row>
    <row r="13" spans="1:16" s="226" customFormat="1" x14ac:dyDescent="0.25">
      <c r="B13" s="605" t="s">
        <v>71</v>
      </c>
      <c r="C13" s="606"/>
      <c r="D13" s="606"/>
      <c r="E13" s="606"/>
      <c r="F13" s="607"/>
      <c r="G13" s="568" t="s">
        <v>241</v>
      </c>
      <c r="H13" s="568"/>
      <c r="I13" s="577" t="s">
        <v>256</v>
      </c>
      <c r="N13" s="608">
        <f>O15/O14</f>
        <v>0.21640998406797662</v>
      </c>
      <c r="O13" s="608"/>
      <c r="P13" s="609" t="s">
        <v>257</v>
      </c>
    </row>
    <row r="14" spans="1:16" s="226" customFormat="1" ht="45" x14ac:dyDescent="0.25">
      <c r="B14" s="573"/>
      <c r="C14" s="568" t="s">
        <v>202</v>
      </c>
      <c r="D14" s="568"/>
      <c r="E14" s="574" t="s">
        <v>203</v>
      </c>
      <c r="F14" s="574" t="s">
        <v>244</v>
      </c>
      <c r="G14" s="576" t="s">
        <v>258</v>
      </c>
      <c r="H14" s="576" t="s">
        <v>245</v>
      </c>
      <c r="I14" s="577" t="s">
        <v>259</v>
      </c>
      <c r="N14" s="610" t="s">
        <v>260</v>
      </c>
      <c r="O14" s="611">
        <v>112.98</v>
      </c>
      <c r="P14" s="609" t="s">
        <v>261</v>
      </c>
    </row>
    <row r="15" spans="1:16" s="226" customFormat="1" x14ac:dyDescent="0.25">
      <c r="B15" s="581" t="s">
        <v>214</v>
      </c>
      <c r="C15" s="573"/>
      <c r="D15" s="594" t="s">
        <v>249</v>
      </c>
      <c r="E15" s="594" t="s">
        <v>262</v>
      </c>
      <c r="F15" s="573" t="s">
        <v>114</v>
      </c>
      <c r="G15" s="612">
        <v>7.2</v>
      </c>
      <c r="H15" s="612">
        <v>30</v>
      </c>
      <c r="I15" s="586" t="s">
        <v>251</v>
      </c>
      <c r="N15" s="613" t="s">
        <v>263</v>
      </c>
      <c r="O15" s="609">
        <v>24.45</v>
      </c>
      <c r="P15" s="609" t="s">
        <v>264</v>
      </c>
    </row>
    <row r="16" spans="1:16" s="226" customFormat="1" ht="28.5" customHeight="1" x14ac:dyDescent="0.25">
      <c r="B16" s="581" t="s">
        <v>215</v>
      </c>
      <c r="C16" s="573"/>
      <c r="D16" s="594" t="s">
        <v>249</v>
      </c>
      <c r="E16" s="594" t="s">
        <v>262</v>
      </c>
      <c r="F16" s="573" t="s">
        <v>119</v>
      </c>
      <c r="G16" s="612">
        <v>11.4</v>
      </c>
      <c r="H16" s="612">
        <v>30</v>
      </c>
      <c r="I16" s="586" t="s">
        <v>251</v>
      </c>
    </row>
    <row r="17" spans="2:17" s="226" customFormat="1" ht="30.6" customHeight="1" x14ac:dyDescent="0.25">
      <c r="B17" s="581" t="s">
        <v>216</v>
      </c>
      <c r="C17" s="573"/>
      <c r="D17" s="594" t="s">
        <v>249</v>
      </c>
      <c r="E17" s="594" t="s">
        <v>262</v>
      </c>
      <c r="F17" s="573" t="s">
        <v>123</v>
      </c>
      <c r="G17" s="612">
        <v>11.4</v>
      </c>
      <c r="H17" s="614">
        <v>30</v>
      </c>
      <c r="I17" s="586" t="s">
        <v>251</v>
      </c>
    </row>
    <row r="18" spans="2:17" s="226" customFormat="1" ht="28.5" customHeight="1" x14ac:dyDescent="0.25">
      <c r="B18" s="615" t="s">
        <v>219</v>
      </c>
      <c r="C18" s="592" t="s">
        <v>160</v>
      </c>
      <c r="D18" s="594"/>
      <c r="E18" s="594" t="s">
        <v>254</v>
      </c>
      <c r="F18" s="573" t="s">
        <v>134</v>
      </c>
      <c r="G18" s="595" t="s">
        <v>251</v>
      </c>
      <c r="H18" s="595" t="s">
        <v>251</v>
      </c>
      <c r="I18" s="616">
        <v>0.04</v>
      </c>
      <c r="N18" s="617" t="s">
        <v>265</v>
      </c>
      <c r="O18" s="617"/>
      <c r="P18" s="617" t="s">
        <v>101</v>
      </c>
      <c r="Q18" s="226" t="s">
        <v>98</v>
      </c>
    </row>
    <row r="19" spans="2:17" s="226" customFormat="1" x14ac:dyDescent="0.25">
      <c r="N19" s="618" t="s">
        <v>266</v>
      </c>
      <c r="O19" s="619"/>
      <c r="P19" s="620">
        <v>1.3193188710426619E-3</v>
      </c>
      <c r="Q19" s="620">
        <v>1.7541188791086573E-4</v>
      </c>
    </row>
    <row r="20" spans="2:17" s="226" customFormat="1" ht="30" x14ac:dyDescent="0.25">
      <c r="N20" s="621" t="s">
        <v>97</v>
      </c>
      <c r="O20" s="622"/>
      <c r="P20" s="623" t="s">
        <v>101</v>
      </c>
      <c r="Q20" s="623" t="s">
        <v>98</v>
      </c>
    </row>
    <row r="21" spans="2:17" s="226" customFormat="1" x14ac:dyDescent="0.25">
      <c r="N21" s="624" t="s">
        <v>267</v>
      </c>
      <c r="O21" s="624"/>
      <c r="P21" s="624"/>
    </row>
    <row r="24" spans="2:17" s="226" customFormat="1" x14ac:dyDescent="0.25">
      <c r="N24" s="625" t="s">
        <v>266</v>
      </c>
      <c r="O24" s="626">
        <v>0</v>
      </c>
    </row>
    <row r="25" spans="2:17" s="226" customFormat="1" x14ac:dyDescent="0.25">
      <c r="N25" s="593" t="s">
        <v>97</v>
      </c>
      <c r="O25" s="623">
        <v>0</v>
      </c>
    </row>
  </sheetData>
  <sheetProtection sheet="1" objects="1" scenarios="1" formatCells="0" formatColumns="0" formatRows="0" sort="0" autoFilter="0"/>
  <autoFilter ref="A1:Q25" xr:uid="{DE59850F-DA4A-4D3D-97A6-3832AB231949}">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autoFilter>
  <mergeCells count="14">
    <mergeCell ref="A1:M1"/>
    <mergeCell ref="N5:P5"/>
    <mergeCell ref="C6:D6"/>
    <mergeCell ref="G4:H4"/>
    <mergeCell ref="B13:F13"/>
    <mergeCell ref="G13:H13"/>
    <mergeCell ref="G5:H5"/>
    <mergeCell ref="B5:F5"/>
    <mergeCell ref="B4:F4"/>
    <mergeCell ref="N21:P21"/>
    <mergeCell ref="N20:O20"/>
    <mergeCell ref="N19:O19"/>
    <mergeCell ref="N13:O13"/>
    <mergeCell ref="C14:D14"/>
  </mergeCells>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DFA29-5DDB-4018-BDB5-BC28E8281DEA}">
  <sheetPr codeName="Sheet9"/>
  <dimension ref="B2:AF47"/>
  <sheetViews>
    <sheetView workbookViewId="0"/>
  </sheetViews>
  <sheetFormatPr defaultColWidth="9.140625" defaultRowHeight="12.75" x14ac:dyDescent="0.2"/>
  <cols>
    <col min="1" max="1" width="2.5703125" style="32" customWidth="1"/>
    <col min="2" max="2" width="7.7109375" style="32" customWidth="1"/>
    <col min="3" max="3" width="90.140625" style="627" customWidth="1"/>
    <col min="4" max="4" width="12.85546875" style="32" customWidth="1"/>
    <col min="5" max="5" width="13.5703125" style="32" bestFit="1" customWidth="1"/>
    <col min="6" max="7" width="13.5703125" style="32" customWidth="1"/>
    <col min="8" max="8" width="13.28515625" style="32" bestFit="1" customWidth="1"/>
    <col min="9" max="9" width="13.28515625" style="32" customWidth="1"/>
    <col min="10" max="13" width="14.140625" style="32" customWidth="1"/>
    <col min="14" max="14" width="13.28515625" style="32" bestFit="1" customWidth="1"/>
    <col min="15" max="17" width="13.28515625" style="32" customWidth="1"/>
    <col min="18" max="18" width="14.140625" style="627" customWidth="1"/>
    <col min="19" max="19" width="45.140625" style="32" customWidth="1"/>
    <col min="20" max="20" width="42.5703125" style="32" customWidth="1"/>
    <col min="21" max="21" width="21" style="32" customWidth="1"/>
    <col min="22" max="29" width="14.42578125" style="32" customWidth="1"/>
    <col min="30" max="31" width="11.42578125" style="32" customWidth="1"/>
    <col min="32" max="34" width="9.140625" style="32"/>
    <col min="35" max="35" width="10.85546875" style="32" customWidth="1"/>
    <col min="36" max="36" width="10.7109375" style="32" customWidth="1"/>
    <col min="37" max="42" width="9.140625" style="32"/>
    <col min="43" max="43" width="72.7109375" style="32" bestFit="1" customWidth="1"/>
    <col min="44" max="44" width="14.28515625" style="32" bestFit="1" customWidth="1"/>
    <col min="45" max="16384" width="9.140625" style="32"/>
  </cols>
  <sheetData>
    <row r="2" spans="2:32" s="32" customFormat="1" ht="13.5" thickBot="1" x14ac:dyDescent="0.25">
      <c r="C2" s="627"/>
      <c r="R2" s="627"/>
      <c r="V2" s="526" t="s">
        <v>225</v>
      </c>
      <c r="W2" s="526"/>
      <c r="X2" s="526"/>
      <c r="Y2" s="526"/>
      <c r="Z2" s="526"/>
      <c r="AA2" s="526"/>
      <c r="AB2" s="526"/>
      <c r="AC2" s="526"/>
    </row>
    <row r="3" spans="2:32" s="32" customFormat="1" ht="24" customHeight="1" x14ac:dyDescent="0.2">
      <c r="B3" s="628" t="s">
        <v>406</v>
      </c>
      <c r="C3" s="629" t="s">
        <v>70</v>
      </c>
      <c r="D3" s="629" t="s">
        <v>76</v>
      </c>
      <c r="E3" s="629" t="s">
        <v>268</v>
      </c>
      <c r="F3" s="629" t="s">
        <v>269</v>
      </c>
      <c r="G3" s="629"/>
      <c r="H3" s="630" t="s">
        <v>270</v>
      </c>
      <c r="I3" s="630"/>
      <c r="J3" s="630" t="s">
        <v>79</v>
      </c>
      <c r="K3" s="630"/>
      <c r="L3" s="630" t="s">
        <v>80</v>
      </c>
      <c r="M3" s="630"/>
      <c r="N3" s="630" t="s">
        <v>81</v>
      </c>
      <c r="O3" s="630"/>
      <c r="P3" s="630" t="s">
        <v>82</v>
      </c>
      <c r="Q3" s="630"/>
      <c r="R3" s="629" t="s">
        <v>271</v>
      </c>
      <c r="S3" s="631" t="s">
        <v>272</v>
      </c>
      <c r="T3" s="632" t="s">
        <v>273</v>
      </c>
      <c r="U3" s="31"/>
      <c r="V3" s="530" t="s">
        <v>228</v>
      </c>
      <c r="W3" s="530"/>
      <c r="X3" s="530" t="s">
        <v>229</v>
      </c>
      <c r="Y3" s="530"/>
      <c r="Z3" s="530" t="s">
        <v>230</v>
      </c>
      <c r="AA3" s="530"/>
      <c r="AB3" s="530" t="s">
        <v>231</v>
      </c>
      <c r="AC3" s="530"/>
    </row>
    <row r="4" spans="2:32" s="32" customFormat="1" x14ac:dyDescent="0.2">
      <c r="B4" s="633"/>
      <c r="C4" s="531"/>
      <c r="D4" s="531"/>
      <c r="E4" s="531"/>
      <c r="F4" s="531" t="s">
        <v>274</v>
      </c>
      <c r="G4" s="531"/>
      <c r="H4" s="634" t="s">
        <v>275</v>
      </c>
      <c r="I4" s="634"/>
      <c r="J4" s="634" t="s">
        <v>276</v>
      </c>
      <c r="K4" s="634"/>
      <c r="L4" s="634" t="s">
        <v>277</v>
      </c>
      <c r="M4" s="634"/>
      <c r="N4" s="634" t="s">
        <v>277</v>
      </c>
      <c r="O4" s="634"/>
      <c r="P4" s="634" t="s">
        <v>278</v>
      </c>
      <c r="Q4" s="634"/>
      <c r="R4" s="531"/>
      <c r="S4" s="635"/>
      <c r="T4" s="636"/>
      <c r="V4" s="530"/>
      <c r="W4" s="530"/>
      <c r="X4" s="530"/>
      <c r="Y4" s="530"/>
      <c r="Z4" s="530"/>
      <c r="AA4" s="530"/>
      <c r="AB4" s="530"/>
      <c r="AC4" s="530"/>
      <c r="AD4" s="637"/>
      <c r="AE4" s="637"/>
      <c r="AF4" s="638"/>
    </row>
    <row r="5" spans="2:32" s="32" customFormat="1" ht="26.25" thickBot="1" x14ac:dyDescent="0.25">
      <c r="B5" s="639"/>
      <c r="C5" s="640"/>
      <c r="D5" s="640"/>
      <c r="E5" s="640"/>
      <c r="F5" s="541" t="s">
        <v>98</v>
      </c>
      <c r="G5" s="541" t="s">
        <v>101</v>
      </c>
      <c r="H5" s="541" t="s">
        <v>98</v>
      </c>
      <c r="I5" s="541" t="s">
        <v>101</v>
      </c>
      <c r="J5" s="541" t="s">
        <v>98</v>
      </c>
      <c r="K5" s="541" t="s">
        <v>101</v>
      </c>
      <c r="L5" s="541" t="s">
        <v>98</v>
      </c>
      <c r="M5" s="541" t="s">
        <v>101</v>
      </c>
      <c r="N5" s="541" t="s">
        <v>98</v>
      </c>
      <c r="O5" s="541" t="s">
        <v>101</v>
      </c>
      <c r="P5" s="541" t="s">
        <v>98</v>
      </c>
      <c r="Q5" s="541" t="s">
        <v>101</v>
      </c>
      <c r="R5" s="640"/>
      <c r="S5" s="641"/>
      <c r="T5" s="642"/>
      <c r="V5" s="541" t="s">
        <v>98</v>
      </c>
      <c r="W5" s="541" t="s">
        <v>101</v>
      </c>
      <c r="X5" s="541" t="s">
        <v>98</v>
      </c>
      <c r="Y5" s="541" t="s">
        <v>101</v>
      </c>
      <c r="Z5" s="541" t="s">
        <v>98</v>
      </c>
      <c r="AA5" s="541" t="s">
        <v>101</v>
      </c>
      <c r="AB5" s="541" t="s">
        <v>98</v>
      </c>
      <c r="AC5" s="541" t="s">
        <v>101</v>
      </c>
      <c r="AD5" s="637"/>
      <c r="AE5" s="637"/>
      <c r="AF5" s="638"/>
    </row>
    <row r="6" spans="2:32" s="32" customFormat="1" ht="23.1" customHeight="1" x14ac:dyDescent="0.2">
      <c r="B6" s="643" t="s">
        <v>165</v>
      </c>
      <c r="C6" s="644" t="s">
        <v>407</v>
      </c>
      <c r="D6" s="645" t="s">
        <v>97</v>
      </c>
      <c r="E6" s="646" t="s">
        <v>279</v>
      </c>
      <c r="F6" s="645">
        <v>250</v>
      </c>
      <c r="G6" s="645">
        <v>250</v>
      </c>
      <c r="H6" s="647">
        <v>4.9656250000000004E-3</v>
      </c>
      <c r="I6" s="647">
        <v>2.6409062499999997E-2</v>
      </c>
      <c r="J6" s="648">
        <f t="shared" ref="J6:J11" si="0">IF(H6&lt;&gt;"-", H6*ED_8/AT_AC*Breathing_Ratio,"-")</f>
        <v>3.3779761904761908E-3</v>
      </c>
      <c r="K6" s="647">
        <f t="shared" ref="K6:K11" si="1">IF(I6&lt;&gt;"-",I6* ED_8/AT_AC*Breathing_Ratio,"-")</f>
        <v>1.7965348639455783E-2</v>
      </c>
      <c r="L6" s="647">
        <f t="shared" ref="L6" si="2">IF(H6&lt;&gt;"-",IF(F6&gt;=EF_I,H6*ED_8*EF_I/AT_ADC_I*Breathing_Ratio,F6*H6*ED_8/AT_ADC_I*Breathing_Ratio),"-")</f>
        <v>2.4771825396825401E-3</v>
      </c>
      <c r="M6" s="647">
        <f t="shared" ref="M6" si="3">IF(I6&lt;&gt;"-", IF(G6&gt;=EF_I, I6*ED_8*EF_I/AT_ADC_I*Breathing_Ratio, I6*ED_8*G6/AT_ADC_I*Breathing_Ratio),"-")</f>
        <v>1.3174589002267574E-2</v>
      </c>
      <c r="N6" s="647">
        <f t="shared" ref="N6:N11" si="4">IF(H6&lt;&gt;"-", H6*ED_8*F6*WY_mid/AT_ADC_mid*Breathing_Ratio, "-")</f>
        <v>2.3136823222439664E-3</v>
      </c>
      <c r="O6" s="647">
        <f t="shared" ref="O6:O11" si="5">IF(I6&lt;&gt;"-", I6*ED_8*G6*WY_high/AT_ADC_high*Breathing_Ratio,"-")</f>
        <v>1.2305033314695742E-2</v>
      </c>
      <c r="P6" s="647">
        <f t="shared" ref="P6:P11" si="6">IF(H6&lt;&gt;"-",H6*ED_8*F6*WY_mid/AT_LADC*Breathing_Ratio,"-")</f>
        <v>9.1954041012260205E-4</v>
      </c>
      <c r="Q6" s="647">
        <f t="shared" ref="Q6:Q11" si="7">IF(I6&lt;&gt;"-",I6*ED_8*G6*WY_high/AT_LADC*Breathing_Ratio,"-")</f>
        <v>6.3102734947157648E-3</v>
      </c>
      <c r="R6" s="649">
        <v>3</v>
      </c>
      <c r="S6" s="650" t="s">
        <v>284</v>
      </c>
      <c r="T6" s="651" t="s">
        <v>280</v>
      </c>
      <c r="V6" s="647">
        <f>'Health Data'!$G$7/J6</f>
        <v>2486.6960352422907</v>
      </c>
      <c r="W6" s="647">
        <f>'Health Data'!$G$7/K6</f>
        <v>467.56676803654051</v>
      </c>
      <c r="X6" s="647">
        <f>'Health Data'!$G$8/L6</f>
        <v>21.798958750500596</v>
      </c>
      <c r="Y6" s="647">
        <f>'Health Data'!$G$8/M6</f>
        <v>4.0987995899307119</v>
      </c>
      <c r="Z6" s="647">
        <f>'Health Data'!$G$9/N6</f>
        <v>23.339418502202641</v>
      </c>
      <c r="AA6" s="647">
        <f>'Health Data'!$G$9/O6</f>
        <v>4.3884480942858159</v>
      </c>
      <c r="AB6" s="647">
        <f>'Health Data'!$I$10*P6</f>
        <v>1.5721545991080199E-5</v>
      </c>
      <c r="AC6" s="647">
        <f>'Health Data'!$I$10*Q6</f>
        <v>1.0788786862585082E-4</v>
      </c>
      <c r="AD6" s="652"/>
      <c r="AE6" s="652"/>
      <c r="AF6" s="653"/>
    </row>
    <row r="7" spans="2:32" s="32" customFormat="1" ht="23.1" customHeight="1" x14ac:dyDescent="0.2">
      <c r="B7" s="643" t="s">
        <v>177</v>
      </c>
      <c r="C7" s="644" t="s">
        <v>407</v>
      </c>
      <c r="D7" s="645" t="s">
        <v>100</v>
      </c>
      <c r="E7" s="646" t="s">
        <v>279</v>
      </c>
      <c r="F7" s="645">
        <v>250</v>
      </c>
      <c r="G7" s="645">
        <v>250</v>
      </c>
      <c r="H7" s="647">
        <v>4.9211458333333334E-4</v>
      </c>
      <c r="I7" s="647">
        <v>1.7867187499999995E-3</v>
      </c>
      <c r="J7" s="648">
        <f t="shared" ref="J7" si="8">IF(H7&lt;&gt;"-", H7*ED_8/AT_AC*Breathing_Ratio,"-")</f>
        <v>3.3477182539682536E-4</v>
      </c>
      <c r="K7" s="647">
        <f t="shared" ref="K7" si="9">IF(I7&lt;&gt;"-",I7* ED_8/AT_AC*Breathing_Ratio,"-")</f>
        <v>1.2154549319727888E-3</v>
      </c>
      <c r="L7" s="647">
        <f t="shared" ref="L7" si="10">IF(H7&lt;&gt;"-",IF(F7&gt;=EF_I,H7*ED_8*EF_I/AT_ADC_I*Breathing_Ratio,F7*H7*ED_8/AT_ADC_I*Breathing_Ratio),"-")</f>
        <v>2.4549933862433863E-4</v>
      </c>
      <c r="M7" s="647">
        <f t="shared" ref="M7" si="11">IF(I7&lt;&gt;"-", IF(G7&gt;=EF_I, I7*ED_8*EF_I/AT_ADC_I*Breathing_Ratio, I7*ED_8*G7/AT_ADC_I*Breathing_Ratio),"-")</f>
        <v>8.9133361678004513E-4</v>
      </c>
      <c r="N7" s="647">
        <f t="shared" ref="N7" si="12">IF(H7&lt;&gt;"-", H7*ED_8*F7*WY_mid/AT_ADC_mid*Breathing_Ratio, "-")</f>
        <v>2.2929577081974345E-4</v>
      </c>
      <c r="O7" s="647">
        <f t="shared" ref="O7" si="13">IF(I7&lt;&gt;"-", I7*ED_8*G7*WY_high/AT_ADC_high*Breathing_Ratio,"-")</f>
        <v>8.3250337806355394E-4</v>
      </c>
      <c r="P7" s="647">
        <f t="shared" ref="P7" si="14">IF(H7&lt;&gt;"-",H7*ED_8*F7*WY_mid/AT_LADC*Breathing_Ratio,"-")</f>
        <v>9.1130370454000595E-5</v>
      </c>
      <c r="Q7" s="647">
        <f t="shared" ref="Q7" si="15">IF(I7&lt;&gt;"-",I7*ED_8*G7*WY_high/AT_LADC*Breathing_Ratio,"-")</f>
        <v>4.2692480926336099E-4</v>
      </c>
      <c r="R7" s="649">
        <v>12</v>
      </c>
      <c r="S7" s="650" t="s">
        <v>284</v>
      </c>
      <c r="T7" s="651" t="s">
        <v>280</v>
      </c>
      <c r="V7" s="647">
        <f>'Health Data'!$G$7/J7</f>
        <v>25091.71729145059</v>
      </c>
      <c r="W7" s="647">
        <f>'Health Data'!$G$7/K7</f>
        <v>6910.9925666812442</v>
      </c>
      <c r="X7" s="647">
        <f>'Health Data'!$G$8/L7</f>
        <v>219.95985937310579</v>
      </c>
      <c r="Y7" s="647">
        <f>'Health Data'!$G$8/M7</f>
        <v>60.583376396231678</v>
      </c>
      <c r="Z7" s="647">
        <f>'Health Data'!$G$9/N7</f>
        <v>235.5036894354719</v>
      </c>
      <c r="AA7" s="647">
        <f>'Health Data'!$G$9/O7</f>
        <v>64.864601661565388</v>
      </c>
      <c r="AB7" s="647">
        <f>'Health Data'!$I$10*P7</f>
        <v>1.5580721570308408E-6</v>
      </c>
      <c r="AC7" s="647">
        <f>'Health Data'!$I$10*Q7</f>
        <v>7.2992094199233437E-6</v>
      </c>
      <c r="AD7" s="652"/>
      <c r="AE7" s="652"/>
      <c r="AF7" s="653"/>
    </row>
    <row r="8" spans="2:32" s="32" customFormat="1" ht="23.1" customHeight="1" x14ac:dyDescent="0.2">
      <c r="B8" s="643" t="s">
        <v>171</v>
      </c>
      <c r="C8" s="644" t="s">
        <v>408</v>
      </c>
      <c r="D8" s="645" t="s">
        <v>97</v>
      </c>
      <c r="E8" s="646" t="s">
        <v>279</v>
      </c>
      <c r="F8" s="645">
        <v>250</v>
      </c>
      <c r="G8" s="645">
        <v>250</v>
      </c>
      <c r="H8" s="647">
        <v>2.8791666666666667E-2</v>
      </c>
      <c r="I8" s="647">
        <v>0.10326041666666666</v>
      </c>
      <c r="J8" s="648">
        <f t="shared" ref="J8:J9" si="16">IF(H8&lt;&gt;"-", H8*ED_8/AT_AC*Breathing_Ratio,"-")</f>
        <v>1.9586167800453514E-2</v>
      </c>
      <c r="K8" s="647">
        <f t="shared" ref="K8:K9" si="17">IF(I8&lt;&gt;"-",I8* ED_8/AT_AC*Breathing_Ratio,"-")</f>
        <v>7.0245181405895696E-2</v>
      </c>
      <c r="L8" s="647">
        <f t="shared" ref="L8:L9" si="18">IF(H8&lt;&gt;"-",IF(F8&gt;=EF_I,H8*ED_8*EF_I/AT_ADC_I*Breathing_Ratio,F8*H8*ED_8/AT_ADC_I*Breathing_Ratio),"-")</f>
        <v>1.4363189720332578E-2</v>
      </c>
      <c r="M8" s="647">
        <f t="shared" ref="M8:M9" si="19">IF(I8&lt;&gt;"-", IF(G8&gt;=EF_I, I8*ED_8*EF_I/AT_ADC_I*Breathing_Ratio, I8*ED_8*G8/AT_ADC_I*Breathing_Ratio),"-")</f>
        <v>5.1513133030990171E-2</v>
      </c>
      <c r="N8" s="647">
        <f t="shared" ref="N8:N9" si="20">IF(H8&lt;&gt;"-", H8*ED_8*F8*WY_mid/AT_ADC_mid*Breathing_Ratio, "-")</f>
        <v>1.3415183424968162E-2</v>
      </c>
      <c r="O8" s="647">
        <f t="shared" ref="O8:O9" si="21">IF(I8&lt;&gt;"-", I8*ED_8*G8*WY_high/AT_ADC_high*Breathing_Ratio,"-")</f>
        <v>4.8113137949243621E-2</v>
      </c>
      <c r="P8" s="647">
        <f t="shared" ref="P8:P9" si="22">IF(H8&lt;&gt;"-",H8*ED_8*F8*WY_mid/AT_LADC*Breathing_Ratio,"-")</f>
        <v>5.331675463769398E-3</v>
      </c>
      <c r="Q8" s="647">
        <f t="shared" ref="Q8:Q9" si="23">IF(I8&lt;&gt;"-",I8*ED_8*G8*WY_high/AT_LADC*Breathing_Ratio,"-")</f>
        <v>2.4673404076535187E-2</v>
      </c>
      <c r="R8" s="649">
        <v>11</v>
      </c>
      <c r="S8" s="650" t="s">
        <v>285</v>
      </c>
      <c r="T8" s="651" t="s">
        <v>280</v>
      </c>
      <c r="V8" s="647">
        <f>'Health Data'!$G$7/J8</f>
        <v>428.87409551374822</v>
      </c>
      <c r="W8" s="647">
        <f>'Health Data'!$G$7/K8</f>
        <v>119.581156057702</v>
      </c>
      <c r="X8" s="647">
        <f>'Health Data'!$G$8/L8</f>
        <v>3.7596105775555846</v>
      </c>
      <c r="Y8" s="647">
        <f>'Health Data'!$G$8/M8</f>
        <v>1.0482763680382969</v>
      </c>
      <c r="Z8" s="647">
        <f>'Health Data'!$G$9/N8</f>
        <v>4.0252897250361794</v>
      </c>
      <c r="AA8" s="647">
        <f>'Health Data'!$G$9/O8</f>
        <v>1.1223545647130031</v>
      </c>
      <c r="AB8" s="647">
        <f>'Health Data'!$I$10*P8</f>
        <v>9.1156603984362638E-5</v>
      </c>
      <c r="AC8" s="647">
        <f>'Health Data'!$I$10*Q8</f>
        <v>4.218455792432597E-4</v>
      </c>
      <c r="AD8" s="652"/>
      <c r="AE8" s="652"/>
      <c r="AF8" s="653"/>
    </row>
    <row r="9" spans="2:32" s="32" customFormat="1" ht="23.1" customHeight="1" x14ac:dyDescent="0.2">
      <c r="B9" s="643" t="s">
        <v>281</v>
      </c>
      <c r="C9" s="644" t="s">
        <v>408</v>
      </c>
      <c r="D9" s="645" t="s">
        <v>100</v>
      </c>
      <c r="E9" s="646" t="s">
        <v>279</v>
      </c>
      <c r="F9" s="645">
        <v>250</v>
      </c>
      <c r="G9" s="645">
        <v>250</v>
      </c>
      <c r="H9" s="647">
        <v>4.9211458333333334E-4</v>
      </c>
      <c r="I9" s="647">
        <v>1.7867187499999995E-3</v>
      </c>
      <c r="J9" s="648">
        <f t="shared" si="16"/>
        <v>3.3477182539682536E-4</v>
      </c>
      <c r="K9" s="647">
        <f t="shared" si="17"/>
        <v>1.2154549319727888E-3</v>
      </c>
      <c r="L9" s="647">
        <f t="shared" si="18"/>
        <v>2.4549933862433863E-4</v>
      </c>
      <c r="M9" s="647">
        <f t="shared" si="19"/>
        <v>8.9133361678004513E-4</v>
      </c>
      <c r="N9" s="647">
        <f t="shared" si="20"/>
        <v>2.2929577081974345E-4</v>
      </c>
      <c r="O9" s="647">
        <f t="shared" si="21"/>
        <v>8.3250337806355394E-4</v>
      </c>
      <c r="P9" s="647">
        <f t="shared" si="22"/>
        <v>9.1130370454000595E-5</v>
      </c>
      <c r="Q9" s="647">
        <f t="shared" si="23"/>
        <v>4.2692480926336099E-4</v>
      </c>
      <c r="R9" s="649">
        <v>12</v>
      </c>
      <c r="S9" s="650" t="s">
        <v>284</v>
      </c>
      <c r="T9" s="651" t="s">
        <v>280</v>
      </c>
      <c r="V9" s="647">
        <f>'Health Data'!$G$7/J9</f>
        <v>25091.71729145059</v>
      </c>
      <c r="W9" s="647">
        <f>'Health Data'!$G$7/K9</f>
        <v>6910.9925666812442</v>
      </c>
      <c r="X9" s="647">
        <f>'Health Data'!$G$8/L9</f>
        <v>219.95985937310579</v>
      </c>
      <c r="Y9" s="647">
        <f>'Health Data'!$G$8/M9</f>
        <v>60.583376396231678</v>
      </c>
      <c r="Z9" s="647">
        <f>'Health Data'!$G$9/N9</f>
        <v>235.5036894354719</v>
      </c>
      <c r="AA9" s="647">
        <f>'Health Data'!$G$9/O9</f>
        <v>64.864601661565388</v>
      </c>
      <c r="AB9" s="647">
        <f>'Health Data'!$I$10*P9</f>
        <v>1.5580721570308408E-6</v>
      </c>
      <c r="AC9" s="647">
        <f>'Health Data'!$I$10*Q9</f>
        <v>7.2992094199233437E-6</v>
      </c>
      <c r="AD9" s="652"/>
      <c r="AE9" s="652"/>
      <c r="AF9" s="653"/>
    </row>
    <row r="10" spans="2:32" s="32" customFormat="1" ht="23.1" customHeight="1" x14ac:dyDescent="0.2">
      <c r="B10" s="643" t="s">
        <v>174</v>
      </c>
      <c r="C10" s="644" t="s">
        <v>409</v>
      </c>
      <c r="D10" s="645" t="s">
        <v>97</v>
      </c>
      <c r="E10" s="646" t="s">
        <v>279</v>
      </c>
      <c r="F10" s="654">
        <v>156</v>
      </c>
      <c r="G10" s="654">
        <v>156</v>
      </c>
      <c r="H10" s="647">
        <v>0.19349999999999998</v>
      </c>
      <c r="I10" s="647">
        <v>0.34739999999999993</v>
      </c>
      <c r="J10" s="648">
        <f t="shared" si="0"/>
        <v>0.13163265306122446</v>
      </c>
      <c r="K10" s="647">
        <f t="shared" si="1"/>
        <v>0.23632653061224485</v>
      </c>
      <c r="L10" s="647">
        <f>IF(H10&lt;&gt;"-",IF(F10&gt;=EF_I,H10*ED_8*EF_I_LGT/AT_ADC_I*Breathing_Ratio,F10*H10*ED_8/AT_ADC_I*Breathing_Ratio),"-")</f>
        <v>5.7040816326530609E-2</v>
      </c>
      <c r="M10" s="647">
        <f>IF(I10&lt;&gt;"-", IF(G10&gt;=EF_I, I10*ED_8*EF_I_LGT/AT_ADC_I*Breathing_Ratio, I10*ED_8*G10/AT_ADC_I*Breathing_Ratio),"-")</f>
        <v>0.10240816326530612</v>
      </c>
      <c r="N10" s="647">
        <f t="shared" si="4"/>
        <v>5.6259435280961695E-2</v>
      </c>
      <c r="O10" s="647">
        <f t="shared" si="5"/>
        <v>0.10100531171372656</v>
      </c>
      <c r="P10" s="647">
        <f t="shared" si="6"/>
        <v>2.2359519150125799E-2</v>
      </c>
      <c r="Q10" s="647">
        <f t="shared" si="7"/>
        <v>5.1797595750629005E-2</v>
      </c>
      <c r="R10" s="649">
        <v>3</v>
      </c>
      <c r="S10" s="650" t="s">
        <v>284</v>
      </c>
      <c r="T10" s="651" t="s">
        <v>280</v>
      </c>
      <c r="V10" s="647">
        <f>'Health Data'!$G$7/J10</f>
        <v>63.813953488372114</v>
      </c>
      <c r="W10" s="647">
        <f>'Health Data'!$G$7/K10</f>
        <v>35.544041450777215</v>
      </c>
      <c r="X10" s="647">
        <f>'Health Data'!$G$8/L10</f>
        <v>0.94669051878354205</v>
      </c>
      <c r="Y10" s="647">
        <f>'Health Data'!$G$8/M10</f>
        <v>0.52730171383021129</v>
      </c>
      <c r="Z10" s="647">
        <f>'Health Data'!$G$9/N10</f>
        <v>0.95983899821109131</v>
      </c>
      <c r="AA10" s="647">
        <f>'Health Data'!$G$9/O10</f>
        <v>0.53462534874451983</v>
      </c>
      <c r="AB10" s="647">
        <f>'Health Data'!$I$10*P10</f>
        <v>3.8228467698366004E-4</v>
      </c>
      <c r="AC10" s="647">
        <f>'Health Data'!$I$10*Q10</f>
        <v>8.8559271007167457E-4</v>
      </c>
      <c r="AD10" s="652"/>
      <c r="AE10" s="652"/>
      <c r="AF10" s="653"/>
    </row>
    <row r="11" spans="2:32" s="32" customFormat="1" ht="23.1" customHeight="1" x14ac:dyDescent="0.2">
      <c r="B11" s="643" t="s">
        <v>282</v>
      </c>
      <c r="C11" s="644" t="s">
        <v>409</v>
      </c>
      <c r="D11" s="645" t="s">
        <v>100</v>
      </c>
      <c r="E11" s="646" t="s">
        <v>279</v>
      </c>
      <c r="F11" s="654">
        <v>250</v>
      </c>
      <c r="G11" s="654">
        <v>250</v>
      </c>
      <c r="H11" s="647">
        <v>4.9211458333333334E-4</v>
      </c>
      <c r="I11" s="647">
        <v>1.7867187499999995E-3</v>
      </c>
      <c r="J11" s="648">
        <f t="shared" si="0"/>
        <v>3.3477182539682536E-4</v>
      </c>
      <c r="K11" s="647">
        <f t="shared" si="1"/>
        <v>1.2154549319727888E-3</v>
      </c>
      <c r="L11" s="647">
        <f t="shared" ref="L11" si="24">IF(H11&lt;&gt;"-",IF(F11&gt;=EF_I,H11*ED_8*EF_I/AT_ADC_I*Breathing_Ratio,F11*H11*ED_8/AT_ADC_I*Breathing_Ratio),"-")</f>
        <v>2.4549933862433863E-4</v>
      </c>
      <c r="M11" s="647">
        <f t="shared" ref="M11" si="25">IF(I11&lt;&gt;"-", IF(G11&gt;=EF_I, I11*ED_8*EF_I/AT_ADC_I*Breathing_Ratio, I11*ED_8*G11/AT_ADC_I*Breathing_Ratio),"-")</f>
        <v>8.9133361678004513E-4</v>
      </c>
      <c r="N11" s="647">
        <f t="shared" si="4"/>
        <v>2.2929577081974345E-4</v>
      </c>
      <c r="O11" s="647">
        <f t="shared" si="5"/>
        <v>8.3250337806355394E-4</v>
      </c>
      <c r="P11" s="647">
        <f t="shared" si="6"/>
        <v>9.1130370454000595E-5</v>
      </c>
      <c r="Q11" s="647">
        <f t="shared" si="7"/>
        <v>4.2692480926336099E-4</v>
      </c>
      <c r="R11" s="649">
        <v>12</v>
      </c>
      <c r="S11" s="650" t="s">
        <v>284</v>
      </c>
      <c r="T11" s="651" t="s">
        <v>280</v>
      </c>
      <c r="V11" s="647">
        <f>'Health Data'!$G$7/J11</f>
        <v>25091.71729145059</v>
      </c>
      <c r="W11" s="647">
        <f>'Health Data'!$G$7/K11</f>
        <v>6910.9925666812442</v>
      </c>
      <c r="X11" s="647">
        <f>'Health Data'!$G$8/L11</f>
        <v>219.95985937310579</v>
      </c>
      <c r="Y11" s="647">
        <f>'Health Data'!$G$8/M11</f>
        <v>60.583376396231678</v>
      </c>
      <c r="Z11" s="647">
        <f>'Health Data'!$G$9/N11</f>
        <v>235.5036894354719</v>
      </c>
      <c r="AA11" s="647">
        <f>'Health Data'!$G$9/O11</f>
        <v>64.864601661565388</v>
      </c>
      <c r="AB11" s="647">
        <f>'Health Data'!$I$10*P11</f>
        <v>1.5580721570308408E-6</v>
      </c>
      <c r="AC11" s="647">
        <f>'Health Data'!$I$10*Q11</f>
        <v>7.2992094199233437E-6</v>
      </c>
      <c r="AD11" s="652"/>
      <c r="AE11" s="652"/>
      <c r="AF11" s="653"/>
    </row>
    <row r="12" spans="2:32" s="32" customFormat="1" ht="23.1" customHeight="1" x14ac:dyDescent="0.2">
      <c r="B12" s="643" t="s">
        <v>175</v>
      </c>
      <c r="C12" s="644" t="s">
        <v>410</v>
      </c>
      <c r="D12" s="645" t="s">
        <v>97</v>
      </c>
      <c r="E12" s="646" t="s">
        <v>279</v>
      </c>
      <c r="F12" s="654">
        <v>156</v>
      </c>
      <c r="G12" s="654">
        <v>156</v>
      </c>
      <c r="H12" s="647">
        <v>3.7975000000000002E-2</v>
      </c>
      <c r="I12" s="647">
        <v>0.27899999999999997</v>
      </c>
      <c r="J12" s="648">
        <f t="shared" ref="J12:J13" si="26">IF(H12&lt;&gt;"-", H12*ED_8/AT_AC*Breathing_Ratio,"-")</f>
        <v>2.5833333333333337E-2</v>
      </c>
      <c r="K12" s="647">
        <f t="shared" ref="K12:K13" si="27">IF(I12&lt;&gt;"-",I12* ED_8/AT_AC*Breathing_Ratio,"-")</f>
        <v>0.18979591836734691</v>
      </c>
      <c r="L12" s="647">
        <f>IF(H12&lt;&gt;"-",IF(F12&gt;=EF_I,H12*ED_8*EF_I_LGT/AT_ADC_I*Breathing_Ratio,F12*H12*ED_8/AT_ADC_I*Breathing_Ratio),"-")</f>
        <v>1.1194444444444446E-2</v>
      </c>
      <c r="M12" s="647">
        <f>IF(I12&lt;&gt;"-", IF(G12&gt;=EF_I, I12*ED_8*EF_I_LGT/AT_ADC_I*Breathing_Ratio, I12*ED_8*G12/AT_ADC_I*Breathing_Ratio),"-")</f>
        <v>8.224489795918366E-2</v>
      </c>
      <c r="N12" s="647">
        <f t="shared" ref="N12:N13" si="28">IF(H12&lt;&gt;"-", H12*ED_8*F12*WY_mid/AT_ADC_mid*Breathing_Ratio, "-")</f>
        <v>1.1041095890410959E-2</v>
      </c>
      <c r="O12" s="647">
        <f t="shared" ref="O12:O13" si="29">IF(I12&lt;&gt;"-", I12*ED_8*G12*WY_high/AT_ADC_high*Breathing_Ratio,"-")</f>
        <v>8.1118255521386629E-2</v>
      </c>
      <c r="P12" s="647">
        <f t="shared" ref="P12:P13" si="30">IF(H12&lt;&gt;"-",H12*ED_8*F12*WY_mid/AT_LADC*Breathing_Ratio,"-")</f>
        <v>4.3881278538812785E-3</v>
      </c>
      <c r="Q12" s="647">
        <f t="shared" ref="Q12:Q13" si="31">IF(I12&lt;&gt;"-",I12*ED_8*G12*WY_high/AT_LADC*Breathing_Ratio,"-")</f>
        <v>4.159910539558289E-2</v>
      </c>
      <c r="R12" s="649">
        <v>11</v>
      </c>
      <c r="S12" s="650" t="s">
        <v>285</v>
      </c>
      <c r="T12" s="651" t="s">
        <v>280</v>
      </c>
      <c r="V12" s="647">
        <f>'Health Data'!$G$7/J12</f>
        <v>325.16129032258061</v>
      </c>
      <c r="W12" s="647">
        <f>'Health Data'!$G$7/K12</f>
        <v>44.258064516129039</v>
      </c>
      <c r="X12" s="647">
        <f>'Health Data'!$G$8/L12</f>
        <v>4.8238213399503715</v>
      </c>
      <c r="Y12" s="647">
        <f>'Health Data'!$G$8/M12</f>
        <v>0.65657568238213404</v>
      </c>
      <c r="Z12" s="647">
        <f>'Health Data'!$G$9/N12</f>
        <v>4.8908188585607935</v>
      </c>
      <c r="AA12" s="647">
        <f>'Health Data'!$G$9/O12</f>
        <v>0.66569478908188595</v>
      </c>
      <c r="AB12" s="647">
        <f>'Health Data'!$I$10*P12</f>
        <v>7.5024602627671796E-5</v>
      </c>
      <c r="AC12" s="647">
        <f>'Health Data'!$I$10*Q12</f>
        <v>7.112273060161119E-4</v>
      </c>
      <c r="AD12" s="652"/>
      <c r="AE12" s="652"/>
      <c r="AF12" s="653"/>
    </row>
    <row r="13" spans="2:32" s="32" customFormat="1" ht="23.1" customHeight="1" x14ac:dyDescent="0.2">
      <c r="B13" s="643" t="s">
        <v>283</v>
      </c>
      <c r="C13" s="644" t="s">
        <v>410</v>
      </c>
      <c r="D13" s="645" t="s">
        <v>100</v>
      </c>
      <c r="E13" s="646" t="s">
        <v>279</v>
      </c>
      <c r="F13" s="654">
        <v>250</v>
      </c>
      <c r="G13" s="654">
        <v>250</v>
      </c>
      <c r="H13" s="647">
        <v>4.9211458333333334E-4</v>
      </c>
      <c r="I13" s="647">
        <v>1.7867187499999995E-3</v>
      </c>
      <c r="J13" s="648">
        <f t="shared" si="26"/>
        <v>3.3477182539682536E-4</v>
      </c>
      <c r="K13" s="647">
        <f t="shared" si="27"/>
        <v>1.2154549319727888E-3</v>
      </c>
      <c r="L13" s="647">
        <f t="shared" ref="L13" si="32">IF(H13&lt;&gt;"-",IF(F13&gt;=EF_I,H13*ED_8*EF_I/AT_ADC_I*Breathing_Ratio,F13*H13*ED_8/AT_ADC_I*Breathing_Ratio),"-")</f>
        <v>2.4549933862433863E-4</v>
      </c>
      <c r="M13" s="647">
        <f t="shared" ref="M13" si="33">IF(I13&lt;&gt;"-", IF(G13&gt;=EF_I, I13*ED_8*EF_I/AT_ADC_I*Breathing_Ratio, I13*ED_8*G13/AT_ADC_I*Breathing_Ratio),"-")</f>
        <v>8.9133361678004513E-4</v>
      </c>
      <c r="N13" s="647">
        <f t="shared" si="28"/>
        <v>2.2929577081974345E-4</v>
      </c>
      <c r="O13" s="647">
        <f t="shared" si="29"/>
        <v>8.3250337806355394E-4</v>
      </c>
      <c r="P13" s="647">
        <f t="shared" si="30"/>
        <v>9.1130370454000595E-5</v>
      </c>
      <c r="Q13" s="647">
        <f t="shared" si="31"/>
        <v>4.2692480926336099E-4</v>
      </c>
      <c r="R13" s="649">
        <v>12</v>
      </c>
      <c r="S13" s="650" t="s">
        <v>284</v>
      </c>
      <c r="T13" s="651" t="s">
        <v>280</v>
      </c>
      <c r="V13" s="647">
        <f>'Health Data'!$G$7/J13</f>
        <v>25091.71729145059</v>
      </c>
      <c r="W13" s="647">
        <f>'Health Data'!$G$7/K13</f>
        <v>6910.9925666812442</v>
      </c>
      <c r="X13" s="647">
        <f>'Health Data'!$G$8/L13</f>
        <v>219.95985937310579</v>
      </c>
      <c r="Y13" s="647">
        <f>'Health Data'!$G$8/M13</f>
        <v>60.583376396231678</v>
      </c>
      <c r="Z13" s="647">
        <f>'Health Data'!$G$9/N13</f>
        <v>235.5036894354719</v>
      </c>
      <c r="AA13" s="647">
        <f>'Health Data'!$G$9/O13</f>
        <v>64.864601661565388</v>
      </c>
      <c r="AB13" s="647">
        <f>'Health Data'!$I$10*P13</f>
        <v>1.5580721570308408E-6</v>
      </c>
      <c r="AC13" s="647">
        <f>'Health Data'!$I$10*Q13</f>
        <v>7.2992094199233437E-6</v>
      </c>
      <c r="AD13" s="652"/>
      <c r="AE13" s="652"/>
      <c r="AF13" s="653"/>
    </row>
    <row r="14" spans="2:32" s="32" customFormat="1" ht="23.1" customHeight="1" x14ac:dyDescent="0.2">
      <c r="B14" s="643" t="s">
        <v>383</v>
      </c>
      <c r="C14" s="644" t="s">
        <v>411</v>
      </c>
      <c r="D14" s="645" t="s">
        <v>97</v>
      </c>
      <c r="E14" s="646" t="s">
        <v>279</v>
      </c>
      <c r="F14" s="654">
        <v>250</v>
      </c>
      <c r="G14" s="654">
        <v>250</v>
      </c>
      <c r="H14" s="647">
        <v>2.4207291666666665E-3</v>
      </c>
      <c r="I14" s="647">
        <v>6.6772604166666596E-2</v>
      </c>
      <c r="J14" s="648">
        <f t="shared" ref="J14" si="34">IF(H14&lt;&gt;"-", H14*ED_8/AT_AC*Breathing_Ratio,"-")</f>
        <v>1.6467545351473924E-3</v>
      </c>
      <c r="K14" s="647">
        <f t="shared" ref="K14" si="35">IF(I14&lt;&gt;"-",I14* ED_8/AT_AC*Breathing_Ratio,"-")</f>
        <v>4.5423540249433056E-2</v>
      </c>
      <c r="L14" s="647">
        <f>IF(H14&lt;&gt;"-",IF(F14&gt;=EF_I,H14*ED_8*EF_I/AT_ADC_I*Breathing_Ratio,F14*H14*ED_8/AT_ADC_I*Breathing_Ratio),"-")</f>
        <v>1.207619992441421E-3</v>
      </c>
      <c r="M14" s="647">
        <f>IF(I14&lt;&gt;"-", IF(G14&gt;=EF_I, I14*ED_8*EF_I/AT_ADC_I*Breathing_Ratio, I14*ED_8*G14/AT_ADC_I*Breathing_Ratio),"-")</f>
        <v>3.3310596182917575E-2</v>
      </c>
      <c r="N14" s="647">
        <f t="shared" ref="N14:N17" si="36">IF(H14&lt;&gt;"-", H14*ED_8*F14*WY_mid/AT_ADC_mid*Breathing_Ratio, "-")</f>
        <v>1.1279140651694467E-3</v>
      </c>
      <c r="O14" s="647">
        <f t="shared" ref="O14:O17" si="37">IF(I14&lt;&gt;"-", I14*ED_8*G14*WY_high/AT_ADC_high*Breathing_Ratio,"-")</f>
        <v>3.1112013869474701E-2</v>
      </c>
      <c r="P14" s="647">
        <f t="shared" ref="P14:P17" si="38">IF(H14&lt;&gt;"-",H14*ED_8*F14*WY_mid/AT_LADC*Breathing_Ratio,"-")</f>
        <v>4.4827353872119039E-4</v>
      </c>
      <c r="Q14" s="647">
        <f t="shared" ref="Q14:Q17" si="39">IF(I14&lt;&gt;"-",I14*ED_8*G14*WY_high/AT_LADC*Breathing_Ratio,"-")</f>
        <v>1.5954878907422924E-2</v>
      </c>
      <c r="R14" s="649">
        <v>12</v>
      </c>
      <c r="S14" s="650" t="s">
        <v>284</v>
      </c>
      <c r="T14" s="651" t="s">
        <v>280</v>
      </c>
      <c r="V14" s="647">
        <f>'Health Data'!$G$7/J14</f>
        <v>5100.9423813417097</v>
      </c>
      <c r="W14" s="647">
        <f>'Health Data'!$G$7/K14</f>
        <v>184.92614080437826</v>
      </c>
      <c r="X14" s="647">
        <f>'Health Data'!$G$8/L14</f>
        <v>44.716053342930579</v>
      </c>
      <c r="Y14" s="647">
        <f>'Health Data'!$G$8/M14</f>
        <v>1.6211057797786406</v>
      </c>
      <c r="Z14" s="647">
        <f>'Health Data'!$G$9/N14</f>
        <v>47.87598777916434</v>
      </c>
      <c r="AA14" s="647">
        <f>'Health Data'!$G$9/O14</f>
        <v>1.7356639215496641</v>
      </c>
      <c r="AB14" s="647">
        <f>'Health Data'!$I$10*P14</f>
        <v>7.6642124457040643E-6</v>
      </c>
      <c r="AC14" s="647">
        <f>'Health Data'!$I$10*Q14</f>
        <v>2.727834032782976E-4</v>
      </c>
      <c r="AD14" s="652"/>
      <c r="AE14" s="652"/>
      <c r="AF14" s="653"/>
    </row>
    <row r="15" spans="2:32" s="32" customFormat="1" ht="23.1" customHeight="1" x14ac:dyDescent="0.2">
      <c r="B15" s="643" t="s">
        <v>385</v>
      </c>
      <c r="C15" s="644" t="s">
        <v>411</v>
      </c>
      <c r="D15" s="645" t="s">
        <v>100</v>
      </c>
      <c r="E15" s="646" t="s">
        <v>279</v>
      </c>
      <c r="F15" s="654">
        <v>250</v>
      </c>
      <c r="G15" s="654">
        <v>250</v>
      </c>
      <c r="H15" s="647">
        <v>4.9211458333333334E-4</v>
      </c>
      <c r="I15" s="647">
        <v>1.7867187499999995E-3</v>
      </c>
      <c r="J15" s="648">
        <f t="shared" ref="J15" si="40">IF(H15&lt;&gt;"-", H15*ED_8/AT_AC*Breathing_Ratio,"-")</f>
        <v>3.3477182539682536E-4</v>
      </c>
      <c r="K15" s="647">
        <f t="shared" ref="K15" si="41">IF(I15&lt;&gt;"-",I15* ED_8/AT_AC*Breathing_Ratio,"-")</f>
        <v>1.2154549319727888E-3</v>
      </c>
      <c r="L15" s="647">
        <f>IF(H15&lt;&gt;"-",IF(F15&gt;=EF_I,H15*ED_8*EF_I/AT_ADC_I*Breathing_Ratio,F15*H15*ED_8/AT_ADC_I*Breathing_Ratio),"-")</f>
        <v>2.4549933862433863E-4</v>
      </c>
      <c r="M15" s="647">
        <f>IF(I15&lt;&gt;"-", IF(G15&gt;=EF_I, I15*ED_8*EF_I/AT_ADC_I*Breathing_Ratio, I15*ED_8*G15/AT_ADC_I*Breathing_Ratio),"-")</f>
        <v>8.9133361678004513E-4</v>
      </c>
      <c r="N15" s="647">
        <f t="shared" si="36"/>
        <v>2.2929577081974345E-4</v>
      </c>
      <c r="O15" s="647">
        <f t="shared" si="37"/>
        <v>8.3250337806355394E-4</v>
      </c>
      <c r="P15" s="647">
        <f t="shared" si="38"/>
        <v>9.1130370454000595E-5</v>
      </c>
      <c r="Q15" s="647">
        <f t="shared" si="39"/>
        <v>4.2692480926336099E-4</v>
      </c>
      <c r="R15" s="649">
        <v>12</v>
      </c>
      <c r="S15" s="650" t="s">
        <v>284</v>
      </c>
      <c r="T15" s="651" t="s">
        <v>280</v>
      </c>
      <c r="V15" s="647">
        <f>'Health Data'!$G$7/J15</f>
        <v>25091.71729145059</v>
      </c>
      <c r="W15" s="647">
        <f>'Health Data'!$G$7/K15</f>
        <v>6910.9925666812442</v>
      </c>
      <c r="X15" s="647">
        <f>'Health Data'!$G$8/L15</f>
        <v>219.95985937310579</v>
      </c>
      <c r="Y15" s="647">
        <f>'Health Data'!$G$8/M15</f>
        <v>60.583376396231678</v>
      </c>
      <c r="Z15" s="647">
        <f>'Health Data'!$G$9/N15</f>
        <v>235.5036894354719</v>
      </c>
      <c r="AA15" s="647">
        <f>'Health Data'!$G$9/O15</f>
        <v>64.864601661565388</v>
      </c>
      <c r="AB15" s="647">
        <f>'Health Data'!$I$10*P15</f>
        <v>1.5580721570308408E-6</v>
      </c>
      <c r="AC15" s="647">
        <f>'Health Data'!$I$10*Q15</f>
        <v>7.2992094199233437E-6</v>
      </c>
      <c r="AD15" s="652"/>
      <c r="AE15" s="652"/>
      <c r="AF15" s="653"/>
    </row>
    <row r="16" spans="2:32" s="32" customFormat="1" ht="23.1" customHeight="1" x14ac:dyDescent="0.2">
      <c r="B16" s="643" t="s">
        <v>384</v>
      </c>
      <c r="C16" s="644" t="s">
        <v>412</v>
      </c>
      <c r="D16" s="645" t="s">
        <v>97</v>
      </c>
      <c r="E16" s="646" t="s">
        <v>279</v>
      </c>
      <c r="F16" s="654">
        <v>24</v>
      </c>
      <c r="G16" s="654">
        <v>24</v>
      </c>
      <c r="H16" s="647">
        <v>2.4884945570404462E-2</v>
      </c>
      <c r="I16" s="647">
        <v>2.8747521904593322E-2</v>
      </c>
      <c r="J16" s="648">
        <f t="shared" ref="J16:J17" si="42">IF(H16&lt;&gt;"-", H16*ED_8/AT_AC*Breathing_Ratio,"-")</f>
        <v>1.6928534401635689E-2</v>
      </c>
      <c r="K16" s="647">
        <f t="shared" ref="K16:K17" si="43">IF(I16&lt;&gt;"-",I16* ED_8/AT_AC*Breathing_Ratio,"-")</f>
        <v>1.9556137350063486E-2</v>
      </c>
      <c r="L16" s="647">
        <f>IF(H16&lt;&gt;"-",IF(F16&gt;=EF_I,H16*ED_8*EF_I_MT/AT_ADC_I*Breathing_Ratio,F16*H16*ED_8/AT_ADC_I*Breathing_Ratio),"-")</f>
        <v>1.128568960109046E-3</v>
      </c>
      <c r="M16" s="647">
        <f>IF(I16&lt;&gt;"-", IF(G16&gt;=EF_I, I16*ED_8*EF_I_MT/AT_ADC_I*Breathing_Ratio, I16*ED_8*G16/AT_ADC_I*Breathing_Ratio),"-")</f>
        <v>1.3037424900042324E-3</v>
      </c>
      <c r="N16" s="647">
        <f t="shared" si="36"/>
        <v>1.1131091113404288E-3</v>
      </c>
      <c r="O16" s="647">
        <f t="shared" si="37"/>
        <v>1.2858830038397909E-3</v>
      </c>
      <c r="P16" s="647">
        <f t="shared" si="38"/>
        <v>4.4238951860965761E-4</v>
      </c>
      <c r="Q16" s="647">
        <f t="shared" si="39"/>
        <v>6.5942718145630308E-4</v>
      </c>
      <c r="R16" s="649">
        <v>4</v>
      </c>
      <c r="S16" s="650" t="s">
        <v>286</v>
      </c>
      <c r="T16" s="651" t="s">
        <v>280</v>
      </c>
      <c r="V16" s="647">
        <f>'Health Data'!$G$7/J16</f>
        <v>496.20361696452386</v>
      </c>
      <c r="W16" s="647">
        <f>'Health Data'!$G$7/K16</f>
        <v>429.5326755808826</v>
      </c>
      <c r="X16" s="647">
        <f>'Health Data'!$G$8/L16</f>
        <v>47.84820592157908</v>
      </c>
      <c r="Y16" s="647">
        <f>'Health Data'!$G$8/M16</f>
        <v>41.419222288156533</v>
      </c>
      <c r="Z16" s="647">
        <f>'Health Data'!$G$9/N16</f>
        <v>48.512764337156575</v>
      </c>
      <c r="AA16" s="647">
        <f>'Health Data'!$G$9/O16</f>
        <v>41.994489264380931</v>
      </c>
      <c r="AB16" s="647">
        <f>'Health Data'!$I$10*P16</f>
        <v>7.5636123070069835E-6</v>
      </c>
      <c r="AC16" s="647">
        <f>'Health Data'!$I$10*Q16</f>
        <v>1.1274343842758796E-5</v>
      </c>
      <c r="AD16" s="652"/>
      <c r="AE16" s="652"/>
      <c r="AF16" s="653"/>
    </row>
    <row r="17" spans="2:32" s="32" customFormat="1" ht="23.1" customHeight="1" x14ac:dyDescent="0.2">
      <c r="B17" s="643" t="s">
        <v>386</v>
      </c>
      <c r="C17" s="644" t="s">
        <v>412</v>
      </c>
      <c r="D17" s="645" t="s">
        <v>100</v>
      </c>
      <c r="E17" s="646" t="s">
        <v>279</v>
      </c>
      <c r="F17" s="654">
        <v>250</v>
      </c>
      <c r="G17" s="654">
        <v>250</v>
      </c>
      <c r="H17" s="647">
        <v>4.9211458333333334E-4</v>
      </c>
      <c r="I17" s="647">
        <v>1.7867187499999995E-3</v>
      </c>
      <c r="J17" s="648">
        <f t="shared" si="42"/>
        <v>3.3477182539682536E-4</v>
      </c>
      <c r="K17" s="647">
        <f t="shared" si="43"/>
        <v>1.2154549319727888E-3</v>
      </c>
      <c r="L17" s="647">
        <f t="shared" ref="L17" si="44">IF(H17&lt;&gt;"-",IF(F17&gt;=EF_I,H17*ED_8*EF_I/AT_ADC_I*Breathing_Ratio,F17*H17*ED_8/AT_ADC_I*Breathing_Ratio),"-")</f>
        <v>2.4549933862433863E-4</v>
      </c>
      <c r="M17" s="647">
        <f t="shared" ref="M17" si="45">IF(I17&lt;&gt;"-", IF(G17&gt;=EF_I, I17*ED_8*EF_I/AT_ADC_I*Breathing_Ratio, I17*ED_8*G17/AT_ADC_I*Breathing_Ratio),"-")</f>
        <v>8.9133361678004513E-4</v>
      </c>
      <c r="N17" s="647">
        <f t="shared" si="36"/>
        <v>2.2929577081974345E-4</v>
      </c>
      <c r="O17" s="647">
        <f t="shared" si="37"/>
        <v>8.3250337806355394E-4</v>
      </c>
      <c r="P17" s="647">
        <f t="shared" si="38"/>
        <v>9.1130370454000595E-5</v>
      </c>
      <c r="Q17" s="647">
        <f t="shared" si="39"/>
        <v>4.2692480926336099E-4</v>
      </c>
      <c r="R17" s="649">
        <v>4</v>
      </c>
      <c r="S17" s="650" t="s">
        <v>286</v>
      </c>
      <c r="T17" s="651" t="s">
        <v>280</v>
      </c>
      <c r="V17" s="647">
        <f>'Health Data'!$G$7/J17</f>
        <v>25091.71729145059</v>
      </c>
      <c r="W17" s="647">
        <f>'Health Data'!$G$7/K17</f>
        <v>6910.9925666812442</v>
      </c>
      <c r="X17" s="647">
        <f>'Health Data'!$G$8/L17</f>
        <v>219.95985937310579</v>
      </c>
      <c r="Y17" s="647">
        <f>'Health Data'!$G$8/M17</f>
        <v>60.583376396231678</v>
      </c>
      <c r="Z17" s="647">
        <f>'Health Data'!$G$9/N17</f>
        <v>235.5036894354719</v>
      </c>
      <c r="AA17" s="647">
        <f>'Health Data'!$G$9/O17</f>
        <v>64.864601661565388</v>
      </c>
      <c r="AB17" s="647">
        <f>'Health Data'!$I$10*P17</f>
        <v>1.5580721570308408E-6</v>
      </c>
      <c r="AC17" s="647">
        <f>'Health Data'!$I$10*Q17</f>
        <v>7.2992094199233437E-6</v>
      </c>
      <c r="AD17" s="652"/>
      <c r="AE17" s="652"/>
      <c r="AF17" s="653"/>
    </row>
    <row r="18" spans="2:32" s="32" customFormat="1" ht="22.5" customHeight="1" x14ac:dyDescent="0.2">
      <c r="B18" s="643">
        <v>2</v>
      </c>
      <c r="C18" s="644" t="s">
        <v>438</v>
      </c>
      <c r="D18" s="645" t="s">
        <v>97</v>
      </c>
      <c r="E18" s="655" t="s">
        <v>279</v>
      </c>
      <c r="F18" s="654">
        <v>250</v>
      </c>
      <c r="G18" s="654">
        <v>250</v>
      </c>
      <c r="H18" s="647">
        <v>3.7975000000000002E-2</v>
      </c>
      <c r="I18" s="647">
        <v>0.27899999999999997</v>
      </c>
      <c r="J18" s="648">
        <f t="shared" ref="J18:J19" si="46">IF(H18&lt;&gt;"-", H18*ED_8/AT_AC*Breathing_Ratio,"-")</f>
        <v>2.5833333333333337E-2</v>
      </c>
      <c r="K18" s="647">
        <f t="shared" ref="K18:K19" si="47">IF(I18&lt;&gt;"-",I18* ED_8/AT_AC*Breathing_Ratio,"-")</f>
        <v>0.18979591836734691</v>
      </c>
      <c r="L18" s="647">
        <f t="shared" ref="L18:L19" si="48">IF(H18&lt;&gt;"-",IF(F18&gt;=EF_I,H18*ED_8*EF_I/AT_ADC_I*Breathing_Ratio,F18*H18*ED_8/AT_ADC_I*Breathing_Ratio),"-")</f>
        <v>1.8944444444444448E-2</v>
      </c>
      <c r="M18" s="647">
        <f t="shared" ref="M18:M19" si="49">IF(I18&lt;&gt;"-", IF(G18&gt;=EF_I, I18*ED_8*EF_I/AT_ADC_I*Breathing_Ratio, I18*ED_8*G18/AT_ADC_I*Breathing_Ratio),"-")</f>
        <v>0.13918367346938773</v>
      </c>
      <c r="N18" s="647">
        <f t="shared" ref="N18:N19" si="50">IF(H18&lt;&gt;"-", H18*ED_8*F18*WY_mid/AT_ADC_mid*Breathing_Ratio, "-")</f>
        <v>1.7694063926940642E-2</v>
      </c>
      <c r="O18" s="647">
        <f t="shared" ref="O18:O19" si="51">IF(I18&lt;&gt;"-", I18*ED_8*G18*WY_high/AT_ADC_high*Breathing_Ratio,"-")</f>
        <v>0.12999720436119652</v>
      </c>
      <c r="P18" s="647">
        <f t="shared" ref="P18:P19" si="52">IF(H18&lt;&gt;"-",H18*ED_8*F18*WY_mid/AT_LADC*Breathing_Ratio,"-")</f>
        <v>7.0322561760917937E-3</v>
      </c>
      <c r="Q18" s="647">
        <f t="shared" ref="Q18:Q19" si="53">IF(I18&lt;&gt;"-",I18*ED_8*G18*WY_high/AT_LADC*Breathing_Ratio,"-")</f>
        <v>6.66652330057418E-2</v>
      </c>
      <c r="R18" s="656">
        <v>11</v>
      </c>
      <c r="S18" s="657" t="s">
        <v>287</v>
      </c>
      <c r="T18" s="651" t="s">
        <v>280</v>
      </c>
      <c r="V18" s="88">
        <f>'Health Data'!$G$7/J18</f>
        <v>325.16129032258061</v>
      </c>
      <c r="W18" s="88">
        <f>'Health Data'!$G$7/K18</f>
        <v>44.258064516129039</v>
      </c>
      <c r="X18" s="88">
        <f>'Health Data'!$G$8/L18</f>
        <v>2.8504398826979465</v>
      </c>
      <c r="Y18" s="88">
        <f>'Health Data'!$G$8/M18</f>
        <v>0.38797653958944289</v>
      </c>
      <c r="Z18" s="88">
        <f>'Health Data'!$G$9/N18</f>
        <v>3.0518709677419351</v>
      </c>
      <c r="AA18" s="88">
        <f>'Health Data'!$G$9/O18</f>
        <v>0.4153935483870968</v>
      </c>
      <c r="AB18" s="88">
        <f>'Health Data'!$I$10*P18</f>
        <v>1.2023173498024329E-4</v>
      </c>
      <c r="AC18" s="88">
        <f>'Health Data'!$I$10*Q18</f>
        <v>1.1397873493847945E-3</v>
      </c>
      <c r="AD18" s="652"/>
      <c r="AE18" s="652"/>
      <c r="AF18" s="653"/>
    </row>
    <row r="19" spans="2:32" s="32" customFormat="1" ht="30.6" customHeight="1" x14ac:dyDescent="0.2">
      <c r="B19" s="643">
        <v>2</v>
      </c>
      <c r="C19" s="644" t="s">
        <v>438</v>
      </c>
      <c r="D19" s="645" t="s">
        <v>100</v>
      </c>
      <c r="E19" s="655" t="s">
        <v>279</v>
      </c>
      <c r="F19" s="645">
        <v>250</v>
      </c>
      <c r="G19" s="645">
        <v>250</v>
      </c>
      <c r="H19" s="647">
        <v>9.6937500000000005E-5</v>
      </c>
      <c r="I19" s="647">
        <v>5.4077083333333329E-3</v>
      </c>
      <c r="J19" s="648">
        <f t="shared" si="46"/>
        <v>6.5943877551020405E-5</v>
      </c>
      <c r="K19" s="647">
        <f t="shared" si="47"/>
        <v>3.6787131519274373E-3</v>
      </c>
      <c r="L19" s="647">
        <f t="shared" si="48"/>
        <v>4.8358843537414967E-5</v>
      </c>
      <c r="M19" s="647">
        <f t="shared" si="49"/>
        <v>2.6977229780801209E-3</v>
      </c>
      <c r="N19" s="647">
        <f t="shared" si="50"/>
        <v>4.5167039418507131E-5</v>
      </c>
      <c r="O19" s="647">
        <f t="shared" si="51"/>
        <v>2.5196665424160529E-3</v>
      </c>
      <c r="P19" s="647">
        <f t="shared" si="52"/>
        <v>1.795100284581694E-5</v>
      </c>
      <c r="Q19" s="647">
        <f t="shared" si="53"/>
        <v>1.2921366884184886E-3</v>
      </c>
      <c r="R19" s="649">
        <v>11</v>
      </c>
      <c r="S19" s="657" t="s">
        <v>405</v>
      </c>
      <c r="T19" s="651" t="s">
        <v>280</v>
      </c>
      <c r="V19" s="88">
        <f>'Health Data'!$G$7/J19</f>
        <v>127381.04448742748</v>
      </c>
      <c r="W19" s="88">
        <f>'Health Data'!$G$7/K19</f>
        <v>2283.4071734021654</v>
      </c>
      <c r="X19" s="88">
        <f>'Health Data'!$G$8/L19</f>
        <v>1116.6520133638121</v>
      </c>
      <c r="Y19" s="88">
        <f>'Health Data'!$G$8/M19</f>
        <v>20.01688106553846</v>
      </c>
      <c r="Z19" s="88">
        <f>'Health Data'!$G$9/N19</f>
        <v>1195.5620889748548</v>
      </c>
      <c r="AA19" s="88">
        <f>'Health Data'!$G$9/O19</f>
        <v>21.43140732750318</v>
      </c>
      <c r="AB19" s="88">
        <f>'Health Data'!$I$10*P19</f>
        <v>3.0691148939163488E-7</v>
      </c>
      <c r="AC19" s="88">
        <f>'Health Data'!$I$10*Q19</f>
        <v>2.2091890851240374E-5</v>
      </c>
      <c r="AD19" s="652"/>
      <c r="AE19" s="652"/>
      <c r="AF19" s="653"/>
    </row>
    <row r="20" spans="2:32" s="32" customFormat="1" x14ac:dyDescent="0.2">
      <c r="B20" s="643" t="s">
        <v>387</v>
      </c>
      <c r="C20" s="658" t="s">
        <v>413</v>
      </c>
      <c r="D20" s="645" t="s">
        <v>97</v>
      </c>
      <c r="E20" s="646" t="s">
        <v>279</v>
      </c>
      <c r="F20" s="645">
        <v>250</v>
      </c>
      <c r="G20" s="659">
        <v>250</v>
      </c>
      <c r="H20" s="660">
        <v>4.095E-2</v>
      </c>
      <c r="I20" s="660">
        <v>0.10704104166666664</v>
      </c>
      <c r="J20" s="647">
        <f t="shared" ref="J20:J27" si="54">IF(H20&lt;&gt;"-", H20*ED_8/AT_AC*Breathing_Ratio,"-")</f>
        <v>2.7857142857142858E-2</v>
      </c>
      <c r="K20" s="647">
        <f t="shared" ref="K20:K27" si="55">IF(I20&lt;&gt;"-",I20* ED_8/AT_AC*Breathing_Ratio,"-")</f>
        <v>7.2817035147392281E-2</v>
      </c>
      <c r="L20" s="647">
        <f t="shared" ref="L20:L27" si="56">IF(H20&lt;&gt;"-",IF(F20&gt;=EF_I,H20*ED_8*EF_I/AT_ADC_I*Breathing_Ratio,F20*H20*ED_8/AT_ADC_I*Breathing_Ratio),"-")</f>
        <v>2.0428571428571428E-2</v>
      </c>
      <c r="M20" s="647">
        <f t="shared" ref="M20:M27" si="57">IF(I20&lt;&gt;"-", IF(G20&gt;=EF_I, I20*ED_8*EF_I/AT_ADC_I*Breathing_Ratio, I20*ED_8*G20/AT_ADC_I*Breathing_Ratio),"-")</f>
        <v>5.3399159108087665E-2</v>
      </c>
      <c r="N20" s="647">
        <f t="shared" ref="N20:N27" si="58">IF(H20&lt;&gt;"-", H20*ED_8*F20*WY_mid/AT_ADC_mid*Breathing_Ratio, "-")</f>
        <v>1.908023483365949E-2</v>
      </c>
      <c r="O20" s="647">
        <f t="shared" ref="O20:O27" si="59">IF(I20&lt;&gt;"-", I20*ED_8*G20*WY_high/AT_ADC_high*Breathing_Ratio,"-")</f>
        <v>4.9874681607802923E-2</v>
      </c>
      <c r="P20" s="647">
        <f t="shared" ref="P20:P27" si="60">IF(H20&lt;&gt;"-",H20*ED_8*F20*WY_mid/AT_LADC*Breathing_Ratio,"-")</f>
        <v>7.5831702544031316E-3</v>
      </c>
      <c r="Q20" s="647">
        <f t="shared" ref="Q20:Q27" si="61">IF(I20&lt;&gt;"-",I20*ED_8*G20*WY_high/AT_LADC*Breathing_Ratio,"-")</f>
        <v>2.5576759798873295E-2</v>
      </c>
      <c r="R20" s="661">
        <v>8</v>
      </c>
      <c r="S20" s="650" t="s">
        <v>289</v>
      </c>
      <c r="T20" s="662" t="s">
        <v>280</v>
      </c>
      <c r="U20" s="663"/>
      <c r="V20" s="647">
        <f>'Health Data'!$G$7/J20</f>
        <v>301.53846153846155</v>
      </c>
      <c r="W20" s="647">
        <f>'Health Data'!$G$7/K20</f>
        <v>115.35762178447911</v>
      </c>
      <c r="X20" s="647">
        <f>'Health Data'!$G$8/L20</f>
        <v>2.6433566433566433</v>
      </c>
      <c r="Y20" s="647">
        <f>'Health Data'!$G$8/M20</f>
        <v>1.0112518792795246</v>
      </c>
      <c r="Z20" s="647">
        <f>'Health Data'!$G$9/N20</f>
        <v>2.8301538461538462</v>
      </c>
      <c r="AA20" s="647">
        <f>'Health Data'!$G$9/O20</f>
        <v>1.0827136787486111</v>
      </c>
      <c r="AB20" s="647">
        <f>'Health Data'!$I$10*P20</f>
        <v>1.2965081099252041E-4</v>
      </c>
      <c r="AC20" s="647">
        <f>'Health Data'!$I$10*Q20</f>
        <v>4.3729041274780404E-4</v>
      </c>
      <c r="AD20" s="525"/>
      <c r="AE20" s="664"/>
      <c r="AF20" s="525"/>
    </row>
    <row r="21" spans="2:32" s="32" customFormat="1" x14ac:dyDescent="0.2">
      <c r="B21" s="643" t="s">
        <v>388</v>
      </c>
      <c r="C21" s="658" t="s">
        <v>413</v>
      </c>
      <c r="D21" s="645" t="s">
        <v>100</v>
      </c>
      <c r="E21" s="646" t="s">
        <v>279</v>
      </c>
      <c r="F21" s="645">
        <v>250</v>
      </c>
      <c r="G21" s="659">
        <v>250</v>
      </c>
      <c r="H21" s="660">
        <v>1.4779375000000001E-3</v>
      </c>
      <c r="I21" s="660">
        <v>7.3597187499999994E-2</v>
      </c>
      <c r="J21" s="647">
        <f t="shared" ref="J21" si="62">IF(H21&lt;&gt;"-", H21*ED_8/AT_AC*Breathing_Ratio,"-")</f>
        <v>1.0053996598639455E-3</v>
      </c>
      <c r="K21" s="647">
        <f t="shared" ref="K21" si="63">IF(I21&lt;&gt;"-",I21* ED_8/AT_AC*Breathing_Ratio,"-")</f>
        <v>5.0066113945578229E-2</v>
      </c>
      <c r="L21" s="647">
        <f t="shared" ref="L21" si="64">IF(H21&lt;&gt;"-",IF(F21&gt;=EF_I,H21*ED_8*EF_I/AT_ADC_I*Breathing_Ratio,F21*H21*ED_8/AT_ADC_I*Breathing_Ratio),"-")</f>
        <v>7.3729308390022691E-4</v>
      </c>
      <c r="M21" s="647">
        <f t="shared" ref="M21" si="65">IF(I21&lt;&gt;"-", IF(G21&gt;=EF_I, I21*ED_8*EF_I/AT_ADC_I*Breathing_Ratio, I21*ED_8*G21/AT_ADC_I*Breathing_Ratio),"-")</f>
        <v>3.6715150226757365E-2</v>
      </c>
      <c r="N21" s="647">
        <f t="shared" ref="N21" si="66">IF(H21&lt;&gt;"-", H21*ED_8*F21*WY_mid/AT_ADC_mid*Breathing_Ratio, "-")</f>
        <v>6.8862990401640108E-4</v>
      </c>
      <c r="O21" s="647">
        <f t="shared" ref="O21" si="67">IF(I21&lt;&gt;"-", I21*ED_8*G21*WY_high/AT_ADC_high*Breathing_Ratio,"-")</f>
        <v>3.4291858866834404E-2</v>
      </c>
      <c r="P21" s="647">
        <f t="shared" ref="P21" si="68">IF(H21&lt;&gt;"-",H21*ED_8*F21*WY_mid/AT_LADC*Breathing_Ratio,"-")</f>
        <v>2.7368624390395431E-4</v>
      </c>
      <c r="Q21" s="647">
        <f t="shared" ref="Q21" si="69">IF(I21&lt;&gt;"-",I21*ED_8*G21*WY_high/AT_LADC*Breathing_Ratio,"-")</f>
        <v>1.7585568649658666E-2</v>
      </c>
      <c r="R21" s="661">
        <v>32</v>
      </c>
      <c r="S21" s="650" t="s">
        <v>289</v>
      </c>
      <c r="T21" s="662" t="s">
        <v>280</v>
      </c>
      <c r="U21" s="663"/>
      <c r="V21" s="647">
        <f>'Health Data'!$G$7/J21</f>
        <v>8354.8864549414302</v>
      </c>
      <c r="W21" s="647">
        <f>'Health Data'!$G$7/K21</f>
        <v>167.77815048978604</v>
      </c>
      <c r="X21" s="647">
        <f>'Health Data'!$G$8/L21</f>
        <v>73.240887754356677</v>
      </c>
      <c r="Y21" s="647">
        <f>'Health Data'!$G$8/M21</f>
        <v>1.4707824880598128</v>
      </c>
      <c r="Z21" s="647">
        <f>'Health Data'!$G$9/N21</f>
        <v>78.416577155664569</v>
      </c>
      <c r="AA21" s="647">
        <f>'Health Data'!$G$9/O21</f>
        <v>1.5747177838827062</v>
      </c>
      <c r="AB21" s="647">
        <f>'Health Data'!$I$10*P21</f>
        <v>4.679262404670528E-6</v>
      </c>
      <c r="AC21" s="647">
        <f>'Health Data'!$I$10*Q21</f>
        <v>3.0066359592401695E-4</v>
      </c>
      <c r="AD21" s="525"/>
      <c r="AE21" s="664"/>
      <c r="AF21" s="525"/>
    </row>
    <row r="22" spans="2:32" s="32" customFormat="1" x14ac:dyDescent="0.2">
      <c r="B22" s="643" t="s">
        <v>389</v>
      </c>
      <c r="C22" s="658" t="s">
        <v>414</v>
      </c>
      <c r="D22" s="645" t="s">
        <v>97</v>
      </c>
      <c r="E22" s="646" t="s">
        <v>279</v>
      </c>
      <c r="F22" s="645">
        <v>156</v>
      </c>
      <c r="G22" s="659">
        <v>250</v>
      </c>
      <c r="H22" s="660">
        <v>1.9592708333333334E-2</v>
      </c>
      <c r="I22" s="660">
        <v>0.10225364583333332</v>
      </c>
      <c r="J22" s="647">
        <f t="shared" si="54"/>
        <v>1.3328373015873016E-2</v>
      </c>
      <c r="K22" s="647">
        <f t="shared" si="55"/>
        <v>6.9560303287981851E-2</v>
      </c>
      <c r="L22" s="647">
        <f>IF(H22&lt;&gt;"-",IF(F22&gt;=EF_I,H22*ED_8*EF_I_LGT/AT_ADC_I*Breathing_Ratio,F22*H22*ED_8/AT_ADC_I*Breathing_Ratio),"-")</f>
        <v>5.7756283068783072E-3</v>
      </c>
      <c r="M22" s="647">
        <f t="shared" si="57"/>
        <v>5.1010889077853359E-2</v>
      </c>
      <c r="N22" s="647">
        <f t="shared" si="58"/>
        <v>5.6965101108936728E-3</v>
      </c>
      <c r="O22" s="647">
        <f t="shared" si="59"/>
        <v>4.7644043347932777E-2</v>
      </c>
      <c r="P22" s="647">
        <f t="shared" si="60"/>
        <v>2.2639976081756906E-3</v>
      </c>
      <c r="Q22" s="647">
        <f t="shared" si="61"/>
        <v>2.4432842742529631E-2</v>
      </c>
      <c r="R22" s="661">
        <v>8</v>
      </c>
      <c r="S22" s="650" t="s">
        <v>289</v>
      </c>
      <c r="T22" s="662" t="s">
        <v>280</v>
      </c>
      <c r="U22" s="663"/>
      <c r="V22" s="647">
        <f>'Health Data'!$G$7/J22</f>
        <v>630.23446222553036</v>
      </c>
      <c r="W22" s="647">
        <f>'Health Data'!$G$7/K22</f>
        <v>120.75853041099799</v>
      </c>
      <c r="X22" s="647">
        <f>'Health Data'!$G$8/L22</f>
        <v>9.3496321319172075</v>
      </c>
      <c r="Y22" s="647">
        <f>'Health Data'!$G$8/M22</f>
        <v>1.0585975068496576</v>
      </c>
      <c r="Z22" s="647">
        <f>'Health Data'!$G$9/N22</f>
        <v>9.4794881337493919</v>
      </c>
      <c r="AA22" s="647">
        <f>'Health Data'!$G$9/O22</f>
        <v>1.1334050640003668</v>
      </c>
      <c r="AB22" s="647">
        <f>'Health Data'!$I$10*P22</f>
        <v>3.8707969904100259E-5</v>
      </c>
      <c r="AC22" s="647">
        <f>'Health Data'!$I$10*Q22</f>
        <v>4.1773265931651098E-4</v>
      </c>
      <c r="AD22" s="525"/>
      <c r="AE22" s="664"/>
      <c r="AF22" s="525"/>
    </row>
    <row r="23" spans="2:32" s="32" customFormat="1" x14ac:dyDescent="0.2">
      <c r="B23" s="643" t="s">
        <v>390</v>
      </c>
      <c r="C23" s="658" t="s">
        <v>414</v>
      </c>
      <c r="D23" s="645" t="s">
        <v>100</v>
      </c>
      <c r="E23" s="646" t="s">
        <v>279</v>
      </c>
      <c r="F23" s="645">
        <v>250</v>
      </c>
      <c r="G23" s="659">
        <v>250</v>
      </c>
      <c r="H23" s="660">
        <v>1.4779375000000001E-3</v>
      </c>
      <c r="I23" s="660">
        <v>7.3597187499999994E-2</v>
      </c>
      <c r="J23" s="647">
        <f t="shared" si="54"/>
        <v>1.0053996598639455E-3</v>
      </c>
      <c r="K23" s="647">
        <f t="shared" si="55"/>
        <v>5.0066113945578229E-2</v>
      </c>
      <c r="L23" s="647">
        <f t="shared" ref="L23" si="70">IF(H23&lt;&gt;"-",IF(F23&gt;=EF_I,H23*ED_8*EF_I/AT_ADC_I*Breathing_Ratio,F23*H23*ED_8/AT_ADC_I*Breathing_Ratio),"-")</f>
        <v>7.3729308390022691E-4</v>
      </c>
      <c r="M23" s="647">
        <f t="shared" si="57"/>
        <v>3.6715150226757365E-2</v>
      </c>
      <c r="N23" s="647">
        <f t="shared" si="58"/>
        <v>6.8862990401640108E-4</v>
      </c>
      <c r="O23" s="647">
        <f t="shared" si="59"/>
        <v>3.4291858866834404E-2</v>
      </c>
      <c r="P23" s="647">
        <f t="shared" si="60"/>
        <v>2.7368624390395431E-4</v>
      </c>
      <c r="Q23" s="647">
        <f t="shared" si="61"/>
        <v>1.7585568649658666E-2</v>
      </c>
      <c r="R23" s="661">
        <v>32</v>
      </c>
      <c r="S23" s="650" t="s">
        <v>289</v>
      </c>
      <c r="T23" s="662" t="s">
        <v>280</v>
      </c>
      <c r="U23" s="663"/>
      <c r="V23" s="647">
        <f>'Health Data'!$G$7/J23</f>
        <v>8354.8864549414302</v>
      </c>
      <c r="W23" s="647">
        <f>'Health Data'!$G$7/K23</f>
        <v>167.77815048978604</v>
      </c>
      <c r="X23" s="647">
        <f>'Health Data'!$G$8/L23</f>
        <v>73.240887754356677</v>
      </c>
      <c r="Y23" s="647">
        <f>'Health Data'!$G$8/M23</f>
        <v>1.4707824880598128</v>
      </c>
      <c r="Z23" s="647">
        <f>'Health Data'!$G$9/N23</f>
        <v>78.416577155664569</v>
      </c>
      <c r="AA23" s="647">
        <f>'Health Data'!$G$9/O23</f>
        <v>1.5747177838827062</v>
      </c>
      <c r="AB23" s="647">
        <f>'Health Data'!$I$10*P23</f>
        <v>4.679262404670528E-6</v>
      </c>
      <c r="AC23" s="647">
        <f>'Health Data'!$I$10*Q23</f>
        <v>3.0066359592401695E-4</v>
      </c>
      <c r="AD23" s="525"/>
      <c r="AE23" s="664"/>
      <c r="AF23" s="525"/>
    </row>
    <row r="24" spans="2:32" s="32" customFormat="1" x14ac:dyDescent="0.2">
      <c r="B24" s="643" t="s">
        <v>391</v>
      </c>
      <c r="C24" s="658" t="s">
        <v>415</v>
      </c>
      <c r="D24" s="645" t="s">
        <v>97</v>
      </c>
      <c r="E24" s="646" t="s">
        <v>279</v>
      </c>
      <c r="F24" s="645">
        <v>72</v>
      </c>
      <c r="G24" s="659">
        <v>72</v>
      </c>
      <c r="H24" s="660">
        <v>1.2088750000000001E-2</v>
      </c>
      <c r="I24" s="660">
        <v>3.3114583333333325</v>
      </c>
      <c r="J24" s="647">
        <f t="shared" si="54"/>
        <v>8.2236394557823143E-3</v>
      </c>
      <c r="K24" s="647">
        <f t="shared" si="55"/>
        <v>2.2526927437641722</v>
      </c>
      <c r="L24" s="647">
        <f>IF(H24&lt;&gt;"-",IF(F24&gt;=EF_I,H24*ED_8*EF_I_MLGT/AT_ADC_I*Breathing_Ratio,F24*H24*ED_8/AT_ADC_I*Breathing_Ratio),"-")</f>
        <v>1.6447278911564628E-3</v>
      </c>
      <c r="M24" s="647">
        <f>IF(I24&lt;&gt;"-", IF(G24&gt;=EF_I, I24*ED_8*EF_I_MLGT/AT_ADC_I*Breathing_Ratio, I24*ED_8*G24/AT_ADC_I*Breathing_Ratio),"-")</f>
        <v>0.45053854875283439</v>
      </c>
      <c r="N24" s="647">
        <f t="shared" si="58"/>
        <v>1.6221973720995247E-3</v>
      </c>
      <c r="O24" s="647">
        <f t="shared" si="59"/>
        <v>0.44436678781101474</v>
      </c>
      <c r="P24" s="647">
        <f t="shared" si="60"/>
        <v>6.4471946839852914E-4</v>
      </c>
      <c r="Q24" s="647">
        <f t="shared" si="61"/>
        <v>0.2278804040056486</v>
      </c>
      <c r="R24" s="661">
        <v>40</v>
      </c>
      <c r="S24" s="650" t="s">
        <v>289</v>
      </c>
      <c r="T24" s="662" t="s">
        <v>280</v>
      </c>
      <c r="U24" s="663"/>
      <c r="V24" s="647">
        <f>'Health Data'!$G$7/J24</f>
        <v>1021.4455588873952</v>
      </c>
      <c r="W24" s="647">
        <f>'Health Data'!$G$7/K24</f>
        <v>3.728870714061026</v>
      </c>
      <c r="X24" s="647">
        <f>'Health Data'!$G$8/L24</f>
        <v>32.83217867852342</v>
      </c>
      <c r="Y24" s="647">
        <f>'Health Data'!$G$8/M24</f>
        <v>0.11985655866624727</v>
      </c>
      <c r="Z24" s="647">
        <f>'Health Data'!$G$9/N24</f>
        <v>33.288181160169579</v>
      </c>
      <c r="AA24" s="647">
        <f>'Health Data'!$G$9/O24</f>
        <v>0.12152123309216736</v>
      </c>
      <c r="AB24" s="647">
        <f>'Health Data'!$I$10*P24</f>
        <v>1.102288345590035E-5</v>
      </c>
      <c r="AC24" s="647">
        <f>'Health Data'!$I$10*Q24</f>
        <v>3.8961118104239374E-3</v>
      </c>
      <c r="AD24" s="525"/>
      <c r="AE24" s="664"/>
      <c r="AF24" s="525"/>
    </row>
    <row r="25" spans="2:32" s="32" customFormat="1" x14ac:dyDescent="0.2">
      <c r="B25" s="643" t="s">
        <v>392</v>
      </c>
      <c r="C25" s="658" t="s">
        <v>415</v>
      </c>
      <c r="D25" s="645" t="s">
        <v>100</v>
      </c>
      <c r="E25" s="646" t="s">
        <v>279</v>
      </c>
      <c r="F25" s="645">
        <v>250</v>
      </c>
      <c r="G25" s="659">
        <v>250</v>
      </c>
      <c r="H25" s="660">
        <v>1.4779375000000001E-3</v>
      </c>
      <c r="I25" s="660">
        <v>7.3597187499999994E-2</v>
      </c>
      <c r="J25" s="647">
        <f t="shared" si="54"/>
        <v>1.0053996598639455E-3</v>
      </c>
      <c r="K25" s="647">
        <f t="shared" si="55"/>
        <v>5.0066113945578229E-2</v>
      </c>
      <c r="L25" s="647">
        <f t="shared" ref="L25" si="71">IF(H25&lt;&gt;"-",IF(F25&gt;=EF_I,H25*ED_8*EF_I/AT_ADC_I*Breathing_Ratio,F25*H25*ED_8/AT_ADC_I*Breathing_Ratio),"-")</f>
        <v>7.3729308390022691E-4</v>
      </c>
      <c r="M25" s="647">
        <f t="shared" ref="M25" si="72">IF(I25&lt;&gt;"-", IF(G25&gt;=EF_I, I25*ED_8*EF_I/AT_ADC_I*Breathing_Ratio, I25*ED_8*G25/AT_ADC_I*Breathing_Ratio),"-")</f>
        <v>3.6715150226757365E-2</v>
      </c>
      <c r="N25" s="647">
        <f t="shared" si="58"/>
        <v>6.8862990401640108E-4</v>
      </c>
      <c r="O25" s="647">
        <f t="shared" si="59"/>
        <v>3.4291858866834404E-2</v>
      </c>
      <c r="P25" s="647">
        <f t="shared" si="60"/>
        <v>2.7368624390395431E-4</v>
      </c>
      <c r="Q25" s="647">
        <f t="shared" si="61"/>
        <v>1.7585568649658666E-2</v>
      </c>
      <c r="R25" s="661">
        <v>32</v>
      </c>
      <c r="S25" s="650" t="s">
        <v>289</v>
      </c>
      <c r="T25" s="662" t="s">
        <v>280</v>
      </c>
      <c r="U25" s="663"/>
      <c r="V25" s="647">
        <f>'Health Data'!$G$7/J25</f>
        <v>8354.8864549414302</v>
      </c>
      <c r="W25" s="647">
        <f>'Health Data'!$G$7/K25</f>
        <v>167.77815048978604</v>
      </c>
      <c r="X25" s="647">
        <f>'Health Data'!$G$8/L25</f>
        <v>73.240887754356677</v>
      </c>
      <c r="Y25" s="647">
        <f>'Health Data'!$G$8/M25</f>
        <v>1.4707824880598128</v>
      </c>
      <c r="Z25" s="647">
        <f>'Health Data'!$G$9/N25</f>
        <v>78.416577155664569</v>
      </c>
      <c r="AA25" s="647">
        <f>'Health Data'!$G$9/O25</f>
        <v>1.5747177838827062</v>
      </c>
      <c r="AB25" s="647">
        <f>'Health Data'!$I$10*P25</f>
        <v>4.679262404670528E-6</v>
      </c>
      <c r="AC25" s="647">
        <f>'Health Data'!$I$10*Q25</f>
        <v>3.0066359592401695E-4</v>
      </c>
      <c r="AD25" s="525"/>
      <c r="AE25" s="664"/>
      <c r="AF25" s="525"/>
    </row>
    <row r="26" spans="2:32" s="32" customFormat="1" x14ac:dyDescent="0.2">
      <c r="B26" s="643" t="s">
        <v>393</v>
      </c>
      <c r="C26" s="658" t="s">
        <v>416</v>
      </c>
      <c r="D26" s="645" t="s">
        <v>97</v>
      </c>
      <c r="E26" s="646" t="s">
        <v>279</v>
      </c>
      <c r="F26" s="645">
        <v>250</v>
      </c>
      <c r="G26" s="659">
        <v>250</v>
      </c>
      <c r="H26" s="647">
        <v>1.7793750000000001E-2</v>
      </c>
      <c r="I26" s="647">
        <v>0.43770833333333337</v>
      </c>
      <c r="J26" s="647">
        <f t="shared" si="54"/>
        <v>1.2104591836734693E-2</v>
      </c>
      <c r="K26" s="647">
        <f t="shared" si="55"/>
        <v>0.29776077097505671</v>
      </c>
      <c r="L26" s="647">
        <f t="shared" si="56"/>
        <v>8.876700680272109E-3</v>
      </c>
      <c r="M26" s="647">
        <f t="shared" si="57"/>
        <v>0.2183578987150416</v>
      </c>
      <c r="N26" s="647">
        <f t="shared" si="58"/>
        <v>8.290816326530611E-3</v>
      </c>
      <c r="O26" s="647">
        <f t="shared" si="59"/>
        <v>0.20394573354455942</v>
      </c>
      <c r="P26" s="647">
        <f t="shared" si="60"/>
        <v>3.2950680272108841E-3</v>
      </c>
      <c r="Q26" s="647">
        <f t="shared" si="61"/>
        <v>0.10458755566387662</v>
      </c>
      <c r="R26" s="661">
        <v>31</v>
      </c>
      <c r="S26" s="650" t="s">
        <v>289</v>
      </c>
      <c r="T26" s="662" t="s">
        <v>280</v>
      </c>
      <c r="U26" s="663"/>
      <c r="V26" s="647">
        <f>'Health Data'!$G$7/J26</f>
        <v>693.95152792413069</v>
      </c>
      <c r="W26" s="647">
        <f>'Health Data'!$G$7/K26</f>
        <v>28.21056639695383</v>
      </c>
      <c r="X26" s="647">
        <f>'Health Data'!$G$8/L26</f>
        <v>6.0833413162180285</v>
      </c>
      <c r="Y26" s="647">
        <f>'Health Data'!$G$8/M26</f>
        <v>0.24730041971355626</v>
      </c>
      <c r="Z26" s="647">
        <f>'Health Data'!$G$9/N26</f>
        <v>6.5132307692307698</v>
      </c>
      <c r="AA26" s="647">
        <f>'Health Data'!$G$9/O26</f>
        <v>0.26477631603998092</v>
      </c>
      <c r="AB26" s="647">
        <f>'Health Data'!$I$10*P26</f>
        <v>5.6336364300321359E-5</v>
      </c>
      <c r="AC26" s="647">
        <f>'Health Data'!$I$10*Q26</f>
        <v>1.7881520467872268E-3</v>
      </c>
      <c r="AD26" s="525"/>
      <c r="AE26" s="664"/>
      <c r="AF26" s="525"/>
    </row>
    <row r="27" spans="2:32" s="32" customFormat="1" x14ac:dyDescent="0.2">
      <c r="B27" s="643" t="s">
        <v>394</v>
      </c>
      <c r="C27" s="658" t="s">
        <v>416</v>
      </c>
      <c r="D27" s="645" t="s">
        <v>100</v>
      </c>
      <c r="E27" s="646" t="s">
        <v>279</v>
      </c>
      <c r="F27" s="645">
        <v>250</v>
      </c>
      <c r="G27" s="659">
        <v>250</v>
      </c>
      <c r="H27" s="660">
        <v>1.4779375000000001E-3</v>
      </c>
      <c r="I27" s="660">
        <v>7.3597187499999994E-2</v>
      </c>
      <c r="J27" s="647">
        <f t="shared" si="54"/>
        <v>1.0053996598639455E-3</v>
      </c>
      <c r="K27" s="647">
        <f t="shared" si="55"/>
        <v>5.0066113945578229E-2</v>
      </c>
      <c r="L27" s="647">
        <f t="shared" si="56"/>
        <v>7.3729308390022691E-4</v>
      </c>
      <c r="M27" s="647">
        <f t="shared" si="57"/>
        <v>3.6715150226757365E-2</v>
      </c>
      <c r="N27" s="647">
        <f t="shared" si="58"/>
        <v>6.8862990401640108E-4</v>
      </c>
      <c r="O27" s="647">
        <f t="shared" si="59"/>
        <v>3.4291858866834404E-2</v>
      </c>
      <c r="P27" s="647">
        <f t="shared" si="60"/>
        <v>2.7368624390395431E-4</v>
      </c>
      <c r="Q27" s="647">
        <f t="shared" si="61"/>
        <v>1.7585568649658666E-2</v>
      </c>
      <c r="R27" s="665">
        <v>32</v>
      </c>
      <c r="S27" s="666" t="s">
        <v>289</v>
      </c>
      <c r="T27" s="667" t="s">
        <v>280</v>
      </c>
      <c r="U27" s="663"/>
      <c r="V27" s="647">
        <f>'Health Data'!$G$7/J27</f>
        <v>8354.8864549414302</v>
      </c>
      <c r="W27" s="647">
        <f>'Health Data'!$G$7/K27</f>
        <v>167.77815048978604</v>
      </c>
      <c r="X27" s="647">
        <f>'Health Data'!$G$8/L27</f>
        <v>73.240887754356677</v>
      </c>
      <c r="Y27" s="647">
        <f>'Health Data'!$G$8/M27</f>
        <v>1.4707824880598128</v>
      </c>
      <c r="Z27" s="647">
        <f>'Health Data'!$G$9/N27</f>
        <v>78.416577155664569</v>
      </c>
      <c r="AA27" s="647">
        <f>'Health Data'!$G$9/O27</f>
        <v>1.5747177838827062</v>
      </c>
      <c r="AB27" s="647">
        <f>'Health Data'!$I$10*P27</f>
        <v>4.679262404670528E-6</v>
      </c>
      <c r="AC27" s="647">
        <f>'Health Data'!$I$10*Q27</f>
        <v>3.0066359592401695E-4</v>
      </c>
      <c r="AD27" s="525"/>
      <c r="AE27" s="664"/>
      <c r="AF27" s="525"/>
    </row>
    <row r="28" spans="2:32" s="32" customFormat="1" ht="25.5" x14ac:dyDescent="0.2">
      <c r="B28" s="643" t="s">
        <v>395</v>
      </c>
      <c r="C28" s="658" t="s">
        <v>417</v>
      </c>
      <c r="D28" s="645" t="s">
        <v>97</v>
      </c>
      <c r="E28" s="646" t="s">
        <v>279</v>
      </c>
      <c r="F28" s="645">
        <v>24</v>
      </c>
      <c r="G28" s="645">
        <v>24</v>
      </c>
      <c r="H28" s="647">
        <v>3.0156249999999996E-4</v>
      </c>
      <c r="I28" s="647">
        <v>0.43135416666666659</v>
      </c>
      <c r="J28" s="648">
        <f t="shared" ref="J28:J29" si="73">IF(H28&lt;&gt;"-", H28*ED_8/AT_AC*Breathing_Ratio,"-")</f>
        <v>2.0514455782312923E-4</v>
      </c>
      <c r="K28" s="647">
        <f t="shared" ref="K28:K29" si="74">IF(I28&lt;&gt;"-",I28* ED_8/AT_AC*Breathing_Ratio,"-")</f>
        <v>0.29343820861677999</v>
      </c>
      <c r="L28" s="647">
        <f>IF(H28&lt;&gt;"-",IF(F28&gt;=EF_I,H28*ED_8*EF_I_MT/AT_ADC_I*Breathing_Ratio,F28*H28*ED_8/AT_ADC_I*Breathing_Ratio),"-")</f>
        <v>1.3676303854875283E-5</v>
      </c>
      <c r="M28" s="647">
        <f>IF(I28&lt;&gt;"-", IF(G28&gt;=EF_I, I28*ED_8*EF_I_MT/AT_ADC_I*Breathing_Ratio, I28*ED_8*G28/AT_ADC_I*Breathing_Ratio),"-")</f>
        <v>1.9562547241118666E-2</v>
      </c>
      <c r="N28" s="647">
        <f t="shared" ref="N28:N29" si="75">IF(H28&lt;&gt;"-", H28*ED_8*F28*WY_mid/AT_ADC_mid*Breathing_Ratio, "-")</f>
        <v>1.3488957226726305E-5</v>
      </c>
      <c r="O28" s="647">
        <f t="shared" ref="O28:O29" si="76">IF(I28&lt;&gt;"-", I28*ED_8*G28*WY_high/AT_ADC_high*Breathing_Ratio,"-")</f>
        <v>1.9294567141925262E-2</v>
      </c>
      <c r="P28" s="647">
        <f t="shared" ref="P28:P29" si="77">IF(H28&lt;&gt;"-",H28*ED_8*F28*WY_mid/AT_LADC*Breathing_Ratio,"-")</f>
        <v>5.3609958208784033E-6</v>
      </c>
      <c r="Q28" s="647">
        <f t="shared" ref="Q28:Q29" si="78">IF(I28&lt;&gt;"-",I28*ED_8*G28*WY_high/AT_LADC*Breathing_Ratio,"-")</f>
        <v>9.8946498163719285E-3</v>
      </c>
      <c r="R28" s="665">
        <v>12</v>
      </c>
      <c r="S28" s="650" t="s">
        <v>293</v>
      </c>
      <c r="T28" s="651" t="s">
        <v>280</v>
      </c>
      <c r="U28" s="663"/>
      <c r="V28" s="88">
        <f>'Health Data'!$G$7/J28</f>
        <v>40946.735751295346</v>
      </c>
      <c r="W28" s="88">
        <f>'Health Data'!$G$7/K28</f>
        <v>28.626128954358858</v>
      </c>
      <c r="X28" s="88">
        <f>'Health Data'!$G$8/L28</f>
        <v>3948.4352331606219</v>
      </c>
      <c r="Y28" s="88">
        <f>'Health Data'!$G$8/M28</f>
        <v>2.7603767205988894</v>
      </c>
      <c r="Z28" s="88">
        <f>'Health Data'!$G$9/N28</f>
        <v>4003.2746113989642</v>
      </c>
      <c r="AA28" s="88">
        <f>'Health Data'!$G$9/O28</f>
        <v>2.7987152861627629</v>
      </c>
      <c r="AB28" s="88">
        <f>'Health Data'!$I$10*P28</f>
        <v>9.1657899346360564E-8</v>
      </c>
      <c r="AC28" s="88">
        <f>'Health Data'!$I$10*Q28</f>
        <v>1.6917058830833096E-4</v>
      </c>
      <c r="AD28" s="525"/>
      <c r="AE28" s="664"/>
      <c r="AF28" s="525"/>
    </row>
    <row r="29" spans="2:32" s="32" customFormat="1" ht="25.5" x14ac:dyDescent="0.2">
      <c r="B29" s="643" t="s">
        <v>396</v>
      </c>
      <c r="C29" s="658" t="s">
        <v>417</v>
      </c>
      <c r="D29" s="645" t="s">
        <v>100</v>
      </c>
      <c r="E29" s="646" t="s">
        <v>279</v>
      </c>
      <c r="F29" s="645">
        <v>250</v>
      </c>
      <c r="G29" s="645">
        <v>250</v>
      </c>
      <c r="H29" s="660">
        <v>1.4779375000000001E-3</v>
      </c>
      <c r="I29" s="660">
        <v>7.3597187499999994E-2</v>
      </c>
      <c r="J29" s="647">
        <f t="shared" si="73"/>
        <v>1.0053996598639455E-3</v>
      </c>
      <c r="K29" s="647">
        <f t="shared" si="74"/>
        <v>5.0066113945578229E-2</v>
      </c>
      <c r="L29" s="647">
        <f t="shared" ref="L29" si="79">IF(H29&lt;&gt;"-",IF(F29&gt;=EF_I,H29*ED_8*EF_I/AT_ADC_I*Breathing_Ratio,F29*H29*ED_8/AT_ADC_I*Breathing_Ratio),"-")</f>
        <v>7.3729308390022691E-4</v>
      </c>
      <c r="M29" s="647">
        <f t="shared" ref="M29" si="80">IF(I29&lt;&gt;"-", IF(G29&gt;=EF_I, I29*ED_8*EF_I/AT_ADC_I*Breathing_Ratio, I29*ED_8*G29/AT_ADC_I*Breathing_Ratio),"-")</f>
        <v>3.6715150226757365E-2</v>
      </c>
      <c r="N29" s="647">
        <f t="shared" si="75"/>
        <v>6.8862990401640108E-4</v>
      </c>
      <c r="O29" s="647">
        <f t="shared" si="76"/>
        <v>3.4291858866834404E-2</v>
      </c>
      <c r="P29" s="647">
        <f t="shared" si="77"/>
        <v>2.7368624390395431E-4</v>
      </c>
      <c r="Q29" s="647">
        <f t="shared" si="78"/>
        <v>1.7585568649658666E-2</v>
      </c>
      <c r="R29" s="665">
        <v>12</v>
      </c>
      <c r="S29" s="650" t="s">
        <v>293</v>
      </c>
      <c r="T29" s="651" t="s">
        <v>280</v>
      </c>
      <c r="U29" s="663"/>
      <c r="V29" s="88">
        <f>'Health Data'!$G$7/J29</f>
        <v>8354.8864549414302</v>
      </c>
      <c r="W29" s="88">
        <f>'Health Data'!$G$7/K29</f>
        <v>167.77815048978604</v>
      </c>
      <c r="X29" s="88">
        <f>'Health Data'!$G$8/L29</f>
        <v>73.240887754356677</v>
      </c>
      <c r="Y29" s="88">
        <f>'Health Data'!$G$8/M29</f>
        <v>1.4707824880598128</v>
      </c>
      <c r="Z29" s="88">
        <f>'Health Data'!$G$9/N29</f>
        <v>78.416577155664569</v>
      </c>
      <c r="AA29" s="88">
        <f>'Health Data'!$G$9/O29</f>
        <v>1.5747177838827062</v>
      </c>
      <c r="AB29" s="88">
        <f>'Health Data'!$I$10*P29</f>
        <v>4.679262404670528E-6</v>
      </c>
      <c r="AC29" s="88">
        <f>'Health Data'!$I$10*Q29</f>
        <v>3.0066359592401695E-4</v>
      </c>
      <c r="AD29" s="525"/>
      <c r="AE29" s="664"/>
      <c r="AF29" s="525"/>
    </row>
    <row r="30" spans="2:32" s="32" customFormat="1" ht="23.1" customHeight="1" x14ac:dyDescent="0.2">
      <c r="B30" s="668" t="s">
        <v>183</v>
      </c>
      <c r="C30" s="658" t="s">
        <v>425</v>
      </c>
      <c r="D30" s="645" t="s">
        <v>97</v>
      </c>
      <c r="E30" s="646" t="s">
        <v>279</v>
      </c>
      <c r="F30" s="645">
        <v>250</v>
      </c>
      <c r="G30" s="659">
        <v>250</v>
      </c>
      <c r="H30" s="660">
        <v>4.095E-2</v>
      </c>
      <c r="I30" s="660">
        <v>0.10704104166666664</v>
      </c>
      <c r="J30" s="647">
        <f t="shared" ref="J30:J37" si="81">IF(H30&lt;&gt;"-", H30*ED_8/AT_AC*Breathing_Ratio,"-")</f>
        <v>2.7857142857142858E-2</v>
      </c>
      <c r="K30" s="647">
        <f t="shared" ref="K30:K37" si="82">IF(I30&lt;&gt;"-",I30* ED_8/AT_AC*Breathing_Ratio,"-")</f>
        <v>7.2817035147392281E-2</v>
      </c>
      <c r="L30" s="647">
        <f t="shared" ref="L30:L35" si="83">IF(H30&lt;&gt;"-",IF(F30&gt;=EF_I,H30*ED_8*EF_I/AT_ADC_I*Breathing_Ratio,F30*H30*ED_8/AT_ADC_I*Breathing_Ratio),"-")</f>
        <v>2.0428571428571428E-2</v>
      </c>
      <c r="M30" s="647">
        <f t="shared" ref="M30:M35" si="84">IF(I30&lt;&gt;"-", IF(G30&gt;=EF_I, I30*ED_8*EF_I/AT_ADC_I*Breathing_Ratio, I30*ED_8*G30/AT_ADC_I*Breathing_Ratio),"-")</f>
        <v>5.3399159108087665E-2</v>
      </c>
      <c r="N30" s="647">
        <f t="shared" ref="N30:N37" si="85">IF(H30&lt;&gt;"-", H30*ED_8*F30*WY_mid/AT_ADC_mid*Breathing_Ratio, "-")</f>
        <v>1.908023483365949E-2</v>
      </c>
      <c r="O30" s="647">
        <f t="shared" ref="O30:O37" si="86">IF(I30&lt;&gt;"-", I30*ED_8*G30*WY_high/AT_ADC_high*Breathing_Ratio,"-")</f>
        <v>4.9874681607802923E-2</v>
      </c>
      <c r="P30" s="647">
        <f t="shared" ref="P30:P37" si="87">IF(H30&lt;&gt;"-",H30*ED_8*F30*WY_mid/AT_LADC*Breathing_Ratio,"-")</f>
        <v>7.5831702544031316E-3</v>
      </c>
      <c r="Q30" s="647">
        <f t="shared" ref="Q30:Q37" si="88">IF(I30&lt;&gt;"-",I30*ED_8*G30*WY_high/AT_LADC*Breathing_Ratio,"-")</f>
        <v>2.5576759798873295E-2</v>
      </c>
      <c r="R30" s="661">
        <v>8</v>
      </c>
      <c r="S30" s="650" t="s">
        <v>289</v>
      </c>
      <c r="T30" s="662" t="s">
        <v>280</v>
      </c>
      <c r="U30" s="663"/>
      <c r="V30" s="647">
        <f>'Health Data'!$G$7/J30</f>
        <v>301.53846153846155</v>
      </c>
      <c r="W30" s="647">
        <f>'Health Data'!$G$7/K30</f>
        <v>115.35762178447911</v>
      </c>
      <c r="X30" s="647">
        <f>'Health Data'!$G$8/L30</f>
        <v>2.6433566433566433</v>
      </c>
      <c r="Y30" s="647">
        <f>'Health Data'!$G$8/M30</f>
        <v>1.0112518792795246</v>
      </c>
      <c r="Z30" s="647">
        <f>'Health Data'!$G$9/N30</f>
        <v>2.8301538461538462</v>
      </c>
      <c r="AA30" s="647">
        <f>'Health Data'!$G$9/O30</f>
        <v>1.0827136787486111</v>
      </c>
      <c r="AB30" s="647">
        <f>'Health Data'!$I$10*P30</f>
        <v>1.2965081099252041E-4</v>
      </c>
      <c r="AC30" s="647">
        <f>'Health Data'!$I$10*Q30</f>
        <v>4.3729041274780404E-4</v>
      </c>
      <c r="AD30" s="525"/>
      <c r="AE30" s="664"/>
      <c r="AF30" s="525"/>
    </row>
    <row r="31" spans="2:32" s="32" customFormat="1" ht="23.1" customHeight="1" x14ac:dyDescent="0.2">
      <c r="B31" s="668" t="s">
        <v>189</v>
      </c>
      <c r="C31" s="658" t="s">
        <v>425</v>
      </c>
      <c r="D31" s="645" t="s">
        <v>100</v>
      </c>
      <c r="E31" s="646" t="s">
        <v>279</v>
      </c>
      <c r="F31" s="645">
        <v>250</v>
      </c>
      <c r="G31" s="659">
        <v>250</v>
      </c>
      <c r="H31" s="660">
        <v>1.4779375000000001E-3</v>
      </c>
      <c r="I31" s="660">
        <v>7.3597187499999994E-2</v>
      </c>
      <c r="J31" s="647">
        <f t="shared" si="81"/>
        <v>1.0053996598639455E-3</v>
      </c>
      <c r="K31" s="647">
        <f t="shared" si="82"/>
        <v>5.0066113945578229E-2</v>
      </c>
      <c r="L31" s="647">
        <f t="shared" si="83"/>
        <v>7.3729308390022691E-4</v>
      </c>
      <c r="M31" s="647">
        <f t="shared" si="84"/>
        <v>3.6715150226757365E-2</v>
      </c>
      <c r="N31" s="647">
        <f t="shared" si="85"/>
        <v>6.8862990401640108E-4</v>
      </c>
      <c r="O31" s="647">
        <f t="shared" si="86"/>
        <v>3.4291858866834404E-2</v>
      </c>
      <c r="P31" s="647">
        <f t="shared" si="87"/>
        <v>2.7368624390395431E-4</v>
      </c>
      <c r="Q31" s="647">
        <f t="shared" si="88"/>
        <v>1.7585568649658666E-2</v>
      </c>
      <c r="R31" s="661">
        <v>32</v>
      </c>
      <c r="S31" s="650" t="s">
        <v>289</v>
      </c>
      <c r="T31" s="662" t="s">
        <v>280</v>
      </c>
      <c r="U31" s="663"/>
      <c r="V31" s="647">
        <f>'Health Data'!$G$7/J31</f>
        <v>8354.8864549414302</v>
      </c>
      <c r="W31" s="647">
        <f>'Health Data'!$G$7/K31</f>
        <v>167.77815048978604</v>
      </c>
      <c r="X31" s="647">
        <f>'Health Data'!$G$8/L31</f>
        <v>73.240887754356677</v>
      </c>
      <c r="Y31" s="647">
        <f>'Health Data'!$G$8/M31</f>
        <v>1.4707824880598128</v>
      </c>
      <c r="Z31" s="647">
        <f>'Health Data'!$G$9/N31</f>
        <v>78.416577155664569</v>
      </c>
      <c r="AA31" s="647">
        <f>'Health Data'!$G$9/O31</f>
        <v>1.5747177838827062</v>
      </c>
      <c r="AB31" s="647">
        <f>'Health Data'!$I$10*P31</f>
        <v>4.679262404670528E-6</v>
      </c>
      <c r="AC31" s="647">
        <f>'Health Data'!$I$10*Q31</f>
        <v>3.0066359592401695E-4</v>
      </c>
      <c r="AD31" s="525"/>
      <c r="AE31" s="664"/>
      <c r="AF31" s="525"/>
    </row>
    <row r="32" spans="2:32" s="32" customFormat="1" ht="23.1" customHeight="1" x14ac:dyDescent="0.2">
      <c r="B32" s="668" t="s">
        <v>186</v>
      </c>
      <c r="C32" s="658" t="s">
        <v>424</v>
      </c>
      <c r="D32" s="645" t="s">
        <v>97</v>
      </c>
      <c r="E32" s="646" t="s">
        <v>279</v>
      </c>
      <c r="F32" s="645">
        <v>250</v>
      </c>
      <c r="G32" s="659">
        <v>250</v>
      </c>
      <c r="H32" s="660">
        <v>1.9592708333333334E-2</v>
      </c>
      <c r="I32" s="660">
        <v>0.10225364583333332</v>
      </c>
      <c r="J32" s="647">
        <f t="shared" si="81"/>
        <v>1.3328373015873016E-2</v>
      </c>
      <c r="K32" s="647">
        <f t="shared" si="82"/>
        <v>6.9560303287981851E-2</v>
      </c>
      <c r="L32" s="647">
        <f t="shared" si="83"/>
        <v>9.7741402116402112E-3</v>
      </c>
      <c r="M32" s="647">
        <f t="shared" si="84"/>
        <v>5.1010889077853359E-2</v>
      </c>
      <c r="N32" s="647">
        <f t="shared" si="85"/>
        <v>9.1290226136116551E-3</v>
      </c>
      <c r="O32" s="647">
        <f t="shared" si="86"/>
        <v>4.7644043347932777E-2</v>
      </c>
      <c r="P32" s="647">
        <f t="shared" si="87"/>
        <v>3.6282012951533503E-3</v>
      </c>
      <c r="Q32" s="647">
        <f t="shared" si="88"/>
        <v>2.4432842742529631E-2</v>
      </c>
      <c r="R32" s="661">
        <v>8</v>
      </c>
      <c r="S32" s="650" t="s">
        <v>289</v>
      </c>
      <c r="T32" s="662" t="s">
        <v>280</v>
      </c>
      <c r="U32" s="663"/>
      <c r="V32" s="647">
        <f>'Health Data'!$G$7/J32</f>
        <v>630.23446222553036</v>
      </c>
      <c r="W32" s="647">
        <f>'Health Data'!$G$7/K32</f>
        <v>120.75853041099799</v>
      </c>
      <c r="X32" s="647">
        <f>'Health Data'!$G$8/L32</f>
        <v>5.5247826234056232</v>
      </c>
      <c r="Y32" s="647">
        <f>'Health Data'!$G$8/M32</f>
        <v>1.0585975068496576</v>
      </c>
      <c r="Z32" s="647">
        <f>'Health Data'!$G$9/N32</f>
        <v>5.9152005954596198</v>
      </c>
      <c r="AA32" s="647">
        <f>'Health Data'!$G$9/O32</f>
        <v>1.1334050640003668</v>
      </c>
      <c r="AB32" s="647">
        <f>'Health Data'!$I$10*P32</f>
        <v>6.2032003051442716E-5</v>
      </c>
      <c r="AC32" s="647">
        <f>'Health Data'!$I$10*Q32</f>
        <v>4.1773265931651098E-4</v>
      </c>
      <c r="AD32" s="525"/>
      <c r="AE32" s="664"/>
      <c r="AF32" s="525"/>
    </row>
    <row r="33" spans="2:32" s="32" customFormat="1" ht="23.1" customHeight="1" x14ac:dyDescent="0.2">
      <c r="B33" s="668" t="s">
        <v>290</v>
      </c>
      <c r="C33" s="658" t="s">
        <v>424</v>
      </c>
      <c r="D33" s="645" t="s">
        <v>100</v>
      </c>
      <c r="E33" s="646" t="s">
        <v>279</v>
      </c>
      <c r="F33" s="645">
        <v>250</v>
      </c>
      <c r="G33" s="659">
        <v>250</v>
      </c>
      <c r="H33" s="660">
        <v>1.4779375000000001E-3</v>
      </c>
      <c r="I33" s="660">
        <v>7.3597187499999994E-2</v>
      </c>
      <c r="J33" s="647">
        <f t="shared" si="81"/>
        <v>1.0053996598639455E-3</v>
      </c>
      <c r="K33" s="647">
        <f t="shared" si="82"/>
        <v>5.0066113945578229E-2</v>
      </c>
      <c r="L33" s="647">
        <f t="shared" si="83"/>
        <v>7.3729308390022691E-4</v>
      </c>
      <c r="M33" s="647">
        <f t="shared" si="84"/>
        <v>3.6715150226757365E-2</v>
      </c>
      <c r="N33" s="647">
        <f t="shared" si="85"/>
        <v>6.8862990401640108E-4</v>
      </c>
      <c r="O33" s="647">
        <f t="shared" si="86"/>
        <v>3.4291858866834404E-2</v>
      </c>
      <c r="P33" s="647">
        <f t="shared" si="87"/>
        <v>2.7368624390395431E-4</v>
      </c>
      <c r="Q33" s="647">
        <f t="shared" si="88"/>
        <v>1.7585568649658666E-2</v>
      </c>
      <c r="R33" s="661">
        <v>32</v>
      </c>
      <c r="S33" s="650" t="s">
        <v>289</v>
      </c>
      <c r="T33" s="662" t="s">
        <v>280</v>
      </c>
      <c r="U33" s="663"/>
      <c r="V33" s="647">
        <f>'Health Data'!$G$7/J33</f>
        <v>8354.8864549414302</v>
      </c>
      <c r="W33" s="647">
        <f>'Health Data'!$G$7/K33</f>
        <v>167.77815048978604</v>
      </c>
      <c r="X33" s="647">
        <f>'Health Data'!$G$8/L33</f>
        <v>73.240887754356677</v>
      </c>
      <c r="Y33" s="647">
        <f>'Health Data'!$G$8/M33</f>
        <v>1.4707824880598128</v>
      </c>
      <c r="Z33" s="647">
        <f>'Health Data'!$G$9/N33</f>
        <v>78.416577155664569</v>
      </c>
      <c r="AA33" s="647">
        <f>'Health Data'!$G$9/O33</f>
        <v>1.5747177838827062</v>
      </c>
      <c r="AB33" s="647">
        <f>'Health Data'!$I$10*P33</f>
        <v>4.679262404670528E-6</v>
      </c>
      <c r="AC33" s="647">
        <f>'Health Data'!$I$10*Q33</f>
        <v>3.0066359592401695E-4</v>
      </c>
      <c r="AD33" s="525"/>
      <c r="AE33" s="664"/>
      <c r="AF33" s="525"/>
    </row>
    <row r="34" spans="2:32" s="32" customFormat="1" ht="23.1" customHeight="1" x14ac:dyDescent="0.2">
      <c r="B34" s="668" t="s">
        <v>187</v>
      </c>
      <c r="C34" s="658" t="s">
        <v>426</v>
      </c>
      <c r="D34" s="645" t="s">
        <v>97</v>
      </c>
      <c r="E34" s="646" t="s">
        <v>279</v>
      </c>
      <c r="F34" s="645">
        <v>250</v>
      </c>
      <c r="G34" s="659">
        <v>250</v>
      </c>
      <c r="H34" s="647">
        <v>1.7793750000000001E-2</v>
      </c>
      <c r="I34" s="647">
        <v>0.43770833333333337</v>
      </c>
      <c r="J34" s="647">
        <f t="shared" si="81"/>
        <v>1.2104591836734693E-2</v>
      </c>
      <c r="K34" s="647">
        <f t="shared" si="82"/>
        <v>0.29776077097505671</v>
      </c>
      <c r="L34" s="647">
        <f t="shared" si="83"/>
        <v>8.876700680272109E-3</v>
      </c>
      <c r="M34" s="647">
        <f t="shared" si="84"/>
        <v>0.2183578987150416</v>
      </c>
      <c r="N34" s="647">
        <f t="shared" si="85"/>
        <v>8.290816326530611E-3</v>
      </c>
      <c r="O34" s="647">
        <f t="shared" si="86"/>
        <v>0.20394573354455942</v>
      </c>
      <c r="P34" s="647">
        <f t="shared" si="87"/>
        <v>3.2950680272108841E-3</v>
      </c>
      <c r="Q34" s="647">
        <f t="shared" si="88"/>
        <v>0.10458755566387662</v>
      </c>
      <c r="R34" s="661">
        <v>31</v>
      </c>
      <c r="S34" s="650" t="s">
        <v>289</v>
      </c>
      <c r="T34" s="662" t="s">
        <v>280</v>
      </c>
      <c r="U34" s="663"/>
      <c r="V34" s="647">
        <f>'Health Data'!$G$7/J34</f>
        <v>693.95152792413069</v>
      </c>
      <c r="W34" s="647">
        <f>'Health Data'!$G$7/K34</f>
        <v>28.21056639695383</v>
      </c>
      <c r="X34" s="647">
        <f>'Health Data'!$G$8/L34</f>
        <v>6.0833413162180285</v>
      </c>
      <c r="Y34" s="647">
        <f>'Health Data'!$G$8/M34</f>
        <v>0.24730041971355626</v>
      </c>
      <c r="Z34" s="647">
        <f>'Health Data'!$G$9/N34</f>
        <v>6.5132307692307698</v>
      </c>
      <c r="AA34" s="647">
        <f>'Health Data'!$G$9/O34</f>
        <v>0.26477631603998092</v>
      </c>
      <c r="AB34" s="647">
        <f>'Health Data'!$I$10*P34</f>
        <v>5.6336364300321359E-5</v>
      </c>
      <c r="AC34" s="647">
        <f>'Health Data'!$I$10*Q34</f>
        <v>1.7881520467872268E-3</v>
      </c>
      <c r="AD34" s="525"/>
      <c r="AE34" s="664"/>
      <c r="AF34" s="525"/>
    </row>
    <row r="35" spans="2:32" s="32" customFormat="1" ht="23.1" customHeight="1" x14ac:dyDescent="0.2">
      <c r="B35" s="668" t="s">
        <v>291</v>
      </c>
      <c r="C35" s="658" t="s">
        <v>426</v>
      </c>
      <c r="D35" s="645" t="s">
        <v>100</v>
      </c>
      <c r="E35" s="646" t="s">
        <v>279</v>
      </c>
      <c r="F35" s="645">
        <v>250</v>
      </c>
      <c r="G35" s="659">
        <v>250</v>
      </c>
      <c r="H35" s="647">
        <v>1.4779375000000001E-3</v>
      </c>
      <c r="I35" s="647">
        <v>7.3597187499999994E-2</v>
      </c>
      <c r="J35" s="647">
        <f t="shared" si="81"/>
        <v>1.0053996598639455E-3</v>
      </c>
      <c r="K35" s="647">
        <f t="shared" si="82"/>
        <v>5.0066113945578229E-2</v>
      </c>
      <c r="L35" s="647">
        <f t="shared" si="83"/>
        <v>7.3729308390022691E-4</v>
      </c>
      <c r="M35" s="647">
        <f t="shared" si="84"/>
        <v>3.6715150226757365E-2</v>
      </c>
      <c r="N35" s="647">
        <f t="shared" si="85"/>
        <v>6.8862990401640108E-4</v>
      </c>
      <c r="O35" s="647">
        <f t="shared" si="86"/>
        <v>3.4291858866834404E-2</v>
      </c>
      <c r="P35" s="647">
        <f t="shared" si="87"/>
        <v>2.7368624390395431E-4</v>
      </c>
      <c r="Q35" s="647">
        <f t="shared" si="88"/>
        <v>1.7585568649658666E-2</v>
      </c>
      <c r="R35" s="665">
        <v>32</v>
      </c>
      <c r="S35" s="666" t="s">
        <v>289</v>
      </c>
      <c r="T35" s="667" t="s">
        <v>280</v>
      </c>
      <c r="U35" s="663"/>
      <c r="V35" s="647">
        <f>'Health Data'!$G$7/J35</f>
        <v>8354.8864549414302</v>
      </c>
      <c r="W35" s="647">
        <f>'Health Data'!$G$7/K35</f>
        <v>167.77815048978604</v>
      </c>
      <c r="X35" s="647">
        <f>'Health Data'!$G$8/L35</f>
        <v>73.240887754356677</v>
      </c>
      <c r="Y35" s="647">
        <f>'Health Data'!$G$8/M35</f>
        <v>1.4707824880598128</v>
      </c>
      <c r="Z35" s="647">
        <f>'Health Data'!$G$9/N35</f>
        <v>78.416577155664569</v>
      </c>
      <c r="AA35" s="647">
        <f>'Health Data'!$G$9/O35</f>
        <v>1.5747177838827062</v>
      </c>
      <c r="AB35" s="647">
        <f>'Health Data'!$I$10*P35</f>
        <v>4.679262404670528E-6</v>
      </c>
      <c r="AC35" s="647">
        <f>'Health Data'!$I$10*Q35</f>
        <v>3.0066359592401695E-4</v>
      </c>
      <c r="AD35" s="525"/>
      <c r="AE35" s="664"/>
      <c r="AF35" s="525"/>
    </row>
    <row r="36" spans="2:32" s="32" customFormat="1" ht="23.1" customHeight="1" x14ac:dyDescent="0.2">
      <c r="B36" s="668" t="s">
        <v>188</v>
      </c>
      <c r="C36" s="658" t="s">
        <v>427</v>
      </c>
      <c r="D36" s="645" t="s">
        <v>97</v>
      </c>
      <c r="E36" s="646" t="s">
        <v>279</v>
      </c>
      <c r="F36" s="645">
        <v>250</v>
      </c>
      <c r="G36" s="659">
        <v>250</v>
      </c>
      <c r="H36" s="647">
        <v>3.0156249999999996E-4</v>
      </c>
      <c r="I36" s="647">
        <v>0.43135416666666659</v>
      </c>
      <c r="J36" s="648">
        <f t="shared" si="81"/>
        <v>2.0514455782312923E-4</v>
      </c>
      <c r="K36" s="647">
        <f t="shared" si="82"/>
        <v>0.29343820861677999</v>
      </c>
      <c r="L36" s="647">
        <f t="shared" ref="L36:L37" si="89">IF(H36&lt;&gt;"-",IF(F36&gt;=EF_I,H36*ED_8*EF_I/AT_ADC_I*Breathing_Ratio,F36*H36*ED_8/AT_ADC_I*Breathing_Ratio),"-")</f>
        <v>1.5043934240362812E-4</v>
      </c>
      <c r="M36" s="647">
        <f t="shared" ref="M36:M37" si="90">IF(I36&lt;&gt;"-", IF(G36&gt;=EF_I, I36*ED_8*EF_I/AT_ADC_I*Breathing_Ratio, I36*ED_8*G36/AT_ADC_I*Breathing_Ratio),"-")</f>
        <v>0.21518801965230533</v>
      </c>
      <c r="N36" s="647">
        <f t="shared" si="85"/>
        <v>1.4050997111173235E-4</v>
      </c>
      <c r="O36" s="647">
        <f t="shared" si="86"/>
        <v>0.20098507439505481</v>
      </c>
      <c r="P36" s="647">
        <f t="shared" si="87"/>
        <v>5.5843706467483371E-5</v>
      </c>
      <c r="Q36" s="647">
        <f t="shared" si="88"/>
        <v>0.10306926892054091</v>
      </c>
      <c r="R36" s="665">
        <v>12</v>
      </c>
      <c r="S36" s="650" t="s">
        <v>293</v>
      </c>
      <c r="T36" s="651" t="s">
        <v>280</v>
      </c>
      <c r="U36" s="663"/>
      <c r="V36" s="647">
        <f>'Health Data'!$G$7/J36</f>
        <v>40946.735751295346</v>
      </c>
      <c r="W36" s="647">
        <f>'Health Data'!$G$7/K36</f>
        <v>28.626128954358858</v>
      </c>
      <c r="X36" s="647">
        <f>'Health Data'!$G$8/L36</f>
        <v>358.94865756005652</v>
      </c>
      <c r="Y36" s="647">
        <f>'Health Data'!$G$8/M36</f>
        <v>0.25094333823626269</v>
      </c>
      <c r="Z36" s="647">
        <f>'Health Data'!$G$9/N36</f>
        <v>384.31436269430054</v>
      </c>
      <c r="AA36" s="647">
        <f>'Health Data'!$G$9/O36</f>
        <v>0.26867666747162522</v>
      </c>
      <c r="AB36" s="647">
        <f>'Health Data'!$I$10*P36</f>
        <v>9.5476978485792243E-7</v>
      </c>
      <c r="AC36" s="647">
        <f>'Health Data'!$I$10*Q36</f>
        <v>1.7621936282117808E-3</v>
      </c>
      <c r="AD36" s="525"/>
      <c r="AE36" s="664"/>
      <c r="AF36" s="525"/>
    </row>
    <row r="37" spans="2:32" s="32" customFormat="1" ht="23.1" customHeight="1" x14ac:dyDescent="0.2">
      <c r="B37" s="668" t="s">
        <v>292</v>
      </c>
      <c r="C37" s="658" t="s">
        <v>427</v>
      </c>
      <c r="D37" s="645" t="s">
        <v>100</v>
      </c>
      <c r="E37" s="646" t="s">
        <v>279</v>
      </c>
      <c r="F37" s="645">
        <v>250</v>
      </c>
      <c r="G37" s="659">
        <v>250</v>
      </c>
      <c r="H37" s="660">
        <v>1.4779375000000001E-3</v>
      </c>
      <c r="I37" s="660">
        <v>7.3597187499999994E-2</v>
      </c>
      <c r="J37" s="648">
        <f t="shared" si="81"/>
        <v>1.0053996598639455E-3</v>
      </c>
      <c r="K37" s="647">
        <f t="shared" si="82"/>
        <v>5.0066113945578229E-2</v>
      </c>
      <c r="L37" s="647">
        <f t="shared" si="89"/>
        <v>7.3729308390022691E-4</v>
      </c>
      <c r="M37" s="647">
        <f t="shared" si="90"/>
        <v>3.6715150226757365E-2</v>
      </c>
      <c r="N37" s="647">
        <f t="shared" si="85"/>
        <v>6.8862990401640108E-4</v>
      </c>
      <c r="O37" s="647">
        <f t="shared" si="86"/>
        <v>3.4291858866834404E-2</v>
      </c>
      <c r="P37" s="647">
        <f t="shared" si="87"/>
        <v>2.7368624390395431E-4</v>
      </c>
      <c r="Q37" s="647">
        <f t="shared" si="88"/>
        <v>1.7585568649658666E-2</v>
      </c>
      <c r="R37" s="665">
        <v>32</v>
      </c>
      <c r="S37" s="666" t="s">
        <v>293</v>
      </c>
      <c r="T37" s="669" t="s">
        <v>280</v>
      </c>
      <c r="U37" s="663"/>
      <c r="V37" s="88">
        <f>'Health Data'!$G$7/J37</f>
        <v>8354.8864549414302</v>
      </c>
      <c r="W37" s="88">
        <f>'Health Data'!$G$7/K37</f>
        <v>167.77815048978604</v>
      </c>
      <c r="X37" s="88">
        <f>'Health Data'!$G$8/L37</f>
        <v>73.240887754356677</v>
      </c>
      <c r="Y37" s="88">
        <f>'Health Data'!$G$8/M37</f>
        <v>1.4707824880598128</v>
      </c>
      <c r="Z37" s="88">
        <f>'Health Data'!$G$9/N37</f>
        <v>78.416577155664569</v>
      </c>
      <c r="AA37" s="88">
        <f>'Health Data'!$G$9/O37</f>
        <v>1.5747177838827062</v>
      </c>
      <c r="AB37" s="88">
        <f>'Health Data'!$I$10*P37</f>
        <v>4.679262404670528E-6</v>
      </c>
      <c r="AC37" s="88">
        <f>'Health Data'!$I$10*Q37</f>
        <v>3.0066359592401695E-4</v>
      </c>
      <c r="AD37" s="525"/>
      <c r="AE37" s="664"/>
      <c r="AF37" s="525"/>
    </row>
    <row r="38" spans="2:32" s="32" customFormat="1" ht="23.1" customHeight="1" x14ac:dyDescent="0.2">
      <c r="B38" s="643">
        <v>7</v>
      </c>
      <c r="C38" s="658" t="s">
        <v>423</v>
      </c>
      <c r="D38" s="645" t="s">
        <v>97</v>
      </c>
      <c r="E38" s="646" t="s">
        <v>279</v>
      </c>
      <c r="F38" s="645">
        <v>250</v>
      </c>
      <c r="G38" s="645">
        <v>250</v>
      </c>
      <c r="H38" s="647">
        <v>2.8791666666666667E-2</v>
      </c>
      <c r="I38" s="647">
        <v>0.10326041666666666</v>
      </c>
      <c r="J38" s="670">
        <f t="shared" ref="J38:J39" si="91">IF(H38&lt;&gt;"-", H38*ED_8/AT_AC*Breathing_Ratio,"-")</f>
        <v>1.9586167800453514E-2</v>
      </c>
      <c r="K38" s="670">
        <f t="shared" ref="K38:K39" si="92">IF(I38&lt;&gt;"-",I38* ED_8/AT_AC*Breathing_Ratio,"-")</f>
        <v>7.0245181405895696E-2</v>
      </c>
      <c r="L38" s="647">
        <f t="shared" ref="L38:L39" si="93">IF(H38&lt;&gt;"-",IF(F38&gt;=EF_I,H38*ED_8*EF_I/AT_ADC_I*Breathing_Ratio,F38*H38*ED_8/AT_ADC_I*Breathing_Ratio),"-")</f>
        <v>1.4363189720332578E-2</v>
      </c>
      <c r="M38" s="670">
        <f t="shared" ref="M38:M39" si="94">IF(I38&lt;&gt;"-", IF(G38&gt;=EF_I, I38*ED_8*EF_I/AT_ADC_I*Breathing_Ratio, I38*ED_8*G38/AT_ADC_I*Breathing_Ratio),"-")</f>
        <v>5.1513133030990171E-2</v>
      </c>
      <c r="N38" s="670">
        <f t="shared" ref="N38:N39" si="95">IF(H38&lt;&gt;"-", H38*ED_8*F38*WY_mid/AT_ADC_mid*Breathing_Ratio, "-")</f>
        <v>1.3415183424968162E-2</v>
      </c>
      <c r="O38" s="670">
        <f t="shared" ref="O38:O39" si="96">IF(I38&lt;&gt;"-", I38*ED_8*G38*WY_high/AT_ADC_high*Breathing_Ratio,"-")</f>
        <v>4.8113137949243621E-2</v>
      </c>
      <c r="P38" s="670">
        <f t="shared" ref="P38:P39" si="97">IF(H38&lt;&gt;"-",H38*ED_8*F38*WY_mid/AT_LADC*Breathing_Ratio,"-")</f>
        <v>5.331675463769398E-3</v>
      </c>
      <c r="Q38" s="670">
        <f t="shared" ref="Q38:Q39" si="98">IF(I38&lt;&gt;"-",I38*ED_8*G38*WY_high/AT_LADC*Breathing_Ratio,"-")</f>
        <v>2.4673404076535187E-2</v>
      </c>
      <c r="R38" s="671">
        <v>11</v>
      </c>
      <c r="S38" s="650" t="s">
        <v>446</v>
      </c>
      <c r="T38" s="662" t="s">
        <v>280</v>
      </c>
      <c r="V38" s="647">
        <f>'Health Data'!$G$7/J38</f>
        <v>428.87409551374822</v>
      </c>
      <c r="W38" s="647">
        <f>'Health Data'!$G$7/K38</f>
        <v>119.581156057702</v>
      </c>
      <c r="X38" s="647">
        <f>'Health Data'!$G$8/L38</f>
        <v>3.7596105775555846</v>
      </c>
      <c r="Y38" s="647">
        <f>'Health Data'!$G$8/M38</f>
        <v>1.0482763680382969</v>
      </c>
      <c r="Z38" s="647">
        <f>'Health Data'!$G$9/N38</f>
        <v>4.0252897250361794</v>
      </c>
      <c r="AA38" s="647">
        <f>'Health Data'!$G$9/O38</f>
        <v>1.1223545647130031</v>
      </c>
      <c r="AB38" s="647">
        <f>'Health Data'!$I$10*P38</f>
        <v>9.1156603984362638E-5</v>
      </c>
      <c r="AC38" s="647">
        <f>'Health Data'!$I$10*Q38</f>
        <v>4.218455792432597E-4</v>
      </c>
      <c r="AD38" s="525"/>
      <c r="AE38" s="664"/>
      <c r="AF38" s="525"/>
    </row>
    <row r="39" spans="2:32" s="32" customFormat="1" ht="23.1" customHeight="1" x14ac:dyDescent="0.2">
      <c r="B39" s="643">
        <v>7</v>
      </c>
      <c r="C39" s="658" t="s">
        <v>423</v>
      </c>
      <c r="D39" s="645" t="s">
        <v>100</v>
      </c>
      <c r="E39" s="646" t="s">
        <v>279</v>
      </c>
      <c r="F39" s="645">
        <v>250</v>
      </c>
      <c r="G39" s="645">
        <v>250</v>
      </c>
      <c r="H39" s="647">
        <v>1.2595833333333333E-3</v>
      </c>
      <c r="I39" s="647">
        <v>1.5125208333333332E-3</v>
      </c>
      <c r="J39" s="670">
        <f t="shared" si="91"/>
        <v>8.5685941043083902E-4</v>
      </c>
      <c r="K39" s="670">
        <f t="shared" si="92"/>
        <v>1.0289257369614513E-3</v>
      </c>
      <c r="L39" s="647">
        <f t="shared" si="93"/>
        <v>6.2836356764928191E-4</v>
      </c>
      <c r="M39" s="670">
        <f t="shared" si="94"/>
        <v>7.545455404383975E-4</v>
      </c>
      <c r="N39" s="670">
        <f t="shared" si="95"/>
        <v>5.8689000714441024E-4</v>
      </c>
      <c r="O39" s="670">
        <f t="shared" si="96"/>
        <v>7.0474365545304869E-4</v>
      </c>
      <c r="P39" s="670">
        <f t="shared" si="97"/>
        <v>2.3325115668559895E-4</v>
      </c>
      <c r="Q39" s="670">
        <f t="shared" si="98"/>
        <v>3.6140700279643529E-4</v>
      </c>
      <c r="R39" s="671">
        <v>2</v>
      </c>
      <c r="S39" s="650" t="s">
        <v>402</v>
      </c>
      <c r="T39" s="662" t="s">
        <v>280</v>
      </c>
      <c r="V39" s="647">
        <f>'Health Data'!$G$7/J39</f>
        <v>9803.2418127687724</v>
      </c>
      <c r="W39" s="647">
        <f>'Health Data'!$G$7/K39</f>
        <v>8163.854492362364</v>
      </c>
      <c r="X39" s="647">
        <f>'Health Data'!$G$8/L39</f>
        <v>85.937509397648341</v>
      </c>
      <c r="Y39" s="647">
        <f>'Health Data'!$G$8/M39</f>
        <v>71.566256913566193</v>
      </c>
      <c r="Z39" s="647">
        <f>'Health Data'!$G$9/N39</f>
        <v>92.010426728415482</v>
      </c>
      <c r="AA39" s="647">
        <f>'Health Data'!$G$9/O39</f>
        <v>76.623605735458199</v>
      </c>
      <c r="AB39" s="647">
        <f>'Health Data'!$I$10*P39</f>
        <v>3.9879365245257342E-6</v>
      </c>
      <c r="AC39" s="647">
        <f>'Health Data'!$I$10*Q39</f>
        <v>6.1790398262160602E-6</v>
      </c>
      <c r="AD39" s="525"/>
      <c r="AE39" s="664"/>
      <c r="AF39" s="525"/>
    </row>
    <row r="40" spans="2:32" s="32" customFormat="1" ht="23.1" customHeight="1" x14ac:dyDescent="0.2">
      <c r="B40" s="643" t="s">
        <v>397</v>
      </c>
      <c r="C40" s="658" t="s">
        <v>439</v>
      </c>
      <c r="D40" s="645" t="s">
        <v>97</v>
      </c>
      <c r="E40" s="646" t="s">
        <v>279</v>
      </c>
      <c r="F40" s="645">
        <v>250</v>
      </c>
      <c r="G40" s="645">
        <v>250</v>
      </c>
      <c r="H40" s="660">
        <v>3.7975000000000002E-2</v>
      </c>
      <c r="I40" s="660">
        <v>0.27899999999999997</v>
      </c>
      <c r="J40" s="670">
        <f t="shared" ref="J40:J41" si="99">IF(H40&lt;&gt;"-", H40*ED_8/AT_AC*Breathing_Ratio,"-")</f>
        <v>2.5833333333333337E-2</v>
      </c>
      <c r="K40" s="670">
        <f t="shared" ref="K40:K41" si="100">IF(I40&lt;&gt;"-",I40* ED_8/AT_AC*Breathing_Ratio,"-")</f>
        <v>0.18979591836734691</v>
      </c>
      <c r="L40" s="647">
        <f t="shared" ref="L40:L47" si="101">IF(H40&lt;&gt;"-",IF(F40&gt;=EF_I,H40*ED_8*EF_I/AT_ADC_I*Breathing_Ratio,F40*H40*ED_8/AT_ADC_I*Breathing_Ratio),"-")</f>
        <v>1.8944444444444448E-2</v>
      </c>
      <c r="M40" s="670">
        <f t="shared" ref="M40:M41" si="102">IF(I40&lt;&gt;"-", IF(G40&gt;=EF_I, I40*ED_8*EF_I/AT_ADC_I*Breathing_Ratio, I40*ED_8*G40/AT_ADC_I*Breathing_Ratio),"-")</f>
        <v>0.13918367346938773</v>
      </c>
      <c r="N40" s="670">
        <f t="shared" ref="N40:N41" si="103">IF(H40&lt;&gt;"-", H40*ED_8*F40*WY_mid/AT_ADC_mid*Breathing_Ratio, "-")</f>
        <v>1.7694063926940642E-2</v>
      </c>
      <c r="O40" s="670">
        <f t="shared" ref="O40:O41" si="104">IF(I40&lt;&gt;"-", I40*ED_8*G40*WY_high/AT_ADC_high*Breathing_Ratio,"-")</f>
        <v>0.12999720436119652</v>
      </c>
      <c r="P40" s="670">
        <f t="shared" ref="P40:P41" si="105">IF(H40&lt;&gt;"-",H40*ED_8*F40*WY_mid/AT_LADC*Breathing_Ratio,"-")</f>
        <v>7.0322561760917937E-3</v>
      </c>
      <c r="Q40" s="670">
        <f t="shared" ref="Q40:Q41" si="106">IF(I40&lt;&gt;"-",I40*ED_8*G40*WY_high/AT_LADC*Breathing_Ratio,"-")</f>
        <v>6.66652330057418E-2</v>
      </c>
      <c r="R40" s="661">
        <v>11</v>
      </c>
      <c r="S40" s="672" t="s">
        <v>294</v>
      </c>
      <c r="T40" s="662" t="s">
        <v>280</v>
      </c>
      <c r="V40" s="647">
        <f>'Health Data'!$G$7/J40</f>
        <v>325.16129032258061</v>
      </c>
      <c r="W40" s="647">
        <f>'Health Data'!$G$7/K40</f>
        <v>44.258064516129039</v>
      </c>
      <c r="X40" s="647">
        <f>'Health Data'!$G$8/L40</f>
        <v>2.8504398826979465</v>
      </c>
      <c r="Y40" s="647">
        <f>'Health Data'!$G$8/M40</f>
        <v>0.38797653958944289</v>
      </c>
      <c r="Z40" s="647">
        <f>'Health Data'!$G$9/N40</f>
        <v>3.0518709677419351</v>
      </c>
      <c r="AA40" s="647">
        <f>'Health Data'!$G$9/O40</f>
        <v>0.4153935483870968</v>
      </c>
      <c r="AB40" s="647">
        <f>'Health Data'!$I$10*P40</f>
        <v>1.2023173498024329E-4</v>
      </c>
      <c r="AC40" s="647">
        <f>'Health Data'!$I$10*Q40</f>
        <v>1.1397873493847945E-3</v>
      </c>
    </row>
    <row r="41" spans="2:32" s="32" customFormat="1" ht="23.1" customHeight="1" x14ac:dyDescent="0.2">
      <c r="B41" s="643" t="s">
        <v>397</v>
      </c>
      <c r="C41" s="658" t="s">
        <v>439</v>
      </c>
      <c r="D41" s="645" t="s">
        <v>100</v>
      </c>
      <c r="E41" s="646" t="s">
        <v>279</v>
      </c>
      <c r="F41" s="645">
        <v>250</v>
      </c>
      <c r="G41" s="645">
        <v>250</v>
      </c>
      <c r="H41" s="88">
        <v>9.6937500000000005E-5</v>
      </c>
      <c r="I41" s="88">
        <v>5.4077083333333329E-3</v>
      </c>
      <c r="J41" s="670">
        <f t="shared" si="99"/>
        <v>6.5943877551020405E-5</v>
      </c>
      <c r="K41" s="670">
        <f t="shared" si="100"/>
        <v>3.6787131519274373E-3</v>
      </c>
      <c r="L41" s="647">
        <f t="shared" si="101"/>
        <v>4.8358843537414967E-5</v>
      </c>
      <c r="M41" s="670">
        <f t="shared" si="102"/>
        <v>2.6977229780801209E-3</v>
      </c>
      <c r="N41" s="670">
        <f t="shared" si="103"/>
        <v>4.5167039418507131E-5</v>
      </c>
      <c r="O41" s="670">
        <f t="shared" si="104"/>
        <v>2.5196665424160529E-3</v>
      </c>
      <c r="P41" s="670">
        <f t="shared" si="105"/>
        <v>1.795100284581694E-5</v>
      </c>
      <c r="Q41" s="670">
        <f t="shared" si="106"/>
        <v>1.2921366884184886E-3</v>
      </c>
      <c r="R41" s="649">
        <v>11</v>
      </c>
      <c r="S41" s="657" t="s">
        <v>405</v>
      </c>
      <c r="T41" s="662" t="s">
        <v>280</v>
      </c>
      <c r="V41" s="647">
        <f>'Health Data'!$G$7/J41</f>
        <v>127381.04448742748</v>
      </c>
      <c r="W41" s="647">
        <f>'Health Data'!$G$7/K41</f>
        <v>2283.4071734021654</v>
      </c>
      <c r="X41" s="647">
        <f>'Health Data'!$G$8/L41</f>
        <v>1116.6520133638121</v>
      </c>
      <c r="Y41" s="647">
        <f>'Health Data'!$G$8/M41</f>
        <v>20.01688106553846</v>
      </c>
      <c r="Z41" s="647">
        <f>'Health Data'!$G$9/N41</f>
        <v>1195.5620889748548</v>
      </c>
      <c r="AA41" s="647">
        <f>'Health Data'!$G$9/O41</f>
        <v>21.43140732750318</v>
      </c>
      <c r="AB41" s="647">
        <f>'Health Data'!$I$10*P41</f>
        <v>3.0691148939163488E-7</v>
      </c>
      <c r="AC41" s="647">
        <f>'Health Data'!$I$10*Q41</f>
        <v>2.2091890851240374E-5</v>
      </c>
    </row>
    <row r="42" spans="2:32" s="32" customFormat="1" ht="25.5" x14ac:dyDescent="0.2">
      <c r="B42" s="643" t="s">
        <v>398</v>
      </c>
      <c r="C42" s="673" t="s">
        <v>440</v>
      </c>
      <c r="D42" s="645" t="s">
        <v>97</v>
      </c>
      <c r="E42" s="646" t="s">
        <v>279</v>
      </c>
      <c r="F42" s="645">
        <v>250</v>
      </c>
      <c r="G42" s="645">
        <v>250</v>
      </c>
      <c r="H42" s="674">
        <v>6.1611922464152946E-5</v>
      </c>
      <c r="I42" s="674">
        <v>1.2984599044078596E-4</v>
      </c>
      <c r="J42" s="670">
        <f t="shared" ref="J42:J43" si="107">IF(H42&lt;&gt;"-", H42*ED_8/AT_AC*Breathing_Ratio,"-")</f>
        <v>4.1912872424593838E-5</v>
      </c>
      <c r="K42" s="670">
        <f t="shared" ref="K42:K43" si="108">IF(I42&lt;&gt;"-",I42* ED_8/AT_AC*Breathing_Ratio,"-")</f>
        <v>8.8330605742031258E-5</v>
      </c>
      <c r="L42" s="88">
        <f t="shared" si="101"/>
        <v>3.0736106444702152E-5</v>
      </c>
      <c r="M42" s="670">
        <f t="shared" ref="M42:M43" si="109">IF(I42&lt;&gt;"-", IF(G42&gt;=EF_I, I42*ED_8*EF_I/AT_ADC_I*Breathing_Ratio, I42*ED_8*G42/AT_ADC_I*Breathing_Ratio),"-")</f>
        <v>6.4775777544156274E-5</v>
      </c>
      <c r="N42" s="670">
        <f t="shared" ref="N42:N43" si="110">IF(H42&lt;&gt;"-", H42*ED_8*F42*WY_mid/AT_ADC_mid*Breathing_Ratio, "-")</f>
        <v>2.8707446866160166E-5</v>
      </c>
      <c r="O42" s="670">
        <f t="shared" ref="O42:O43" si="111">IF(I42&lt;&gt;"-", I42*ED_8*G42*WY_high/AT_ADC_high*Breathing_Ratio,"-")</f>
        <v>6.0500414891802236E-5</v>
      </c>
      <c r="P42" s="670">
        <f t="shared" ref="P42:P43" si="112">IF(H42&lt;&gt;"-",H42*ED_8*F42*WY_mid/AT_LADC*Breathing_Ratio,"-")</f>
        <v>1.1409369908345706E-5</v>
      </c>
      <c r="Q42" s="670">
        <f t="shared" ref="Q42:Q43" si="113">IF(I42&lt;&gt;"-",I42*ED_8*G42*WY_high/AT_LADC*Breathing_Ratio,"-")</f>
        <v>3.1025853790667813E-5</v>
      </c>
      <c r="R42" s="671" t="s">
        <v>288</v>
      </c>
      <c r="S42" s="672" t="s">
        <v>295</v>
      </c>
      <c r="T42" s="675" t="s">
        <v>296</v>
      </c>
      <c r="V42" s="88">
        <f>'Health Data'!$G$7/J42</f>
        <v>200415.75568729112</v>
      </c>
      <c r="W42" s="88">
        <f>'Health Data'!$G$7/K42</f>
        <v>95097.276073619665</v>
      </c>
      <c r="X42" s="88">
        <f>'Health Data'!$G$8/L42</f>
        <v>1756.8913647911882</v>
      </c>
      <c r="Y42" s="88">
        <f>'Health Data'!$G$8/M42</f>
        <v>833.64495259341879</v>
      </c>
      <c r="Z42" s="88">
        <f>'Health Data'!$G$9/N42</f>
        <v>1881.0450212364321</v>
      </c>
      <c r="AA42" s="88">
        <f>'Health Data'!$G$9/O42</f>
        <v>892.55586257668722</v>
      </c>
      <c r="AB42" s="88">
        <f>'Health Data'!$I$10*P42</f>
        <v>1.9506802721088437E-7</v>
      </c>
      <c r="AC42" s="88">
        <f>'Health Data'!$I$10*Q42</f>
        <v>5.3045454219622514E-7</v>
      </c>
    </row>
    <row r="43" spans="2:32" s="32" customFormat="1" ht="25.5" x14ac:dyDescent="0.2">
      <c r="B43" s="643" t="s">
        <v>398</v>
      </c>
      <c r="C43" s="673" t="s">
        <v>440</v>
      </c>
      <c r="D43" s="645" t="s">
        <v>100</v>
      </c>
      <c r="E43" s="646" t="s">
        <v>279</v>
      </c>
      <c r="F43" s="645">
        <v>250</v>
      </c>
      <c r="G43" s="645">
        <v>250</v>
      </c>
      <c r="H43" s="674">
        <v>6.1611922464152946E-5</v>
      </c>
      <c r="I43" s="674">
        <v>6.1611922464152946E-5</v>
      </c>
      <c r="J43" s="676">
        <f t="shared" si="107"/>
        <v>4.1912872424593838E-5</v>
      </c>
      <c r="K43" s="670">
        <f t="shared" si="108"/>
        <v>4.1912872424593838E-5</v>
      </c>
      <c r="L43" s="88">
        <f t="shared" si="101"/>
        <v>3.0736106444702152E-5</v>
      </c>
      <c r="M43" s="670">
        <f t="shared" si="109"/>
        <v>3.0736106444702152E-5</v>
      </c>
      <c r="N43" s="670">
        <f t="shared" si="110"/>
        <v>2.8707446866160166E-5</v>
      </c>
      <c r="O43" s="670">
        <f t="shared" si="111"/>
        <v>2.8707446866160166E-5</v>
      </c>
      <c r="P43" s="670">
        <f t="shared" si="112"/>
        <v>1.1409369908345706E-5</v>
      </c>
      <c r="Q43" s="670">
        <f t="shared" si="113"/>
        <v>1.472176762367188E-5</v>
      </c>
      <c r="R43" s="671" t="s">
        <v>288</v>
      </c>
      <c r="S43" s="672" t="s">
        <v>295</v>
      </c>
      <c r="T43" s="675" t="s">
        <v>296</v>
      </c>
      <c r="V43" s="88">
        <f>'Health Data'!$G$7/J43</f>
        <v>200415.75568729112</v>
      </c>
      <c r="W43" s="88">
        <f>'Health Data'!$G$7/K43</f>
        <v>200415.75568729112</v>
      </c>
      <c r="X43" s="88">
        <f>'Health Data'!$G$8/L43</f>
        <v>1756.8913647911882</v>
      </c>
      <c r="Y43" s="88">
        <f>'Health Data'!$G$8/M43</f>
        <v>1756.8913647911882</v>
      </c>
      <c r="Z43" s="88">
        <f>'Health Data'!$G$9/N43</f>
        <v>1881.0450212364321</v>
      </c>
      <c r="AA43" s="88">
        <f>'Health Data'!$G$9/O43</f>
        <v>1881.0450212364321</v>
      </c>
      <c r="AB43" s="88">
        <f>'Health Data'!$I$10*P43</f>
        <v>1.9506802721088437E-7</v>
      </c>
      <c r="AC43" s="88">
        <f>'Health Data'!$I$10*Q43</f>
        <v>2.517006802721089E-7</v>
      </c>
    </row>
    <row r="44" spans="2:32" s="32" customFormat="1" x14ac:dyDescent="0.2">
      <c r="B44" s="643" t="s">
        <v>399</v>
      </c>
      <c r="C44" s="673" t="s">
        <v>441</v>
      </c>
      <c r="D44" s="645" t="s">
        <v>97</v>
      </c>
      <c r="E44" s="646" t="s">
        <v>279</v>
      </c>
      <c r="F44" s="645">
        <v>250</v>
      </c>
      <c r="G44" s="645">
        <v>250</v>
      </c>
      <c r="H44" s="674">
        <v>3.7975000000000002E-2</v>
      </c>
      <c r="I44" s="677">
        <v>0.27899999999999997</v>
      </c>
      <c r="J44" s="670">
        <f t="shared" ref="J44:J45" si="114">IF(H44&lt;&gt;"-", H44*ED_8/AT_AC*Breathing_Ratio,"-")</f>
        <v>2.5833333333333337E-2</v>
      </c>
      <c r="K44" s="670">
        <f t="shared" ref="K44:K45" si="115">IF(I44&lt;&gt;"-",I44* ED_8/AT_AC*Breathing_Ratio,"-")</f>
        <v>0.18979591836734691</v>
      </c>
      <c r="L44" s="88">
        <f t="shared" si="101"/>
        <v>1.8944444444444448E-2</v>
      </c>
      <c r="M44" s="670">
        <f t="shared" ref="M44:M45" si="116">IF(I44&lt;&gt;"-", IF(G44&gt;=EF_I, I44*ED_8*EF_I/AT_ADC_I*Breathing_Ratio, I44*ED_8*G44/AT_ADC_I*Breathing_Ratio),"-")</f>
        <v>0.13918367346938773</v>
      </c>
      <c r="N44" s="670">
        <f t="shared" ref="N44:N45" si="117">IF(H44&lt;&gt;"-", H44*ED_8*F44*WY_mid/AT_ADC_mid*Breathing_Ratio, "-")</f>
        <v>1.7694063926940642E-2</v>
      </c>
      <c r="O44" s="670">
        <f t="shared" ref="O44:O45" si="118">IF(I44&lt;&gt;"-", I44*ED_8*G44*WY_high/AT_ADC_high*Breathing_Ratio,"-")</f>
        <v>0.12999720436119652</v>
      </c>
      <c r="P44" s="670">
        <f t="shared" ref="P44:P45" si="119">IF(H44&lt;&gt;"-",H44*ED_8*F44*WY_mid/AT_LADC*Breathing_Ratio,"-")</f>
        <v>7.0322561760917937E-3</v>
      </c>
      <c r="Q44" s="670">
        <f t="shared" ref="Q44:Q45" si="120">IF(I44&lt;&gt;"-",I44*ED_8*G44*WY_high/AT_LADC*Breathing_Ratio,"-")</f>
        <v>6.66652330057418E-2</v>
      </c>
      <c r="R44" s="661">
        <v>11</v>
      </c>
      <c r="S44" s="678" t="s">
        <v>401</v>
      </c>
      <c r="T44" s="651" t="s">
        <v>280</v>
      </c>
      <c r="V44" s="88">
        <f>'Health Data'!$G$7/J44</f>
        <v>325.16129032258061</v>
      </c>
      <c r="W44" s="88">
        <f>'Health Data'!$G$7/K44</f>
        <v>44.258064516129039</v>
      </c>
      <c r="X44" s="88">
        <f>'Health Data'!$G$8/L44</f>
        <v>2.8504398826979465</v>
      </c>
      <c r="Y44" s="88">
        <f>'Health Data'!$G$8/M44</f>
        <v>0.38797653958944289</v>
      </c>
      <c r="Z44" s="88">
        <f>'Health Data'!$G$9/N44</f>
        <v>3.0518709677419351</v>
      </c>
      <c r="AA44" s="88">
        <f>'Health Data'!$G$9/O44</f>
        <v>0.4153935483870968</v>
      </c>
      <c r="AB44" s="88">
        <f>'Health Data'!$I$10*P44</f>
        <v>1.2023173498024329E-4</v>
      </c>
      <c r="AC44" s="88">
        <f>'Health Data'!$I$10*Q44</f>
        <v>1.1397873493847945E-3</v>
      </c>
      <c r="AD44" s="679"/>
      <c r="AE44" s="679"/>
      <c r="AF44" s="680"/>
    </row>
    <row r="45" spans="2:32" s="32" customFormat="1" ht="38.25" x14ac:dyDescent="0.2">
      <c r="B45" s="643" t="s">
        <v>399</v>
      </c>
      <c r="C45" s="673" t="s">
        <v>441</v>
      </c>
      <c r="D45" s="645" t="s">
        <v>100</v>
      </c>
      <c r="E45" s="646" t="s">
        <v>279</v>
      </c>
      <c r="F45" s="645">
        <v>250</v>
      </c>
      <c r="G45" s="645">
        <v>250</v>
      </c>
      <c r="H45" s="88">
        <v>9.6937500000000005E-5</v>
      </c>
      <c r="I45" s="88">
        <v>5.4077083333333329E-3</v>
      </c>
      <c r="J45" s="670">
        <f t="shared" si="114"/>
        <v>6.5943877551020405E-5</v>
      </c>
      <c r="K45" s="670">
        <f t="shared" si="115"/>
        <v>3.6787131519274373E-3</v>
      </c>
      <c r="L45" s="88">
        <f t="shared" si="101"/>
        <v>4.8358843537414967E-5</v>
      </c>
      <c r="M45" s="670">
        <f t="shared" si="116"/>
        <v>2.6977229780801209E-3</v>
      </c>
      <c r="N45" s="670">
        <f t="shared" si="117"/>
        <v>4.5167039418507131E-5</v>
      </c>
      <c r="O45" s="670">
        <f t="shared" si="118"/>
        <v>2.5196665424160529E-3</v>
      </c>
      <c r="P45" s="670">
        <f t="shared" si="119"/>
        <v>1.795100284581694E-5</v>
      </c>
      <c r="Q45" s="670">
        <f t="shared" si="120"/>
        <v>1.2921366884184886E-3</v>
      </c>
      <c r="R45" s="649">
        <v>11</v>
      </c>
      <c r="S45" s="657" t="s">
        <v>405</v>
      </c>
      <c r="T45" s="651" t="s">
        <v>280</v>
      </c>
      <c r="V45" s="88">
        <f>'Health Data'!$G$7/J45</f>
        <v>127381.04448742748</v>
      </c>
      <c r="W45" s="88">
        <f>'Health Data'!$G$7/K45</f>
        <v>2283.4071734021654</v>
      </c>
      <c r="X45" s="88">
        <f>'Health Data'!$G$8/L45</f>
        <v>1116.6520133638121</v>
      </c>
      <c r="Y45" s="88">
        <f>'Health Data'!$G$8/M45</f>
        <v>20.01688106553846</v>
      </c>
      <c r="Z45" s="88">
        <f>'Health Data'!$G$9/N45</f>
        <v>1195.5620889748548</v>
      </c>
      <c r="AA45" s="88">
        <f>'Health Data'!$G$9/O45</f>
        <v>21.43140732750318</v>
      </c>
      <c r="AB45" s="88">
        <f>'Health Data'!$I$10*P45</f>
        <v>3.0691148939163488E-7</v>
      </c>
      <c r="AC45" s="88">
        <f>'Health Data'!$I$10*Q45</f>
        <v>2.2091890851240374E-5</v>
      </c>
      <c r="AD45" s="679"/>
      <c r="AE45" s="679"/>
      <c r="AF45" s="680"/>
    </row>
    <row r="46" spans="2:32" s="32" customFormat="1" ht="25.5" x14ac:dyDescent="0.2">
      <c r="B46" s="681" t="s">
        <v>400</v>
      </c>
      <c r="C46" s="673" t="s">
        <v>442</v>
      </c>
      <c r="D46" s="645" t="s">
        <v>97</v>
      </c>
      <c r="E46" s="646" t="s">
        <v>279</v>
      </c>
      <c r="F46" s="645">
        <v>250</v>
      </c>
      <c r="G46" s="645">
        <v>250</v>
      </c>
      <c r="H46" s="402">
        <v>4.3140625000000002E-2</v>
      </c>
      <c r="I46" s="402">
        <v>8.7299999999999989E-2</v>
      </c>
      <c r="J46" s="670">
        <f t="shared" ref="J46:J47" si="121">IF(H46&lt;&gt;"-", H46*ED_8/AT_AC*Breathing_Ratio,"-")</f>
        <v>2.9347363945578232E-2</v>
      </c>
      <c r="K46" s="670">
        <f t="shared" ref="K46:K47" si="122">IF(I46&lt;&gt;"-",I46* ED_8/AT_AC*Breathing_Ratio,"-")</f>
        <v>5.9387755102040814E-2</v>
      </c>
      <c r="L46" s="88">
        <f t="shared" si="101"/>
        <v>2.1521400226757369E-2</v>
      </c>
      <c r="M46" s="670">
        <f t="shared" ref="M46:M47" si="123">IF(I46&lt;&gt;"-", IF(G46&gt;=EF_I, I46*ED_8*EF_I/AT_ADC_I*Breathing_Ratio, I46*ED_8*G46/AT_ADC_I*Breathing_Ratio),"-")</f>
        <v>4.3551020408163263E-2</v>
      </c>
      <c r="N46" s="670">
        <f t="shared" ref="N46:N47" si="124">IF(H46&lt;&gt;"-", H46*ED_8*F46*WY_mid/AT_ADC_mid*Breathing_Ratio, "-")</f>
        <v>2.0100934209300158E-2</v>
      </c>
      <c r="O46" s="670">
        <f t="shared" ref="O46:O47" si="125">IF(I46&lt;&gt;"-", I46*ED_8*G46*WY_high/AT_ADC_high*Breathing_Ratio,"-")</f>
        <v>4.0676544590438908E-2</v>
      </c>
      <c r="P46" s="670">
        <f t="shared" ref="P46:P47" si="126">IF(H46&lt;&gt;"-",H46*ED_8*F46*WY_mid/AT_LADC*Breathing_Ratio,"-")</f>
        <v>7.9888328267731408E-3</v>
      </c>
      <c r="Q46" s="670">
        <f t="shared" ref="Q46:Q47" si="127">IF(I46&lt;&gt;"-",I46*ED_8*G46*WY_high/AT_LADC*Breathing_Ratio,"-")</f>
        <v>2.0859766456635336E-2</v>
      </c>
      <c r="R46" s="645">
        <v>4</v>
      </c>
      <c r="S46" s="672" t="s">
        <v>297</v>
      </c>
      <c r="T46" s="651" t="s">
        <v>280</v>
      </c>
      <c r="V46" s="88">
        <f>'Health Data'!$G$7/J46</f>
        <v>286.22672944585298</v>
      </c>
      <c r="W46" s="88">
        <f>'Health Data'!$G$7/K46</f>
        <v>141.44329896907217</v>
      </c>
      <c r="X46" s="88">
        <f>'Health Data'!$G$8/L46</f>
        <v>2.5091304204668927</v>
      </c>
      <c r="Y46" s="88">
        <f>'Health Data'!$G$8/M46</f>
        <v>1.2399250234301782</v>
      </c>
      <c r="Z46" s="88">
        <f>'Health Data'!$G$9/N46</f>
        <v>2.6864423035132199</v>
      </c>
      <c r="AA46" s="88">
        <f>'Health Data'!$G$9/O46</f>
        <v>1.3275463917525776</v>
      </c>
      <c r="AB46" s="88">
        <f>'Health Data'!$I$10*P46</f>
        <v>1.3658649616542614E-4</v>
      </c>
      <c r="AC46" s="88">
        <f>'Health Data'!$I$10*Q46</f>
        <v>3.5664313835588726E-4</v>
      </c>
    </row>
    <row r="47" spans="2:32" s="32" customFormat="1" ht="51.75" thickBot="1" x14ac:dyDescent="0.25">
      <c r="B47" s="682" t="s">
        <v>400</v>
      </c>
      <c r="C47" s="683" t="s">
        <v>442</v>
      </c>
      <c r="D47" s="684" t="s">
        <v>100</v>
      </c>
      <c r="E47" s="685" t="s">
        <v>279</v>
      </c>
      <c r="F47" s="684">
        <v>250</v>
      </c>
      <c r="G47" s="684">
        <v>250</v>
      </c>
      <c r="H47" s="105">
        <v>4.3140625000000002E-2</v>
      </c>
      <c r="I47" s="105">
        <v>4.3140625000000002E-2</v>
      </c>
      <c r="J47" s="686">
        <f t="shared" si="121"/>
        <v>2.9347363945578232E-2</v>
      </c>
      <c r="K47" s="686">
        <f t="shared" si="122"/>
        <v>2.9347363945578232E-2</v>
      </c>
      <c r="L47" s="105">
        <f t="shared" si="101"/>
        <v>2.1521400226757369E-2</v>
      </c>
      <c r="M47" s="686">
        <f t="shared" si="123"/>
        <v>2.1521400226757369E-2</v>
      </c>
      <c r="N47" s="686">
        <f t="shared" si="124"/>
        <v>2.0100934209300158E-2</v>
      </c>
      <c r="O47" s="686">
        <f t="shared" si="125"/>
        <v>2.0100934209300158E-2</v>
      </c>
      <c r="P47" s="686">
        <f t="shared" si="126"/>
        <v>7.9888328267731408E-3</v>
      </c>
      <c r="Q47" s="686">
        <f t="shared" si="127"/>
        <v>1.0308171389384698E-2</v>
      </c>
      <c r="R47" s="687" t="s">
        <v>288</v>
      </c>
      <c r="S47" s="688" t="s">
        <v>298</v>
      </c>
      <c r="T47" s="689" t="s">
        <v>280</v>
      </c>
      <c r="V47" s="88">
        <f>'Health Data'!$G$7/J47</f>
        <v>286.22672944585298</v>
      </c>
      <c r="W47" s="88">
        <f>'Health Data'!$G$7/K47</f>
        <v>286.22672944585298</v>
      </c>
      <c r="X47" s="88">
        <f>'Health Data'!$G$8/L47</f>
        <v>2.5091304204668927</v>
      </c>
      <c r="Y47" s="88">
        <f>'Health Data'!$G$8/M47</f>
        <v>2.5091304204668927</v>
      </c>
      <c r="Z47" s="88">
        <f>'Health Data'!$G$9/N47</f>
        <v>2.6864423035132199</v>
      </c>
      <c r="AA47" s="88">
        <f>'Health Data'!$G$9/O47</f>
        <v>2.6864423035132199</v>
      </c>
      <c r="AB47" s="88">
        <f>'Health Data'!$I$10*P47</f>
        <v>1.3658649616542614E-4</v>
      </c>
      <c r="AC47" s="88">
        <f>'Health Data'!$I$10*Q47</f>
        <v>1.7624064021345309E-4</v>
      </c>
    </row>
  </sheetData>
  <sheetProtection sheet="1" objects="1" scenarios="1" formatCells="0" formatColumns="0" formatRows="0" sort="0" autoFilter="0"/>
  <autoFilter ref="B5:T47" xr:uid="{DF55C41C-CB75-4CC6-8CF8-B72C31F8B4B7}"/>
  <mergeCells count="27">
    <mergeCell ref="V2:AC2"/>
    <mergeCell ref="V3:W4"/>
    <mergeCell ref="X3:Y4"/>
    <mergeCell ref="Z3:AA4"/>
    <mergeCell ref="AB3:AC4"/>
    <mergeCell ref="AF44:AF45"/>
    <mergeCell ref="AD44:AD45"/>
    <mergeCell ref="AE44:AE45"/>
    <mergeCell ref="B3:B5"/>
    <mergeCell ref="C3:C5"/>
    <mergeCell ref="D3:D5"/>
    <mergeCell ref="E3:E5"/>
    <mergeCell ref="R3:R5"/>
    <mergeCell ref="F3:G3"/>
    <mergeCell ref="F4:G4"/>
    <mergeCell ref="H3:I3"/>
    <mergeCell ref="N3:O3"/>
    <mergeCell ref="P3:Q3"/>
    <mergeCell ref="H4:I4"/>
    <mergeCell ref="N4:O4"/>
    <mergeCell ref="J3:K3"/>
    <mergeCell ref="J4:K4"/>
    <mergeCell ref="L4:M4"/>
    <mergeCell ref="T3:T5"/>
    <mergeCell ref="S3:S5"/>
    <mergeCell ref="P4:Q4"/>
    <mergeCell ref="L3:M3"/>
  </mergeCells>
  <conditionalFormatting sqref="H6:I41">
    <cfRule type="cellIs" dxfId="26" priority="1" operator="equal">
      <formula>0</formula>
    </cfRule>
    <cfRule type="cellIs" dxfId="25" priority="2" operator="lessThan">
      <formula>0.1</formula>
    </cfRule>
    <cfRule type="cellIs" dxfId="24" priority="3" operator="between">
      <formula>0.1</formula>
      <formula>0.999</formula>
    </cfRule>
    <cfRule type="cellIs" dxfId="23" priority="4" operator="between">
      <formula>1</formula>
      <formula>10</formula>
    </cfRule>
    <cfRule type="cellIs" dxfId="22" priority="5" operator="greaterThan">
      <formula>10</formula>
    </cfRule>
    <cfRule type="cellIs" dxfId="21" priority="6" operator="greaterThan">
      <formula>10000</formula>
    </cfRule>
  </conditionalFormatting>
  <conditionalFormatting sqref="H45:I47">
    <cfRule type="cellIs" dxfId="20" priority="7" operator="equal">
      <formula>0</formula>
    </cfRule>
    <cfRule type="cellIs" dxfId="19" priority="8" operator="lessThan">
      <formula>0.1</formula>
    </cfRule>
    <cfRule type="cellIs" dxfId="18" priority="9" operator="between">
      <formula>0.1</formula>
      <formula>0.999</formula>
    </cfRule>
    <cfRule type="cellIs" dxfId="17" priority="10" operator="between">
      <formula>1</formula>
      <formula>10</formula>
    </cfRule>
    <cfRule type="cellIs" dxfId="16" priority="11" operator="greaterThan">
      <formula>10</formula>
    </cfRule>
    <cfRule type="cellIs" dxfId="15" priority="12" operator="greaterThan">
      <formula>10000</formula>
    </cfRule>
  </conditionalFormatting>
  <conditionalFormatting sqref="J38:K47 M38:Q47">
    <cfRule type="cellIs" dxfId="14" priority="548" operator="lessThan">
      <formula>0.1</formula>
    </cfRule>
    <cfRule type="cellIs" dxfId="13" priority="549" operator="between">
      <formula>0.1</formula>
      <formula>0.999</formula>
    </cfRule>
    <cfRule type="cellIs" dxfId="12" priority="550" operator="between">
      <formula>1</formula>
      <formula>9.999</formula>
    </cfRule>
    <cfRule type="cellIs" dxfId="11" priority="551" operator="between">
      <formula>10</formula>
      <formula>9999.999</formula>
    </cfRule>
    <cfRule type="expression" dxfId="10" priority="552">
      <formula>"&gt;=10000"</formula>
    </cfRule>
  </conditionalFormatting>
  <conditionalFormatting sqref="J38:K47 N38:Q47">
    <cfRule type="cellIs" dxfId="9" priority="553" operator="lessThan">
      <formula>0.01</formula>
    </cfRule>
    <cfRule type="cellIs" dxfId="8" priority="554" operator="between">
      <formula>0.01</formula>
      <formula>1</formula>
    </cfRule>
    <cfRule type="cellIs" dxfId="7" priority="555" operator="greaterThanOrEqual">
      <formula>1</formula>
    </cfRule>
  </conditionalFormatting>
  <conditionalFormatting sqref="J6:Q37 V6:AC47 L38:L47">
    <cfRule type="cellIs" dxfId="6" priority="524" operator="greaterThanOrEqual">
      <formula>10000</formula>
    </cfRule>
    <cfRule type="cellIs" dxfId="5" priority="525" operator="greaterThanOrEqual">
      <formula>10</formula>
    </cfRule>
    <cfRule type="cellIs" dxfId="4" priority="526" operator="between">
      <formula>1</formula>
      <formula>9.999</formula>
    </cfRule>
    <cfRule type="cellIs" dxfId="3" priority="527" operator="between">
      <formula>0.1</formula>
      <formula>0.999</formula>
    </cfRule>
    <cfRule type="cellIs" dxfId="2" priority="528" operator="lessThanOrEqual">
      <formula>0.1</formula>
    </cfRule>
    <cfRule type="containsBlanks" dxfId="1" priority="529" stopIfTrue="1">
      <formula>LEN(TRIM(J6))=0</formula>
    </cfRule>
    <cfRule type="cellIs" dxfId="0" priority="530" operator="equal">
      <formula>0</formula>
    </cfRule>
  </conditionalFormatting>
  <pageMargins left="0.7" right="0.7" top="0.75" bottom="0.75" header="0.3" footer="0.3"/>
  <pageSetup orientation="portrait" r:id="rId1"/>
  <ignoredErrors>
    <ignoredError sqref="L10:M10"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23352F79007E408EFF44D6142FFCE2" ma:contentTypeVersion="21" ma:contentTypeDescription="Create a new document." ma:contentTypeScope="" ma:versionID="f7663de67ef2afa6df94d55ff7e56796">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fecc2597-e8fd-4279-ac06-bd7c891938be" xmlns:ns6="ead8da0f-3542-4e50-96c8-f1f698624e86" targetNamespace="http://schemas.microsoft.com/office/2006/metadata/properties" ma:root="true" ma:fieldsID="02cccc19423a0cd6fa028e0a1e544b83" ns1:_="" ns2:_="" ns3:_="" ns4:_="" ns5:_="" ns6:_="">
    <xsd:import namespace="http://schemas.microsoft.com/sharepoint/v3"/>
    <xsd:import namespace="4ffa91fb-a0ff-4ac5-b2db-65c790d184a4"/>
    <xsd:import namespace="http://schemas.microsoft.com/sharepoint.v3"/>
    <xsd:import namespace="http://schemas.microsoft.com/sharepoint/v3/fields"/>
    <xsd:import namespace="fecc2597-e8fd-4279-ac06-bd7c891938be"/>
    <xsd:import namespace="ead8da0f-3542-4e50-96c8-f1f698624e86"/>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1:_ip_UnifiedCompliancePolicyProperties" minOccurs="0"/>
                <xsd:element ref="ns1:_ip_UnifiedCompliancePolicyUIAction" minOccurs="0"/>
                <xsd:element ref="ns6:lcf76f155ced4ddcb4097134ff3c332f" minOccurs="0"/>
                <xsd:element ref="ns6:MediaServiceObjectDetectorVersions" minOccurs="0"/>
                <xsd:element ref="ns6:MediaServiceSearchProperties" minOccurs="0"/>
                <xsd:element ref="ns6:MediaServiceDateTaken"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160cad11-562a-4490-8456-b2fd6f157897}" ma:internalName="TaxCatchAllLabel" ma:readOnly="true" ma:showField="CatchAllDataLabel"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160cad11-562a-4490-8456-b2fd6f157897}" ma:internalName="TaxCatchAll" ma:showField="CatchAllData"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c2597-e8fd-4279-ac06-bd7c891938be"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d8da0f-3542-4e50-96c8-f1f698624e86"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DateTaken" ma:index="43" nillable="true" ma:displayName="MediaServiceDateTaken" ma:description="" ma:hidden="true" ma:indexed="true" ma:internalName="MediaServiceDateTaken" ma:readOnly="true">
      <xsd:simpleType>
        <xsd:restriction base="dms:Text"/>
      </xsd:simpleType>
    </xsd:element>
    <xsd:element name="MediaServiceLocation" ma:index="44" nillable="true" ma:displayName="Location" ma:description="" ma:indexed="true" ma:internalName="MediaServiceLocation" ma:readOnly="true">
      <xsd:simpleType>
        <xsd:restriction base="dms:Text"/>
      </xsd:simpleType>
    </xsd:element>
    <xsd:element name="MediaLengthInSeconds" ma:index="4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29f62856-1543-49d4-a736-4569d363f533"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ead8da0f-3542-4e50-96c8-f1f698624e86">
      <Terms xmlns="http://schemas.microsoft.com/office/infopath/2007/PartnerControls"/>
    </lcf76f155ced4ddcb4097134ff3c332f>
    <TaxCatchAll xmlns="4ffa91fb-a0ff-4ac5-b2db-65c790d184a4">
      <Value>1716</Value>
      <Value>2106</Value>
      <Value>1198</Value>
      <Value>2130</Value>
      <Value>2129</Value>
      <Value>1266</Value>
    </TaxCatchAll>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3f09c3df709400db2417a7161762d62 xmlns="4ffa91fb-a0ff-4ac5-b2db-65c790d184a4">
      <Terms xmlns="http://schemas.microsoft.com/office/infopath/2007/PartnerControls"/>
    </e3f09c3df709400db2417a7161762d62>
    <External_x0020_Contributor xmlns="4ffa91fb-a0ff-4ac5-b2db-65c790d184a4" xsi:nil="true"/>
    <TaxKeywordTaxHTField xmlns="4ffa91fb-a0ff-4ac5-b2db-65c790d184a4">
      <Terms xmlns="http://schemas.microsoft.com/office/infopath/2007/PartnerControls">
        <TermInfo xmlns="http://schemas.microsoft.com/office/infopath/2007/PartnerControls">
          <TermName xmlns="http://schemas.microsoft.com/office/infopath/2007/PartnerControls">Occupational Risk</TermName>
          <TermId xmlns="http://schemas.microsoft.com/office/infopath/2007/PartnerControls">79b9a469-6802-4c39-813e-0e54b0926316</TermId>
        </TermInfo>
        <TermInfo xmlns="http://schemas.microsoft.com/office/infopath/2007/PartnerControls">
          <TermName xmlns="http://schemas.microsoft.com/office/infopath/2007/PartnerControls">risk calculator</TermName>
          <TermId xmlns="http://schemas.microsoft.com/office/infopath/2007/PartnerControls">8af20125-90c4-4af3-92eb-7f5682895c4d</TermId>
        </TermInfo>
        <TermInfo xmlns="http://schemas.microsoft.com/office/infopath/2007/PartnerControls">
          <TermName xmlns="http://schemas.microsoft.com/office/infopath/2007/PartnerControls">occupational</TermName>
          <TermId xmlns="http://schemas.microsoft.com/office/infopath/2007/PartnerControls">4eaca312-31b2-4d01-8adc-174ba9820bec</TermId>
        </TermInfo>
        <TermInfo xmlns="http://schemas.microsoft.com/office/infopath/2007/PartnerControls">
          <TermName xmlns="http://schemas.microsoft.com/office/infopath/2007/PartnerControls">12DCP</TermName>
          <TermId xmlns="http://schemas.microsoft.com/office/infopath/2007/PartnerControls">d176ffec-5a29-4ccc-9d1a-3beae4ea5552</TermId>
        </TermInfo>
        <TermInfo xmlns="http://schemas.microsoft.com/office/infopath/2007/PartnerControls">
          <TermName xmlns="http://schemas.microsoft.com/office/infopath/2007/PartnerControls">12Dichloropropane</TermName>
          <TermId xmlns="http://schemas.microsoft.com/office/infopath/2007/PartnerControls">1c68f91c-a98e-44e5-9441-281843d32ac9</TermId>
        </TermInfo>
        <TermInfo xmlns="http://schemas.microsoft.com/office/infopath/2007/PartnerControls">
          <TermName xmlns="http://schemas.microsoft.com/office/infopath/2007/PartnerControls">CASRN 78-87-5</TermName>
          <TermId xmlns="http://schemas.microsoft.com/office/infopath/2007/PartnerControls">6c0f0415-e883-4313-be5b-62ccf49181ff</TermId>
        </TermInfo>
      </Term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2026-06-17T12:13:24+00:00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documentManagement>
</p:properties>
</file>

<file path=customXml/itemProps1.xml><?xml version="1.0" encoding="utf-8"?>
<ds:datastoreItem xmlns:ds="http://schemas.openxmlformats.org/officeDocument/2006/customXml" ds:itemID="{1B91ECDF-AD9E-4262-BFF7-4D789B5EFC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fecc2597-e8fd-4279-ac06-bd7c891938be"/>
    <ds:schemaRef ds:uri="ead8da0f-3542-4e50-96c8-f1f698624e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61D7BA-6D29-49A3-8DC6-5247A1E301FC}">
  <ds:schemaRefs>
    <ds:schemaRef ds:uri="Microsoft.SharePoint.Taxonomy.ContentTypeSync"/>
  </ds:schemaRefs>
</ds:datastoreItem>
</file>

<file path=customXml/itemProps3.xml><?xml version="1.0" encoding="utf-8"?>
<ds:datastoreItem xmlns:ds="http://schemas.openxmlformats.org/officeDocument/2006/customXml" ds:itemID="{AC66848A-9249-4628-AC04-A78FD2A2EA9F}">
  <ds:schemaRefs>
    <ds:schemaRef ds:uri="http://schemas.microsoft.com/sharepoint/v3/contenttype/forms"/>
  </ds:schemaRefs>
</ds:datastoreItem>
</file>

<file path=customXml/itemProps4.xml><?xml version="1.0" encoding="utf-8"?>
<ds:datastoreItem xmlns:ds="http://schemas.openxmlformats.org/officeDocument/2006/customXml" ds:itemID="{46D51179-5093-4E0D-97E0-1254349066E5}">
  <ds:schemaRefs>
    <ds:schemaRef ds:uri="4ffa91fb-a0ff-4ac5-b2db-65c790d184a4"/>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ead8da0f-3542-4e50-96c8-f1f698624e86"/>
    <ds:schemaRef ds:uri="http://purl.org/dc/terms/"/>
    <ds:schemaRef ds:uri="http://purl.org/dc/dcmitype/"/>
    <ds:schemaRef ds:uri="fecc2597-e8fd-4279-ac06-bd7c891938be"/>
    <ds:schemaRef ds:uri="http://schemas.microsoft.com/sharepoint/v3/fields"/>
    <ds:schemaRef ds:uri="http://schemas.microsoft.com/sharepoint.v3"/>
    <ds:schemaRef ds:uri="http://schemas.microsoft.com/sharepoint/v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30</vt:i4>
      </vt:variant>
    </vt:vector>
  </HeadingPairs>
  <TitlesOfParts>
    <vt:vector size="41" baseType="lpstr">
      <vt:lpstr>Cover Page</vt:lpstr>
      <vt:lpstr>README</vt:lpstr>
      <vt:lpstr>Calculation Summary</vt:lpstr>
      <vt:lpstr>Dashboard</vt:lpstr>
      <vt:lpstr>Bridge Table</vt:lpstr>
      <vt:lpstr>Risk Reduction</vt:lpstr>
      <vt:lpstr>Dermal Exposure</vt:lpstr>
      <vt:lpstr>Health Data</vt:lpstr>
      <vt:lpstr>Inhalation Exposure</vt:lpstr>
      <vt:lpstr>List Values</vt:lpstr>
      <vt:lpstr>Exposure Factors</vt:lpstr>
      <vt:lpstr>AT_AC</vt:lpstr>
      <vt:lpstr>AT_ADC_high</vt:lpstr>
      <vt:lpstr>AT_ADC_I</vt:lpstr>
      <vt:lpstr>AT_ADC_mid</vt:lpstr>
      <vt:lpstr>AT_CRD_high</vt:lpstr>
      <vt:lpstr>AT_CRD_I</vt:lpstr>
      <vt:lpstr>AT_CRD_mid</vt:lpstr>
      <vt:lpstr>AT_LADC</vt:lpstr>
      <vt:lpstr>AT_LCRD</vt:lpstr>
      <vt:lpstr>Breathing_Ratio</vt:lpstr>
      <vt:lpstr>BW_default</vt:lpstr>
      <vt:lpstr>BW_women</vt:lpstr>
      <vt:lpstr>ED_24</vt:lpstr>
      <vt:lpstr>ED_8</vt:lpstr>
      <vt:lpstr>EF</vt:lpstr>
      <vt:lpstr>EF_C</vt:lpstr>
      <vt:lpstr>EF_I</vt:lpstr>
      <vt:lpstr>EF_I_LGT</vt:lpstr>
      <vt:lpstr>EF_I_MLGT</vt:lpstr>
      <vt:lpstr>EF_I_MT</vt:lpstr>
      <vt:lpstr>'Health Data'!Exposure_Drop_down</vt:lpstr>
      <vt:lpstr>LT</vt:lpstr>
      <vt:lpstr>MW</vt:lpstr>
      <vt:lpstr>ug_per_mg</vt:lpstr>
      <vt:lpstr>WY_CT_default</vt:lpstr>
      <vt:lpstr>WY_CT_women</vt:lpstr>
      <vt:lpstr>WY_HE_default</vt:lpstr>
      <vt:lpstr>WY_HE_women</vt:lpstr>
      <vt:lpstr>WY_high</vt:lpstr>
      <vt:lpstr>WY_mid</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Occupational Risk Calculator for 1,2-Dichloropropane</dc:title>
  <dc:subject>Draft Risk Evaluation for 1,2-Dichloropropane</dc:subject>
  <dc:creator>US EPA</dc:creator>
  <cp:keywords>12Dichloropropane ; 12DCP ; CASRN 78-87-5 ; Occupational Risk ; occupational ; risk calculator</cp:keywords>
  <dc:description/>
  <cp:lastModifiedBy>Stanfield, Kelley</cp:lastModifiedBy>
  <cp:revision/>
  <dcterms:created xsi:type="dcterms:W3CDTF">2014-03-17T14:32:48Z</dcterms:created>
  <dcterms:modified xsi:type="dcterms:W3CDTF">2026-07-31T15:29:59Z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0x010100D723352F79007E408EFF44D6142FFCE2</vt:lpwstr>
  </property>
  <property fmtid="{D5CDD505-2E9C-101B-9397-08002B2CF9AE}" pid="3" name="MediaServiceImageTags">
    <vt:lpwstr/>
  </property>
  <property fmtid="{D5CDD505-2E9C-101B-9397-08002B2CF9AE}" pid="4" name="TaxKeyword">
    <vt:lpwstr>1716;#Occupational Risk|79b9a469-6802-4c39-813e-0e54b0926316;#1198;#risk calculator|8af20125-90c4-4af3-92eb-7f5682895c4d;#1266;#occupational|4eaca312-31b2-4d01-8adc-174ba9820bec;#2130;#12DCP|d176ffec-5a29-4ccc-9d1a-3beae4ea5552;#2129;#12Dichloropropane|1c68f91c-a98e-44e5-9441-281843d32ac9;#2106;#CASRN 78-87-5|6c0f0415-e883-4313-be5b-62ccf49181ff</vt:lpwstr>
  </property>
  <property fmtid="{D5CDD505-2E9C-101B-9397-08002B2CF9AE}" pid="5" name="EPA Subject">
    <vt:lpwstr/>
  </property>
  <property fmtid="{D5CDD505-2E9C-101B-9397-08002B2CF9AE}" pid="6" name="Document Type">
    <vt:lpwstr/>
  </property>
  <property fmtid="{D5CDD505-2E9C-101B-9397-08002B2CF9AE}" pid="7" name="Document_x0020_Type">
    <vt:lpwstr/>
  </property>
  <property fmtid="{D5CDD505-2E9C-101B-9397-08002B2CF9AE}" pid="8" name="EPA_x0020_Subject">
    <vt:lpwstr/>
  </property>
</Properties>
</file>