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usepa-my.sharepoint.com/personal/stanfield_kelley_epa_gov/Documents/Desktop/12DCP Docket Uploads/To Lock/"/>
    </mc:Choice>
  </mc:AlternateContent>
  <xr:revisionPtr revIDLastSave="4244" documentId="8_{CD26230F-E4DD-44E7-BCC0-1CB404E6625F}" xr6:coauthVersionLast="47" xr6:coauthVersionMax="47" xr10:uidLastSave="{B05154AD-4020-463E-A056-3EA4080F7B9B}"/>
  <bookViews>
    <workbookView xWindow="1560" yWindow="1155" windowWidth="21840" windowHeight="15045" xr2:uid="{1062C791-9D05-4398-B749-DC557DED7718}"/>
  </bookViews>
  <sheets>
    <sheet name="Cover Page" sheetId="20" r:id="rId1"/>
    <sheet name="ReadMe" sheetId="12" r:id="rId2"/>
    <sheet name="Methodology" sheetId="13" r:id="rId3"/>
    <sheet name="Parameters" sheetId="4" r:id="rId4"/>
    <sheet name="Calculations" sheetId="1" r:id="rId5"/>
    <sheet name="Exposure Results" sheetId="14" r:id="rId6"/>
    <sheet name="Static Exposure Results" sheetId="19" r:id="rId7"/>
    <sheet name="Chemistry" sheetId="5" r:id="rId8"/>
    <sheet name="Products" sheetId="17" r:id="rId9"/>
    <sheet name="OES Lookups" sheetId="7" r:id="rId10"/>
  </sheets>
  <definedNames>
    <definedName name="_2017NEI_Nonpoint_TSCA_Chem_List">#REF!</definedName>
    <definedName name="_2017NEI_tsca_chemicals_wSCCdetail_Query">#REF!</definedName>
    <definedName name="_AtRisk_ReportsSetting_ReportGraphOptions" hidden="1">"REP:VER:8.10.1GRA:OUT:00INS:00SUM:T00DET:T00SCE:02SC1:33DAT:2|TRUE,.75,1|TRUE,0,.25|TRUE,.9,1SE1:38DAT:3,10,2,.95,5,16,FALSE,0,TRUE,TRUE,TRUESE2:38DAT:3,10,2,.95,5,16,FALSE,0,TRUE,TRUE,TRUETSI:002SDA:FF"</definedName>
    <definedName name="_AtRisk_ReportsSetting_ReportMulitSelections" hidden="1">"REP:VER:8.10.1MUL:OUT:T10INS:T11SUM:T10DET:T10SEN:T11SCE:T11TEM:FSDA:T10"</definedName>
    <definedName name="_AtRisk_ReportsSetting_ReportOptions" hidden="1">"REP:VER:8.10.1OPT:RAP:01RWE:02RLS:04ROT:00RST:00RRT:04AGR:FAFN:158DAT:C:\Users\ERGUSER\OneDrive - Eastern Research Group\Documents\_ExChems\Chlorinated Solvents\1,2-DCP\Dermal\Report-1,2-DCP Dermal Exposure Model_2026.05.05.xlsxOGR:T"</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DA"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localSheetId="7" hidden="1">0</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7" hidden="1">100</definedName>
    <definedName name="_AtRisk_SimSetting_ConvergenceTestingPeriod" localSheetId="0" hidden="1">100</definedName>
    <definedName name="_AtRisk_SimSetting_ConvergenceTestingPeriod" localSheetId="8" hidden="1">100</definedName>
    <definedName name="_AtRisk_SimSetting_ConvergenceTestingPeriod" hidden="1">10</definedName>
    <definedName name="_AtRisk_SimSetting_ConvergenceTolerance" localSheetId="7" hidden="1">0.03</definedName>
    <definedName name="_AtRisk_SimSetting_ConvergenceTolerance" localSheetId="0" hidden="1">0.03</definedName>
    <definedName name="_AtRisk_SimSetting_ConvergenceTolerance" localSheetId="8" hidden="1">0.03</definedName>
    <definedName name="_AtRisk_SimSetting_ConvergenceTolerance" hidden="1">0.01</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localSheetId="7" hidden="1">0</definedName>
    <definedName name="_AtRisk_SimSetting_MacroRecalculationBehavior" hidden="1">0</definedName>
    <definedName name="_AtRisk_SimSetting_MaxAutoIterations" hidden="1">50000</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0" hidden="1">1</definedName>
    <definedName name="_AtRisk_SimSetting_MultipleCPUMode"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15</definedName>
    <definedName name="_AtRisk_SimSetting_ReportOptionReportsFileType" hidden="1">1</definedName>
    <definedName name="_AtRisk_SimSetting_ReportOptionSelectiveQR" hidden="1">FALSE</definedName>
    <definedName name="_AtRisk_SimSetting_ReportsList" hidden="1">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7" hidden="1">1</definedName>
    <definedName name="_AtRisk_SimSetting_StdRecalcWithoutRiskStatic" localSheetId="8" hidden="1">1</definedName>
    <definedName name="_AtRisk_SimSetting_StdRecalcWithoutRiskStatic" hidden="1">0</definedName>
    <definedName name="_AtRisk_SimSetting_StdRecalcWithoutRiskStaticPercentile" hidden="1">0.5</definedName>
    <definedName name="_xlnm._FilterDatabase" localSheetId="4" hidden="1">Calculations!$B$2:$H$2</definedName>
    <definedName name="_xlnm._FilterDatabase" localSheetId="7" hidden="1">Chemistry!$A$1:$C$7</definedName>
    <definedName name="_xlnm._FilterDatabase" localSheetId="5" hidden="1">'Exposure Results'!$A$6:$M$8</definedName>
    <definedName name="_xlnm._FilterDatabase" localSheetId="2" hidden="1">Methodology!$A$2:$A$10</definedName>
    <definedName name="_xlnm._FilterDatabase" localSheetId="9" hidden="1">'OES Lookups'!$B$2:$C$3</definedName>
    <definedName name="_xlnm._FilterDatabase" localSheetId="3" hidden="1">Parameters!$C$4:$N$5</definedName>
    <definedName name="_xlnm._FilterDatabase" localSheetId="8" hidden="1">Products!$A$1:$G$10</definedName>
    <definedName name="_xlnm._FilterDatabase" localSheetId="1" hidden="1">ReadMe!$B$4:$C$4</definedName>
    <definedName name="_xlnm._FilterDatabase" localSheetId="6" hidden="1">'Static Exposure Results'!$A$6:$M$8</definedName>
    <definedName name="ARDavg1">Calculations!#REF!</definedName>
    <definedName name="ARDavg10">Calculations!$G$65</definedName>
    <definedName name="ARDavg11">Calculations!$G$75</definedName>
    <definedName name="ARDavg12">Calculations!$G$85</definedName>
    <definedName name="ARDavg2">Calculations!$G$5</definedName>
    <definedName name="ARDavg3">Calculations!$G$15</definedName>
    <definedName name="ARDavg4">Calculations!$G$25</definedName>
    <definedName name="ARDavg5">Calculations!$G$35</definedName>
    <definedName name="ARDavg6">Calculations!#REF!</definedName>
    <definedName name="ARDavg7">Calculations!#REF!</definedName>
    <definedName name="ARDavg8">Calculations!$G$45</definedName>
    <definedName name="ARDavg9">Calculations!$G$55</definedName>
    <definedName name="ARDfem1">Calculations!#REF!</definedName>
    <definedName name="ARDfem10">Calculations!$G$66</definedName>
    <definedName name="ARDfem11">Calculations!$G$76</definedName>
    <definedName name="ARDfem12">Calculations!$G$86</definedName>
    <definedName name="ARDfem2">Calculations!$G$6</definedName>
    <definedName name="ARDfem3">Calculations!$G$16</definedName>
    <definedName name="ARDfem4">Calculations!$G$26</definedName>
    <definedName name="ARDfem5">Calculations!$G$36</definedName>
    <definedName name="ARDfem6">Calculations!#REF!</definedName>
    <definedName name="ARDfem7">Calculations!#REF!</definedName>
    <definedName name="ARDfem8">Calculations!$G$46</definedName>
    <definedName name="ARDfem9">Calculations!$G$56</definedName>
    <definedName name="AT">#REF!</definedName>
    <definedName name="AT_50th_non_cancer">#REF!</definedName>
    <definedName name="AT_50th_non_cancer_DC">#REF!</definedName>
    <definedName name="AT_95th_non_cancer">#REF!</definedName>
    <definedName name="AT_95th_non_cancer_DC">#REF!</definedName>
    <definedName name="AT_AC">#REF!</definedName>
    <definedName name="AT_AC_DC">#REF!</definedName>
    <definedName name="AT_ADC_high">#REF!</definedName>
    <definedName name="AT_ADC_mid">#REF!</definedName>
    <definedName name="AT_cancer">#REF!</definedName>
    <definedName name="AT_cancer_DC">#REF!</definedName>
    <definedName name="AT_IT">Parameters!$E$39</definedName>
    <definedName name="AT_LADC">#REF!</definedName>
    <definedName name="AT_LCRD">Parameters!$E$40</definedName>
    <definedName name="AWD">#REF!</definedName>
    <definedName name="AWD_DC_50th">#REF!</definedName>
    <definedName name="AWD_DC_95th">#REF!</definedName>
    <definedName name="BWavg">Parameters!$M$10</definedName>
    <definedName name="BWfem">Parameters!$M$11</definedName>
    <definedName name="CASRN">#REF!</definedName>
    <definedName name="CRDavg1">Calculations!#REF!</definedName>
    <definedName name="CRDavg10">Calculations!$G$69</definedName>
    <definedName name="CRDavg11">Calculations!$G$79</definedName>
    <definedName name="CRDavg12">Calculations!$G$89</definedName>
    <definedName name="CRDavg2">Calculations!$G$9</definedName>
    <definedName name="CRDavg3">Calculations!$G$19</definedName>
    <definedName name="CRDavg4">Calculations!$G$29</definedName>
    <definedName name="CRDavg5">Calculations!$G$39</definedName>
    <definedName name="CRDavg6">Calculations!#REF!</definedName>
    <definedName name="CRDavg7">Calculations!#REF!</definedName>
    <definedName name="CRDavg8">Calculations!$G$49</definedName>
    <definedName name="CRDavg9">Calculations!$G$59</definedName>
    <definedName name="CRDfem1">Calculations!#REF!</definedName>
    <definedName name="CRDfem10">Calculations!$G$70</definedName>
    <definedName name="CRDfem11">Calculations!$G$80</definedName>
    <definedName name="CRDfem12">Calculations!$G$90</definedName>
    <definedName name="CRDfem2">Calculations!$G$10</definedName>
    <definedName name="CRDfem3">Calculations!$G$20</definedName>
    <definedName name="CRDfem4">Calculations!$G$30</definedName>
    <definedName name="CRDfem5">Calculations!$G$40</definedName>
    <definedName name="CRDfem6">Calculations!#REF!</definedName>
    <definedName name="CRDfem7">Calculations!#REF!</definedName>
    <definedName name="CRDfem8">Calculations!$G$50</definedName>
    <definedName name="CRDfem9">Calculations!$G$60</definedName>
    <definedName name="Density__kg_m3">#REF!</definedName>
    <definedName name="Drum_volume__L">#REF!</definedName>
    <definedName name="ED">#REF!</definedName>
    <definedName name="ED_AC">#REF!</definedName>
    <definedName name="ED_AC_DC">#REF!</definedName>
    <definedName name="ED_chronic">#REF!</definedName>
    <definedName name="ED_chronic_DC">#REF!</definedName>
    <definedName name="EF">#REF!</definedName>
    <definedName name="EF_1">Parameters!#REF!</definedName>
    <definedName name="EF_10">Parameters!$M$27</definedName>
    <definedName name="EF_11">Parameters!$M$28</definedName>
    <definedName name="EF_12">Parameters!$M$29</definedName>
    <definedName name="EF_2">Parameters!$M$21</definedName>
    <definedName name="EF_3">Parameters!$L$44</definedName>
    <definedName name="EF_4">Parameters!$M$23</definedName>
    <definedName name="EF_5">Parameters!$M$24</definedName>
    <definedName name="EF_6">Parameters!#REF!</definedName>
    <definedName name="EF_7">Parameters!#REF!</definedName>
    <definedName name="EF_9">Parameters!$M$26</definedName>
    <definedName name="EF_C">Parameters!$E$41</definedName>
    <definedName name="EF_IT">Parameters!$E$38</definedName>
    <definedName name="EG">#REF!</definedName>
    <definedName name="fabs_a">Parameters!$E$33</definedName>
    <definedName name="fabs_b">Parameters!$E$34</definedName>
    <definedName name="fabs_c">Parameters!$E$35</definedName>
    <definedName name="fabs_d">Parameters!$E$36</definedName>
    <definedName name="FT">Parameters!$E$37</definedName>
    <definedName name="IRDavg1">Calculations!#REF!</definedName>
    <definedName name="IRDavg10">Calculations!$G$67</definedName>
    <definedName name="IRDavg11">Calculations!$G$77</definedName>
    <definedName name="IRDavg12">Calculations!$G$87</definedName>
    <definedName name="IRDavg2">Calculations!$G$7</definedName>
    <definedName name="IRDavg3">Calculations!$G$17</definedName>
    <definedName name="IRDavg4">Calculations!$G$27</definedName>
    <definedName name="IRDavg5">Calculations!$G$37</definedName>
    <definedName name="IRDavg6">Calculations!#REF!</definedName>
    <definedName name="IRDavg7">Calculations!#REF!</definedName>
    <definedName name="IRDavg8">Calculations!$G$47</definedName>
    <definedName name="IRDavg9">Calculations!$G$57</definedName>
    <definedName name="IRDfem1">Calculations!#REF!</definedName>
    <definedName name="IRDfem10">Calculations!$G$68</definedName>
    <definedName name="IRDfem11">Calculations!$G$78</definedName>
    <definedName name="IRDfem12">Calculations!$G$88</definedName>
    <definedName name="IRDfem2">Calculations!$G$8</definedName>
    <definedName name="IRDfem3">Calculations!$G$18</definedName>
    <definedName name="IRDfem4">Calculations!$G$28</definedName>
    <definedName name="IRDfem5">Calculations!$G$38</definedName>
    <definedName name="IRDfem6">Calculations!#REF!</definedName>
    <definedName name="IRDfem7">Calculations!#REF!</definedName>
    <definedName name="IRDfem8">Calculations!$G$48</definedName>
    <definedName name="IRDfem9">Calculations!$G$58</definedName>
    <definedName name="LCRDavg1">Calculations!#REF!</definedName>
    <definedName name="LCRDavg10">Calculations!$G$71</definedName>
    <definedName name="LCRDavg11">Calculations!$G$81</definedName>
    <definedName name="LCRDavg12">Calculations!$G$91</definedName>
    <definedName name="LCRDavg2">Calculations!$G$11</definedName>
    <definedName name="LCRDavg3">Calculations!$G$21</definedName>
    <definedName name="LCRDavg4">Calculations!$G$31</definedName>
    <definedName name="LCRDavg5">Calculations!$G$41</definedName>
    <definedName name="LCRDavg6">Calculations!#REF!</definedName>
    <definedName name="LCRDavg7">Calculations!#REF!</definedName>
    <definedName name="LCRDavg8">Calculations!$G$51</definedName>
    <definedName name="LCRDavg9">Calculations!$G$61</definedName>
    <definedName name="LCRDfem1">Calculations!#REF!</definedName>
    <definedName name="LCRDfem10">Calculations!$G$72</definedName>
    <definedName name="LCRDfem11">Calculations!$G$82</definedName>
    <definedName name="LCRDfem12">Calculations!$G$92</definedName>
    <definedName name="LCRDfem2">Calculations!$G$12</definedName>
    <definedName name="LCRDfem3">Calculations!$G$22</definedName>
    <definedName name="LCRDfem4">Calculations!$G$32</definedName>
    <definedName name="LCRDfem5">Calculations!$G$42</definedName>
    <definedName name="LCRDfem6">Calculations!#REF!</definedName>
    <definedName name="LCRDfem7">Calculations!#REF!</definedName>
    <definedName name="LCRDfem8">Calculations!$G$52</definedName>
    <definedName name="LCRDfem9">Calculations!$G$62</definedName>
    <definedName name="Molecular_Weight__g_mol">#REF!</definedName>
    <definedName name="Pal_Workbook_GUID" localSheetId="0" hidden="1">"SK39RLEDQA2L46YW8H5SUKN3"</definedName>
    <definedName name="Pal_Workbook_GUID" localSheetId="5" hidden="1">"WJ6AM1BV9YV4DH5JIKE4SF1Z"</definedName>
    <definedName name="Pal_Workbook_GUID" localSheetId="9" hidden="1">"WJ6AM1BV9YV4DH5JIKE4SF1Z"</definedName>
    <definedName name="Pal_Workbook_GUID" localSheetId="1" hidden="1">"WJ6AM1BV9YV4DH5JIKE4SF1Z"</definedName>
    <definedName name="Pal_Workbook_GUID" localSheetId="6" hidden="1">"WJ6AM1BV9YV4DH5JIKE4SF1Z"</definedName>
    <definedName name="Pal_Workbook_GUID" hidden="1">"RRPSTTS2ULJVJC86SKVMXJ55"</definedName>
    <definedName name="PDRavg1">Calculations!#REF!</definedName>
    <definedName name="PDRavg10">Calculations!$G$63</definedName>
    <definedName name="PDRavg11">Calculations!$G$73</definedName>
    <definedName name="PDRavg12">Calculations!$G$83</definedName>
    <definedName name="PDRavg2">Calculations!$G$3</definedName>
    <definedName name="PDRavg3">Calculations!$G$13</definedName>
    <definedName name="PDRavg4">Calculations!$G$23</definedName>
    <definedName name="PDRavg5">Calculations!$G$33</definedName>
    <definedName name="PDRavg6">Calculations!#REF!</definedName>
    <definedName name="PDRavg7">Calculations!#REF!</definedName>
    <definedName name="PDRavg8">Calculations!$G$43</definedName>
    <definedName name="PDRavg9">Calculations!$G$53</definedName>
    <definedName name="PDRfem1">Calculations!#REF!</definedName>
    <definedName name="PDRfem10">Calculations!$G$64</definedName>
    <definedName name="PDRfem11">Calculations!$G$74</definedName>
    <definedName name="PDRfem12">Calculations!$G$84</definedName>
    <definedName name="PDRfem2">Calculations!$G$4</definedName>
    <definedName name="PDRfem3">Calculations!$G$14</definedName>
    <definedName name="PDRfem4">Calculations!$G$24</definedName>
    <definedName name="PDRfem5">Calculations!$G$34</definedName>
    <definedName name="PDRfem6">Calculations!#REF!</definedName>
    <definedName name="PDRfem7">Calculations!#REF!</definedName>
    <definedName name="PDRfem8">Calculations!$G$44</definedName>
    <definedName name="PDRfem9">Calculations!$G$54</definedName>
    <definedName name="Qu">Parameters!$M$8</definedName>
    <definedName name="R__J__K_mol">#REF!</definedName>
    <definedName name="RiskAfterRecalcMacro" localSheetId="7" hidden="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imulationResultsStorageLocation" hidden="1">"2"</definedName>
    <definedName name="RiskStandardRecalc" localSheetId="7" hidden="1">0</definedName>
    <definedName name="RiskStandardRecalc" localSheetId="8" hidden="1">0</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0" hidden="1">TRUE</definedName>
    <definedName name="RiskUseMultipleCPUs" hidden="1">FALSE</definedName>
    <definedName name="Savg">Parameters!$M$6</definedName>
    <definedName name="Sfem">Parameters!$M$7</definedName>
    <definedName name="VP_Pa">#REF!</definedName>
    <definedName name="what">#REF!</definedName>
    <definedName name="WY">Parameters!$M$9</definedName>
    <definedName name="WY_50th">#REF!</definedName>
    <definedName name="WY_50th_DC">#REF!</definedName>
    <definedName name="WY_95th">#REF!</definedName>
    <definedName name="WY_95th_DC">#REF!</definedName>
    <definedName name="WY_high">#REF!</definedName>
    <definedName name="WY_mid">#REF!</definedName>
    <definedName name="Yderm1">Parameters!#REF!</definedName>
    <definedName name="Yderm10">Parameters!$M$18</definedName>
    <definedName name="Yderm11">Parameters!$M$19</definedName>
    <definedName name="Yderm12">Parameters!$M$20</definedName>
    <definedName name="Yderm2">Parameters!$M$12</definedName>
    <definedName name="Yderm3">Parameters!$M$13</definedName>
    <definedName name="Yderm4">Parameters!$M$14</definedName>
    <definedName name="Yderm5">Parameters!$M$15</definedName>
    <definedName name="Yderm6">Parameters!$E$44</definedName>
    <definedName name="Yderm7">Parameters!#REF!</definedName>
    <definedName name="Yderm8">Parameters!$E$55</definedName>
    <definedName name="Yderm9">Parameters!$M$17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4" l="1" a="1"/>
  <c r="F62" i="4" s="1"/>
  <c r="F63" i="4" a="1"/>
  <c r="F63" i="4" s="1"/>
  <c r="F64" i="4" a="1"/>
  <c r="F64" i="4" s="1"/>
  <c r="F65" i="4" a="1"/>
  <c r="F65" i="4" s="1"/>
  <c r="F50" i="4" a="1"/>
  <c r="F50" i="4" s="1"/>
  <c r="F51" i="4" a="1"/>
  <c r="F51" i="4" s="1"/>
  <c r="F52" i="4" a="1"/>
  <c r="F52" i="4" s="1"/>
  <c r="E60" i="4"/>
  <c r="E59" i="4"/>
  <c r="E58" i="4"/>
  <c r="E57" i="4"/>
  <c r="E48" i="4"/>
  <c r="E47" i="4"/>
  <c r="E46" i="4"/>
  <c r="L48" i="4"/>
  <c r="L47" i="4"/>
  <c r="L46" i="4"/>
  <c r="B65" i="14"/>
  <c r="B58" i="14"/>
  <c r="B51" i="14"/>
  <c r="B44" i="14"/>
  <c r="B37" i="14"/>
  <c r="B30" i="14"/>
  <c r="B23" i="14"/>
  <c r="B16" i="14"/>
  <c r="B9" i="14"/>
  <c r="M28" i="4"/>
  <c r="M29" i="4"/>
  <c r="M27" i="4"/>
  <c r="M26" i="4"/>
  <c r="M24" i="4"/>
  <c r="M23" i="4"/>
  <c r="M21" i="4"/>
  <c r="M11" i="4"/>
  <c r="M10" i="4"/>
  <c r="C21" i="4"/>
  <c r="C22" i="4"/>
  <c r="C23" i="4"/>
  <c r="C24" i="4"/>
  <c r="C25" i="4"/>
  <c r="C26" i="4"/>
  <c r="C27" i="4"/>
  <c r="C28" i="4"/>
  <c r="C29" i="4"/>
  <c r="C20" i="4"/>
  <c r="C19" i="4"/>
  <c r="C17" i="4"/>
  <c r="C18" i="4"/>
  <c r="C12" i="4"/>
  <c r="C13" i="4"/>
  <c r="C14" i="4"/>
  <c r="C15" i="4"/>
  <c r="C16" i="4"/>
  <c r="L12" i="4" a="1"/>
  <c r="L14" i="4" a="1"/>
  <c r="L18" i="4" a="1"/>
  <c r="L9" i="4" a="1"/>
  <c r="L13" i="4" a="1"/>
  <c r="F57" i="4" a="1"/>
  <c r="L19" i="4" a="1"/>
  <c r="M46" i="4" a="1"/>
  <c r="L7" i="4" a="1"/>
  <c r="F46" i="4" a="1"/>
  <c r="L8" i="4" a="1"/>
  <c r="L20" i="4" a="1"/>
  <c r="L15" i="4" a="1"/>
  <c r="L6" i="4" a="1"/>
  <c r="L17" i="4" a="1"/>
  <c r="L17" i="4" l="1"/>
  <c r="M17" i="4" s="1"/>
  <c r="L6" i="4"/>
  <c r="M6" i="4" s="1"/>
  <c r="L15" i="4"/>
  <c r="M15" i="4" s="1"/>
  <c r="L20" i="4"/>
  <c r="M20" i="4" s="1"/>
  <c r="L8" i="4"/>
  <c r="M8" i="4" s="1"/>
  <c r="F46" i="4"/>
  <c r="E44" i="4" s="1" a="1"/>
  <c r="L7" i="4"/>
  <c r="M7" i="4" s="1"/>
  <c r="M46" i="4"/>
  <c r="L44" i="4" s="1" a="1"/>
  <c r="L19" i="4"/>
  <c r="M19" i="4" s="1"/>
  <c r="F57" i="4"/>
  <c r="E55" i="4" s="1" a="1"/>
  <c r="L13" i="4"/>
  <c r="M13" i="4" s="1"/>
  <c r="L9" i="4"/>
  <c r="M9" i="4" s="1"/>
  <c r="L18" i="4"/>
  <c r="M18" i="4" s="1"/>
  <c r="L14" i="4"/>
  <c r="M14" i="4" s="1"/>
  <c r="L12" i="4"/>
  <c r="M12" i="4" s="1"/>
  <c r="G54" i="1" l="1" a="1"/>
  <c r="G54" i="1" s="1"/>
  <c r="G56" i="1" s="1" a="1"/>
  <c r="G64" i="1" a="1"/>
  <c r="G64" i="1" s="1"/>
  <c r="G66" i="1" s="1" a="1"/>
  <c r="G74" i="1" a="1"/>
  <c r="G74" i="1" s="1"/>
  <c r="G76" i="1" s="1" a="1"/>
  <c r="G4" i="1" a="1"/>
  <c r="G4" i="1" s="1"/>
  <c r="G6" i="1" s="1" a="1"/>
  <c r="G14" i="1" a="1"/>
  <c r="G14" i="1" s="1"/>
  <c r="G16" i="1" s="1" a="1"/>
  <c r="G24" i="1" a="1"/>
  <c r="G24" i="1" s="1"/>
  <c r="G26" i="1" s="1" a="1"/>
  <c r="G84" i="1" a="1"/>
  <c r="G84" i="1" s="1"/>
  <c r="G86" i="1" s="1" a="1"/>
  <c r="G33" i="1" a="1"/>
  <c r="G33" i="1" s="1"/>
  <c r="G35" i="1" s="1" a="1"/>
  <c r="G23" i="1" a="1"/>
  <c r="G23" i="1" s="1"/>
  <c r="G25" i="1" s="1" a="1"/>
  <c r="G34" i="1" a="1"/>
  <c r="G34" i="1" s="1"/>
  <c r="G36" i="1" s="1" a="1"/>
  <c r="G13" i="1" a="1"/>
  <c r="G13" i="1" s="1"/>
  <c r="G15" i="1" s="1" a="1"/>
  <c r="G53" i="1" a="1"/>
  <c r="G53" i="1" s="1"/>
  <c r="G55" i="1" s="1" a="1"/>
  <c r="G73" i="1" a="1"/>
  <c r="G73" i="1" s="1"/>
  <c r="G75" i="1" s="1" a="1"/>
  <c r="G83" i="1" a="1"/>
  <c r="G83" i="1" s="1"/>
  <c r="G85" i="1" s="1" a="1"/>
  <c r="G3" i="1" a="1"/>
  <c r="G3" i="1" s="1"/>
  <c r="G5" i="1" s="1" a="1"/>
  <c r="G63" i="1" a="1"/>
  <c r="G63" i="1" s="1"/>
  <c r="G65" i="1" s="1" a="1"/>
  <c r="L44" i="4"/>
  <c r="E44" i="4"/>
  <c r="E55" i="4"/>
  <c r="G43" i="1" s="1" a="1"/>
  <c r="I54" i="14" a="1"/>
  <c r="I56" i="14" a="1"/>
  <c r="I55" i="14" a="1"/>
  <c r="I53" i="14" a="1"/>
  <c r="I51" i="14" a="1"/>
  <c r="I57" i="14" a="1"/>
  <c r="I52" i="14" a="1"/>
  <c r="I11" i="14" a="1"/>
  <c r="I15" i="14" a="1"/>
  <c r="I12" i="14" a="1"/>
  <c r="I14" i="14" a="1"/>
  <c r="I9" i="14" a="1"/>
  <c r="I13" i="14" a="1"/>
  <c r="I10" i="14" a="1"/>
  <c r="D50" i="14" a="1"/>
  <c r="D49" i="14" a="1"/>
  <c r="D45" i="14" a="1"/>
  <c r="D46" i="14" a="1"/>
  <c r="D44" i="14" a="1"/>
  <c r="D47" i="14" a="1"/>
  <c r="D48" i="14" a="1"/>
  <c r="I32" i="14" a="1"/>
  <c r="I34" i="14" a="1"/>
  <c r="I36" i="14" a="1"/>
  <c r="I33" i="14" a="1"/>
  <c r="I30" i="14" a="1"/>
  <c r="I31" i="14" a="1"/>
  <c r="I35" i="14" a="1"/>
  <c r="I66" i="14" a="1"/>
  <c r="I68" i="14" a="1"/>
  <c r="I69" i="14" a="1"/>
  <c r="I65" i="14" a="1"/>
  <c r="I71" i="14" a="1"/>
  <c r="I67" i="14" a="1"/>
  <c r="I70" i="14" a="1"/>
  <c r="D64" i="14" a="1"/>
  <c r="D60" i="14" a="1"/>
  <c r="D58" i="14" a="1"/>
  <c r="D61" i="14" a="1"/>
  <c r="D62" i="14" a="1"/>
  <c r="D63" i="14" a="1"/>
  <c r="D59" i="14" a="1"/>
  <c r="I62" i="14" a="1"/>
  <c r="I64" i="14" a="1"/>
  <c r="I60" i="14" a="1"/>
  <c r="I61" i="14" a="1"/>
  <c r="I59" i="14" a="1"/>
  <c r="I58" i="14" a="1"/>
  <c r="I63" i="14" a="1"/>
  <c r="D68" i="14" a="1"/>
  <c r="D65" i="14" a="1"/>
  <c r="D71" i="14" a="1"/>
  <c r="D66" i="14" a="1"/>
  <c r="D69" i="14" a="1"/>
  <c r="D70" i="14" a="1"/>
  <c r="D67" i="14" a="1"/>
  <c r="D15" i="14" a="1"/>
  <c r="D11" i="14" a="1"/>
  <c r="D13" i="14" a="1"/>
  <c r="D10" i="14" a="1"/>
  <c r="D14" i="14" a="1"/>
  <c r="D9" i="14" a="1"/>
  <c r="D12" i="14" a="1"/>
  <c r="I47" i="14" a="1"/>
  <c r="I50" i="14" a="1"/>
  <c r="I44" i="14" a="1"/>
  <c r="I45" i="14" a="1"/>
  <c r="I46" i="14" a="1"/>
  <c r="I49" i="14" a="1"/>
  <c r="I48" i="14" a="1"/>
  <c r="D54" i="14" a="1"/>
  <c r="D57" i="14" a="1"/>
  <c r="D53" i="14" a="1"/>
  <c r="D55" i="14" a="1"/>
  <c r="D56" i="14" a="1"/>
  <c r="D51" i="14" a="1"/>
  <c r="D52" i="14" a="1"/>
  <c r="I19" i="14" a="1"/>
  <c r="I18" i="14" a="1"/>
  <c r="I20" i="14" a="1"/>
  <c r="I17" i="14" a="1"/>
  <c r="I21" i="14" a="1"/>
  <c r="I22" i="14" a="1"/>
  <c r="I16" i="14" a="1"/>
  <c r="D30" i="14" a="1"/>
  <c r="D34" i="14" a="1"/>
  <c r="D36" i="14" a="1"/>
  <c r="D32" i="14" a="1"/>
  <c r="D33" i="14" a="1"/>
  <c r="D35" i="14" a="1"/>
  <c r="D31" i="14" a="1"/>
  <c r="D26" i="14" a="1"/>
  <c r="D25" i="14" a="1"/>
  <c r="D29" i="14" a="1"/>
  <c r="D23" i="14" a="1"/>
  <c r="D24" i="14" a="1"/>
  <c r="D27" i="14" a="1"/>
  <c r="D28" i="14" a="1"/>
  <c r="I29" i="14" a="1"/>
  <c r="I27" i="14" a="1"/>
  <c r="I24" i="14" a="1"/>
  <c r="I25" i="14" a="1"/>
  <c r="I26" i="14" a="1"/>
  <c r="I23" i="14" a="1"/>
  <c r="I28" i="14" a="1"/>
  <c r="D16" i="14" a="1"/>
  <c r="D20" i="14" a="1"/>
  <c r="D17" i="14" a="1"/>
  <c r="D18" i="14" a="1"/>
  <c r="D21" i="14" a="1"/>
  <c r="D19" i="14" a="1"/>
  <c r="D22" i="14" a="1"/>
  <c r="G44" i="1" l="1" a="1"/>
  <c r="G44" i="1" s="1"/>
  <c r="G46" i="1" s="1" a="1"/>
  <c r="D22" i="14"/>
  <c r="D19" i="14"/>
  <c r="G15" i="1"/>
  <c r="G19" i="1" s="1" a="1"/>
  <c r="D21" i="14"/>
  <c r="D18" i="14"/>
  <c r="D17" i="14"/>
  <c r="D20" i="14"/>
  <c r="D16" i="14"/>
  <c r="I28" i="14"/>
  <c r="I23" i="14"/>
  <c r="I26" i="14"/>
  <c r="I25" i="14"/>
  <c r="I24" i="14"/>
  <c r="G26" i="1"/>
  <c r="G32" i="1" s="1" a="1"/>
  <c r="I27" i="14"/>
  <c r="I29" i="14"/>
  <c r="D28" i="14"/>
  <c r="D27" i="14"/>
  <c r="D24" i="14"/>
  <c r="G25" i="1"/>
  <c r="G31" i="1" s="1" a="1"/>
  <c r="D23" i="14"/>
  <c r="D29" i="14"/>
  <c r="D25" i="14"/>
  <c r="D26" i="14"/>
  <c r="D31" i="14"/>
  <c r="D35" i="14"/>
  <c r="D33" i="14"/>
  <c r="D32" i="14"/>
  <c r="D36" i="14"/>
  <c r="D34" i="14"/>
  <c r="G35" i="1"/>
  <c r="G41" i="1" s="1" a="1"/>
  <c r="D30" i="14"/>
  <c r="I16" i="14"/>
  <c r="I22" i="14"/>
  <c r="G16" i="1"/>
  <c r="G20" i="1" s="1" a="1"/>
  <c r="I21" i="14"/>
  <c r="I17" i="14"/>
  <c r="I20" i="14"/>
  <c r="I18" i="14"/>
  <c r="I19" i="14"/>
  <c r="D52" i="14"/>
  <c r="D51" i="14"/>
  <c r="G65" i="1"/>
  <c r="G71" i="1" s="1" a="1"/>
  <c r="D56" i="14"/>
  <c r="D55" i="14"/>
  <c r="D53" i="14"/>
  <c r="D57" i="14"/>
  <c r="D54" i="14"/>
  <c r="G43" i="1"/>
  <c r="G45" i="1" s="1" a="1"/>
  <c r="I48" i="14"/>
  <c r="I49" i="14"/>
  <c r="I46" i="14"/>
  <c r="G56" i="1"/>
  <c r="G60" i="1" s="1" a="1"/>
  <c r="I45" i="14"/>
  <c r="I44" i="14"/>
  <c r="I50" i="14"/>
  <c r="I47" i="14"/>
  <c r="D12" i="14"/>
  <c r="D9" i="14"/>
  <c r="G5" i="1"/>
  <c r="G9" i="1" s="1" a="1"/>
  <c r="D14" i="14"/>
  <c r="D10" i="14"/>
  <c r="D13" i="14"/>
  <c r="D11" i="14"/>
  <c r="D15" i="14"/>
  <c r="D67" i="14"/>
  <c r="D70" i="14"/>
  <c r="D69" i="14"/>
  <c r="G85" i="1"/>
  <c r="G87" i="1" s="1" a="1"/>
  <c r="D66" i="14"/>
  <c r="D71" i="14"/>
  <c r="D65" i="14"/>
  <c r="D68" i="14"/>
  <c r="I63" i="14"/>
  <c r="I58" i="14"/>
  <c r="G76" i="1"/>
  <c r="G80" i="1" s="1" a="1"/>
  <c r="I59" i="14"/>
  <c r="I61" i="14"/>
  <c r="I60" i="14"/>
  <c r="I64" i="14"/>
  <c r="I62" i="14"/>
  <c r="G75" i="1"/>
  <c r="G79" i="1" s="1" a="1"/>
  <c r="D59" i="14"/>
  <c r="D63" i="14"/>
  <c r="D62" i="14"/>
  <c r="D61" i="14"/>
  <c r="D58" i="14"/>
  <c r="D60" i="14"/>
  <c r="D64" i="14"/>
  <c r="I70" i="14"/>
  <c r="I67" i="14"/>
  <c r="I71" i="14"/>
  <c r="I65" i="14"/>
  <c r="I69" i="14"/>
  <c r="I68" i="14"/>
  <c r="G86" i="1"/>
  <c r="G88" i="1" s="1" a="1"/>
  <c r="I66" i="14"/>
  <c r="I35" i="14"/>
  <c r="G36" i="1"/>
  <c r="G42" i="1" s="1" a="1"/>
  <c r="I31" i="14"/>
  <c r="I30" i="14"/>
  <c r="I33" i="14"/>
  <c r="I36" i="14"/>
  <c r="I34" i="14"/>
  <c r="I32" i="14"/>
  <c r="G55" i="1"/>
  <c r="G61" i="1" s="1" a="1"/>
  <c r="D48" i="14"/>
  <c r="D47" i="14"/>
  <c r="D44" i="14"/>
  <c r="D46" i="14"/>
  <c r="D45" i="14"/>
  <c r="D49" i="14"/>
  <c r="D50" i="14"/>
  <c r="I10" i="14"/>
  <c r="I13" i="14"/>
  <c r="G6" i="1"/>
  <c r="G8" i="1" s="1" a="1"/>
  <c r="I9" i="14"/>
  <c r="I14" i="14"/>
  <c r="I12" i="14"/>
  <c r="I15" i="14"/>
  <c r="I11" i="14"/>
  <c r="G66" i="1"/>
  <c r="G70" i="1" s="1" a="1"/>
  <c r="I52" i="14"/>
  <c r="I57" i="14"/>
  <c r="I51" i="14"/>
  <c r="I53" i="14"/>
  <c r="I55" i="14"/>
  <c r="I56" i="14"/>
  <c r="I54" i="14"/>
  <c r="D37" i="14" a="1"/>
  <c r="D40" i="14" a="1"/>
  <c r="D42" i="14" a="1"/>
  <c r="D38" i="14" a="1"/>
  <c r="D41" i="14" a="1"/>
  <c r="D39" i="14" a="1"/>
  <c r="D43" i="14" a="1"/>
  <c r="G18" i="1" a="1"/>
  <c r="J20" i="14" a="1"/>
  <c r="J17" i="14" a="1"/>
  <c r="J19" i="14" a="1"/>
  <c r="J22" i="14" a="1"/>
  <c r="J18" i="14" a="1"/>
  <c r="J21" i="14" a="1"/>
  <c r="J16" i="14" a="1"/>
  <c r="J9" i="14" a="1"/>
  <c r="J10" i="14" a="1"/>
  <c r="J13" i="14" a="1"/>
  <c r="J14" i="14" a="1"/>
  <c r="J11" i="14" a="1"/>
  <c r="J12" i="14" a="1"/>
  <c r="J15" i="14" a="1"/>
  <c r="I43" i="14" a="1"/>
  <c r="I38" i="14" a="1"/>
  <c r="I39" i="14" a="1"/>
  <c r="I41" i="14" a="1"/>
  <c r="I37" i="14" a="1"/>
  <c r="I40" i="14" a="1"/>
  <c r="I42" i="14" a="1"/>
  <c r="G17" i="1" a="1"/>
  <c r="E19" i="14" a="1"/>
  <c r="E20" i="14" a="1"/>
  <c r="E17" i="14" a="1"/>
  <c r="E21" i="14" a="1"/>
  <c r="E16" i="14" a="1"/>
  <c r="E22" i="14" a="1"/>
  <c r="E18" i="14" a="1"/>
  <c r="E52" i="14" a="1"/>
  <c r="E55" i="14" a="1"/>
  <c r="E54" i="14" a="1"/>
  <c r="E53" i="14" a="1"/>
  <c r="E57" i="14" a="1"/>
  <c r="E56" i="14" a="1"/>
  <c r="E51" i="14" a="1"/>
  <c r="J69" i="14" a="1"/>
  <c r="J67" i="14" a="1"/>
  <c r="J71" i="14" a="1"/>
  <c r="J65" i="14" a="1"/>
  <c r="J66" i="14" a="1"/>
  <c r="J68" i="14" a="1"/>
  <c r="J70" i="14" a="1"/>
  <c r="E25" i="14" a="1"/>
  <c r="E27" i="14" a="1"/>
  <c r="E26" i="14" a="1"/>
  <c r="E28" i="14" a="1"/>
  <c r="E29" i="14" a="1"/>
  <c r="E23" i="14" a="1"/>
  <c r="E24" i="14" a="1"/>
  <c r="E50" i="14" a="1"/>
  <c r="E46" i="14" a="1"/>
  <c r="E44" i="14" a="1"/>
  <c r="E45" i="14" a="1"/>
  <c r="E47" i="14" a="1"/>
  <c r="E48" i="14" a="1"/>
  <c r="E49" i="14" a="1"/>
  <c r="J53" i="14" a="1"/>
  <c r="J57" i="14" a="1"/>
  <c r="J55" i="14" a="1"/>
  <c r="J54" i="14" a="1"/>
  <c r="J52" i="14" a="1"/>
  <c r="J56" i="14" a="1"/>
  <c r="J51" i="14" a="1"/>
  <c r="J28" i="14" a="1"/>
  <c r="J25" i="14" a="1"/>
  <c r="J26" i="14" a="1"/>
  <c r="J23" i="14" a="1"/>
  <c r="J27" i="14" a="1"/>
  <c r="J29" i="14" a="1"/>
  <c r="J24" i="14" a="1"/>
  <c r="J45" i="14" a="1"/>
  <c r="J46" i="14" a="1"/>
  <c r="J50" i="14" a="1"/>
  <c r="J48" i="14" a="1"/>
  <c r="J49" i="14" a="1"/>
  <c r="J47" i="14" a="1"/>
  <c r="J44" i="14" a="1"/>
  <c r="E11" i="14" a="1"/>
  <c r="E9" i="14" a="1"/>
  <c r="E15" i="14" a="1"/>
  <c r="E10" i="14" a="1"/>
  <c r="E14" i="14" a="1"/>
  <c r="E12" i="14" a="1"/>
  <c r="E13" i="14" a="1"/>
  <c r="E62" i="14" a="1"/>
  <c r="E61" i="14" a="1"/>
  <c r="E59" i="14" a="1"/>
  <c r="E60" i="14" a="1"/>
  <c r="E64" i="14" a="1"/>
  <c r="E58" i="14" a="1"/>
  <c r="E63" i="14" a="1"/>
  <c r="E32" i="14" a="1"/>
  <c r="E31" i="14" a="1"/>
  <c r="E34" i="14" a="1"/>
  <c r="E30" i="14" a="1"/>
  <c r="E35" i="14" a="1"/>
  <c r="E33" i="14" a="1"/>
  <c r="E36" i="14" a="1"/>
  <c r="J61" i="14" a="1"/>
  <c r="J58" i="14" a="1"/>
  <c r="J63" i="14" a="1"/>
  <c r="J59" i="14" a="1"/>
  <c r="J62" i="14" a="1"/>
  <c r="J64" i="14" a="1"/>
  <c r="J60" i="14" a="1"/>
  <c r="J36" i="14" a="1"/>
  <c r="J31" i="14" a="1"/>
  <c r="J32" i="14" a="1"/>
  <c r="J34" i="14" a="1"/>
  <c r="J35" i="14" a="1"/>
  <c r="J30" i="14" a="1"/>
  <c r="J33" i="14" a="1"/>
  <c r="E66" i="14" a="1"/>
  <c r="E65" i="14" a="1"/>
  <c r="E71" i="14" a="1"/>
  <c r="E68" i="14" a="1"/>
  <c r="E69" i="14" a="1"/>
  <c r="E70" i="14" a="1"/>
  <c r="E67" i="14" a="1"/>
  <c r="G27" i="1" l="1" a="1"/>
  <c r="G27" i="1" s="1"/>
  <c r="G67" i="1" a="1"/>
  <c r="G67" i="1" s="1"/>
  <c r="G21" i="1" a="1"/>
  <c r="G21" i="1" s="1"/>
  <c r="G29" i="1" a="1"/>
  <c r="G29" i="1" s="1"/>
  <c r="G69" i="1" a="1"/>
  <c r="G69" i="1" s="1"/>
  <c r="G22" i="1" a="1"/>
  <c r="G22" i="1" s="1"/>
  <c r="G92" i="1" a="1"/>
  <c r="G92" i="1" s="1"/>
  <c r="G90" i="1" a="1"/>
  <c r="G90" i="1" s="1"/>
  <c r="G37" i="1" a="1"/>
  <c r="G37" i="1" s="1"/>
  <c r="G38" i="1" a="1"/>
  <c r="G38" i="1" s="1"/>
  <c r="G11" i="1" a="1"/>
  <c r="G11" i="1" s="1"/>
  <c r="G10" i="1" a="1"/>
  <c r="G10" i="1" s="1"/>
  <c r="G81" i="1" a="1"/>
  <c r="G81" i="1" s="1"/>
  <c r="G77" i="1" a="1"/>
  <c r="G77" i="1" s="1"/>
  <c r="G59" i="1" a="1"/>
  <c r="G59" i="1" s="1"/>
  <c r="G68" i="1" a="1"/>
  <c r="G68" i="1" s="1"/>
  <c r="G89" i="1" a="1"/>
  <c r="G89" i="1" s="1"/>
  <c r="G78" i="1" a="1"/>
  <c r="G78" i="1" s="1"/>
  <c r="G7" i="1" a="1"/>
  <c r="G7" i="1" s="1"/>
  <c r="G28" i="1" a="1"/>
  <c r="G28" i="1" s="1"/>
  <c r="G57" i="1" a="1"/>
  <c r="G57" i="1" s="1"/>
  <c r="G82" i="1" a="1"/>
  <c r="G82" i="1" s="1"/>
  <c r="G91" i="1" a="1"/>
  <c r="G91" i="1" s="1"/>
  <c r="G72" i="1" a="1"/>
  <c r="G72" i="1" s="1"/>
  <c r="G39" i="1" a="1"/>
  <c r="G39" i="1" s="1"/>
  <c r="G62" i="1" a="1"/>
  <c r="G62" i="1" s="1"/>
  <c r="G30" i="1" a="1"/>
  <c r="G30" i="1" s="1"/>
  <c r="G58" i="1" a="1"/>
  <c r="G58" i="1" s="1"/>
  <c r="G12" i="1" a="1"/>
  <c r="G12" i="1" s="1"/>
  <c r="G40" i="1" a="1"/>
  <c r="G40" i="1" s="1"/>
  <c r="E67" i="14"/>
  <c r="E70" i="14"/>
  <c r="E69" i="14"/>
  <c r="G87" i="1"/>
  <c r="E68" i="14"/>
  <c r="E71" i="14"/>
  <c r="E65" i="14"/>
  <c r="E66" i="14"/>
  <c r="J33" i="14"/>
  <c r="J30" i="14"/>
  <c r="J35" i="14"/>
  <c r="J34" i="14"/>
  <c r="J32" i="14"/>
  <c r="J31" i="14"/>
  <c r="G42" i="1"/>
  <c r="J36" i="14"/>
  <c r="G80" i="1"/>
  <c r="J60" i="14"/>
  <c r="J64" i="14"/>
  <c r="J62" i="14"/>
  <c r="J59" i="14"/>
  <c r="J63" i="14"/>
  <c r="J58" i="14"/>
  <c r="J61" i="14"/>
  <c r="G41" i="1"/>
  <c r="E36" i="14"/>
  <c r="E33" i="14"/>
  <c r="E35" i="14"/>
  <c r="E30" i="14"/>
  <c r="E34" i="14"/>
  <c r="E31" i="14"/>
  <c r="E32" i="14"/>
  <c r="E63" i="14"/>
  <c r="E58" i="14"/>
  <c r="E64" i="14"/>
  <c r="E60" i="14"/>
  <c r="E59" i="14"/>
  <c r="E61" i="14"/>
  <c r="E62" i="14"/>
  <c r="G79" i="1"/>
  <c r="E13" i="14"/>
  <c r="E12" i="14"/>
  <c r="E14" i="14"/>
  <c r="G9" i="1"/>
  <c r="E10" i="14"/>
  <c r="E15" i="14"/>
  <c r="E9" i="14"/>
  <c r="E11" i="14"/>
  <c r="J44" i="14"/>
  <c r="J47" i="14"/>
  <c r="J49" i="14"/>
  <c r="J48" i="14"/>
  <c r="G60" i="1"/>
  <c r="J50" i="14"/>
  <c r="J46" i="14"/>
  <c r="J45" i="14"/>
  <c r="J24" i="14"/>
  <c r="J29" i="14"/>
  <c r="J27" i="14"/>
  <c r="J23" i="14"/>
  <c r="J26" i="14"/>
  <c r="G32" i="1"/>
  <c r="J25" i="14"/>
  <c r="J28" i="14"/>
  <c r="G70" i="1"/>
  <c r="J51" i="14"/>
  <c r="J56" i="14"/>
  <c r="J52" i="14"/>
  <c r="J54" i="14"/>
  <c r="J55" i="14"/>
  <c r="J57" i="14"/>
  <c r="J53" i="14"/>
  <c r="E49" i="14"/>
  <c r="E48" i="14"/>
  <c r="E47" i="14"/>
  <c r="E45" i="14"/>
  <c r="G61" i="1"/>
  <c r="E44" i="14"/>
  <c r="E46" i="14"/>
  <c r="E50" i="14"/>
  <c r="E24" i="14"/>
  <c r="E23" i="14"/>
  <c r="E29" i="14"/>
  <c r="E28" i="14"/>
  <c r="E26" i="14"/>
  <c r="E27" i="14"/>
  <c r="E25" i="14"/>
  <c r="G31" i="1"/>
  <c r="G88" i="1"/>
  <c r="J70" i="14"/>
  <c r="J68" i="14"/>
  <c r="J66" i="14"/>
  <c r="J65" i="14"/>
  <c r="J71" i="14"/>
  <c r="J67" i="14"/>
  <c r="J69" i="14"/>
  <c r="E51" i="14"/>
  <c r="E56" i="14"/>
  <c r="E57" i="14"/>
  <c r="G71" i="1"/>
  <c r="E53" i="14"/>
  <c r="E54" i="14"/>
  <c r="E55" i="14"/>
  <c r="E52" i="14"/>
  <c r="E18" i="14"/>
  <c r="E22" i="14"/>
  <c r="G19" i="1"/>
  <c r="E16" i="14"/>
  <c r="E21" i="14"/>
  <c r="E17" i="14"/>
  <c r="E20" i="14"/>
  <c r="E19" i="14"/>
  <c r="G17" i="1"/>
  <c r="I42" i="14"/>
  <c r="I40" i="14"/>
  <c r="I37" i="14"/>
  <c r="I41" i="14"/>
  <c r="I39" i="14"/>
  <c r="G46" i="1"/>
  <c r="G52" i="1" s="1" a="1"/>
  <c r="I38" i="14"/>
  <c r="I43" i="14"/>
  <c r="J15" i="14"/>
  <c r="J12" i="14"/>
  <c r="J11" i="14"/>
  <c r="J14" i="14"/>
  <c r="J13" i="14"/>
  <c r="J10" i="14"/>
  <c r="G8" i="1"/>
  <c r="J9" i="14"/>
  <c r="J16" i="14"/>
  <c r="J21" i="14"/>
  <c r="G20" i="1"/>
  <c r="J18" i="14"/>
  <c r="J22" i="14"/>
  <c r="J19" i="14"/>
  <c r="J17" i="14"/>
  <c r="J20" i="14"/>
  <c r="G18" i="1"/>
  <c r="G45" i="1"/>
  <c r="G49" i="1" s="1" a="1"/>
  <c r="D43" i="14"/>
  <c r="D39" i="14"/>
  <c r="D41" i="14"/>
  <c r="D38" i="14"/>
  <c r="D42" i="14"/>
  <c r="D40" i="14"/>
  <c r="D37" i="14"/>
  <c r="F34" i="14" a="1"/>
  <c r="F31" i="14" a="1"/>
  <c r="F32" i="14" a="1"/>
  <c r="F30" i="14" a="1"/>
  <c r="F33" i="14" a="1"/>
  <c r="F35" i="14" a="1"/>
  <c r="F36" i="14" a="1"/>
  <c r="H63" i="14" a="1"/>
  <c r="H59" i="14" a="1"/>
  <c r="H58" i="14" a="1"/>
  <c r="H60" i="14" a="1"/>
  <c r="H61" i="14" a="1"/>
  <c r="H64" i="14" a="1"/>
  <c r="H62" i="14" a="1"/>
  <c r="L52" i="14" a="1"/>
  <c r="L54" i="14" a="1"/>
  <c r="L55" i="14" a="1"/>
  <c r="L56" i="14" a="1"/>
  <c r="L53" i="14" a="1"/>
  <c r="L57" i="14" a="1"/>
  <c r="L51" i="14" a="1"/>
  <c r="H44" i="14" a="1"/>
  <c r="H50" i="14" a="1"/>
  <c r="H48" i="14" a="1"/>
  <c r="H49" i="14" a="1"/>
  <c r="H45" i="14" a="1"/>
  <c r="H47" i="14" a="1"/>
  <c r="H46" i="14" a="1"/>
  <c r="F28" i="14" a="1"/>
  <c r="F29" i="14" a="1"/>
  <c r="F27" i="14" a="1"/>
  <c r="F23" i="14" a="1"/>
  <c r="F24" i="14" a="1"/>
  <c r="F26" i="14" a="1"/>
  <c r="F25" i="14" a="1"/>
  <c r="K15" i="14" a="1"/>
  <c r="K11" i="14" a="1"/>
  <c r="K12" i="14" a="1"/>
  <c r="K10" i="14" a="1"/>
  <c r="K14" i="14" a="1"/>
  <c r="K13" i="14" a="1"/>
  <c r="K9" i="14" a="1"/>
  <c r="K51" i="14" a="1"/>
  <c r="K55" i="14" a="1"/>
  <c r="K52" i="14" a="1"/>
  <c r="K56" i="14" a="1"/>
  <c r="K53" i="14" a="1"/>
  <c r="K57" i="14" a="1"/>
  <c r="K54" i="14" a="1"/>
  <c r="L14" i="14" a="1"/>
  <c r="L13" i="14" a="1"/>
  <c r="L15" i="14" a="1"/>
  <c r="L10" i="14" a="1"/>
  <c r="L9" i="14" a="1"/>
  <c r="L11" i="14" a="1"/>
  <c r="L12" i="14" a="1"/>
  <c r="G48" i="1" a="1"/>
  <c r="J41" i="14" a="1"/>
  <c r="J42" i="14" a="1"/>
  <c r="J38" i="14" a="1"/>
  <c r="J37" i="14" a="1"/>
  <c r="J39" i="14" a="1"/>
  <c r="J43" i="14" a="1"/>
  <c r="J40" i="14" a="1"/>
  <c r="G47" i="1" a="1"/>
  <c r="E39" i="14" a="1"/>
  <c r="E43" i="14" a="1"/>
  <c r="E41" i="14" a="1"/>
  <c r="E42" i="14" a="1"/>
  <c r="E37" i="14" a="1"/>
  <c r="E38" i="14" a="1"/>
  <c r="E40" i="14" a="1"/>
  <c r="G69" i="14" a="1"/>
  <c r="G68" i="14" a="1"/>
  <c r="G70" i="14" a="1"/>
  <c r="G65" i="14" a="1"/>
  <c r="G66" i="14" a="1"/>
  <c r="G71" i="14" a="1"/>
  <c r="G67" i="14" a="1"/>
  <c r="L32" i="14" a="1"/>
  <c r="L35" i="14" a="1"/>
  <c r="L33" i="14" a="1"/>
  <c r="L34" i="14" a="1"/>
  <c r="L30" i="14" a="1"/>
  <c r="L36" i="14" a="1"/>
  <c r="L31" i="14" a="1"/>
  <c r="F63" i="14" a="1"/>
  <c r="F59" i="14" a="1"/>
  <c r="F60" i="14" a="1"/>
  <c r="F64" i="14" a="1"/>
  <c r="F58" i="14" a="1"/>
  <c r="F61" i="14" a="1"/>
  <c r="F62" i="14" a="1"/>
  <c r="G60" i="14" a="1"/>
  <c r="G62" i="14" a="1"/>
  <c r="G61" i="14" a="1"/>
  <c r="G63" i="14" a="1"/>
  <c r="G64" i="14" a="1"/>
  <c r="G59" i="14" a="1"/>
  <c r="G58" i="14" a="1"/>
  <c r="H12" i="14" a="1"/>
  <c r="H15" i="14" a="1"/>
  <c r="H9" i="14" a="1"/>
  <c r="H10" i="14" a="1"/>
  <c r="H14" i="14" a="1"/>
  <c r="H11" i="14" a="1"/>
  <c r="H13" i="14" a="1"/>
  <c r="F52" i="14" a="1"/>
  <c r="F55" i="14" a="1"/>
  <c r="F53" i="14" a="1"/>
  <c r="F54" i="14" a="1"/>
  <c r="F57" i="14" a="1"/>
  <c r="F56" i="14" a="1"/>
  <c r="F51" i="14" a="1"/>
  <c r="H67" i="14" a="1"/>
  <c r="H69" i="14" a="1"/>
  <c r="H70" i="14" a="1"/>
  <c r="H68" i="14" a="1"/>
  <c r="H65" i="14" a="1"/>
  <c r="H71" i="14" a="1"/>
  <c r="H66" i="14" a="1"/>
  <c r="M30" i="14" a="1"/>
  <c r="M36" i="14" a="1"/>
  <c r="M34" i="14" a="1"/>
  <c r="M32" i="14" a="1"/>
  <c r="M31" i="14" a="1"/>
  <c r="M35" i="14" a="1"/>
  <c r="M33" i="14" a="1"/>
  <c r="M58" i="14" a="1"/>
  <c r="M62" i="14" a="1"/>
  <c r="M63" i="14" a="1"/>
  <c r="M64" i="14" a="1"/>
  <c r="M59" i="14" a="1"/>
  <c r="M60" i="14" a="1"/>
  <c r="M61" i="14" a="1"/>
  <c r="L46" i="14" a="1"/>
  <c r="L45" i="14" a="1"/>
  <c r="L49" i="14" a="1"/>
  <c r="L44" i="14" a="1"/>
  <c r="L47" i="14" a="1"/>
  <c r="L48" i="14" a="1"/>
  <c r="L50" i="14" a="1"/>
  <c r="M17" i="14" a="1"/>
  <c r="M19" i="14" a="1"/>
  <c r="M18" i="14" a="1"/>
  <c r="M20" i="14" a="1"/>
  <c r="M21" i="14" a="1"/>
  <c r="M16" i="14" a="1"/>
  <c r="M22" i="14" a="1"/>
  <c r="K64" i="14" a="1"/>
  <c r="K58" i="14" a="1"/>
  <c r="K59" i="14" a="1"/>
  <c r="K61" i="14" a="1"/>
  <c r="K60" i="14" a="1"/>
  <c r="K62" i="14" a="1"/>
  <c r="K63" i="14" a="1"/>
  <c r="F10" i="14" a="1"/>
  <c r="F12" i="14" a="1"/>
  <c r="F11" i="14" a="1"/>
  <c r="F9" i="14" a="1"/>
  <c r="F14" i="14" a="1"/>
  <c r="F13" i="14" a="1"/>
  <c r="F15" i="14" a="1"/>
  <c r="G50" i="14" a="1"/>
  <c r="G49" i="14" a="1"/>
  <c r="G48" i="14" a="1"/>
  <c r="G46" i="14" a="1"/>
  <c r="G47" i="14" a="1"/>
  <c r="G44" i="14" a="1"/>
  <c r="G45" i="14" a="1"/>
  <c r="H53" i="14" a="1"/>
  <c r="H52" i="14" a="1"/>
  <c r="H56" i="14" a="1"/>
  <c r="H51" i="14" a="1"/>
  <c r="H54" i="14" a="1"/>
  <c r="H55" i="14" a="1"/>
  <c r="H57" i="14" a="1"/>
  <c r="G10" i="14" a="1"/>
  <c r="G12" i="14" a="1"/>
  <c r="G15" i="14" a="1"/>
  <c r="G11" i="14" a="1"/>
  <c r="G14" i="14" a="1"/>
  <c r="G9" i="14" a="1"/>
  <c r="G13" i="14" a="1"/>
  <c r="K19" i="14" a="1"/>
  <c r="K16" i="14" a="1"/>
  <c r="K20" i="14" a="1"/>
  <c r="K18" i="14" a="1"/>
  <c r="K17" i="14" a="1"/>
  <c r="K22" i="14" a="1"/>
  <c r="K21" i="14" a="1"/>
  <c r="K28" i="14" a="1"/>
  <c r="K25" i="14" a="1"/>
  <c r="K24" i="14" a="1"/>
  <c r="K23" i="14" a="1"/>
  <c r="K27" i="14" a="1"/>
  <c r="K29" i="14" a="1"/>
  <c r="K26" i="14" a="1"/>
  <c r="G22" i="14" a="1"/>
  <c r="G21" i="14" a="1"/>
  <c r="G17" i="14" a="1"/>
  <c r="G19" i="14" a="1"/>
  <c r="G18" i="14" a="1"/>
  <c r="G20" i="14" a="1"/>
  <c r="G16" i="14" a="1"/>
  <c r="F65" i="14" a="1"/>
  <c r="F68" i="14" a="1"/>
  <c r="F69" i="14" a="1"/>
  <c r="F70" i="14" a="1"/>
  <c r="F66" i="14" a="1"/>
  <c r="F71" i="14" a="1"/>
  <c r="F67" i="14" a="1"/>
  <c r="L63" i="14" a="1"/>
  <c r="L58" i="14" a="1"/>
  <c r="L59" i="14" a="1"/>
  <c r="L60" i="14" a="1"/>
  <c r="L64" i="14" a="1"/>
  <c r="L61" i="14" a="1"/>
  <c r="L62" i="14" a="1"/>
  <c r="K50" i="14" a="1"/>
  <c r="K49" i="14" a="1"/>
  <c r="K46" i="14" a="1"/>
  <c r="K48" i="14" a="1"/>
  <c r="K44" i="14" a="1"/>
  <c r="K45" i="14" a="1"/>
  <c r="K47" i="14" a="1"/>
  <c r="M25" i="14" a="1"/>
  <c r="M27" i="14" a="1"/>
  <c r="M23" i="14" a="1"/>
  <c r="M26" i="14" a="1"/>
  <c r="M28" i="14" a="1"/>
  <c r="M24" i="14" a="1"/>
  <c r="M29" i="14" a="1"/>
  <c r="M66" i="14" a="1"/>
  <c r="M67" i="14" a="1"/>
  <c r="M68" i="14" a="1"/>
  <c r="M69" i="14" a="1"/>
  <c r="M65" i="14" a="1"/>
  <c r="M70" i="14" a="1"/>
  <c r="M71" i="14" a="1"/>
  <c r="G57" i="14" a="1"/>
  <c r="G52" i="14" a="1"/>
  <c r="G55" i="14" a="1"/>
  <c r="G51" i="14" a="1"/>
  <c r="G53" i="14" a="1"/>
  <c r="G56" i="14" a="1"/>
  <c r="G54" i="14" a="1"/>
  <c r="H18" i="14" a="1"/>
  <c r="H20" i="14" a="1"/>
  <c r="H22" i="14" a="1"/>
  <c r="H17" i="14" a="1"/>
  <c r="H21" i="14" a="1"/>
  <c r="H16" i="14" a="1"/>
  <c r="H19" i="14" a="1"/>
  <c r="M9" i="14" a="1"/>
  <c r="M14" i="14" a="1"/>
  <c r="M12" i="14" a="1"/>
  <c r="M11" i="14" a="1"/>
  <c r="M13" i="14" a="1"/>
  <c r="M10" i="14" a="1"/>
  <c r="M15" i="14" a="1"/>
  <c r="K33" i="14" a="1"/>
  <c r="K31" i="14" a="1"/>
  <c r="K34" i="14" a="1"/>
  <c r="K36" i="14" a="1"/>
  <c r="K35" i="14" a="1"/>
  <c r="K32" i="14" a="1"/>
  <c r="K30" i="14" a="1"/>
  <c r="G30" i="14" a="1"/>
  <c r="G36" i="14" a="1"/>
  <c r="G35" i="14" a="1"/>
  <c r="G32" i="14" a="1"/>
  <c r="G33" i="14" a="1"/>
  <c r="G34" i="14" a="1"/>
  <c r="G31" i="14" a="1"/>
  <c r="G29" i="14" a="1"/>
  <c r="G26" i="14" a="1"/>
  <c r="G24" i="14" a="1"/>
  <c r="G27" i="14" a="1"/>
  <c r="G23" i="14" a="1"/>
  <c r="G28" i="14" a="1"/>
  <c r="G25" i="14" a="1"/>
  <c r="H25" i="14" a="1"/>
  <c r="H23" i="14" a="1"/>
  <c r="H24" i="14" a="1"/>
  <c r="H27" i="14" a="1"/>
  <c r="H28" i="14" a="1"/>
  <c r="H26" i="14" a="1"/>
  <c r="H29" i="14" a="1"/>
  <c r="L66" i="14" a="1"/>
  <c r="L70" i="14" a="1"/>
  <c r="L65" i="14" a="1"/>
  <c r="L71" i="14" a="1"/>
  <c r="L67" i="14" a="1"/>
  <c r="L68" i="14" a="1"/>
  <c r="L69" i="14" a="1"/>
  <c r="F22" i="14" a="1"/>
  <c r="F16" i="14" a="1"/>
  <c r="F18" i="14" a="1"/>
  <c r="F17" i="14" a="1"/>
  <c r="F19" i="14" a="1"/>
  <c r="F21" i="14" a="1"/>
  <c r="F20" i="14" a="1"/>
  <c r="H31" i="14" a="1"/>
  <c r="H33" i="14" a="1"/>
  <c r="H35" i="14" a="1"/>
  <c r="H34" i="14" a="1"/>
  <c r="H36" i="14" a="1"/>
  <c r="H32" i="14" a="1"/>
  <c r="H30" i="14" a="1"/>
  <c r="M49" i="14" a="1"/>
  <c r="M48" i="14" a="1"/>
  <c r="M47" i="14" a="1"/>
  <c r="M44" i="14" a="1"/>
  <c r="M50" i="14" a="1"/>
  <c r="M45" i="14" a="1"/>
  <c r="M46" i="14" a="1"/>
  <c r="F47" i="14" a="1"/>
  <c r="F50" i="14" a="1"/>
  <c r="F44" i="14" a="1"/>
  <c r="F49" i="14" a="1"/>
  <c r="F48" i="14" a="1"/>
  <c r="F45" i="14" a="1"/>
  <c r="F46" i="14" a="1"/>
  <c r="K66" i="14" a="1"/>
  <c r="K68" i="14" a="1"/>
  <c r="K70" i="14" a="1"/>
  <c r="K67" i="14" a="1"/>
  <c r="K69" i="14" a="1"/>
  <c r="K71" i="14" a="1"/>
  <c r="K65" i="14" a="1"/>
  <c r="L24" i="14" a="1"/>
  <c r="L27" i="14" a="1"/>
  <c r="L23" i="14" a="1"/>
  <c r="L25" i="14" a="1"/>
  <c r="L26" i="14" a="1"/>
  <c r="L28" i="14" a="1"/>
  <c r="L29" i="14" a="1"/>
  <c r="M52" i="14" a="1"/>
  <c r="M51" i="14" a="1"/>
  <c r="M57" i="14" a="1"/>
  <c r="M56" i="14" a="1"/>
  <c r="M54" i="14" a="1"/>
  <c r="M55" i="14" a="1"/>
  <c r="M53" i="14" a="1"/>
  <c r="L16" i="14" a="1"/>
  <c r="L18" i="14" a="1"/>
  <c r="L19" i="14" a="1"/>
  <c r="L17" i="14" a="1"/>
  <c r="L20" i="14" a="1"/>
  <c r="L22" i="14" a="1"/>
  <c r="L21" i="14" a="1"/>
  <c r="G50" i="1" l="1" a="1"/>
  <c r="G50" i="1" s="1"/>
  <c r="G51" i="1" a="1"/>
  <c r="G51" i="1" s="1"/>
  <c r="L21" i="14"/>
  <c r="L22" i="14"/>
  <c r="L20" i="14"/>
  <c r="L17" i="14"/>
  <c r="L19" i="14"/>
  <c r="L18" i="14"/>
  <c r="L16" i="14"/>
  <c r="M53" i="14"/>
  <c r="M55" i="14"/>
  <c r="M54" i="14"/>
  <c r="M56" i="14"/>
  <c r="M57" i="14"/>
  <c r="M51" i="14"/>
  <c r="M52" i="14"/>
  <c r="L29" i="14"/>
  <c r="L28" i="14"/>
  <c r="L26" i="14"/>
  <c r="L25" i="14"/>
  <c r="L23" i="14"/>
  <c r="L27" i="14"/>
  <c r="L24" i="14"/>
  <c r="K65" i="14"/>
  <c r="K71" i="14"/>
  <c r="K69" i="14"/>
  <c r="K67" i="14"/>
  <c r="K70" i="14"/>
  <c r="K68" i="14"/>
  <c r="K66" i="14"/>
  <c r="F46" i="14"/>
  <c r="F45" i="14"/>
  <c r="F48" i="14"/>
  <c r="F49" i="14"/>
  <c r="F44" i="14"/>
  <c r="F50" i="14"/>
  <c r="F47" i="14"/>
  <c r="M46" i="14"/>
  <c r="M45" i="14"/>
  <c r="M50" i="14"/>
  <c r="M44" i="14"/>
  <c r="M47" i="14"/>
  <c r="M48" i="14"/>
  <c r="M49" i="14"/>
  <c r="H30" i="14"/>
  <c r="H32" i="14"/>
  <c r="H36" i="14"/>
  <c r="H34" i="14"/>
  <c r="H35" i="14"/>
  <c r="H33" i="14"/>
  <c r="H31" i="14"/>
  <c r="F20" i="14"/>
  <c r="F21" i="14"/>
  <c r="F19" i="14"/>
  <c r="F17" i="14"/>
  <c r="F18" i="14"/>
  <c r="F16" i="14"/>
  <c r="F22" i="14"/>
  <c r="L69" i="14"/>
  <c r="L68" i="14"/>
  <c r="L67" i="14"/>
  <c r="L71" i="14"/>
  <c r="L65" i="14"/>
  <c r="L70" i="14"/>
  <c r="L66" i="14"/>
  <c r="H29" i="14"/>
  <c r="H26" i="14"/>
  <c r="H28" i="14"/>
  <c r="H27" i="14"/>
  <c r="H24" i="14"/>
  <c r="H23" i="14"/>
  <c r="H25" i="14"/>
  <c r="G25" i="14"/>
  <c r="G28" i="14"/>
  <c r="G23" i="14"/>
  <c r="G27" i="14"/>
  <c r="G24" i="14"/>
  <c r="G26" i="14"/>
  <c r="G29" i="14"/>
  <c r="G31" i="14"/>
  <c r="G34" i="14"/>
  <c r="G33" i="14"/>
  <c r="G32" i="14"/>
  <c r="G35" i="14"/>
  <c r="G36" i="14"/>
  <c r="G30" i="14"/>
  <c r="K30" i="14"/>
  <c r="K32" i="14"/>
  <c r="K35" i="14"/>
  <c r="K36" i="14"/>
  <c r="K34" i="14"/>
  <c r="K31" i="14"/>
  <c r="K33" i="14"/>
  <c r="M15" i="14"/>
  <c r="M10" i="14"/>
  <c r="M13" i="14"/>
  <c r="M11" i="14"/>
  <c r="M12" i="14"/>
  <c r="M14" i="14"/>
  <c r="M9" i="14"/>
  <c r="H19" i="14"/>
  <c r="H16" i="14"/>
  <c r="H21" i="14"/>
  <c r="H17" i="14"/>
  <c r="H22" i="14"/>
  <c r="H20" i="14"/>
  <c r="H18" i="14"/>
  <c r="G54" i="14"/>
  <c r="G56" i="14"/>
  <c r="G53" i="14"/>
  <c r="G51" i="14"/>
  <c r="G55" i="14"/>
  <c r="G52" i="14"/>
  <c r="G57" i="14"/>
  <c r="M71" i="14"/>
  <c r="M70" i="14"/>
  <c r="M65" i="14"/>
  <c r="M69" i="14"/>
  <c r="M68" i="14"/>
  <c r="M67" i="14"/>
  <c r="M66" i="14"/>
  <c r="M29" i="14"/>
  <c r="M24" i="14"/>
  <c r="M28" i="14"/>
  <c r="M26" i="14"/>
  <c r="M23" i="14"/>
  <c r="M27" i="14"/>
  <c r="M25" i="14"/>
  <c r="K47" i="14"/>
  <c r="K45" i="14"/>
  <c r="K44" i="14"/>
  <c r="K48" i="14"/>
  <c r="K46" i="14"/>
  <c r="K49" i="14"/>
  <c r="K50" i="14"/>
  <c r="L62" i="14"/>
  <c r="L61" i="14"/>
  <c r="L64" i="14"/>
  <c r="L60" i="14"/>
  <c r="L59" i="14"/>
  <c r="L58" i="14"/>
  <c r="L63" i="14"/>
  <c r="F67" i="14"/>
  <c r="F71" i="14"/>
  <c r="F66" i="14"/>
  <c r="F70" i="14"/>
  <c r="F69" i="14"/>
  <c r="F68" i="14"/>
  <c r="F65" i="14"/>
  <c r="G16" i="14"/>
  <c r="G20" i="14"/>
  <c r="G18" i="14"/>
  <c r="G19" i="14"/>
  <c r="G17" i="14"/>
  <c r="G21" i="14"/>
  <c r="G22" i="14"/>
  <c r="K26" i="14"/>
  <c r="K29" i="14"/>
  <c r="K27" i="14"/>
  <c r="K23" i="14"/>
  <c r="K24" i="14"/>
  <c r="K25" i="14"/>
  <c r="K28" i="14"/>
  <c r="K21" i="14"/>
  <c r="K22" i="14"/>
  <c r="K17" i="14"/>
  <c r="K18" i="14"/>
  <c r="K20" i="14"/>
  <c r="K16" i="14"/>
  <c r="K19" i="14"/>
  <c r="G13" i="14"/>
  <c r="G9" i="14"/>
  <c r="G14" i="14"/>
  <c r="G11" i="14"/>
  <c r="G15" i="14"/>
  <c r="G12" i="14"/>
  <c r="G10" i="14"/>
  <c r="H57" i="14"/>
  <c r="H55" i="14"/>
  <c r="H54" i="14"/>
  <c r="H51" i="14"/>
  <c r="H56" i="14"/>
  <c r="H52" i="14"/>
  <c r="H53" i="14"/>
  <c r="G45" i="14"/>
  <c r="G44" i="14"/>
  <c r="G47" i="14"/>
  <c r="G46" i="14"/>
  <c r="G48" i="14"/>
  <c r="G49" i="14"/>
  <c r="G50" i="14"/>
  <c r="F15" i="14"/>
  <c r="F13" i="14"/>
  <c r="F14" i="14"/>
  <c r="F9" i="14"/>
  <c r="F11" i="14"/>
  <c r="F12" i="14"/>
  <c r="F10" i="14"/>
  <c r="K63" i="14"/>
  <c r="K62" i="14"/>
  <c r="K60" i="14"/>
  <c r="K61" i="14"/>
  <c r="K59" i="14"/>
  <c r="K58" i="14"/>
  <c r="K64" i="14"/>
  <c r="M22" i="14"/>
  <c r="M16" i="14"/>
  <c r="M21" i="14"/>
  <c r="M20" i="14"/>
  <c r="M18" i="14"/>
  <c r="M19" i="14"/>
  <c r="M17" i="14"/>
  <c r="L50" i="14"/>
  <c r="L48" i="14"/>
  <c r="L47" i="14"/>
  <c r="L44" i="14"/>
  <c r="L49" i="14"/>
  <c r="L45" i="14"/>
  <c r="L46" i="14"/>
  <c r="M61" i="14"/>
  <c r="M60" i="14"/>
  <c r="M59" i="14"/>
  <c r="M64" i="14"/>
  <c r="M63" i="14"/>
  <c r="M62" i="14"/>
  <c r="M58" i="14"/>
  <c r="M33" i="14"/>
  <c r="M35" i="14"/>
  <c r="M31" i="14"/>
  <c r="M32" i="14"/>
  <c r="M34" i="14"/>
  <c r="M36" i="14"/>
  <c r="M30" i="14"/>
  <c r="H66" i="14"/>
  <c r="H71" i="14"/>
  <c r="H65" i="14"/>
  <c r="H68" i="14"/>
  <c r="H70" i="14"/>
  <c r="H69" i="14"/>
  <c r="H67" i="14"/>
  <c r="F51" i="14"/>
  <c r="F56" i="14"/>
  <c r="F57" i="14"/>
  <c r="F54" i="14"/>
  <c r="F53" i="14"/>
  <c r="F55" i="14"/>
  <c r="F52" i="14"/>
  <c r="H13" i="14"/>
  <c r="H11" i="14"/>
  <c r="H14" i="14"/>
  <c r="H10" i="14"/>
  <c r="H9" i="14"/>
  <c r="H15" i="14"/>
  <c r="H12" i="14"/>
  <c r="G58" i="14"/>
  <c r="G59" i="14"/>
  <c r="G64" i="14"/>
  <c r="G63" i="14"/>
  <c r="G61" i="14"/>
  <c r="G62" i="14"/>
  <c r="G60" i="14"/>
  <c r="F62" i="14"/>
  <c r="F61" i="14"/>
  <c r="F58" i="14"/>
  <c r="F64" i="14"/>
  <c r="F60" i="14"/>
  <c r="F59" i="14"/>
  <c r="F63" i="14"/>
  <c r="L31" i="14"/>
  <c r="L36" i="14"/>
  <c r="L30" i="14"/>
  <c r="L34" i="14"/>
  <c r="L33" i="14"/>
  <c r="L35" i="14"/>
  <c r="L32" i="14"/>
  <c r="G67" i="14"/>
  <c r="G71" i="14"/>
  <c r="G66" i="14"/>
  <c r="G65" i="14"/>
  <c r="G70" i="14"/>
  <c r="G68" i="14"/>
  <c r="G69" i="14"/>
  <c r="E40" i="14"/>
  <c r="E38" i="14"/>
  <c r="E37" i="14"/>
  <c r="E42" i="14"/>
  <c r="E41" i="14"/>
  <c r="G49" i="1"/>
  <c r="E43" i="14"/>
  <c r="E39" i="14"/>
  <c r="G47" i="1"/>
  <c r="J40" i="14"/>
  <c r="J43" i="14"/>
  <c r="J39" i="14"/>
  <c r="G52" i="1"/>
  <c r="J37" i="14"/>
  <c r="J38" i="14"/>
  <c r="J42" i="14"/>
  <c r="J41" i="14"/>
  <c r="G48" i="1"/>
  <c r="L12" i="14"/>
  <c r="L11" i="14"/>
  <c r="L9" i="14"/>
  <c r="L10" i="14"/>
  <c r="L15" i="14"/>
  <c r="L13" i="14"/>
  <c r="L14" i="14"/>
  <c r="K54" i="14"/>
  <c r="K57" i="14"/>
  <c r="K53" i="14"/>
  <c r="K56" i="14"/>
  <c r="K52" i="14"/>
  <c r="K55" i="14"/>
  <c r="K51" i="14"/>
  <c r="K9" i="14"/>
  <c r="K13" i="14"/>
  <c r="K14" i="14"/>
  <c r="K10" i="14"/>
  <c r="K12" i="14"/>
  <c r="K11" i="14"/>
  <c r="K15" i="14"/>
  <c r="F25" i="14"/>
  <c r="F26" i="14"/>
  <c r="F24" i="14"/>
  <c r="F23" i="14"/>
  <c r="F27" i="14"/>
  <c r="F29" i="14"/>
  <c r="F28" i="14"/>
  <c r="H46" i="14"/>
  <c r="H47" i="14"/>
  <c r="H45" i="14"/>
  <c r="H49" i="14"/>
  <c r="H48" i="14"/>
  <c r="H50" i="14"/>
  <c r="H44" i="14"/>
  <c r="L51" i="14"/>
  <c r="L57" i="14"/>
  <c r="L53" i="14"/>
  <c r="L56" i="14"/>
  <c r="L55" i="14"/>
  <c r="L54" i="14"/>
  <c r="L52" i="14"/>
  <c r="H62" i="14"/>
  <c r="H64" i="14"/>
  <c r="H61" i="14"/>
  <c r="H60" i="14"/>
  <c r="H58" i="14"/>
  <c r="H59" i="14"/>
  <c r="H63" i="14"/>
  <c r="F36" i="14"/>
  <c r="F35" i="14"/>
  <c r="F33" i="14"/>
  <c r="F30" i="14"/>
  <c r="F32" i="14"/>
  <c r="F31" i="14"/>
  <c r="F34" i="14"/>
  <c r="M39" i="14" a="1"/>
  <c r="M38" i="14" a="1"/>
  <c r="M41" i="14" a="1"/>
  <c r="M42" i="14" a="1"/>
  <c r="M37" i="14" a="1"/>
  <c r="M40" i="14" a="1"/>
  <c r="M43" i="14" a="1"/>
  <c r="G37" i="14" a="1"/>
  <c r="G41" i="14" a="1"/>
  <c r="G38" i="14" a="1"/>
  <c r="G40" i="14" a="1"/>
  <c r="G43" i="14" a="1"/>
  <c r="G39" i="14" a="1"/>
  <c r="G42" i="14" a="1"/>
  <c r="F41" i="14" a="1"/>
  <c r="F42" i="14" a="1"/>
  <c r="F40" i="14" a="1"/>
  <c r="F39" i="14" a="1"/>
  <c r="F37" i="14" a="1"/>
  <c r="F38" i="14" a="1"/>
  <c r="F43" i="14" a="1"/>
  <c r="L43" i="14" a="1"/>
  <c r="L38" i="14" a="1"/>
  <c r="L39" i="14" a="1"/>
  <c r="L42" i="14" a="1"/>
  <c r="L40" i="14" a="1"/>
  <c r="L37" i="14" a="1"/>
  <c r="L41" i="14" a="1"/>
  <c r="K37" i="14" a="1"/>
  <c r="K43" i="14" a="1"/>
  <c r="K39" i="14" a="1"/>
  <c r="K42" i="14" a="1"/>
  <c r="K40" i="14" a="1"/>
  <c r="K41" i="14" a="1"/>
  <c r="K38" i="14" a="1"/>
  <c r="H41" i="14" a="1"/>
  <c r="H37" i="14" a="1"/>
  <c r="H42" i="14" a="1"/>
  <c r="H40" i="14" a="1"/>
  <c r="H39" i="14" a="1"/>
  <c r="H43" i="14" a="1"/>
  <c r="H38" i="14" a="1"/>
  <c r="H38" i="14" l="1"/>
  <c r="H43" i="14"/>
  <c r="H39" i="14"/>
  <c r="H40" i="14"/>
  <c r="H42" i="14"/>
  <c r="H37" i="14"/>
  <c r="H41" i="14"/>
  <c r="K38" i="14"/>
  <c r="K41" i="14"/>
  <c r="K40" i="14"/>
  <c r="K42" i="14"/>
  <c r="K39" i="14"/>
  <c r="K43" i="14"/>
  <c r="K37" i="14"/>
  <c r="L41" i="14"/>
  <c r="L37" i="14"/>
  <c r="L40" i="14"/>
  <c r="L42" i="14"/>
  <c r="L39" i="14"/>
  <c r="L38" i="14"/>
  <c r="L43" i="14"/>
  <c r="F43" i="14"/>
  <c r="F38" i="14"/>
  <c r="F37" i="14"/>
  <c r="F39" i="14"/>
  <c r="F40" i="14"/>
  <c r="F42" i="14"/>
  <c r="F41" i="14"/>
  <c r="G42" i="14"/>
  <c r="G39" i="14"/>
  <c r="G43" i="14"/>
  <c r="G40" i="14"/>
  <c r="G38" i="14"/>
  <c r="G41" i="14"/>
  <c r="G37" i="14"/>
  <c r="M43" i="14"/>
  <c r="M40" i="14"/>
  <c r="M37" i="14"/>
  <c r="M42" i="14"/>
  <c r="M41" i="14"/>
  <c r="M38" i="14"/>
  <c r="M39"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<sst xmlns="http://schemas.openxmlformats.org/spreadsheetml/2006/main" count="1075" uniqueCount="267">
  <si>
    <t>Table of Contents</t>
  </si>
  <si>
    <t>Worksheet</t>
  </si>
  <si>
    <t>Description</t>
  </si>
  <si>
    <t>ReadMe (this worksheet)</t>
  </si>
  <si>
    <t>Provides instructions to the user on the use of this spreadsheet</t>
  </si>
  <si>
    <t>Methodology</t>
  </si>
  <si>
    <t>Outlines the rationale for selecting the Dermal Exposure to Volatile Liquids Model and the IF-Statement approach for the fraction absorbed parameter.</t>
  </si>
  <si>
    <t>Parameters</t>
  </si>
  <si>
    <t xml:space="preserve">Provides a list of proposed parameters for the Dermal Exposure to Volatile Liquids Model. </t>
  </si>
  <si>
    <t>Calculations</t>
  </si>
  <si>
    <t xml:space="preserve">Performs the dermal exposure calculations for each OES. This worksheet contains @Risk formulas to capture results during a Monte Carlo simulation iteration. </t>
  </si>
  <si>
    <t>Exposure Results</t>
  </si>
  <si>
    <t>Provides the release results for the dermal exposure Monte Carlo simulation. Certain cells will appear with the "#NAME?" error indicator if a user does not have the program @Risk. The user must not alter this worksheet.</t>
  </si>
  <si>
    <t>Static Exposure Results</t>
  </si>
  <si>
    <t>Provides the static release results from running the dermal exposure simulation with the specified parameters. @Risk not needed to view this worksheet.</t>
  </si>
  <si>
    <t>Chemistry</t>
  </si>
  <si>
    <t>Products</t>
  </si>
  <si>
    <t>Provides a list of identified products containing 1,2-dichloropropane</t>
  </si>
  <si>
    <t>OES Lookups</t>
  </si>
  <si>
    <t>Provides a list of 1,2-dichloropropane OESs for the dermal exposure assessment.</t>
  </si>
  <si>
    <t>Rationale for Selecting the Dermal Exposure to Volatile Liquids (DEVL) model (as opposed to the flux-based approach)</t>
  </si>
  <si>
    <r>
      <t>The DEVL model is a fractional absorption approach. The key factor in choosing between the flux-based and fraction-absorbed approach is whether the applied dose of chemical on the skin is expected to deplete during the exposure period. If it does deplete, the fraction-absorbed approach is used. If not, the flux-based approach is more appropriate. 
For volatile chemicals in occupational settings (where the max applied dose assessed is 2.1 mg/cm</t>
    </r>
    <r>
      <rPr>
        <vertAlign val="superscript"/>
        <sz val="11"/>
        <color theme="1"/>
        <rFont val="Aptos Narrow"/>
        <family val="2"/>
        <scheme val="minor"/>
      </rPr>
      <t>2</t>
    </r>
    <r>
      <rPr>
        <sz val="11"/>
        <color theme="1"/>
        <rFont val="Aptos Narrow"/>
        <family val="2"/>
        <scheme val="minor"/>
      </rPr>
      <t xml:space="preserve">), the general assumption is that the dose will deplete before the end of the workday due to both skin absorption and evaporation. In contrast, for non-volatile chemicals, depletion is entirely dependent on the rate of absorption into the skin. 
</t>
    </r>
  </si>
  <si>
    <t>Varied Fraction Absorbed Approach</t>
  </si>
  <si>
    <t>Due to the  wide range of product concentrations for 1,2-DCP, the model will use IF statements that assign a fraction absorbed based on concentration:
Conc &gt;=90%: use neat value of 1.8% frac absorbed
Conc 21-89%: use 1.6% (50% in HHN value)
Conc 10-20%: use 1.1% (10% in HHN value)
Conc &lt;10%: use 1.2% (1% in HHN value)
The fraction absorbed values are from an OECD 428 report submission to EPA Test Order for 1,2-Dichloropropane.</t>
  </si>
  <si>
    <t>This approach may result in applying more than one fraction absorbed value within a single OES. For example, the 1,2-DCP concentration range for the waste handling OES is 0.02-100%. Based on our IF-statement structure, concentrations from  1-10% will use a frac absorbed of 1.2%, concentrations from 10-20% use 1.1%, concentrations from 21-89% use 1.6%, and concentrations from 90-100% use 1.8%.</t>
  </si>
  <si>
    <t>Turn Monte Carlo On or Off</t>
  </si>
  <si>
    <t>On</t>
  </si>
  <si>
    <t>Input Parameter</t>
  </si>
  <si>
    <t>Symbol</t>
  </si>
  <si>
    <t>Unit</t>
  </si>
  <si>
    <t>Deterministic Values</t>
  </si>
  <si>
    <t>Uncertainty Analysis Distribution Parameters</t>
  </si>
  <si>
    <t>Distribution Type</t>
  </si>
  <si>
    <t>@Risk Formulas</t>
  </si>
  <si>
    <t>Selected Value (Deterministic or @Risk Formula)</t>
  </si>
  <si>
    <t>Notes/Comments</t>
  </si>
  <si>
    <t>On/Off Drop Down</t>
  </si>
  <si>
    <t>Value</t>
  </si>
  <si>
    <t>Basis</t>
  </si>
  <si>
    <t>Lower Bound</t>
  </si>
  <si>
    <t>Upper Bound</t>
  </si>
  <si>
    <t>Mode</t>
  </si>
  <si>
    <t>Exposed Skin Surface Area - Average Adult Workers</t>
  </si>
  <si>
    <r>
      <t>S</t>
    </r>
    <r>
      <rPr>
        <vertAlign val="subscript"/>
        <sz val="11"/>
        <color theme="1"/>
        <rFont val="Aptos Narrow"/>
        <family val="2"/>
        <scheme val="minor"/>
      </rPr>
      <t>avg</t>
    </r>
  </si>
  <si>
    <r>
      <t>cm</t>
    </r>
    <r>
      <rPr>
        <vertAlign val="superscript"/>
        <sz val="11"/>
        <color theme="1"/>
        <rFont val="Aptos Narrow"/>
        <family val="2"/>
        <scheme val="minor"/>
      </rPr>
      <t>2</t>
    </r>
  </si>
  <si>
    <t>Maximum</t>
  </si>
  <si>
    <t>-</t>
  </si>
  <si>
    <t>Uniform</t>
  </si>
  <si>
    <t>Average Adult Workers: EPA’s Exposure Factor Handbook (EFH) mean hand surface area for adult males 21 years and older.
Females of reproductive age: EFH mean hand surface area for adult females 21 years and older.
It should be noted that while the surface area of exposed skin is derived from data for hand surface area, the assumption is not that only the workers hands may be exposed to the chemical. Nor is the assumption that the entirety of the hands is exposed for all activities. Rather, EPA assumes that dermal exposures occur to some portion of the hands plus some portion of other body parts (e.g., arms) such that the total exposed surface area is approximately equal to the surface area of one to two hands. 
Incorporating a uniform distribution of the range of hand surface areas from no-hands to two-hands assumes the worker will at a maximum be exposed to a surface area equal to two hands, and that all surface area values in between and including these values are equally likely to occur. It is unknown how this assumption compares to actual occupational exposure scenarios.</t>
  </si>
  <si>
    <t>Off</t>
  </si>
  <si>
    <t>Exposed Skin Surface Area - Females of Reproductive Age</t>
  </si>
  <si>
    <r>
      <t>S</t>
    </r>
    <r>
      <rPr>
        <vertAlign val="subscript"/>
        <sz val="11"/>
        <color theme="1"/>
        <rFont val="Aptos Narrow"/>
        <family val="2"/>
        <scheme val="minor"/>
      </rPr>
      <t>fem</t>
    </r>
  </si>
  <si>
    <t>Quantity of Chemical on Skin</t>
  </si>
  <si>
    <r>
      <t>Q</t>
    </r>
    <r>
      <rPr>
        <vertAlign val="subscript"/>
        <sz val="11"/>
        <color theme="1"/>
        <rFont val="Aptos Narrow"/>
        <family val="2"/>
        <scheme val="minor"/>
      </rPr>
      <t>u</t>
    </r>
  </si>
  <si>
    <r>
      <t>mg/cm</t>
    </r>
    <r>
      <rPr>
        <vertAlign val="superscript"/>
        <sz val="11"/>
        <color theme="1"/>
        <rFont val="Aptos Narrow"/>
        <family val="2"/>
        <scheme val="minor"/>
      </rPr>
      <t>2</t>
    </r>
    <r>
      <rPr>
        <sz val="11"/>
        <color theme="1"/>
        <rFont val="Aptos Narrow"/>
        <family val="2"/>
        <scheme val="minor"/>
      </rPr>
      <t>-event</t>
    </r>
  </si>
  <si>
    <t>The range of dermal loads is derived from Cinalli, 1992. The underlying distribution and its relationship to occupational exposure scenarios is unknown; therefore, a uniform distribution across the entire range of dermal loads is assumed.
Note: 1,2-dichloropropane only considers liquid contact and no other dermal load scenarios (e.g., liquid immersion or solids); therefore, only the distribution for liquid contact is provided above.</t>
  </si>
  <si>
    <t>Working Years</t>
  </si>
  <si>
    <t>WY</t>
  </si>
  <si>
    <t>yr</t>
  </si>
  <si>
    <t>Triangular</t>
  </si>
  <si>
    <t>Tenure data from the Bureau of Labor Statistics (BLS) and Census Bureau’s Survey of Income and Program Participation (SIPP).</t>
  </si>
  <si>
    <t>Body Weight - Average Adult Workers</t>
  </si>
  <si>
    <r>
      <t>BW</t>
    </r>
    <r>
      <rPr>
        <vertAlign val="subscript"/>
        <sz val="11"/>
        <color theme="1"/>
        <rFont val="Aptos Narrow"/>
        <family val="2"/>
        <scheme val="minor"/>
      </rPr>
      <t>avg</t>
    </r>
  </si>
  <si>
    <t>kg</t>
  </si>
  <si>
    <t>Single Value</t>
  </si>
  <si>
    <t>Static</t>
  </si>
  <si>
    <t>EPA's Exposure Factors Handbook</t>
  </si>
  <si>
    <t>Body Weight - Females of Reproductive Age</t>
  </si>
  <si>
    <r>
      <t>BW</t>
    </r>
    <r>
      <rPr>
        <vertAlign val="subscript"/>
        <sz val="11"/>
        <color theme="1"/>
        <rFont val="Aptos Narrow"/>
        <family val="2"/>
        <scheme val="minor"/>
      </rPr>
      <t>fem</t>
    </r>
  </si>
  <si>
    <t>unitless</t>
  </si>
  <si>
    <t>OES2</t>
  </si>
  <si>
    <r>
      <t>Y</t>
    </r>
    <r>
      <rPr>
        <vertAlign val="subscript"/>
        <sz val="11"/>
        <color theme="1"/>
        <rFont val="Aptos Narrow"/>
        <family val="2"/>
        <scheme val="minor"/>
      </rPr>
      <t>derm, 2</t>
    </r>
  </si>
  <si>
    <t xml:space="preserve">Based on data from 2024 and 2020 CDR reporting concentrations of 90+%. Manufacturers in CDR were identified as Manufacturing as a byproduct facilities based on information submitted by PDC Consortium in response to EPA Test Order. </t>
  </si>
  <si>
    <t>OES3</t>
  </si>
  <si>
    <r>
      <t>Y</t>
    </r>
    <r>
      <rPr>
        <vertAlign val="subscript"/>
        <sz val="11"/>
        <color theme="1"/>
        <rFont val="Aptos Narrow"/>
        <family val="2"/>
        <scheme val="minor"/>
      </rPr>
      <t>derm, 3</t>
    </r>
    <r>
      <rPr>
        <sz val="11"/>
        <color theme="1"/>
        <rFont val="Aptos Narrow"/>
        <family val="2"/>
        <scheme val="minor"/>
      </rPr>
      <t/>
    </r>
  </si>
  <si>
    <t xml:space="preserve">Based on 2020 CDR manufacturing and import reported concentration data. According to CDR, 1,2-DCP is imported and repackaged for intermediate use. </t>
  </si>
  <si>
    <t>OES4</t>
  </si>
  <si>
    <r>
      <t>Y</t>
    </r>
    <r>
      <rPr>
        <vertAlign val="subscript"/>
        <sz val="11"/>
        <color theme="1"/>
        <rFont val="Aptos Narrow"/>
        <family val="2"/>
        <scheme val="minor"/>
      </rPr>
      <t>derm, 4</t>
    </r>
    <r>
      <rPr>
        <sz val="11"/>
        <color theme="1"/>
        <rFont val="Aptos Narrow"/>
        <family val="2"/>
        <scheme val="minor"/>
      </rPr>
      <t/>
    </r>
  </si>
  <si>
    <t>OES5</t>
  </si>
  <si>
    <r>
      <t>Y</t>
    </r>
    <r>
      <rPr>
        <vertAlign val="subscript"/>
        <sz val="11"/>
        <color theme="1"/>
        <rFont val="Aptos Narrow"/>
        <family val="2"/>
        <scheme val="minor"/>
      </rPr>
      <t>derm, 5</t>
    </r>
    <r>
      <rPr>
        <sz val="11"/>
        <color theme="1"/>
        <rFont val="Aptos Narrow"/>
        <family val="2"/>
        <scheme val="minor"/>
      </rPr>
      <t/>
    </r>
  </si>
  <si>
    <t>Discrete</t>
  </si>
  <si>
    <t>OES8</t>
  </si>
  <si>
    <r>
      <t>Y</t>
    </r>
    <r>
      <rPr>
        <vertAlign val="subscript"/>
        <sz val="11"/>
        <color theme="1"/>
        <rFont val="Aptos Narrow"/>
        <family val="2"/>
        <scheme val="minor"/>
      </rPr>
      <t>derm, 8</t>
    </r>
    <r>
      <rPr>
        <sz val="11"/>
        <color theme="1"/>
        <rFont val="Aptos Narrow"/>
        <family val="2"/>
        <scheme val="minor"/>
      </rPr>
      <t/>
    </r>
  </si>
  <si>
    <t>See cells C61 through F71</t>
  </si>
  <si>
    <t>Product safety data sheets for laboratory chemicals containing 1,2-DCP (80-100%, 0.1-1%, 0.2%, 0.02%)</t>
  </si>
  <si>
    <t>OES9</t>
  </si>
  <si>
    <r>
      <t>Y</t>
    </r>
    <r>
      <rPr>
        <vertAlign val="subscript"/>
        <sz val="11"/>
        <color theme="1"/>
        <rFont val="Aptos Narrow"/>
        <family val="2"/>
        <scheme val="minor"/>
      </rPr>
      <t>derm, 9</t>
    </r>
    <r>
      <rPr>
        <sz val="11"/>
        <color theme="1"/>
        <rFont val="Aptos Narrow"/>
        <family val="2"/>
        <scheme val="minor"/>
      </rPr>
      <t/>
    </r>
  </si>
  <si>
    <t>Based on range of upstream concentrations (0.02-100%)</t>
  </si>
  <si>
    <t>OES10</t>
  </si>
  <si>
    <r>
      <t>Y</t>
    </r>
    <r>
      <rPr>
        <vertAlign val="subscript"/>
        <sz val="11"/>
        <color theme="1"/>
        <rFont val="Aptos Narrow"/>
        <family val="2"/>
        <scheme val="minor"/>
      </rPr>
      <t>derm, 10</t>
    </r>
    <r>
      <rPr>
        <sz val="11"/>
        <color theme="1"/>
        <rFont val="Aptos Narrow"/>
        <family val="2"/>
        <scheme val="minor"/>
      </rPr>
      <t/>
    </r>
  </si>
  <si>
    <t>OES11</t>
  </si>
  <si>
    <r>
      <t>Y</t>
    </r>
    <r>
      <rPr>
        <vertAlign val="subscript"/>
        <sz val="11"/>
        <color theme="1"/>
        <rFont val="Aptos Narrow"/>
        <family val="2"/>
        <scheme val="minor"/>
      </rPr>
      <t>derm, 11</t>
    </r>
    <r>
      <rPr>
        <sz val="11"/>
        <color theme="1"/>
        <rFont val="Aptos Narrow"/>
        <family val="2"/>
        <scheme val="minor"/>
      </rPr>
      <t/>
    </r>
  </si>
  <si>
    <t>OES12</t>
  </si>
  <si>
    <r>
      <t>Y</t>
    </r>
    <r>
      <rPr>
        <vertAlign val="subscript"/>
        <sz val="11"/>
        <color theme="1"/>
        <rFont val="Aptos Narrow"/>
        <family val="2"/>
        <scheme val="minor"/>
      </rPr>
      <t>derm, 12</t>
    </r>
    <r>
      <rPr>
        <sz val="11"/>
        <color theme="1"/>
        <rFont val="Aptos Narrow"/>
        <family val="2"/>
        <scheme val="minor"/>
      </rPr>
      <t/>
    </r>
  </si>
  <si>
    <t>days/yr</t>
  </si>
  <si>
    <t>Assumed 250 days/yr based on typical worker schedule</t>
  </si>
  <si>
    <t>EF2</t>
  </si>
  <si>
    <t>EF3</t>
  </si>
  <si>
    <t>See cells H50 through M59</t>
  </si>
  <si>
    <t xml:space="preserve">Provided by the Chemical Repackaging Generic Scenario. Obtained by multiplying the number of operating days (174-260 days/year) by the fraction of operating days with worker exposure (0.962 exposure days/operating days). Value will be selected from cell L50 for the simulation.  </t>
  </si>
  <si>
    <t>EF4</t>
  </si>
  <si>
    <t>EF5</t>
  </si>
  <si>
    <t>EF8</t>
  </si>
  <si>
    <t xml:space="preserve">Provided by the Use of Laboratory Chemicals Generic Scenario. Obtained by multiplying the number of operating days (174-260 days/year) by the fraction of operating days with worker exposure (0.962 exposure days/operating days). Value will be selected from cell L50 for the simulation.  </t>
  </si>
  <si>
    <t>EF9</t>
  </si>
  <si>
    <t>EF10</t>
  </si>
  <si>
    <t>EF11</t>
  </si>
  <si>
    <t>EF12</t>
  </si>
  <si>
    <t>Constants and Unit Conversions</t>
  </si>
  <si>
    <t>Fraction absorbed</t>
  </si>
  <si>
    <r>
      <t>f</t>
    </r>
    <r>
      <rPr>
        <vertAlign val="subscript"/>
        <sz val="11"/>
        <color theme="1"/>
        <rFont val="Aptos Narrow"/>
        <family val="2"/>
        <scheme val="minor"/>
      </rPr>
      <t>abs_a</t>
    </r>
  </si>
  <si>
    <t xml:space="preserve">Due to the  wide range of product concentrations for 1,2-DCP, the model will use IF statements that assign a fraction absorbed based on concentration:
Conc &gt;=90%: use neat value of 1.8% frac absorbed
Conc 21-89%: use 1.6% (50% in HHN value)
Conc 10-20%: use 1.1% (10% in HHN value)
Conc &lt;10%: use 1.2% (1% in HHN value)
</t>
  </si>
  <si>
    <r>
      <t>f</t>
    </r>
    <r>
      <rPr>
        <vertAlign val="subscript"/>
        <sz val="11"/>
        <color theme="1"/>
        <rFont val="Aptos Narrow"/>
        <family val="2"/>
        <scheme val="minor"/>
      </rPr>
      <t>abs_b</t>
    </r>
  </si>
  <si>
    <r>
      <t>f</t>
    </r>
    <r>
      <rPr>
        <vertAlign val="subscript"/>
        <sz val="11"/>
        <color theme="1"/>
        <rFont val="Aptos Narrow"/>
        <family val="2"/>
        <scheme val="minor"/>
      </rPr>
      <t>abs_c</t>
    </r>
  </si>
  <si>
    <r>
      <t>f</t>
    </r>
    <r>
      <rPr>
        <vertAlign val="subscript"/>
        <sz val="11"/>
        <color theme="1"/>
        <rFont val="Aptos Narrow"/>
        <family val="2"/>
        <scheme val="minor"/>
      </rPr>
      <t>abs_d</t>
    </r>
  </si>
  <si>
    <t>Frequency of events</t>
  </si>
  <si>
    <t>FT</t>
  </si>
  <si>
    <t>event/day</t>
  </si>
  <si>
    <t>Assumed one contact event per day</t>
  </si>
  <si>
    <t>Exposure days - Intermediate</t>
  </si>
  <si>
    <t>EF_IT</t>
  </si>
  <si>
    <t>day/yr</t>
  </si>
  <si>
    <t>Averaging time - Intermediate</t>
  </si>
  <si>
    <t>AT_IT</t>
  </si>
  <si>
    <t>Averaging time - Lifetime Chronic Retained Dose, Cancer</t>
  </si>
  <si>
    <t>AT_LCRD</t>
  </si>
  <si>
    <t>Based on EF_C (365 day/yr) x LT (78 yrs)</t>
  </si>
  <si>
    <t>Continuous Exposure Frequency</t>
  </si>
  <si>
    <t>EF_C</t>
  </si>
  <si>
    <t>Mass Fraction of 1,2-DCP in Wax Stone Polishes</t>
  </si>
  <si>
    <r>
      <t>Y</t>
    </r>
    <r>
      <rPr>
        <b/>
        <vertAlign val="subscript"/>
        <sz val="11"/>
        <color theme="1"/>
        <rFont val="Aptos Narrow"/>
        <family val="2"/>
        <scheme val="minor"/>
      </rPr>
      <t>derm, 6</t>
    </r>
    <r>
      <rPr>
        <sz val="11"/>
        <color theme="1"/>
        <rFont val="Aptos Narrow"/>
        <family val="2"/>
        <scheme val="minor"/>
      </rPr>
      <t/>
    </r>
  </si>
  <si>
    <t>Exposure Days for Repackaging &amp; Lab Chems</t>
  </si>
  <si>
    <t>EF</t>
  </si>
  <si>
    <t>Formulation Type ID (x)</t>
  </si>
  <si>
    <t>Occurrence; p(x)</t>
  </si>
  <si>
    <t>Sampled Formulation Type</t>
  </si>
  <si>
    <t>Exposure Day Type ID (x)</t>
  </si>
  <si>
    <t>Sampled Exposure Day Type</t>
  </si>
  <si>
    <t>Formulation Type ID</t>
  </si>
  <si>
    <t xml:space="preserve">1,2-DCP wt% </t>
  </si>
  <si>
    <t>Sampled 1,2-DCP wt%</t>
  </si>
  <si>
    <t>Exposure Day Type ID</t>
  </si>
  <si>
    <t>Exposure Days (day/yr)</t>
  </si>
  <si>
    <t>Mass Fraction of 1,2-DCP in Laboratory Chemicals</t>
  </si>
  <si>
    <r>
      <t>Y</t>
    </r>
    <r>
      <rPr>
        <b/>
        <vertAlign val="subscript"/>
        <sz val="11"/>
        <color theme="1"/>
        <rFont val="Aptos Narrow"/>
        <family val="2"/>
        <scheme val="minor"/>
      </rPr>
      <t>derm, 8</t>
    </r>
    <r>
      <rPr>
        <sz val="11"/>
        <color theme="1"/>
        <rFont val="Aptos Narrow"/>
        <family val="2"/>
        <scheme val="minor"/>
      </rPr>
      <t/>
    </r>
  </si>
  <si>
    <t>OES</t>
  </si>
  <si>
    <t>Parameter Name</t>
  </si>
  <si>
    <t>Population</t>
  </si>
  <si>
    <t>Equation</t>
  </si>
  <si>
    <t>Stochastic Value</t>
  </si>
  <si>
    <t>Potential Dose Rate</t>
  </si>
  <si>
    <t>Average Adult Worker</t>
  </si>
  <si>
    <t>APDRavg,i</t>
  </si>
  <si>
    <t>IF Yderm &gt;= 0.9: Savg*Qu*fabs_a*Yderm,i*FT
IF 0.21 &lt; Yderm &lt; 0.89: Savg*Qu*fabs_b*Yderm,i*FT
IF 0.10 &lt; Yderm &lt; 0.20: Savg*Qu*fabs_c*Yderm,i*FT
IF Yderm &lt; 0.10: Savg*Qu*fabs_d*Yderm,i*FT</t>
  </si>
  <si>
    <t>mg/day</t>
  </si>
  <si>
    <t>Female of Reproductive Age</t>
  </si>
  <si>
    <t>APDRfem,i</t>
  </si>
  <si>
    <t>IF Yderm &gt;= 0.9: Sfem*Qu*fabs_a*Yderm,i*FT
IF 0.21 &lt; Yderm &lt; 0.89: Sfem*Qu*fabs_b*Yderm,i*FT
IF 0.10 &lt; Yderm &lt; 0.20: Sfem*Qu*fabs_c*Yderm,i*FT
IF Yderm &lt; 0.10: Sfem*Qu*fabs_d*Yderm,i*FT</t>
  </si>
  <si>
    <t>Acute Retained Dose</t>
  </si>
  <si>
    <t>ARDavg,i</t>
  </si>
  <si>
    <t>APDRavg,i / BWavg</t>
  </si>
  <si>
    <t>mg/kg-day</t>
  </si>
  <si>
    <t>ARDfem,i</t>
  </si>
  <si>
    <t>APDRfem,i / BWfem</t>
  </si>
  <si>
    <t>Intermediate Retained Dose, Non-Cancer</t>
  </si>
  <si>
    <t>IRDavg,i</t>
  </si>
  <si>
    <t>If EFi ≥ EF_IT:
ARDavg,i*EF_IT / AT_IT
Otherwise:
ARDavg,i*EFi / AT_IT</t>
  </si>
  <si>
    <t>IRDfem,i</t>
  </si>
  <si>
    <t>If EFi ≥ EF_IT:
ARDfem,i*EF_IT / AT_IT
Otherwise:
ARDfem,i*EFi / AT_IT</t>
  </si>
  <si>
    <t>Chronic Retained Dose, Non-Cancer</t>
  </si>
  <si>
    <t>CRDavg,i</t>
  </si>
  <si>
    <t>ARDavg,i*EFi*WY / (ATC, which is WY*EF_C)</t>
  </si>
  <si>
    <t>CRDfem,i</t>
  </si>
  <si>
    <t>ARDfem,i*EFi*WY / (ATC, which is WY*EF_C)</t>
  </si>
  <si>
    <t>Chronic Retained Dose, Cancer</t>
  </si>
  <si>
    <t>LCRDavg,i</t>
  </si>
  <si>
    <t>ARDavg,i*EFi*WY / ATLCRD</t>
  </si>
  <si>
    <t>LCRDfem,i</t>
  </si>
  <si>
    <t>ARDfem,i*EFi*WY / ATLCRD</t>
  </si>
  <si>
    <t>Monte Carlo Simulation Parameters</t>
  </si>
  <si>
    <t>Number of Iterations</t>
  </si>
  <si>
    <t>Sampling Method</t>
  </si>
  <si>
    <t>Latin Hypercube</t>
  </si>
  <si>
    <t>OES Lookup</t>
  </si>
  <si>
    <t>OES Name</t>
  </si>
  <si>
    <t>Statistic</t>
  </si>
  <si>
    <t>APDR (mg/day)</t>
  </si>
  <si>
    <t>ARD (mg/kg-day)</t>
  </si>
  <si>
    <t>IRD (mg/kg-day)</t>
  </si>
  <si>
    <t>CRD (mg/kg-day)</t>
  </si>
  <si>
    <t>LCRD (mg/kg-day)</t>
  </si>
  <si>
    <t>99th Percentile</t>
  </si>
  <si>
    <t>95th Percentile</t>
  </si>
  <si>
    <t>50th Percentile</t>
  </si>
  <si>
    <t>5th Percentile</t>
  </si>
  <si>
    <t>Minimum</t>
  </si>
  <si>
    <t>Mean</t>
  </si>
  <si>
    <t>Repackaging</t>
  </si>
  <si>
    <t>Processing as a Reactant</t>
  </si>
  <si>
    <t>Processing Aid</t>
  </si>
  <si>
    <t>Commercial Stone Polishing - Wax Form</t>
  </si>
  <si>
    <t>Commercial Stone Polishing - Aerosol Form</t>
  </si>
  <si>
    <t>Use as Laboratory Chemical</t>
  </si>
  <si>
    <t>Waste Handling, Treatment and Disposal (incineration)</t>
  </si>
  <si>
    <t>Waste Handling, Treatment and Disposal (landfill)</t>
  </si>
  <si>
    <t>Waste Handling, Treatment and Disposal (POTW)</t>
  </si>
  <si>
    <t>Waste Handling, Treatment and Disposal (Non-POTW WWT)</t>
  </si>
  <si>
    <t>Property</t>
  </si>
  <si>
    <t>Source</t>
  </si>
  <si>
    <t>Molecular Weight</t>
  </si>
  <si>
    <t>112.99 g/mol</t>
  </si>
  <si>
    <t>Final Scope Document</t>
  </si>
  <si>
    <t>Physical State</t>
  </si>
  <si>
    <t>Liquid</t>
  </si>
  <si>
    <t>Density</t>
  </si>
  <si>
    <t>1.159 g/cm^3</t>
  </si>
  <si>
    <t>Vapor Pressure</t>
  </si>
  <si>
    <t>49.66 mmHg @ 25C</t>
  </si>
  <si>
    <t>Vapor Density</t>
  </si>
  <si>
    <t>3.9 g/L @ 760 mm Hg</t>
  </si>
  <si>
    <t>Water Solubility</t>
  </si>
  <si>
    <t>2,740 mg/L @ 25C</t>
  </si>
  <si>
    <t>Manufacturer</t>
  </si>
  <si>
    <t>Product Name</t>
  </si>
  <si>
    <t>1,2-DCP Concentration</t>
  </si>
  <si>
    <t>Container Volume</t>
  </si>
  <si>
    <t>Notes</t>
  </si>
  <si>
    <t>Concentration</t>
  </si>
  <si>
    <t>Units</t>
  </si>
  <si>
    <t>Tenax Spa</t>
  </si>
  <si>
    <t>CERA TEWAX</t>
  </si>
  <si>
    <t>30-50%</t>
  </si>
  <si>
    <t>Conc. %</t>
  </si>
  <si>
    <t>1 Liter</t>
  </si>
  <si>
    <t>Liquid/Wax
TDS recommends product application via sponge or cloth. Excess is removed after the application. Normally 1 liter of wax treats 20-30 square meters of stone.
Density at 25 C is 0.9-1 g/mL</t>
  </si>
  <si>
    <t>QUARTZ TONER</t>
  </si>
  <si>
    <t>1-3.5%</t>
  </si>
  <si>
    <t>unknown</t>
  </si>
  <si>
    <t>Liquid/Wax</t>
  </si>
  <si>
    <t>CERA DISTACCANTE</t>
  </si>
  <si>
    <t>Lustro Italiano Stone Polish</t>
  </si>
  <si>
    <t>8.5 oz (0.066 gallons)</t>
  </si>
  <si>
    <t>Spray liquid</t>
  </si>
  <si>
    <t>Use of Laboratory Chemicals</t>
  </si>
  <si>
    <t>Sigma-Aldrich</t>
  </si>
  <si>
    <t>1,2-Dichloropropane</t>
  </si>
  <si>
    <t>80-100%</t>
  </si>
  <si>
    <t>N/A</t>
  </si>
  <si>
    <t>250-1,000mL (0.066-0.26 gal)</t>
  </si>
  <si>
    <t>Supelco</t>
  </si>
  <si>
    <t>EPA 8260 Volatiles Calibration Mix (500607)</t>
  </si>
  <si>
    <t>0.1-1%</t>
  </si>
  <si>
    <t>% weight</t>
  </si>
  <si>
    <t>1mL (0.00026 gal)</t>
  </si>
  <si>
    <t>Restek Corporation</t>
  </si>
  <si>
    <t>1,2-Dichloropropane Standard</t>
  </si>
  <si>
    <t>SPEX CertiPrep, LLC</t>
  </si>
  <si>
    <t>EPA Method 524.2 Volatile Calibration Standard</t>
  </si>
  <si>
    <t>Lookup Value</t>
  </si>
  <si>
    <t>Manufacture</t>
  </si>
  <si>
    <t>Assumed same concentration as manufacturing OES (90-100%)</t>
  </si>
  <si>
    <t>PUBLIC RELEASE DRAFT</t>
  </si>
  <si>
    <t>July 2026</t>
  </si>
  <si>
    <t>CASRN 78-87-5</t>
  </si>
  <si>
    <t>Draft Dermal Monte Carlo Exposure Model for 1,2-Dichloropropane</t>
  </si>
  <si>
    <t xml:space="preserve">In the Monte Carlo model, we will run 100,000 iterations, and in each iteration the model independently selects input values based on the specified distributions. 
Step 1. For each iteration, the model randomly samples a concentration from the uniform distribution of 0.02-100%. Every concentration value in that range is equally likely (uniform distribution).
Step 2. Once a concentration is drawn, the model evaluates the IF-statement logic and selects the appropriate fraction absorbed value. 
Step 3. The model uses the fraction absorbed value tied to the concentration selected that iteration and carries it through the dose calculation for that single run. 
Step 4. This is repeated 100,000 times. </t>
  </si>
  <si>
    <t>Provides a list of chemical properties for 1,2-dichloropropane (1,2-DCP).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</si>
</sst>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b/>
      <sz val="11"/>
      <name val="Aptos Narrow"/>
      <family val="2"/>
      <scheme val="minor"/>
    </font>
    <font>
      <vertAlign val="subscript"/>
      <sz val="11"/>
      <color theme="1"/>
      <name val="Aptos Narrow"/>
      <family val="2"/>
      <scheme val="minor"/>
    </font>
    <font>
      <vertAlign val="superscript"/>
      <sz val="11"/>
      <color theme="1"/>
      <name val="Aptos Narrow"/>
      <family val="2"/>
      <scheme val="minor"/>
    </font>
    <font>
      <sz val="8"/>
      <name val="Aptos Narrow"/>
      <family val="2"/>
      <scheme val="minor"/>
    </font>
    <font>
      <sz val="11"/>
      <name val="Aptos Narrow"/>
      <family val="2"/>
      <scheme val="minor"/>
    </font>
    <font>
      <b/>
      <sz val="15"/>
      <color theme="3"/>
      <name val="Aptos Narrow"/>
      <family val="2"/>
      <scheme val="minor"/>
    </font>
    <font>
      <sz val="14"/>
      <color rgb="FFFF0000"/>
      <name val="Times New Roman"/>
      <family val="1"/>
    </font>
    <font>
      <sz val="12"/>
      <color theme="1"/>
      <name val="Times New Roman"/>
      <family val="1"/>
    </font>
    <font>
      <b/>
      <sz val="16"/>
      <color rgb="FF000000"/>
      <name val="Times New Roman"/>
      <family val="1"/>
    </font>
    <font>
      <b/>
      <sz val="18"/>
      <color theme="3"/>
      <name val="Aptos Narrow"/>
      <family val="2"/>
      <scheme val="minor"/>
    </font>
    <font>
      <sz val="12"/>
      <color theme="1"/>
      <name val="Aptos Narrow"/>
      <family val="2"/>
      <scheme val="minor"/>
    </font>
    <font>
      <b/>
      <sz val="12"/>
      <color theme="1"/>
      <name val="Aptos Narrow"/>
      <family val="2"/>
      <scheme val="minor"/>
    </font>
    <font>
      <b/>
      <vertAlign val="subscript"/>
      <sz val="11"/>
      <color theme="1"/>
      <name val="Aptos Narrow"/>
      <family val="2"/>
      <scheme val="minor"/>
    </font>
    <font>
      <sz val="10"/>
      <name val="Aptos Narrow"/>
      <family val="2"/>
      <scheme val="minor"/>
    </font>
    <font>
      <b/>
      <sz val="14"/>
      <color theme="1"/>
      <name val="Times New Roman"/>
      <family val="1"/>
    </font>
    <font>
      <b/>
      <sz val="12"/>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65"/>
      </patternFill>
    </fill>
    <fill>
      <patternFill patternType="solid">
        <fgColor theme="5" tint="0.79998168889431442"/>
        <bgColor indexed="64"/>
      </patternFill>
    </fill>
    <fill>
      <patternFill patternType="solid">
        <fgColor theme="3" tint="0.59996337778862885"/>
        <bgColor indexed="64"/>
      </patternFill>
    </fill>
    <fill>
      <patternFill patternType="solid">
        <fgColor theme="3" tint="0.8999908444471571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bottom style="thick">
        <color theme="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s>
  <cellStyleXfs count="3">
    <xf numFmtId="0" fontId="0" fillId="0" borderId="0"/>
    <xf numFmtId="0" fontId="1" fillId="4" borderId="0" applyNumberFormat="0" applyBorder="0" applyAlignment="0" applyProtection="0"/>
    <xf numFmtId="0" fontId="8" fillId="0" borderId="13" applyNumberFormat="0" applyFill="0" applyAlignment="0" applyProtection="0"/>
  </cellStyleXfs>
  <cellXfs count="185">
    <xf numFmtId="0" fontId="0" fillId="0" borderId="0" xfId="0"/>
    <xf numFmtId="0" fontId="9" fillId="0" borderId="0" xfId="0" applyFont="1" applyAlignment="1" applyProtection="1">
      <alignment horizontal="center"/>
    </xf>
    <xf numFmtId="0" fontId="0" fillId="0" borderId="0" xfId="0" applyProtection="1"/>
    <xf numFmtId="49" fontId="9" fillId="0" borderId="0" xfId="0" applyNumberFormat="1" applyFont="1" applyAlignment="1" applyProtection="1">
      <alignment horizontal="center"/>
    </xf>
    <xf numFmtId="0" fontId="0" fillId="0" borderId="0" xfId="0" applyAlignment="1" applyProtection="1">
      <alignment horizontal="center"/>
    </xf>
    <xf numFmtId="0" fontId="11" fillId="0" borderId="0" xfId="0" applyFont="1" applyAlignment="1" applyProtection="1">
      <alignment horizontal="center" wrapText="1"/>
    </xf>
    <xf numFmtId="0" fontId="17" fillId="2" borderId="0" xfId="0" applyFont="1" applyFill="1" applyAlignment="1" applyProtection="1">
      <alignment horizontal="center" vertical="center"/>
    </xf>
    <xf numFmtId="0" fontId="10" fillId="0" borderId="0" xfId="0" applyFont="1" applyAlignment="1" applyProtection="1">
      <alignment horizontal="center"/>
    </xf>
    <xf numFmtId="49" fontId="18" fillId="0" borderId="0" xfId="0" applyNumberFormat="1" applyFont="1" applyAlignment="1" applyProtection="1">
      <alignment horizontal="left"/>
    </xf>
    <xf numFmtId="0" fontId="0" fillId="2" borderId="0" xfId="0" applyFill="1" applyProtection="1"/>
    <xf numFmtId="0" fontId="12" fillId="2" borderId="0" xfId="2" applyFont="1" applyFill="1" applyBorder="1" applyAlignment="1" applyProtection="1">
      <alignment horizontal="center"/>
    </xf>
    <xf numFmtId="0" fontId="8" fillId="2" borderId="14" xfId="2" applyFill="1" applyBorder="1" applyAlignment="1" applyProtection="1">
      <alignment horizontal="center"/>
    </xf>
    <xf numFmtId="0" fontId="8" fillId="2" borderId="15" xfId="2" applyFill="1" applyBorder="1" applyAlignment="1" applyProtection="1">
      <alignment horizontal="center"/>
    </xf>
    <xf numFmtId="0" fontId="13" fillId="4" borderId="16" xfId="1" applyFont="1" applyBorder="1" applyAlignment="1" applyProtection="1">
      <alignment wrapText="1"/>
    </xf>
    <xf numFmtId="0" fontId="13" fillId="4" borderId="17" xfId="1" applyFont="1" applyBorder="1" applyAlignment="1" applyProtection="1">
      <alignment wrapText="1"/>
    </xf>
    <xf numFmtId="0" fontId="13" fillId="4" borderId="5" xfId="1" applyFont="1" applyBorder="1" applyAlignment="1" applyProtection="1">
      <alignment wrapText="1"/>
    </xf>
    <xf numFmtId="0" fontId="13" fillId="4" borderId="6" xfId="1" applyFont="1" applyBorder="1" applyAlignment="1" applyProtection="1">
      <alignment wrapText="1"/>
    </xf>
    <xf numFmtId="0" fontId="13" fillId="4" borderId="7" xfId="1" applyFont="1" applyBorder="1" applyAlignment="1" applyProtection="1">
      <alignment wrapText="1"/>
    </xf>
    <xf numFmtId="0" fontId="13" fillId="4" borderId="9" xfId="1" applyFont="1" applyBorder="1" applyAlignment="1" applyProtection="1">
      <alignment wrapText="1"/>
    </xf>
    <xf numFmtId="0" fontId="14" fillId="2" borderId="0" xfId="0" applyFont="1" applyFill="1" applyProtection="1"/>
    <xf numFmtId="0" fontId="0" fillId="2" borderId="0" xfId="0" applyFill="1" applyAlignment="1" applyProtection="1">
      <alignment wrapText="1"/>
    </xf>
    <xf numFmtId="0" fontId="0" fillId="2" borderId="1" xfId="0" applyFill="1" applyBorder="1" applyProtection="1"/>
    <xf numFmtId="0" fontId="2" fillId="3" borderId="1" xfId="0" applyFont="1" applyFill="1" applyBorder="1" applyAlignment="1" applyProtection="1">
      <alignment horizontal="left" wrapText="1"/>
    </xf>
    <xf numFmtId="0" fontId="2" fillId="3" borderId="1" xfId="0" applyFont="1" applyFill="1" applyBorder="1" applyAlignment="1" applyProtection="1">
      <alignment horizontal="center" wrapText="1"/>
    </xf>
    <xf numFmtId="0" fontId="2" fillId="3" borderId="1" xfId="0" applyFont="1" applyFill="1" applyBorder="1" applyAlignment="1" applyProtection="1">
      <alignment horizontal="center"/>
    </xf>
    <xf numFmtId="0" fontId="2" fillId="3" borderId="10" xfId="0" quotePrefix="1" applyFont="1" applyFill="1" applyBorder="1" applyAlignment="1" applyProtection="1">
      <alignment horizontal="center" wrapText="1"/>
    </xf>
    <xf numFmtId="0" fontId="0" fillId="2" borderId="0" xfId="0" applyFill="1" applyAlignment="1" applyProtection="1">
      <alignment horizontal="center" wrapText="1"/>
    </xf>
    <xf numFmtId="0" fontId="2" fillId="3" borderId="1" xfId="0" applyFont="1" applyFill="1" applyBorder="1" applyAlignment="1" applyProtection="1">
      <alignment horizontal="center" wrapText="1"/>
    </xf>
    <xf numFmtId="0" fontId="2" fillId="3" borderId="11" xfId="0" quotePrefix="1" applyFont="1" applyFill="1" applyBorder="1" applyAlignment="1" applyProtection="1">
      <alignment horizontal="center" wrapText="1"/>
    </xf>
    <xf numFmtId="0" fontId="0" fillId="2" borderId="0" xfId="0" applyFill="1" applyAlignment="1" applyProtection="1">
      <alignment horizontal="center"/>
    </xf>
    <xf numFmtId="0" fontId="0" fillId="2" borderId="1" xfId="0" applyFill="1" applyBorder="1" applyAlignment="1" applyProtection="1">
      <alignment vertical="center" wrapText="1"/>
    </xf>
    <xf numFmtId="0" fontId="0" fillId="2" borderId="1" xfId="0" applyFill="1" applyBorder="1" applyAlignment="1" applyProtection="1">
      <alignment vertical="center"/>
    </xf>
    <xf numFmtId="0" fontId="0" fillId="2" borderId="1" xfId="0" applyFill="1" applyBorder="1" applyAlignment="1" applyProtection="1">
      <alignment horizontal="left" vertical="center"/>
    </xf>
    <xf numFmtId="0" fontId="0" fillId="2" borderId="1" xfId="0" applyFill="1" applyBorder="1" applyAlignment="1" applyProtection="1">
      <alignment horizontal="right" vertical="center"/>
    </xf>
    <xf numFmtId="0" fontId="0" fillId="2" borderId="1" xfId="0" quotePrefix="1" applyFill="1" applyBorder="1" applyAlignment="1" applyProtection="1">
      <alignment horizontal="right" vertical="center"/>
    </xf>
    <xf numFmtId="0" fontId="0" fillId="2" borderId="1" xfId="0" applyFill="1" applyBorder="1" applyAlignment="1" applyProtection="1">
      <alignment horizontal="left" vertical="top" wrapText="1"/>
    </xf>
    <xf numFmtId="0" fontId="0" fillId="2" borderId="1" xfId="0" applyFill="1" applyBorder="1" applyAlignment="1" applyProtection="1">
      <alignment wrapText="1"/>
    </xf>
    <xf numFmtId="0" fontId="0" fillId="2" borderId="0" xfId="0" applyFill="1" applyAlignment="1" applyProtection="1">
      <alignment horizontal="center" vertical="center"/>
    </xf>
    <xf numFmtId="0" fontId="0" fillId="0" borderId="1" xfId="0" applyBorder="1" applyAlignment="1" applyProtection="1">
      <alignment vertical="center" wrapText="1"/>
    </xf>
    <xf numFmtId="0" fontId="0" fillId="0" borderId="12" xfId="0" applyBorder="1" applyAlignment="1" applyProtection="1">
      <alignment horizontal="center" vertical="center"/>
    </xf>
    <xf numFmtId="0" fontId="0" fillId="0" borderId="19" xfId="0" applyBorder="1" applyAlignment="1" applyProtection="1">
      <alignment horizontal="center" vertical="center"/>
    </xf>
    <xf numFmtId="0" fontId="0" fillId="2" borderId="0" xfId="0" applyFill="1" applyAlignment="1" applyProtection="1">
      <alignment horizontal="center" vertical="center" wrapText="1"/>
    </xf>
    <xf numFmtId="0" fontId="0" fillId="2" borderId="1" xfId="0" applyFill="1" applyBorder="1" applyAlignment="1" applyProtection="1">
      <alignment horizontal="left" vertical="center" wrapText="1"/>
    </xf>
    <xf numFmtId="0" fontId="0" fillId="2" borderId="1" xfId="0" quotePrefix="1" applyFill="1" applyBorder="1" applyAlignment="1" applyProtection="1">
      <alignment horizontal="right" vertical="center" wrapText="1"/>
    </xf>
    <xf numFmtId="0" fontId="0" fillId="2" borderId="1" xfId="0" applyFill="1" applyBorder="1" applyAlignment="1" applyProtection="1">
      <alignment horizontal="right" vertical="center" wrapText="1"/>
    </xf>
    <xf numFmtId="0" fontId="0" fillId="2" borderId="1" xfId="0" applyFill="1" applyBorder="1" applyAlignment="1" applyProtection="1">
      <alignment vertical="top" wrapText="1"/>
    </xf>
    <xf numFmtId="0" fontId="2" fillId="3" borderId="1" xfId="0" applyFont="1" applyFill="1" applyBorder="1" applyAlignment="1" applyProtection="1">
      <alignment wrapText="1"/>
    </xf>
    <xf numFmtId="0" fontId="2" fillId="3" borderId="1" xfId="0" applyFont="1" applyFill="1" applyBorder="1" applyAlignment="1" applyProtection="1">
      <alignment horizontal="left" wrapText="1"/>
    </xf>
    <xf numFmtId="0" fontId="2" fillId="3" borderId="1" xfId="0" applyFont="1" applyFill="1" applyBorder="1" applyAlignment="1" applyProtection="1">
      <alignment horizontal="left"/>
    </xf>
    <xf numFmtId="0" fontId="0" fillId="2" borderId="10" xfId="0" applyFill="1" applyBorder="1" applyAlignment="1" applyProtection="1">
      <alignment horizontal="left" vertical="center"/>
    </xf>
    <xf numFmtId="0" fontId="0" fillId="0" borderId="1" xfId="0" applyBorder="1" applyProtection="1"/>
    <xf numFmtId="0" fontId="0" fillId="0" borderId="21" xfId="0" applyBorder="1" applyAlignment="1" applyProtection="1">
      <alignment horizontal="left" vertical="center" wrapText="1"/>
    </xf>
    <xf numFmtId="0" fontId="0" fillId="0" borderId="22" xfId="0" applyBorder="1" applyAlignment="1" applyProtection="1">
      <alignment horizontal="left" vertical="center" wrapText="1"/>
    </xf>
    <xf numFmtId="0" fontId="0" fillId="0" borderId="23" xfId="0" applyBorder="1" applyAlignment="1" applyProtection="1">
      <alignment horizontal="left" vertical="center" wrapText="1"/>
    </xf>
    <xf numFmtId="0" fontId="0" fillId="2" borderId="20" xfId="0" applyFill="1" applyBorder="1" applyAlignment="1" applyProtection="1">
      <alignment horizontal="left" vertical="center"/>
    </xf>
    <xf numFmtId="0" fontId="0" fillId="0" borderId="24" xfId="0" applyBorder="1" applyAlignment="1" applyProtection="1">
      <alignment horizontal="left" vertical="center" wrapText="1"/>
    </xf>
    <xf numFmtId="0" fontId="0" fillId="0" borderId="0" xfId="0" applyAlignment="1" applyProtection="1">
      <alignment horizontal="left" vertical="center" wrapText="1"/>
    </xf>
    <xf numFmtId="0" fontId="0" fillId="0" borderId="25" xfId="0" applyBorder="1" applyAlignment="1" applyProtection="1">
      <alignment horizontal="left" vertical="center" wrapText="1"/>
    </xf>
    <xf numFmtId="0" fontId="0" fillId="2" borderId="11" xfId="0" applyFill="1" applyBorder="1" applyAlignment="1" applyProtection="1">
      <alignment horizontal="left" vertical="center"/>
    </xf>
    <xf numFmtId="0" fontId="0" fillId="0" borderId="26" xfId="0" applyBorder="1" applyAlignment="1" applyProtection="1">
      <alignment horizontal="left" vertical="center" wrapText="1"/>
    </xf>
    <xf numFmtId="0" fontId="0" fillId="0" borderId="27" xfId="0" applyBorder="1" applyAlignment="1" applyProtection="1">
      <alignment horizontal="left" vertical="center" wrapText="1"/>
    </xf>
    <xf numFmtId="0" fontId="0" fillId="0" borderId="28" xfId="0" applyBorder="1" applyAlignment="1" applyProtection="1">
      <alignment horizontal="left" vertical="center" wrapText="1"/>
    </xf>
    <xf numFmtId="0" fontId="0" fillId="2" borderId="1" xfId="0" applyFill="1" applyBorder="1" applyAlignment="1" applyProtection="1">
      <alignment horizontal="left" wrapText="1"/>
    </xf>
    <xf numFmtId="0" fontId="0" fillId="2" borderId="1" xfId="0" applyFill="1" applyBorder="1" applyAlignment="1" applyProtection="1">
      <alignment horizontal="center"/>
    </xf>
    <xf numFmtId="0" fontId="0" fillId="2" borderId="12" xfId="0" applyFill="1" applyBorder="1" applyAlignment="1" applyProtection="1">
      <alignment horizontal="left" wrapText="1"/>
    </xf>
    <xf numFmtId="0" fontId="0" fillId="2" borderId="18" xfId="0" applyFill="1" applyBorder="1" applyAlignment="1" applyProtection="1">
      <alignment horizontal="left" wrapText="1"/>
    </xf>
    <xf numFmtId="0" fontId="0" fillId="2" borderId="19" xfId="0" applyFill="1" applyBorder="1" applyAlignment="1" applyProtection="1">
      <alignment horizontal="left" wrapText="1"/>
    </xf>
    <xf numFmtId="0" fontId="0" fillId="2" borderId="1" xfId="0" applyFill="1" applyBorder="1" applyAlignment="1" applyProtection="1">
      <alignment horizontal="left"/>
    </xf>
    <xf numFmtId="0" fontId="2" fillId="3" borderId="1" xfId="0" applyFont="1" applyFill="1" applyBorder="1" applyAlignment="1" applyProtection="1">
      <alignment vertical="center"/>
    </xf>
    <xf numFmtId="0" fontId="2" fillId="6" borderId="1" xfId="0" applyFont="1" applyFill="1" applyBorder="1" applyAlignment="1" applyProtection="1">
      <alignment horizontal="left" vertical="top" wrapText="1"/>
    </xf>
    <xf numFmtId="0" fontId="2" fillId="6" borderId="1" xfId="0" applyFont="1" applyFill="1" applyBorder="1" applyAlignment="1" applyProtection="1">
      <alignment horizontal="left" wrapText="1"/>
    </xf>
    <xf numFmtId="0" fontId="2" fillId="6" borderId="1" xfId="0" applyFont="1" applyFill="1" applyBorder="1" applyAlignment="1" applyProtection="1">
      <alignment wrapText="1"/>
    </xf>
    <xf numFmtId="0" fontId="2" fillId="2" borderId="1" xfId="0" applyFont="1" applyFill="1" applyBorder="1" applyProtection="1"/>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left"/>
    </xf>
    <xf numFmtId="0" fontId="0" fillId="2" borderId="1" xfId="0" applyFill="1" applyBorder="1" applyAlignment="1" applyProtection="1">
      <alignment horizontal="left"/>
    </xf>
    <xf numFmtId="0" fontId="0" fillId="2" borderId="1" xfId="0" applyFill="1" applyBorder="1" applyAlignment="1" applyProtection="1">
      <alignment horizontal="center"/>
    </xf>
    <xf numFmtId="165" fontId="0" fillId="2" borderId="1" xfId="0" applyNumberFormat="1" applyFill="1" applyBorder="1" applyAlignment="1" applyProtection="1">
      <alignment horizontal="center"/>
    </xf>
    <xf numFmtId="166" fontId="0" fillId="2" borderId="1" xfId="0" applyNumberFormat="1" applyFill="1" applyBorder="1" applyProtection="1"/>
    <xf numFmtId="0" fontId="2" fillId="3" borderId="12" xfId="0" applyFont="1" applyFill="1" applyBorder="1" applyAlignment="1" applyProtection="1">
      <alignment horizontal="center"/>
    </xf>
    <xf numFmtId="0" fontId="2" fillId="3" borderId="19" xfId="0" applyFont="1" applyFill="1" applyBorder="1" applyAlignment="1" applyProtection="1">
      <alignment horizontal="center"/>
    </xf>
    <xf numFmtId="0" fontId="2" fillId="2" borderId="0" xfId="0" applyFont="1" applyFill="1" applyAlignment="1" applyProtection="1">
      <alignment wrapText="1"/>
    </xf>
    <xf numFmtId="9" fontId="0" fillId="0" borderId="1" xfId="0" applyNumberFormat="1" applyBorder="1" applyAlignment="1" applyProtection="1">
      <alignment horizontal="center"/>
    </xf>
    <xf numFmtId="164" fontId="0" fillId="0" borderId="1" xfId="0" applyNumberFormat="1" applyBorder="1" applyAlignment="1" applyProtection="1">
      <alignment horizontal="center"/>
    </xf>
    <xf numFmtId="166" fontId="0" fillId="2" borderId="1" xfId="0" applyNumberFormat="1" applyFill="1" applyBorder="1" applyAlignment="1" applyProtection="1">
      <alignment horizontal="center"/>
    </xf>
    <xf numFmtId="0" fontId="0" fillId="2" borderId="0" xfId="0" applyFill="1" applyAlignment="1" applyProtection="1">
      <alignment horizontal="left"/>
    </xf>
    <xf numFmtId="10" fontId="0" fillId="0" borderId="1" xfId="0" applyNumberFormat="1" applyBorder="1" applyAlignment="1" applyProtection="1">
      <alignment horizontal="center"/>
    </xf>
    <xf numFmtId="0" fontId="3" fillId="3" borderId="3" xfId="0" applyFont="1" applyFill="1" applyBorder="1" applyAlignment="1" applyProtection="1">
      <alignment horizontal="left" wrapText="1"/>
    </xf>
    <xf numFmtId="0" fontId="3" fillId="3" borderId="3" xfId="0" applyFont="1" applyFill="1" applyBorder="1" applyAlignment="1" applyProtection="1">
      <alignment horizontal="left"/>
    </xf>
    <xf numFmtId="0" fontId="3" fillId="3" borderId="3" xfId="0" applyFont="1" applyFill="1" applyBorder="1" applyAlignment="1" applyProtection="1">
      <alignment wrapText="1"/>
    </xf>
    <xf numFmtId="0" fontId="3" fillId="3" borderId="29" xfId="0" applyFont="1" applyFill="1" applyBorder="1" applyAlignment="1" applyProtection="1">
      <alignment wrapText="1"/>
    </xf>
    <xf numFmtId="0" fontId="3" fillId="3" borderId="4" xfId="0" applyFont="1" applyFill="1" applyBorder="1" applyAlignment="1" applyProtection="1">
      <alignment horizontal="center"/>
    </xf>
    <xf numFmtId="166" fontId="7" fillId="2" borderId="1" xfId="0" applyNumberFormat="1" applyFont="1" applyFill="1" applyBorder="1" applyAlignment="1" applyProtection="1">
      <alignment horizontal="right"/>
    </xf>
    <xf numFmtId="0" fontId="0" fillId="2" borderId="6" xfId="0" applyFill="1" applyBorder="1" applyProtection="1"/>
    <xf numFmtId="0" fontId="0" fillId="2" borderId="8" xfId="0" applyFill="1" applyBorder="1" applyAlignment="1" applyProtection="1">
      <alignment wrapText="1"/>
    </xf>
    <xf numFmtId="0" fontId="0" fillId="2" borderId="8" xfId="0" applyFill="1" applyBorder="1" applyProtection="1"/>
    <xf numFmtId="166" fontId="7" fillId="2" borderId="8" xfId="0" applyNumberFormat="1" applyFont="1" applyFill="1" applyBorder="1" applyAlignment="1" applyProtection="1">
      <alignment horizontal="right"/>
    </xf>
    <xf numFmtId="0" fontId="0" fillId="2" borderId="9" xfId="0" applyFill="1" applyBorder="1" applyProtection="1"/>
    <xf numFmtId="0" fontId="2" fillId="5" borderId="1" xfId="0" applyFont="1" applyFill="1" applyBorder="1" applyAlignment="1" applyProtection="1">
      <alignment horizontal="center" wrapText="1"/>
    </xf>
    <xf numFmtId="3" fontId="0" fillId="2" borderId="1" xfId="0" applyNumberFormat="1" applyFill="1" applyBorder="1" applyAlignment="1" applyProtection="1">
      <alignment horizontal="center"/>
    </xf>
    <xf numFmtId="0" fontId="2" fillId="5" borderId="1" xfId="0" applyFont="1" applyFill="1" applyBorder="1" applyAlignment="1" applyProtection="1">
      <alignment horizontal="center"/>
    </xf>
    <xf numFmtId="0" fontId="2" fillId="5" borderId="12" xfId="0" applyFont="1" applyFill="1" applyBorder="1" applyAlignment="1" applyProtection="1">
      <alignment horizontal="center"/>
    </xf>
    <xf numFmtId="0" fontId="2" fillId="5" borderId="2" xfId="0" applyFont="1" applyFill="1" applyBorder="1" applyAlignment="1" applyProtection="1">
      <alignment horizontal="center"/>
    </xf>
    <xf numFmtId="0" fontId="2" fillId="5" borderId="3" xfId="0" applyFont="1" applyFill="1" applyBorder="1" applyAlignment="1" applyProtection="1">
      <alignment horizontal="center"/>
    </xf>
    <xf numFmtId="0" fontId="2" fillId="5" borderId="4" xfId="0" applyFont="1" applyFill="1" applyBorder="1" applyAlignment="1" applyProtection="1">
      <alignment horizontal="center"/>
    </xf>
    <xf numFmtId="0" fontId="2" fillId="5" borderId="35" xfId="0" applyFont="1" applyFill="1" applyBorder="1" applyAlignment="1" applyProtection="1">
      <alignment horizontal="center"/>
    </xf>
    <xf numFmtId="0" fontId="2" fillId="5" borderId="16" xfId="0" applyFont="1" applyFill="1" applyBorder="1" applyAlignment="1" applyProtection="1">
      <alignment wrapText="1"/>
    </xf>
    <xf numFmtId="0" fontId="2" fillId="5" borderId="11" xfId="0" applyFont="1" applyFill="1" applyBorder="1" applyAlignment="1" applyProtection="1">
      <alignment wrapText="1"/>
    </xf>
    <xf numFmtId="0" fontId="2" fillId="5" borderId="17" xfId="0" applyFont="1" applyFill="1" applyBorder="1" applyAlignment="1" applyProtection="1">
      <alignment wrapText="1"/>
    </xf>
    <xf numFmtId="0" fontId="2" fillId="5" borderId="28" xfId="0" applyFont="1" applyFill="1" applyBorder="1" applyAlignment="1" applyProtection="1">
      <alignment wrapText="1"/>
    </xf>
    <xf numFmtId="0" fontId="2" fillId="5" borderId="5" xfId="0" applyFont="1" applyFill="1" applyBorder="1" applyAlignment="1" applyProtection="1">
      <alignment wrapText="1"/>
    </xf>
    <xf numFmtId="0" fontId="2" fillId="5" borderId="1" xfId="0" applyFont="1" applyFill="1" applyBorder="1" applyAlignment="1" applyProtection="1">
      <alignment wrapText="1"/>
    </xf>
    <xf numFmtId="0" fontId="2" fillId="5" borderId="6" xfId="0" applyFont="1" applyFill="1" applyBorder="1" applyAlignment="1" applyProtection="1">
      <alignment wrapText="1"/>
    </xf>
    <xf numFmtId="0" fontId="2" fillId="5" borderId="19" xfId="0" applyFont="1" applyFill="1" applyBorder="1" applyAlignment="1" applyProtection="1">
      <alignment wrapText="1"/>
    </xf>
    <xf numFmtId="0" fontId="0" fillId="0" borderId="2" xfId="0" applyBorder="1" applyProtection="1"/>
    <xf numFmtId="0" fontId="0" fillId="0" borderId="32" xfId="0" applyBorder="1" applyAlignment="1" applyProtection="1">
      <alignment horizontal="left" vertical="top"/>
    </xf>
    <xf numFmtId="0" fontId="0" fillId="2" borderId="29" xfId="0" applyFill="1" applyBorder="1" applyAlignment="1" applyProtection="1">
      <alignment horizontal="right" wrapText="1"/>
    </xf>
    <xf numFmtId="166" fontId="16" fillId="2" borderId="2" xfId="0" applyNumberFormat="1" applyFont="1" applyFill="1" applyBorder="1" applyAlignment="1" applyProtection="1">
      <alignment horizontal="center" vertical="center"/>
    </xf>
    <xf numFmtId="166" fontId="16" fillId="2" borderId="3" xfId="0" applyNumberFormat="1" applyFont="1" applyFill="1" applyBorder="1" applyAlignment="1" applyProtection="1">
      <alignment horizontal="center" vertical="center"/>
    </xf>
    <xf numFmtId="166" fontId="16" fillId="2" borderId="4" xfId="0" applyNumberFormat="1" applyFont="1" applyFill="1" applyBorder="1" applyAlignment="1" applyProtection="1">
      <alignment horizontal="center" vertical="center"/>
    </xf>
    <xf numFmtId="166" fontId="16" fillId="2" borderId="35" xfId="0" applyNumberFormat="1" applyFont="1" applyFill="1" applyBorder="1" applyAlignment="1" applyProtection="1">
      <alignment horizontal="center" vertical="center"/>
    </xf>
    <xf numFmtId="0" fontId="0" fillId="0" borderId="5" xfId="0" applyBorder="1" applyProtection="1"/>
    <xf numFmtId="0" fontId="0" fillId="0" borderId="20" xfId="0" applyBorder="1" applyAlignment="1" applyProtection="1">
      <alignment horizontal="left" vertical="top"/>
    </xf>
    <xf numFmtId="0" fontId="0" fillId="2" borderId="12" xfId="0" applyFill="1" applyBorder="1" applyAlignment="1" applyProtection="1">
      <alignment horizontal="right" wrapText="1"/>
    </xf>
    <xf numFmtId="166" fontId="16" fillId="2" borderId="5" xfId="0" applyNumberFormat="1" applyFont="1" applyFill="1" applyBorder="1" applyAlignment="1" applyProtection="1">
      <alignment horizontal="center" vertical="center"/>
    </xf>
    <xf numFmtId="166" fontId="16" fillId="2" borderId="1" xfId="0" applyNumberFormat="1" applyFont="1" applyFill="1" applyBorder="1" applyAlignment="1" applyProtection="1">
      <alignment horizontal="center" vertical="center"/>
    </xf>
    <xf numFmtId="166" fontId="16" fillId="2" borderId="6" xfId="0" applyNumberFormat="1" applyFont="1" applyFill="1" applyBorder="1" applyAlignment="1" applyProtection="1">
      <alignment horizontal="center" vertical="center"/>
    </xf>
    <xf numFmtId="166" fontId="16" fillId="2" borderId="19" xfId="0" applyNumberFormat="1" applyFont="1" applyFill="1" applyBorder="1" applyAlignment="1" applyProtection="1">
      <alignment horizontal="center" vertical="center"/>
    </xf>
    <xf numFmtId="0" fontId="0" fillId="0" borderId="7" xfId="0" applyBorder="1" applyProtection="1"/>
    <xf numFmtId="0" fontId="0" fillId="0" borderId="31" xfId="0" applyBorder="1" applyAlignment="1" applyProtection="1">
      <alignment horizontal="left" vertical="top"/>
    </xf>
    <xf numFmtId="0" fontId="0" fillId="2" borderId="30" xfId="0" applyFill="1" applyBorder="1" applyAlignment="1" applyProtection="1">
      <alignment horizontal="right" wrapText="1"/>
    </xf>
    <xf numFmtId="166" fontId="16" fillId="2" borderId="7" xfId="0" applyNumberFormat="1" applyFont="1" applyFill="1" applyBorder="1" applyAlignment="1" applyProtection="1">
      <alignment horizontal="center" vertical="center"/>
    </xf>
    <xf numFmtId="166" fontId="16" fillId="2" borderId="8" xfId="0" applyNumberFormat="1" applyFont="1" applyFill="1" applyBorder="1" applyAlignment="1" applyProtection="1">
      <alignment horizontal="center" vertical="center"/>
    </xf>
    <xf numFmtId="166" fontId="16" fillId="2" borderId="9" xfId="0" applyNumberFormat="1" applyFont="1" applyFill="1" applyBorder="1" applyAlignment="1" applyProtection="1">
      <alignment horizontal="center" vertical="center"/>
    </xf>
    <xf numFmtId="166" fontId="16" fillId="2" borderId="36" xfId="0" applyNumberFormat="1" applyFont="1" applyFill="1" applyBorder="1" applyAlignment="1" applyProtection="1">
      <alignment horizontal="center" vertical="center"/>
    </xf>
    <xf numFmtId="0" fontId="0" fillId="0" borderId="32" xfId="0" applyBorder="1" applyAlignment="1" applyProtection="1">
      <alignment horizontal="left" vertical="top" wrapText="1"/>
    </xf>
    <xf numFmtId="0" fontId="0" fillId="0" borderId="20" xfId="0" applyBorder="1" applyAlignment="1" applyProtection="1">
      <alignment horizontal="left" vertical="top" wrapText="1"/>
    </xf>
    <xf numFmtId="0" fontId="0" fillId="0" borderId="31" xfId="0" applyBorder="1" applyAlignment="1" applyProtection="1">
      <alignment horizontal="left" vertical="top" wrapText="1"/>
    </xf>
    <xf numFmtId="0" fontId="0" fillId="0" borderId="16" xfId="0" applyBorder="1" applyProtection="1"/>
    <xf numFmtId="0" fontId="0" fillId="2" borderId="26" xfId="0" applyFill="1" applyBorder="1" applyAlignment="1" applyProtection="1">
      <alignment horizontal="right" wrapText="1"/>
    </xf>
    <xf numFmtId="166" fontId="16" fillId="2" borderId="16" xfId="0" applyNumberFormat="1" applyFont="1" applyFill="1" applyBorder="1" applyAlignment="1" applyProtection="1">
      <alignment horizontal="center" vertical="center"/>
    </xf>
    <xf numFmtId="166" fontId="16" fillId="2" borderId="11" xfId="0" applyNumberFormat="1" applyFont="1" applyFill="1" applyBorder="1" applyAlignment="1" applyProtection="1">
      <alignment horizontal="center" vertical="center"/>
    </xf>
    <xf numFmtId="166" fontId="16" fillId="2" borderId="17" xfId="0" applyNumberFormat="1" applyFont="1" applyFill="1" applyBorder="1" applyAlignment="1" applyProtection="1">
      <alignment horizontal="center" vertical="center"/>
    </xf>
    <xf numFmtId="166" fontId="16" fillId="2" borderId="28" xfId="0" applyNumberFormat="1" applyFont="1" applyFill="1" applyBorder="1" applyAlignment="1" applyProtection="1">
      <alignment horizontal="center" vertical="center"/>
    </xf>
    <xf numFmtId="166" fontId="16" fillId="2" borderId="33" xfId="0" applyNumberFormat="1" applyFont="1" applyFill="1" applyBorder="1" applyAlignment="1" applyProtection="1">
      <alignment horizontal="center" vertical="center"/>
    </xf>
    <xf numFmtId="166" fontId="16" fillId="2" borderId="10" xfId="0" applyNumberFormat="1" applyFont="1" applyFill="1" applyBorder="1" applyAlignment="1" applyProtection="1">
      <alignment horizontal="center" vertical="center"/>
    </xf>
    <xf numFmtId="166" fontId="16" fillId="2" borderId="34" xfId="0" applyNumberFormat="1" applyFont="1" applyFill="1" applyBorder="1" applyAlignment="1" applyProtection="1">
      <alignment horizontal="center" vertical="center"/>
    </xf>
    <xf numFmtId="166" fontId="16" fillId="2" borderId="23" xfId="0" applyNumberFormat="1" applyFont="1" applyFill="1" applyBorder="1" applyAlignment="1" applyProtection="1">
      <alignment horizontal="center" vertical="center"/>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0" fillId="0" borderId="6" xfId="0" applyBorder="1" applyProtection="1"/>
    <xf numFmtId="0" fontId="0" fillId="0" borderId="8" xfId="0" applyBorder="1" applyProtection="1"/>
    <xf numFmtId="0" fontId="0" fillId="0" borderId="9" xfId="0" applyBorder="1" applyProtection="1"/>
    <xf numFmtId="0" fontId="3" fillId="7" borderId="2" xfId="0" applyFont="1" applyFill="1" applyBorder="1" applyAlignment="1" applyProtection="1">
      <alignment horizontal="center"/>
    </xf>
    <xf numFmtId="0" fontId="3" fillId="7" borderId="3" xfId="0" applyFont="1" applyFill="1" applyBorder="1" applyAlignment="1" applyProtection="1">
      <alignment horizontal="center"/>
    </xf>
    <xf numFmtId="0" fontId="3" fillId="7" borderId="3" xfId="0" applyFont="1" applyFill="1" applyBorder="1" applyAlignment="1" applyProtection="1">
      <alignment horizontal="center" vertical="center"/>
    </xf>
    <xf numFmtId="0" fontId="3" fillId="7" borderId="4" xfId="0" applyFont="1" applyFill="1" applyBorder="1" applyAlignment="1" applyProtection="1">
      <alignment horizontal="left"/>
    </xf>
    <xf numFmtId="0" fontId="3" fillId="7" borderId="7" xfId="0" applyFont="1" applyFill="1" applyBorder="1" applyAlignment="1" applyProtection="1">
      <alignment horizontal="center"/>
    </xf>
    <xf numFmtId="0" fontId="3" fillId="7" borderId="8" xfId="0" applyFont="1" applyFill="1" applyBorder="1" applyAlignment="1" applyProtection="1">
      <alignment horizontal="center"/>
    </xf>
    <xf numFmtId="0" fontId="3" fillId="7" borderId="8" xfId="0" applyFont="1" applyFill="1" applyBorder="1" applyAlignment="1" applyProtection="1">
      <alignment horizontal="center"/>
    </xf>
    <xf numFmtId="0" fontId="3" fillId="7" borderId="8" xfId="0" applyFont="1" applyFill="1" applyBorder="1" applyAlignment="1" applyProtection="1">
      <alignment horizontal="center" vertical="center"/>
    </xf>
    <xf numFmtId="0" fontId="3" fillId="7" borderId="9" xfId="0" applyFont="1" applyFill="1" applyBorder="1" applyAlignment="1" applyProtection="1">
      <alignment horizontal="left"/>
    </xf>
    <xf numFmtId="0" fontId="0" fillId="2" borderId="16" xfId="0" applyFill="1" applyBorder="1" applyAlignment="1" applyProtection="1">
      <alignment horizontal="center" vertical="center" wrapText="1"/>
    </xf>
    <xf numFmtId="0" fontId="7" fillId="0" borderId="11" xfId="0" applyFont="1" applyBorder="1" applyProtection="1"/>
    <xf numFmtId="164" fontId="7" fillId="0" borderId="11" xfId="0" applyNumberFormat="1" applyFont="1" applyBorder="1" applyAlignment="1" applyProtection="1">
      <alignment horizontal="center"/>
    </xf>
    <xf numFmtId="0" fontId="7" fillId="0" borderId="11" xfId="0" applyFont="1" applyBorder="1" applyAlignment="1" applyProtection="1">
      <alignment horizontal="center" wrapText="1"/>
    </xf>
    <xf numFmtId="0" fontId="7" fillId="0" borderId="17" xfId="0" applyFont="1" applyBorder="1" applyAlignment="1" applyProtection="1">
      <alignment horizontal="left" wrapText="1"/>
    </xf>
    <xf numFmtId="0" fontId="0" fillId="2" borderId="5" xfId="0" applyFill="1" applyBorder="1" applyAlignment="1" applyProtection="1">
      <alignment horizontal="center" vertical="center" wrapText="1"/>
    </xf>
    <xf numFmtId="0" fontId="7" fillId="0" borderId="1" xfId="0" applyFont="1" applyBorder="1" applyProtection="1"/>
    <xf numFmtId="164" fontId="7" fillId="0" borderId="1" xfId="0" applyNumberFormat="1" applyFont="1" applyBorder="1" applyAlignment="1" applyProtection="1">
      <alignment horizontal="center"/>
    </xf>
    <xf numFmtId="0" fontId="7" fillId="0" borderId="1" xfId="0" applyFont="1" applyBorder="1" applyAlignment="1" applyProtection="1">
      <alignment horizontal="center" wrapText="1"/>
    </xf>
    <xf numFmtId="0" fontId="7" fillId="0" borderId="6" xfId="0" applyFont="1" applyBorder="1" applyAlignment="1" applyProtection="1">
      <alignment horizontal="left" wrapText="1"/>
    </xf>
    <xf numFmtId="10" fontId="7" fillId="0" borderId="1" xfId="0" applyNumberFormat="1" applyFont="1" applyBorder="1" applyAlignment="1" applyProtection="1">
      <alignment horizontal="center"/>
    </xf>
    <xf numFmtId="0" fontId="0" fillId="0" borderId="5" xfId="0" applyBorder="1" applyAlignment="1" applyProtection="1">
      <alignment horizontal="center" vertical="center" wrapText="1"/>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7" fillId="0" borderId="8" xfId="0" applyFont="1" applyBorder="1" applyProtection="1"/>
    <xf numFmtId="10" fontId="7" fillId="0" borderId="8" xfId="0" applyNumberFormat="1" applyFont="1" applyBorder="1" applyAlignment="1" applyProtection="1">
      <alignment horizontal="center"/>
    </xf>
    <xf numFmtId="0" fontId="7" fillId="0" borderId="8" xfId="0" applyFont="1" applyBorder="1" applyAlignment="1" applyProtection="1">
      <alignment horizontal="center" wrapText="1"/>
    </xf>
    <xf numFmtId="0" fontId="7" fillId="0" borderId="9" xfId="0" applyFont="1" applyBorder="1" applyAlignment="1" applyProtection="1">
      <alignment horizontal="left" wrapText="1"/>
    </xf>
    <xf numFmtId="0" fontId="0" fillId="0" borderId="0" xfId="0" applyAlignment="1" applyProtection="1">
      <alignment horizontal="left"/>
    </xf>
    <xf numFmtId="0" fontId="2" fillId="3" borderId="10" xfId="0" applyFont="1" applyFill="1" applyBorder="1" applyAlignment="1" applyProtection="1">
      <alignment horizontal="center"/>
    </xf>
    <xf numFmtId="0" fontId="2" fillId="3" borderId="11" xfId="0" applyFont="1" applyFill="1" applyBorder="1" applyAlignment="1" applyProtection="1">
      <alignment horizontal="center"/>
    </xf>
  </cellXfs>
  <cellStyles count="3">
    <cellStyle name="20% - Accent1" xfId="1" builtinId="30"/>
    <cellStyle name="Heading 1" xfId="2" builtinId="16"/>
    <cellStyle name="Normal" xfId="0" builtinId="0"/>
  </cellStyles>
  <dxfs count="21">
    <dxf>
      <font>
        <color theme="0"/>
      </font>
    </dxf>
    <dxf>
      <fill>
        <patternFill>
          <bgColor theme="0"/>
        </patternFill>
      </fill>
    </dxf>
    <dxf>
      <numFmt numFmtId="167" formatCode="0.0E+00"/>
    </dxf>
    <dxf>
      <numFmt numFmtId="4" formatCode="#,##0.00"/>
    </dxf>
    <dxf>
      <numFmt numFmtId="168" formatCode="#,##0.0"/>
    </dxf>
    <dxf>
      <numFmt numFmtId="3" formatCode="#,##0"/>
    </dxf>
    <dxf>
      <numFmt numFmtId="167" formatCode="0.0E+00"/>
    </dxf>
    <dxf>
      <font>
        <color theme="0"/>
      </font>
    </dxf>
    <dxf>
      <fill>
        <patternFill>
          <bgColor theme="0"/>
        </patternFill>
      </fill>
    </dxf>
    <dxf>
      <numFmt numFmtId="167" formatCode="0.0E+00"/>
    </dxf>
    <dxf>
      <numFmt numFmtId="4" formatCode="#,##0.00"/>
    </dxf>
    <dxf>
      <numFmt numFmtId="168" formatCode="#,##0.0"/>
    </dxf>
    <dxf>
      <numFmt numFmtId="3" formatCode="#,##0"/>
    </dxf>
    <dxf>
      <numFmt numFmtId="167" formatCode="0.0E+00"/>
    </dxf>
    <dxf>
      <font>
        <color theme="0"/>
      </font>
    </dxf>
    <dxf>
      <fill>
        <patternFill>
          <bgColor theme="0"/>
        </patternFill>
      </fill>
    </dxf>
    <dxf>
      <numFmt numFmtId="167" formatCode="0.0E+00"/>
    </dxf>
    <dxf>
      <numFmt numFmtId="4" formatCode="#,##0.00"/>
    </dxf>
    <dxf>
      <numFmt numFmtId="168" formatCode="#,##0.0"/>
    </dxf>
    <dxf>
      <numFmt numFmtId="3" formatCode="#,##0"/>
    </dxf>
    <dxf>
      <numFmt numFmtId="167" formatCode="0.0E+0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2317750</xdr:colOff>
      <xdr:row>7</xdr:row>
      <xdr:rowOff>28575</xdr:rowOff>
    </xdr:from>
    <xdr:to>
      <xdr:col>0</xdr:col>
      <xdr:colOff>5232400</xdr:colOff>
      <xdr:row>22</xdr:row>
      <xdr:rowOff>161925</xdr:rowOff>
    </xdr:to>
    <xdr:pic>
      <xdr:nvPicPr>
        <xdr:cNvPr id="2" name="Picture 1">
          <a:extLst>
            <a:ext uri="{FF2B5EF4-FFF2-40B4-BE49-F238E27FC236}">
              <a16:creationId xmlns:a16="http://schemas.microsoft.com/office/drawing/2014/main" id="{880885D2-AFC3-4D74-832D-D9941AC32F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750" y="1752600"/>
          <a:ext cx="2914650" cy="30003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5F5D6-29BF-4E1C-9D19-C88A3E08CA43}">
  <sheetPr codeName="Sheet1"/>
  <dimension ref="A1:A16"/>
  <sheetViews>
    <sheetView showGridLines="0" tabSelected="1" zoomScaleNormal="100" workbookViewId="0"/>
  </sheetViews>
  <sheetFormatPr defaultRowHeight="15" x14ac:dyDescent="0.25"/>
  <cols>
    <col min="1" max="1" width="112.5703125" style="2" customWidth="1"/>
    <col min="2" max="16384" width="9.140625" style="2"/>
  </cols>
  <sheetData>
    <row r="1" spans="1:1" ht="18.75" x14ac:dyDescent="0.3">
      <c r="A1" s="1" t="s">
        <v>261</v>
      </c>
    </row>
    <row r="2" spans="1:1" ht="18.75" x14ac:dyDescent="0.3">
      <c r="A2" s="3" t="s">
        <v>262</v>
      </c>
    </row>
    <row r="3" spans="1:1" ht="28.5" customHeight="1" x14ac:dyDescent="0.25">
      <c r="A3" s="4"/>
    </row>
    <row r="4" spans="1:1" ht="20.25" x14ac:dyDescent="0.3">
      <c r="A4" s="5" t="s">
        <v>264</v>
      </c>
    </row>
    <row r="5" spans="1:1" x14ac:dyDescent="0.25">
      <c r="A5" s="4"/>
    </row>
    <row r="6" spans="1:1" ht="18.75" x14ac:dyDescent="0.25">
      <c r="A6" s="6" t="s">
        <v>263</v>
      </c>
    </row>
    <row r="7" spans="1:1" ht="15.75" x14ac:dyDescent="0.25">
      <c r="A7" s="7"/>
    </row>
    <row r="9" spans="1:1" x14ac:dyDescent="0.25">
      <c r="A9" s="4"/>
    </row>
    <row r="10" spans="1:1" x14ac:dyDescent="0.25">
      <c r="A10" s="4"/>
    </row>
    <row r="11" spans="1:1" x14ac:dyDescent="0.25">
      <c r="A11" s="4"/>
    </row>
    <row r="12" spans="1:1" x14ac:dyDescent="0.25">
      <c r="A12" s="4"/>
    </row>
    <row r="13" spans="1:1" x14ac:dyDescent="0.25">
      <c r="A13" s="4"/>
    </row>
    <row r="16" spans="1:1" ht="15.75" x14ac:dyDescent="0.25">
      <c r="A16" s="8"/>
    </row>
  </sheetData>
  <sheetProtection sheet="1" objects="1" scenarios="1" formatCells="0" formatColumns="0" formatRows="0" sort="0" autoFilter="0"/>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394B-9516-4B7A-8839-1A8E987A6EFC}">
  <sheetPr codeName="Sheet10"/>
  <dimension ref="B2:C12"/>
  <sheetViews>
    <sheetView workbookViewId="0"/>
  </sheetViews>
  <sheetFormatPr defaultColWidth="8.85546875" defaultRowHeight="15" x14ac:dyDescent="0.25"/>
  <cols>
    <col min="1" max="1" width="3.140625" style="9" customWidth="1"/>
    <col min="2" max="2" width="12.5703125" style="9" customWidth="1"/>
    <col min="3" max="3" width="70.5703125" style="9" customWidth="1"/>
    <col min="4" max="16384" width="8.85546875" style="9"/>
  </cols>
  <sheetData>
    <row r="2" spans="2:3" s="9" customFormat="1" ht="14.45" customHeight="1" x14ac:dyDescent="0.25">
      <c r="B2" s="183" t="s">
        <v>258</v>
      </c>
      <c r="C2" s="183" t="s">
        <v>184</v>
      </c>
    </row>
    <row r="3" spans="2:3" s="9" customFormat="1" ht="15.95" customHeight="1" x14ac:dyDescent="0.25">
      <c r="B3" s="184"/>
      <c r="C3" s="184"/>
    </row>
    <row r="4" spans="2:3" s="9" customFormat="1" ht="21.6" customHeight="1" x14ac:dyDescent="0.25">
      <c r="B4" s="21" t="s">
        <v>70</v>
      </c>
      <c r="C4" s="21" t="s">
        <v>259</v>
      </c>
    </row>
    <row r="5" spans="2:3" s="9" customFormat="1" ht="21.6" customHeight="1" x14ac:dyDescent="0.25">
      <c r="B5" s="21" t="s">
        <v>73</v>
      </c>
      <c r="C5" s="21" t="s">
        <v>197</v>
      </c>
    </row>
    <row r="6" spans="2:3" s="9" customFormat="1" ht="21.6" customHeight="1" x14ac:dyDescent="0.25">
      <c r="B6" s="21" t="s">
        <v>76</v>
      </c>
      <c r="C6" s="21" t="s">
        <v>198</v>
      </c>
    </row>
    <row r="7" spans="2:3" s="9" customFormat="1" ht="21.6" customHeight="1" x14ac:dyDescent="0.25">
      <c r="B7" s="21" t="s">
        <v>78</v>
      </c>
      <c r="C7" s="21" t="s">
        <v>199</v>
      </c>
    </row>
    <row r="8" spans="2:3" s="9" customFormat="1" ht="21.6" customHeight="1" x14ac:dyDescent="0.25">
      <c r="B8" s="21" t="s">
        <v>81</v>
      </c>
      <c r="C8" s="21" t="s">
        <v>202</v>
      </c>
    </row>
    <row r="9" spans="2:3" s="9" customFormat="1" ht="21.6" customHeight="1" x14ac:dyDescent="0.25">
      <c r="B9" s="21" t="s">
        <v>85</v>
      </c>
      <c r="C9" s="21" t="s">
        <v>203</v>
      </c>
    </row>
    <row r="10" spans="2:3" s="9" customFormat="1" ht="21.6" customHeight="1" x14ac:dyDescent="0.25">
      <c r="B10" s="21" t="s">
        <v>88</v>
      </c>
      <c r="C10" s="21" t="s">
        <v>204</v>
      </c>
    </row>
    <row r="11" spans="2:3" s="9" customFormat="1" ht="21.6" customHeight="1" x14ac:dyDescent="0.25">
      <c r="B11" s="21" t="s">
        <v>90</v>
      </c>
      <c r="C11" s="21" t="s">
        <v>205</v>
      </c>
    </row>
    <row r="12" spans="2:3" s="9" customFormat="1" x14ac:dyDescent="0.25">
      <c r="B12" s="21" t="s">
        <v>92</v>
      </c>
      <c r="C12" s="21" t="s">
        <v>206</v>
      </c>
    </row>
  </sheetData>
  <sheetProtection sheet="1" objects="1" scenarios="1" formatCells="0" formatColumns="0" formatRows="0" sort="0" autoFilter="0"/>
  <autoFilter ref="B2:C3" xr:uid="{F41A394B-9516-4B7A-8839-1A8E987A6EFC}"/>
  <mergeCells count="2">
    <mergeCell ref="B2:B3"/>
    <mergeCell ref="C2:C3"/>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5CF9-CF2E-4121-A787-6C51DD23BA2B}">
  <sheetPr codeName="Sheet2"/>
  <dimension ref="B2:C13"/>
  <sheetViews>
    <sheetView workbookViewId="0"/>
  </sheetViews>
  <sheetFormatPr defaultColWidth="8.85546875" defaultRowHeight="15" x14ac:dyDescent="0.25"/>
  <cols>
    <col min="1" max="1" width="4.140625" style="9" customWidth="1"/>
    <col min="2" max="2" width="27" style="9" customWidth="1"/>
    <col min="3" max="3" width="95.85546875" style="9" customWidth="1"/>
    <col min="4" max="16384" width="8.85546875" style="9"/>
  </cols>
  <sheetData>
    <row r="2" spans="2:3" s="9" customFormat="1" ht="20.100000000000001" customHeight="1" x14ac:dyDescent="0.25"/>
    <row r="3" spans="2:3" s="9" customFormat="1" ht="24.75" thickBot="1" x14ac:dyDescent="0.45">
      <c r="B3" s="10" t="s">
        <v>0</v>
      </c>
      <c r="C3" s="10"/>
    </row>
    <row r="4" spans="2:3" s="9" customFormat="1" ht="20.25" thickBot="1" x14ac:dyDescent="0.35">
      <c r="B4" s="11" t="s">
        <v>1</v>
      </c>
      <c r="C4" s="12" t="s">
        <v>2</v>
      </c>
    </row>
    <row r="5" spans="2:3" s="9" customFormat="1" ht="15.75" x14ac:dyDescent="0.25">
      <c r="B5" s="13" t="s">
        <v>3</v>
      </c>
      <c r="C5" s="14" t="s">
        <v>4</v>
      </c>
    </row>
    <row r="6" spans="2:3" s="9" customFormat="1" ht="31.5" x14ac:dyDescent="0.25">
      <c r="B6" s="13" t="s">
        <v>5</v>
      </c>
      <c r="C6" s="14" t="s">
        <v>6</v>
      </c>
    </row>
    <row r="7" spans="2:3" s="9" customFormat="1" ht="15.75" x14ac:dyDescent="0.25">
      <c r="B7" s="15" t="s">
        <v>7</v>
      </c>
      <c r="C7" s="16" t="s">
        <v>8</v>
      </c>
    </row>
    <row r="8" spans="2:3" s="9" customFormat="1" ht="31.5" x14ac:dyDescent="0.25">
      <c r="B8" s="15" t="s">
        <v>9</v>
      </c>
      <c r="C8" s="16" t="s">
        <v>10</v>
      </c>
    </row>
    <row r="9" spans="2:3" s="9" customFormat="1" ht="47.25" x14ac:dyDescent="0.25">
      <c r="B9" s="15" t="s">
        <v>11</v>
      </c>
      <c r="C9" s="16" t="s">
        <v>12</v>
      </c>
    </row>
    <row r="10" spans="2:3" s="9" customFormat="1" ht="31.5" x14ac:dyDescent="0.25">
      <c r="B10" s="15" t="s">
        <v>13</v>
      </c>
      <c r="C10" s="16" t="s">
        <v>14</v>
      </c>
    </row>
    <row r="11" spans="2:3" s="9" customFormat="1" ht="15.75" x14ac:dyDescent="0.25">
      <c r="B11" s="13" t="s">
        <v>15</v>
      </c>
      <c r="C11" s="14" t="s">
        <v>266</v>
      </c>
    </row>
    <row r="12" spans="2:3" s="9" customFormat="1" ht="15.75" x14ac:dyDescent="0.25">
      <c r="B12" s="15" t="s">
        <v>16</v>
      </c>
      <c r="C12" s="16" t="s">
        <v>17</v>
      </c>
    </row>
    <row r="13" spans="2:3" s="9" customFormat="1" ht="16.5" thickBot="1" x14ac:dyDescent="0.3">
      <c r="B13" s="17" t="s">
        <v>18</v>
      </c>
      <c r="C13" s="18" t="s">
        <v>19</v>
      </c>
    </row>
  </sheetData>
  <sheetProtection sheet="1" objects="1" scenarios="1" formatCells="0" formatColumns="0" formatRows="0" sort="0" autoFilter="0"/>
  <autoFilter ref="B4:C4" xr:uid="{28415CF9-CF2E-4121-A787-6C51DD23BA2B}"/>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0F6AA-7E0A-4DD1-9CA8-DF1443B5440D}">
  <sheetPr codeName="Sheet3"/>
  <dimension ref="A2:A10"/>
  <sheetViews>
    <sheetView zoomScale="110" zoomScaleNormal="110" workbookViewId="0"/>
  </sheetViews>
  <sheetFormatPr defaultColWidth="8.7109375" defaultRowHeight="15" x14ac:dyDescent="0.25"/>
  <cols>
    <col min="1" max="1" width="136.5703125" style="9" customWidth="1"/>
    <col min="2" max="4" width="8.7109375" style="9"/>
    <col min="5" max="5" width="8.42578125" style="9" customWidth="1"/>
    <col min="6" max="16384" width="8.7109375" style="9"/>
  </cols>
  <sheetData>
    <row r="2" spans="1:1" s="9" customFormat="1" ht="15.75" x14ac:dyDescent="0.25">
      <c r="A2" s="19" t="s">
        <v>20</v>
      </c>
    </row>
    <row r="3" spans="1:1" s="9" customFormat="1" ht="121.5" x14ac:dyDescent="0.25">
      <c r="A3" s="20" t="s">
        <v>21</v>
      </c>
    </row>
    <row r="5" spans="1:1" s="9" customFormat="1" ht="15.75" x14ac:dyDescent="0.25">
      <c r="A5" s="19" t="s">
        <v>22</v>
      </c>
    </row>
    <row r="6" spans="1:1" s="9" customFormat="1" ht="120" x14ac:dyDescent="0.25">
      <c r="A6" s="20" t="s">
        <v>23</v>
      </c>
    </row>
    <row r="8" spans="1:1" s="9" customFormat="1" ht="45" x14ac:dyDescent="0.25">
      <c r="A8" s="20" t="s">
        <v>24</v>
      </c>
    </row>
    <row r="10" spans="1:1" s="9" customFormat="1" ht="104.1" customHeight="1" x14ac:dyDescent="0.25">
      <c r="A10" s="20" t="s">
        <v>265</v>
      </c>
    </row>
  </sheetData>
  <sheetProtection sheet="1" objects="1" scenarios="1" formatCells="0" formatColumns="0" formatRows="0" sort="0" autoFilter="0"/>
  <autoFilter ref="A2:A10" xr:uid="{0980F6AA-7E0A-4DD1-9CA8-DF1443B5440D}"/>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665F7-7556-4ADF-9F98-BECF6791D6E3}">
  <sheetPr codeName="Sheet4"/>
  <dimension ref="B2:Q65"/>
  <sheetViews>
    <sheetView zoomScale="80" zoomScaleNormal="80" workbookViewId="0"/>
  </sheetViews>
  <sheetFormatPr defaultColWidth="9.140625" defaultRowHeight="15" x14ac:dyDescent="0.25"/>
  <cols>
    <col min="1" max="1" width="3.42578125" style="9" customWidth="1"/>
    <col min="2" max="2" width="9.140625" style="9"/>
    <col min="3" max="3" width="44.85546875" style="9" customWidth="1"/>
    <col min="4" max="4" width="12.140625" style="9" customWidth="1"/>
    <col min="5" max="5" width="12.5703125" style="9" bestFit="1" customWidth="1"/>
    <col min="6" max="6" width="14.85546875" style="9" customWidth="1"/>
    <col min="7" max="7" width="18.85546875" style="9" customWidth="1"/>
    <col min="8" max="12" width="14.85546875" style="9" customWidth="1"/>
    <col min="13" max="13" width="17.5703125" style="9" customWidth="1"/>
    <col min="14" max="14" width="93" style="9" customWidth="1"/>
    <col min="15" max="16384" width="9.140625" style="9"/>
  </cols>
  <sheetData>
    <row r="2" spans="2:17" s="9" customFormat="1" x14ac:dyDescent="0.25">
      <c r="C2" s="21" t="s">
        <v>25</v>
      </c>
      <c r="D2" s="21" t="s">
        <v>26</v>
      </c>
    </row>
    <row r="4" spans="2:17" s="9" customFormat="1" ht="14.45" customHeight="1" x14ac:dyDescent="0.25">
      <c r="C4" s="22" t="s">
        <v>27</v>
      </c>
      <c r="D4" s="23" t="s">
        <v>28</v>
      </c>
      <c r="E4" s="23" t="s">
        <v>29</v>
      </c>
      <c r="F4" s="24" t="s">
        <v>30</v>
      </c>
      <c r="G4" s="24"/>
      <c r="H4" s="23" t="s">
        <v>31</v>
      </c>
      <c r="I4" s="23"/>
      <c r="J4" s="23"/>
      <c r="K4" s="23" t="s">
        <v>32</v>
      </c>
      <c r="L4" s="25" t="s">
        <v>33</v>
      </c>
      <c r="M4" s="23" t="s">
        <v>34</v>
      </c>
      <c r="N4" s="23" t="s">
        <v>35</v>
      </c>
      <c r="Q4" s="26" t="s">
        <v>36</v>
      </c>
    </row>
    <row r="5" spans="2:17" s="9" customFormat="1" ht="32.1" customHeight="1" x14ac:dyDescent="0.25">
      <c r="C5" s="22"/>
      <c r="D5" s="23"/>
      <c r="E5" s="23"/>
      <c r="F5" s="27" t="s">
        <v>37</v>
      </c>
      <c r="G5" s="27" t="s">
        <v>38</v>
      </c>
      <c r="H5" s="27" t="s">
        <v>39</v>
      </c>
      <c r="I5" s="27" t="s">
        <v>40</v>
      </c>
      <c r="J5" s="27" t="s">
        <v>41</v>
      </c>
      <c r="K5" s="23"/>
      <c r="L5" s="28"/>
      <c r="M5" s="23"/>
      <c r="N5" s="23"/>
      <c r="Q5" s="29" t="s">
        <v>26</v>
      </c>
    </row>
    <row r="6" spans="2:17" s="9" customFormat="1" ht="96.75" customHeight="1" x14ac:dyDescent="0.25">
      <c r="C6" s="30" t="s">
        <v>42</v>
      </c>
      <c r="D6" s="31" t="s">
        <v>43</v>
      </c>
      <c r="E6" s="31" t="s">
        <v>44</v>
      </c>
      <c r="F6" s="31">
        <v>1070</v>
      </c>
      <c r="G6" s="32" t="s">
        <v>45</v>
      </c>
      <c r="H6" s="33">
        <v>0</v>
      </c>
      <c r="I6" s="33">
        <v>1070</v>
      </c>
      <c r="J6" s="34" t="s">
        <v>46</v>
      </c>
      <c r="K6" s="32" t="s">
        <v>47</v>
      </c>
      <c r="L6" s="33" t="e" cm="1">
        <f t="array" aca="1" ref="L6" ca="1">_xll.RiskUniform(H6, I6, _xll.RiskName(C6), _xll.RiskStatic(F6))</f>
        <v>#NAME?</v>
      </c>
      <c r="M6" s="33" t="e">
        <f ca="1">IF($D$2=$Q$5, L6,F6)</f>
        <v>#NAME?</v>
      </c>
      <c r="N6" s="35" t="s">
        <v>48</v>
      </c>
      <c r="Q6" s="29" t="s">
        <v>49</v>
      </c>
    </row>
    <row r="7" spans="2:17" s="9" customFormat="1" ht="102.6" customHeight="1" x14ac:dyDescent="0.25">
      <c r="C7" s="30" t="s">
        <v>50</v>
      </c>
      <c r="D7" s="31" t="s">
        <v>51</v>
      </c>
      <c r="E7" s="31" t="s">
        <v>44</v>
      </c>
      <c r="F7" s="31">
        <v>890</v>
      </c>
      <c r="G7" s="32" t="s">
        <v>45</v>
      </c>
      <c r="H7" s="33">
        <v>0</v>
      </c>
      <c r="I7" s="33">
        <v>890</v>
      </c>
      <c r="J7" s="34" t="s">
        <v>46</v>
      </c>
      <c r="K7" s="32" t="s">
        <v>47</v>
      </c>
      <c r="L7" s="33" t="e" cm="1">
        <f t="array" aca="1" ref="L7" ca="1">_xll.RiskUniform(H7, I7, _xll.RiskName(C7), _xll.RiskStatic(F7))</f>
        <v>#NAME?</v>
      </c>
      <c r="M7" s="33" t="e">
        <f ca="1">IF($D$2=$Q$5, L7,F7)</f>
        <v>#NAME?</v>
      </c>
      <c r="N7" s="35"/>
    </row>
    <row r="8" spans="2:17" s="9" customFormat="1" ht="109.5" customHeight="1" x14ac:dyDescent="0.25">
      <c r="C8" s="31" t="s">
        <v>52</v>
      </c>
      <c r="D8" s="31" t="s">
        <v>53</v>
      </c>
      <c r="E8" s="31" t="s">
        <v>54</v>
      </c>
      <c r="F8" s="31">
        <v>2.1</v>
      </c>
      <c r="G8" s="32" t="s">
        <v>45</v>
      </c>
      <c r="H8" s="33">
        <v>0.7</v>
      </c>
      <c r="I8" s="33">
        <v>2.1</v>
      </c>
      <c r="J8" s="34" t="s">
        <v>46</v>
      </c>
      <c r="K8" s="32" t="s">
        <v>47</v>
      </c>
      <c r="L8" s="33" t="e" cm="1">
        <f t="array" aca="1" ref="L8" ca="1">_xll.RiskUniform(H8, I8, _xll.RiskName(C8), _xll.RiskStatic(F8))</f>
        <v>#NAME?</v>
      </c>
      <c r="M8" s="33" t="e">
        <f ca="1">IF($D$2=$Q$5, L8,F8)</f>
        <v>#NAME?</v>
      </c>
      <c r="N8" s="36" t="s">
        <v>55</v>
      </c>
    </row>
    <row r="9" spans="2:17" s="9" customFormat="1" ht="30" x14ac:dyDescent="0.25">
      <c r="C9" s="31" t="s">
        <v>56</v>
      </c>
      <c r="D9" s="31" t="s">
        <v>57</v>
      </c>
      <c r="E9" s="31" t="s">
        <v>58</v>
      </c>
      <c r="F9" s="31">
        <v>36</v>
      </c>
      <c r="G9" s="32" t="s">
        <v>41</v>
      </c>
      <c r="H9" s="33">
        <v>10.4</v>
      </c>
      <c r="I9" s="33">
        <v>44</v>
      </c>
      <c r="J9" s="33">
        <v>36</v>
      </c>
      <c r="K9" s="32" t="s">
        <v>59</v>
      </c>
      <c r="L9" s="33" t="e" cm="1">
        <f t="array" aca="1" ref="L9" ca="1">_xll.RiskTriang(H9, J9, I9, _xll.RiskStatic(F9), _xll.RiskName(C9))</f>
        <v>#NAME?</v>
      </c>
      <c r="M9" s="33" t="e">
        <f ca="1">IF($D$2=$Q$5, L9,F9)</f>
        <v>#NAME?</v>
      </c>
      <c r="N9" s="36" t="s">
        <v>60</v>
      </c>
    </row>
    <row r="10" spans="2:17" s="9" customFormat="1" ht="18" x14ac:dyDescent="0.25">
      <c r="C10" s="30" t="s">
        <v>61</v>
      </c>
      <c r="D10" s="31" t="s">
        <v>62</v>
      </c>
      <c r="E10" s="31" t="s">
        <v>63</v>
      </c>
      <c r="F10" s="31">
        <v>80</v>
      </c>
      <c r="G10" s="32" t="s">
        <v>64</v>
      </c>
      <c r="H10" s="34" t="s">
        <v>46</v>
      </c>
      <c r="I10" s="34" t="s">
        <v>46</v>
      </c>
      <c r="J10" s="34" t="s">
        <v>46</v>
      </c>
      <c r="K10" s="32" t="s">
        <v>65</v>
      </c>
      <c r="L10" s="34" t="s">
        <v>46</v>
      </c>
      <c r="M10" s="33">
        <f>F10</f>
        <v>80</v>
      </c>
      <c r="N10" s="36" t="s">
        <v>66</v>
      </c>
    </row>
    <row r="11" spans="2:17" s="9" customFormat="1" ht="18" x14ac:dyDescent="0.25">
      <c r="C11" s="30" t="s">
        <v>67</v>
      </c>
      <c r="D11" s="31" t="s">
        <v>68</v>
      </c>
      <c r="E11" s="31" t="s">
        <v>63</v>
      </c>
      <c r="F11" s="31">
        <v>72.400000000000006</v>
      </c>
      <c r="G11" s="32" t="s">
        <v>64</v>
      </c>
      <c r="H11" s="34" t="s">
        <v>46</v>
      </c>
      <c r="I11" s="34" t="s">
        <v>46</v>
      </c>
      <c r="J11" s="34" t="s">
        <v>46</v>
      </c>
      <c r="K11" s="32" t="s">
        <v>65</v>
      </c>
      <c r="L11" s="34" t="s">
        <v>46</v>
      </c>
      <c r="M11" s="33">
        <f>F11</f>
        <v>72.400000000000006</v>
      </c>
      <c r="N11" s="36" t="s">
        <v>66</v>
      </c>
    </row>
    <row r="12" spans="2:17" s="9" customFormat="1" ht="44.45" customHeight="1" x14ac:dyDescent="0.25">
      <c r="B12" s="37" t="s">
        <v>70</v>
      </c>
      <c r="C12" s="38" t="str">
        <f>_xlfn.CONCAT("Chemical Weight Fraction - ",_xlfn.XLOOKUP(B12,'OES Lookups'!$B$4:$B$12,'OES Lookups'!$C$4:$C$12))</f>
        <v>Chemical Weight Fraction - Manufacture</v>
      </c>
      <c r="D12" s="31" t="s">
        <v>71</v>
      </c>
      <c r="E12" s="31" t="s">
        <v>69</v>
      </c>
      <c r="F12" s="31">
        <v>1</v>
      </c>
      <c r="G12" s="32" t="s">
        <v>45</v>
      </c>
      <c r="H12" s="33">
        <v>0.9</v>
      </c>
      <c r="I12" s="33">
        <v>1</v>
      </c>
      <c r="J12" s="34" t="s">
        <v>46</v>
      </c>
      <c r="K12" s="32" t="s">
        <v>47</v>
      </c>
      <c r="L12" s="33" t="e" cm="1">
        <f t="array" aca="1" ref="L12" ca="1">_xll.RiskUniform(H12, I12, _xll.RiskName(C12), _xll.RiskStatic(F12))</f>
        <v>#NAME?</v>
      </c>
      <c r="M12" s="33" t="e">
        <f t="shared" ref="M12:M20" ca="1" si="0">IF($D$2=$Q$5, L12,F12)</f>
        <v>#NAME?</v>
      </c>
      <c r="N12" s="36" t="s">
        <v>72</v>
      </c>
    </row>
    <row r="13" spans="2:17" s="9" customFormat="1" ht="32.1" customHeight="1" x14ac:dyDescent="0.25">
      <c r="B13" s="37" t="s">
        <v>73</v>
      </c>
      <c r="C13" s="38" t="str">
        <f>_xlfn.CONCAT("Chemical Weight Fraction - ",_xlfn.XLOOKUP(B13,'OES Lookups'!$B$4:$B$12,'OES Lookups'!$C$4:$C$12))</f>
        <v>Chemical Weight Fraction - Repackaging</v>
      </c>
      <c r="D13" s="31" t="s">
        <v>74</v>
      </c>
      <c r="E13" s="31" t="s">
        <v>69</v>
      </c>
      <c r="F13" s="31">
        <v>1</v>
      </c>
      <c r="G13" s="32" t="s">
        <v>45</v>
      </c>
      <c r="H13" s="33">
        <v>0.9</v>
      </c>
      <c r="I13" s="33">
        <v>1</v>
      </c>
      <c r="J13" s="33">
        <v>1</v>
      </c>
      <c r="K13" s="32" t="s">
        <v>47</v>
      </c>
      <c r="L13" s="33" t="e" cm="1">
        <f t="array" aca="1" ref="L13" ca="1">_xll.RiskUniform(H13, I13, _xll.RiskName(C13), _xll.RiskStatic(F13))</f>
        <v>#NAME?</v>
      </c>
      <c r="M13" s="33" t="e">
        <f t="shared" ref="M13" ca="1" si="1">IF($D$2=$Q$5, L13,F13)</f>
        <v>#NAME?</v>
      </c>
      <c r="N13" s="36" t="s">
        <v>75</v>
      </c>
    </row>
    <row r="14" spans="2:17" s="9" customFormat="1" ht="32.1" customHeight="1" x14ac:dyDescent="0.25">
      <c r="B14" s="37" t="s">
        <v>76</v>
      </c>
      <c r="C14" s="38" t="str">
        <f>_xlfn.CONCAT("Chemical Weight Fraction - ",_xlfn.XLOOKUP(B14,'OES Lookups'!$B$4:$B$12,'OES Lookups'!$C$4:$C$12))</f>
        <v>Chemical Weight Fraction - Processing as a Reactant</v>
      </c>
      <c r="D14" s="31" t="s">
        <v>77</v>
      </c>
      <c r="E14" s="31" t="s">
        <v>69</v>
      </c>
      <c r="F14" s="31">
        <v>1</v>
      </c>
      <c r="G14" s="32" t="s">
        <v>45</v>
      </c>
      <c r="H14" s="33">
        <v>0.9</v>
      </c>
      <c r="I14" s="33">
        <v>1</v>
      </c>
      <c r="J14" s="34" t="s">
        <v>46</v>
      </c>
      <c r="K14" s="32" t="s">
        <v>47</v>
      </c>
      <c r="L14" s="33" t="e" cm="1">
        <f t="array" aca="1" ref="L14" ca="1">_xll.RiskUniform(H14, I14, _xll.RiskName(C14), _xll.RiskStatic(F14))</f>
        <v>#NAME?</v>
      </c>
      <c r="M14" s="33" t="e">
        <f t="shared" ca="1" si="0"/>
        <v>#NAME?</v>
      </c>
      <c r="N14" s="36" t="s">
        <v>260</v>
      </c>
    </row>
    <row r="15" spans="2:17" s="9" customFormat="1" ht="44.1" customHeight="1" x14ac:dyDescent="0.25">
      <c r="B15" s="37" t="s">
        <v>78</v>
      </c>
      <c r="C15" s="38" t="str">
        <f>_xlfn.CONCAT("Chemical Weight Fraction - ",_xlfn.XLOOKUP(B15,'OES Lookups'!$B$4:$B$12,'OES Lookups'!$C$4:$C$12))</f>
        <v>Chemical Weight Fraction - Processing Aid</v>
      </c>
      <c r="D15" s="31" t="s">
        <v>79</v>
      </c>
      <c r="E15" s="31" t="s">
        <v>69</v>
      </c>
      <c r="F15" s="31">
        <v>1</v>
      </c>
      <c r="G15" s="32" t="s">
        <v>45</v>
      </c>
      <c r="H15" s="33">
        <v>0.9</v>
      </c>
      <c r="I15" s="33">
        <v>1</v>
      </c>
      <c r="J15" s="34" t="s">
        <v>46</v>
      </c>
      <c r="K15" s="32" t="s">
        <v>47</v>
      </c>
      <c r="L15" s="33" t="e" cm="1">
        <f t="array" aca="1" ref="L15" ca="1">_xll.RiskUniform(H15, I15, _xll.RiskName(C15), _xll.RiskStatic(F15))</f>
        <v>#NAME?</v>
      </c>
      <c r="M15" s="33" t="e">
        <f t="shared" ca="1" si="0"/>
        <v>#NAME?</v>
      </c>
      <c r="N15" s="36" t="s">
        <v>260</v>
      </c>
    </row>
    <row r="16" spans="2:17" s="9" customFormat="1" ht="32.1" customHeight="1" x14ac:dyDescent="0.25">
      <c r="B16" s="37" t="s">
        <v>81</v>
      </c>
      <c r="C16" s="38" t="str">
        <f>_xlfn.CONCAT("Chemical Weight Fraction - ",_xlfn.XLOOKUP(B16,'OES Lookups'!$B$4:$B$12,'OES Lookups'!$C$4:$C$12))</f>
        <v>Chemical Weight Fraction - Use as Laboratory Chemical</v>
      </c>
      <c r="D16" s="31" t="s">
        <v>82</v>
      </c>
      <c r="E16" s="31" t="s">
        <v>69</v>
      </c>
      <c r="F16" s="31">
        <v>1</v>
      </c>
      <c r="G16" s="32" t="s">
        <v>45</v>
      </c>
      <c r="H16" s="33">
        <v>2.0000000000000001E-4</v>
      </c>
      <c r="I16" s="33">
        <v>1</v>
      </c>
      <c r="J16" s="33">
        <v>1</v>
      </c>
      <c r="K16" s="32" t="s">
        <v>80</v>
      </c>
      <c r="L16" s="39" t="s">
        <v>83</v>
      </c>
      <c r="M16" s="40"/>
      <c r="N16" s="36" t="s">
        <v>84</v>
      </c>
    </row>
    <row r="17" spans="2:14" s="9" customFormat="1" ht="32.1" customHeight="1" x14ac:dyDescent="0.25">
      <c r="B17" s="37" t="s">
        <v>85</v>
      </c>
      <c r="C17" s="38" t="str">
        <f>_xlfn.CONCAT("Chemical Weight Fraction - ",_xlfn.XLOOKUP(B17,'OES Lookups'!$B$4:$B$12,'OES Lookups'!$C$4:$C$12))</f>
        <v>Chemical Weight Fraction - Waste Handling, Treatment and Disposal (incineration)</v>
      </c>
      <c r="D17" s="31" t="s">
        <v>86</v>
      </c>
      <c r="E17" s="31" t="s">
        <v>69</v>
      </c>
      <c r="F17" s="31">
        <v>1</v>
      </c>
      <c r="G17" s="32" t="s">
        <v>45</v>
      </c>
      <c r="H17" s="33">
        <v>2.0000000000000001E-4</v>
      </c>
      <c r="I17" s="33">
        <v>1</v>
      </c>
      <c r="J17" s="34" t="s">
        <v>46</v>
      </c>
      <c r="K17" s="32" t="s">
        <v>47</v>
      </c>
      <c r="L17" s="33" t="e" cm="1">
        <f t="array" aca="1" ref="L17" ca="1">_xll.RiskUniform(H17, I17, _xll.RiskName(C17), _xll.RiskStatic(F17))</f>
        <v>#NAME?</v>
      </c>
      <c r="M17" s="33" t="e">
        <f t="shared" ca="1" si="0"/>
        <v>#NAME?</v>
      </c>
      <c r="N17" s="21" t="s">
        <v>87</v>
      </c>
    </row>
    <row r="18" spans="2:14" s="9" customFormat="1" ht="32.1" customHeight="1" x14ac:dyDescent="0.25">
      <c r="B18" s="37" t="s">
        <v>88</v>
      </c>
      <c r="C18" s="38" t="str">
        <f>_xlfn.CONCAT("Chemical Weight Fraction - ",_xlfn.XLOOKUP(B18,'OES Lookups'!$B$4:$B$12,'OES Lookups'!$C$4:$C$12))</f>
        <v>Chemical Weight Fraction - Waste Handling, Treatment and Disposal (landfill)</v>
      </c>
      <c r="D18" s="31" t="s">
        <v>89</v>
      </c>
      <c r="E18" s="31" t="s">
        <v>69</v>
      </c>
      <c r="F18" s="31">
        <v>1</v>
      </c>
      <c r="G18" s="32" t="s">
        <v>45</v>
      </c>
      <c r="H18" s="33">
        <v>2.0000000000000001E-4</v>
      </c>
      <c r="I18" s="33">
        <v>1</v>
      </c>
      <c r="J18" s="34" t="s">
        <v>46</v>
      </c>
      <c r="K18" s="32" t="s">
        <v>47</v>
      </c>
      <c r="L18" s="33" t="e" cm="1">
        <f t="array" aca="1" ref="L18" ca="1">_xll.RiskUniform(H18, I18, _xll.RiskName(C18), _xll.RiskStatic(F18))</f>
        <v>#NAME?</v>
      </c>
      <c r="M18" s="33" t="e">
        <f t="shared" ca="1" si="0"/>
        <v>#NAME?</v>
      </c>
      <c r="N18" s="21" t="s">
        <v>87</v>
      </c>
    </row>
    <row r="19" spans="2:14" s="9" customFormat="1" ht="30" x14ac:dyDescent="0.25">
      <c r="B19" s="37" t="s">
        <v>90</v>
      </c>
      <c r="C19" s="38" t="str">
        <f>_xlfn.CONCAT("Chemical Weight Fraction - ",_xlfn.XLOOKUP(B19,'OES Lookups'!$B$4:$B$12,'OES Lookups'!$C$4:$C$12))</f>
        <v>Chemical Weight Fraction - Waste Handling, Treatment and Disposal (POTW)</v>
      </c>
      <c r="D19" s="31" t="s">
        <v>91</v>
      </c>
      <c r="E19" s="31" t="s">
        <v>69</v>
      </c>
      <c r="F19" s="31">
        <v>1</v>
      </c>
      <c r="G19" s="32" t="s">
        <v>45</v>
      </c>
      <c r="H19" s="33">
        <v>2.0000000000000001E-4</v>
      </c>
      <c r="I19" s="33">
        <v>1</v>
      </c>
      <c r="J19" s="34" t="s">
        <v>46</v>
      </c>
      <c r="K19" s="32" t="s">
        <v>47</v>
      </c>
      <c r="L19" s="33" t="e" cm="1">
        <f t="array" aca="1" ref="L19" ca="1">_xll.RiskUniform(H19, I19, _xll.RiskName(C19), _xll.RiskStatic(F19))</f>
        <v>#NAME?</v>
      </c>
      <c r="M19" s="33" t="e">
        <f t="shared" ca="1" si="0"/>
        <v>#NAME?</v>
      </c>
      <c r="N19" s="21" t="s">
        <v>87</v>
      </c>
    </row>
    <row r="20" spans="2:14" s="9" customFormat="1" ht="30" x14ac:dyDescent="0.25">
      <c r="B20" s="37" t="s">
        <v>92</v>
      </c>
      <c r="C20" s="38" t="str">
        <f>_xlfn.CONCAT("Chemical Weight Fraction - ",_xlfn.XLOOKUP(B20,'OES Lookups'!$B$4:$B$12,'OES Lookups'!$C$4:$C$12))</f>
        <v>Chemical Weight Fraction - Waste Handling, Treatment and Disposal (Non-POTW WWT)</v>
      </c>
      <c r="D20" s="31" t="s">
        <v>93</v>
      </c>
      <c r="E20" s="31" t="s">
        <v>69</v>
      </c>
      <c r="F20" s="31">
        <v>1</v>
      </c>
      <c r="G20" s="32" t="s">
        <v>45</v>
      </c>
      <c r="H20" s="33">
        <v>2.0000000000000001E-4</v>
      </c>
      <c r="I20" s="33">
        <v>1</v>
      </c>
      <c r="J20" s="34" t="s">
        <v>46</v>
      </c>
      <c r="K20" s="32" t="s">
        <v>47</v>
      </c>
      <c r="L20" s="33" t="e" cm="1">
        <f t="array" aca="1" ref="L20" ca="1">_xll.RiskUniform(H20, I20, _xll.RiskName(C20), _xll.RiskStatic(F20))</f>
        <v>#NAME?</v>
      </c>
      <c r="M20" s="33" t="e">
        <f t="shared" ca="1" si="0"/>
        <v>#NAME?</v>
      </c>
      <c r="N20" s="21" t="s">
        <v>87</v>
      </c>
    </row>
    <row r="21" spans="2:14" s="20" customFormat="1" ht="34.5" customHeight="1" x14ac:dyDescent="0.25">
      <c r="B21" s="41" t="s">
        <v>70</v>
      </c>
      <c r="C21" s="42" t="str">
        <f>_xlfn.CONCAT("Exposure Days - ",_xlfn.XLOOKUP(B21,'OES Lookups'!$B$4:$B$12,'OES Lookups'!$C$4:$C$12))</f>
        <v>Exposure Days - Manufacture</v>
      </c>
      <c r="D21" s="36" t="s">
        <v>96</v>
      </c>
      <c r="E21" s="30" t="s">
        <v>94</v>
      </c>
      <c r="F21" s="31">
        <v>250</v>
      </c>
      <c r="G21" s="42" t="s">
        <v>64</v>
      </c>
      <c r="H21" s="43" t="s">
        <v>46</v>
      </c>
      <c r="I21" s="43" t="s">
        <v>46</v>
      </c>
      <c r="J21" s="43" t="s">
        <v>46</v>
      </c>
      <c r="K21" s="42" t="s">
        <v>65</v>
      </c>
      <c r="L21" s="43" t="s">
        <v>46</v>
      </c>
      <c r="M21" s="44">
        <f>F21</f>
        <v>250</v>
      </c>
      <c r="N21" s="36" t="s">
        <v>95</v>
      </c>
    </row>
    <row r="22" spans="2:14" s="20" customFormat="1" ht="46.5" customHeight="1" x14ac:dyDescent="0.25">
      <c r="B22" s="41" t="s">
        <v>73</v>
      </c>
      <c r="C22" s="42" t="str">
        <f>_xlfn.CONCAT("Exposure Days - ",_xlfn.XLOOKUP(B22,'OES Lookups'!$B$4:$B$12,'OES Lookups'!$C$4:$C$12))</f>
        <v>Exposure Days - Repackaging</v>
      </c>
      <c r="D22" s="36" t="s">
        <v>97</v>
      </c>
      <c r="E22" s="30" t="s">
        <v>94</v>
      </c>
      <c r="F22" s="31">
        <v>250</v>
      </c>
      <c r="G22" s="42" t="s">
        <v>45</v>
      </c>
      <c r="H22" s="44">
        <v>167</v>
      </c>
      <c r="I22" s="44">
        <v>250</v>
      </c>
      <c r="J22" s="43">
        <v>250</v>
      </c>
      <c r="K22" s="42" t="s">
        <v>80</v>
      </c>
      <c r="L22" s="39" t="s">
        <v>98</v>
      </c>
      <c r="M22" s="40"/>
      <c r="N22" s="45" t="s">
        <v>99</v>
      </c>
    </row>
    <row r="23" spans="2:14" s="20" customFormat="1" ht="34.5" customHeight="1" x14ac:dyDescent="0.25">
      <c r="B23" s="41" t="s">
        <v>76</v>
      </c>
      <c r="C23" s="42" t="str">
        <f>_xlfn.CONCAT("Exposure Days - ",_xlfn.XLOOKUP(B23,'OES Lookups'!$B$4:$B$12,'OES Lookups'!$C$4:$C$12))</f>
        <v>Exposure Days - Processing as a Reactant</v>
      </c>
      <c r="D23" s="36" t="s">
        <v>100</v>
      </c>
      <c r="E23" s="30" t="s">
        <v>94</v>
      </c>
      <c r="F23" s="31">
        <v>250</v>
      </c>
      <c r="G23" s="42" t="s">
        <v>64</v>
      </c>
      <c r="H23" s="43" t="s">
        <v>46</v>
      </c>
      <c r="I23" s="43" t="s">
        <v>46</v>
      </c>
      <c r="J23" s="43" t="s">
        <v>46</v>
      </c>
      <c r="K23" s="42" t="s">
        <v>65</v>
      </c>
      <c r="L23" s="43" t="s">
        <v>46</v>
      </c>
      <c r="M23" s="44">
        <f>F23</f>
        <v>250</v>
      </c>
      <c r="N23" s="36" t="s">
        <v>95</v>
      </c>
    </row>
    <row r="24" spans="2:14" s="20" customFormat="1" ht="34.5" customHeight="1" x14ac:dyDescent="0.25">
      <c r="B24" s="41" t="s">
        <v>78</v>
      </c>
      <c r="C24" s="42" t="str">
        <f>_xlfn.CONCAT("Exposure Days - ",_xlfn.XLOOKUP(B24,'OES Lookups'!$B$4:$B$12,'OES Lookups'!$C$4:$C$12))</f>
        <v>Exposure Days - Processing Aid</v>
      </c>
      <c r="D24" s="36" t="s">
        <v>101</v>
      </c>
      <c r="E24" s="30" t="s">
        <v>94</v>
      </c>
      <c r="F24" s="31">
        <v>250</v>
      </c>
      <c r="G24" s="42" t="s">
        <v>64</v>
      </c>
      <c r="H24" s="43" t="s">
        <v>46</v>
      </c>
      <c r="I24" s="43" t="s">
        <v>46</v>
      </c>
      <c r="J24" s="43" t="s">
        <v>46</v>
      </c>
      <c r="K24" s="42" t="s">
        <v>65</v>
      </c>
      <c r="L24" s="43" t="s">
        <v>46</v>
      </c>
      <c r="M24" s="44">
        <f>F24</f>
        <v>250</v>
      </c>
      <c r="N24" s="36" t="s">
        <v>95</v>
      </c>
    </row>
    <row r="25" spans="2:14" s="20" customFormat="1" ht="45" customHeight="1" x14ac:dyDescent="0.25">
      <c r="B25" s="41" t="s">
        <v>81</v>
      </c>
      <c r="C25" s="42" t="str">
        <f>_xlfn.CONCAT("Exposure Days - ",_xlfn.XLOOKUP(B25,'OES Lookups'!$B$4:$B$12,'OES Lookups'!$C$4:$C$12))</f>
        <v>Exposure Days - Use as Laboratory Chemical</v>
      </c>
      <c r="D25" s="36" t="s">
        <v>102</v>
      </c>
      <c r="E25" s="30" t="s">
        <v>94</v>
      </c>
      <c r="F25" s="31">
        <v>250</v>
      </c>
      <c r="G25" s="42" t="s">
        <v>45</v>
      </c>
      <c r="H25" s="44">
        <v>167</v>
      </c>
      <c r="I25" s="44">
        <v>250</v>
      </c>
      <c r="J25" s="43">
        <v>250</v>
      </c>
      <c r="K25" s="42" t="s">
        <v>80</v>
      </c>
      <c r="L25" s="39" t="s">
        <v>98</v>
      </c>
      <c r="M25" s="40"/>
      <c r="N25" s="45" t="s">
        <v>103</v>
      </c>
    </row>
    <row r="26" spans="2:14" s="20" customFormat="1" ht="34.5" customHeight="1" x14ac:dyDescent="0.25">
      <c r="B26" s="41" t="s">
        <v>85</v>
      </c>
      <c r="C26" s="42" t="str">
        <f>_xlfn.CONCAT("Exposure Days - ",_xlfn.XLOOKUP(B26,'OES Lookups'!$B$4:$B$12,'OES Lookups'!$C$4:$C$12))</f>
        <v>Exposure Days - Waste Handling, Treatment and Disposal (incineration)</v>
      </c>
      <c r="D26" s="36" t="s">
        <v>104</v>
      </c>
      <c r="E26" s="30" t="s">
        <v>94</v>
      </c>
      <c r="F26" s="31">
        <v>250</v>
      </c>
      <c r="G26" s="42" t="s">
        <v>64</v>
      </c>
      <c r="H26" s="43" t="s">
        <v>46</v>
      </c>
      <c r="I26" s="43" t="s">
        <v>46</v>
      </c>
      <c r="J26" s="43" t="s">
        <v>46</v>
      </c>
      <c r="K26" s="42" t="s">
        <v>65</v>
      </c>
      <c r="L26" s="43" t="s">
        <v>46</v>
      </c>
      <c r="M26" s="44">
        <f>F26</f>
        <v>250</v>
      </c>
      <c r="N26" s="36" t="s">
        <v>95</v>
      </c>
    </row>
    <row r="27" spans="2:14" s="20" customFormat="1" ht="34.5" customHeight="1" x14ac:dyDescent="0.25">
      <c r="B27" s="41" t="s">
        <v>88</v>
      </c>
      <c r="C27" s="42" t="str">
        <f>_xlfn.CONCAT("Exposure Days - ",_xlfn.XLOOKUP(B27,'OES Lookups'!$B$4:$B$12,'OES Lookups'!$C$4:$C$12))</f>
        <v>Exposure Days - Waste Handling, Treatment and Disposal (landfill)</v>
      </c>
      <c r="D27" s="36" t="s">
        <v>105</v>
      </c>
      <c r="E27" s="30" t="s">
        <v>94</v>
      </c>
      <c r="F27" s="31">
        <v>250</v>
      </c>
      <c r="G27" s="42" t="s">
        <v>64</v>
      </c>
      <c r="H27" s="43" t="s">
        <v>46</v>
      </c>
      <c r="I27" s="43" t="s">
        <v>46</v>
      </c>
      <c r="J27" s="43" t="s">
        <v>46</v>
      </c>
      <c r="K27" s="42" t="s">
        <v>65</v>
      </c>
      <c r="L27" s="43" t="s">
        <v>46</v>
      </c>
      <c r="M27" s="44">
        <f>F27</f>
        <v>250</v>
      </c>
      <c r="N27" s="36" t="s">
        <v>95</v>
      </c>
    </row>
    <row r="28" spans="2:14" s="20" customFormat="1" ht="34.5" customHeight="1" x14ac:dyDescent="0.25">
      <c r="B28" s="41" t="s">
        <v>90</v>
      </c>
      <c r="C28" s="42" t="str">
        <f>_xlfn.CONCAT("Exposure Days - ",_xlfn.XLOOKUP(B28,'OES Lookups'!$B$4:$B$12,'OES Lookups'!$C$4:$C$12))</f>
        <v>Exposure Days - Waste Handling, Treatment and Disposal (POTW)</v>
      </c>
      <c r="D28" s="36" t="s">
        <v>106</v>
      </c>
      <c r="E28" s="30" t="s">
        <v>94</v>
      </c>
      <c r="F28" s="31">
        <v>250</v>
      </c>
      <c r="G28" s="42" t="s">
        <v>64</v>
      </c>
      <c r="H28" s="43" t="s">
        <v>46</v>
      </c>
      <c r="I28" s="43" t="s">
        <v>46</v>
      </c>
      <c r="J28" s="43" t="s">
        <v>46</v>
      </c>
      <c r="K28" s="42" t="s">
        <v>65</v>
      </c>
      <c r="L28" s="43" t="s">
        <v>46</v>
      </c>
      <c r="M28" s="44">
        <f>F28</f>
        <v>250</v>
      </c>
      <c r="N28" s="36" t="s">
        <v>95</v>
      </c>
    </row>
    <row r="29" spans="2:14" s="20" customFormat="1" ht="34.5" customHeight="1" x14ac:dyDescent="0.25">
      <c r="B29" s="41" t="s">
        <v>92</v>
      </c>
      <c r="C29" s="42" t="str">
        <f>_xlfn.CONCAT("Exposure Days - ",_xlfn.XLOOKUP(B29,'OES Lookups'!$B$4:$B$12,'OES Lookups'!$C$4:$C$12))</f>
        <v>Exposure Days - Waste Handling, Treatment and Disposal (Non-POTW WWT)</v>
      </c>
      <c r="D29" s="36" t="s">
        <v>107</v>
      </c>
      <c r="E29" s="30" t="s">
        <v>94</v>
      </c>
      <c r="F29" s="31">
        <v>250</v>
      </c>
      <c r="G29" s="42" t="s">
        <v>64</v>
      </c>
      <c r="H29" s="43" t="s">
        <v>46</v>
      </c>
      <c r="I29" s="43" t="s">
        <v>46</v>
      </c>
      <c r="J29" s="43" t="s">
        <v>46</v>
      </c>
      <c r="K29" s="42" t="s">
        <v>65</v>
      </c>
      <c r="L29" s="43" t="s">
        <v>46</v>
      </c>
      <c r="M29" s="44">
        <f>F29</f>
        <v>250</v>
      </c>
      <c r="N29" s="36" t="s">
        <v>95</v>
      </c>
    </row>
    <row r="32" spans="2:14" s="9" customFormat="1" x14ac:dyDescent="0.25">
      <c r="C32" s="46" t="s">
        <v>108</v>
      </c>
      <c r="D32" s="47" t="s">
        <v>28</v>
      </c>
      <c r="E32" s="46" t="s">
        <v>37</v>
      </c>
      <c r="F32" s="46" t="s">
        <v>29</v>
      </c>
      <c r="G32" s="48" t="s">
        <v>35</v>
      </c>
      <c r="H32" s="48"/>
      <c r="I32" s="48"/>
      <c r="J32" s="48"/>
      <c r="K32" s="48"/>
      <c r="L32" s="48"/>
      <c r="M32" s="48"/>
      <c r="N32" s="48"/>
    </row>
    <row r="33" spans="3:14" s="9" customFormat="1" ht="36.950000000000003" customHeight="1" x14ac:dyDescent="0.35">
      <c r="C33" s="49" t="s">
        <v>109</v>
      </c>
      <c r="D33" s="50" t="s">
        <v>110</v>
      </c>
      <c r="E33" s="50">
        <v>1.7513999999999998E-2</v>
      </c>
      <c r="F33" s="50" t="s">
        <v>69</v>
      </c>
      <c r="G33" s="51" t="s">
        <v>111</v>
      </c>
      <c r="H33" s="52"/>
      <c r="I33" s="52"/>
      <c r="J33" s="52"/>
      <c r="K33" s="52"/>
      <c r="L33" s="52"/>
      <c r="M33" s="52"/>
      <c r="N33" s="53"/>
    </row>
    <row r="34" spans="3:14" s="9" customFormat="1" ht="36.950000000000003" customHeight="1" x14ac:dyDescent="0.35">
      <c r="C34" s="54"/>
      <c r="D34" s="50" t="s">
        <v>112</v>
      </c>
      <c r="E34" s="50">
        <v>1.5507999999999999E-2</v>
      </c>
      <c r="F34" s="50" t="s">
        <v>69</v>
      </c>
      <c r="G34" s="55"/>
      <c r="H34" s="56"/>
      <c r="I34" s="56"/>
      <c r="J34" s="56"/>
      <c r="K34" s="56"/>
      <c r="L34" s="56"/>
      <c r="M34" s="56"/>
      <c r="N34" s="57"/>
    </row>
    <row r="35" spans="3:14" s="9" customFormat="1" ht="36.950000000000003" customHeight="1" x14ac:dyDescent="0.35">
      <c r="C35" s="54"/>
      <c r="D35" s="50" t="s">
        <v>113</v>
      </c>
      <c r="E35" s="50">
        <v>1.0947E-2</v>
      </c>
      <c r="F35" s="50" t="s">
        <v>69</v>
      </c>
      <c r="G35" s="55"/>
      <c r="H35" s="56"/>
      <c r="I35" s="56"/>
      <c r="J35" s="56"/>
      <c r="K35" s="56"/>
      <c r="L35" s="56"/>
      <c r="M35" s="56"/>
      <c r="N35" s="57"/>
    </row>
    <row r="36" spans="3:14" s="9" customFormat="1" ht="36.950000000000003" customHeight="1" x14ac:dyDescent="0.35">
      <c r="C36" s="58"/>
      <c r="D36" s="50" t="s">
        <v>114</v>
      </c>
      <c r="E36" s="50">
        <v>1.1613999999999999E-2</v>
      </c>
      <c r="F36" s="50" t="s">
        <v>69</v>
      </c>
      <c r="G36" s="59"/>
      <c r="H36" s="60"/>
      <c r="I36" s="60"/>
      <c r="J36" s="60"/>
      <c r="K36" s="60"/>
      <c r="L36" s="60"/>
      <c r="M36" s="60"/>
      <c r="N36" s="61"/>
    </row>
    <row r="37" spans="3:14" s="9" customFormat="1" ht="45" customHeight="1" x14ac:dyDescent="0.25">
      <c r="C37" s="21" t="s">
        <v>115</v>
      </c>
      <c r="D37" s="21" t="s">
        <v>116</v>
      </c>
      <c r="E37" s="21">
        <v>1</v>
      </c>
      <c r="F37" s="21" t="s">
        <v>117</v>
      </c>
      <c r="G37" s="62" t="s">
        <v>118</v>
      </c>
      <c r="H37" s="62"/>
      <c r="I37" s="62"/>
      <c r="J37" s="62"/>
      <c r="K37" s="62"/>
      <c r="L37" s="62"/>
      <c r="M37" s="62"/>
      <c r="N37" s="62"/>
    </row>
    <row r="38" spans="3:14" s="9" customFormat="1" x14ac:dyDescent="0.25">
      <c r="C38" s="21" t="s">
        <v>119</v>
      </c>
      <c r="D38" s="21" t="s">
        <v>120</v>
      </c>
      <c r="E38" s="21">
        <v>22</v>
      </c>
      <c r="F38" s="21" t="s">
        <v>121</v>
      </c>
      <c r="G38" s="63"/>
      <c r="H38" s="63"/>
      <c r="I38" s="63"/>
      <c r="J38" s="63"/>
      <c r="K38" s="63"/>
      <c r="L38" s="63"/>
      <c r="M38" s="63"/>
      <c r="N38" s="63"/>
    </row>
    <row r="39" spans="3:14" s="9" customFormat="1" ht="15" customHeight="1" x14ac:dyDescent="0.25">
      <c r="C39" s="21" t="s">
        <v>122</v>
      </c>
      <c r="D39" s="21" t="s">
        <v>123</v>
      </c>
      <c r="E39" s="21">
        <v>30</v>
      </c>
      <c r="F39" s="21" t="s">
        <v>121</v>
      </c>
    </row>
    <row r="40" spans="3:14" s="9" customFormat="1" ht="30" x14ac:dyDescent="0.25">
      <c r="C40" s="36" t="s">
        <v>124</v>
      </c>
      <c r="D40" s="21" t="s">
        <v>125</v>
      </c>
      <c r="E40" s="21">
        <v>28470</v>
      </c>
      <c r="F40" s="21" t="s">
        <v>121</v>
      </c>
      <c r="G40" s="64" t="s">
        <v>126</v>
      </c>
      <c r="H40" s="65"/>
      <c r="I40" s="65"/>
      <c r="J40" s="65"/>
      <c r="K40" s="65"/>
      <c r="L40" s="65"/>
      <c r="M40" s="65"/>
      <c r="N40" s="66"/>
    </row>
    <row r="41" spans="3:14" s="9" customFormat="1" x14ac:dyDescent="0.25">
      <c r="C41" s="36" t="s">
        <v>127</v>
      </c>
      <c r="D41" s="21" t="s">
        <v>128</v>
      </c>
      <c r="E41" s="21">
        <v>365</v>
      </c>
      <c r="F41" s="21" t="s">
        <v>121</v>
      </c>
      <c r="G41" s="67"/>
      <c r="H41" s="67"/>
      <c r="I41" s="67"/>
      <c r="J41" s="67"/>
      <c r="K41" s="67"/>
      <c r="L41" s="67"/>
      <c r="M41" s="67"/>
      <c r="N41" s="67"/>
    </row>
    <row r="44" spans="3:14" s="9" customFormat="1" ht="18" x14ac:dyDescent="0.25">
      <c r="C44" s="46" t="s">
        <v>129</v>
      </c>
      <c r="D44" s="68" t="s">
        <v>130</v>
      </c>
      <c r="E44" s="46" t="e" cm="1">
        <f t="array" aca="1" ref="E44" ca="1">_xll.RiskOutput()+VLOOKUP(F46,C50:F52,4,FALSE)</f>
        <v>#NAME?</v>
      </c>
      <c r="F44" s="46" t="s">
        <v>69</v>
      </c>
      <c r="H44" s="69" t="s">
        <v>131</v>
      </c>
      <c r="I44" s="69"/>
      <c r="J44" s="69"/>
      <c r="K44" s="70" t="s">
        <v>132</v>
      </c>
      <c r="L44" s="71" t="e" cm="1">
        <f t="array" aca="1" ref="L44" ca="1">_xll.RiskOutput()+VLOOKUP(M46,H49:I53,2,FALSE)</f>
        <v>#NAME?</v>
      </c>
      <c r="M44" s="71" t="s">
        <v>94</v>
      </c>
    </row>
    <row r="45" spans="3:14" s="9" customFormat="1" ht="45" x14ac:dyDescent="0.25">
      <c r="C45" s="72" t="s">
        <v>133</v>
      </c>
      <c r="D45" s="73" t="s">
        <v>134</v>
      </c>
      <c r="E45" s="73"/>
      <c r="F45" s="74" t="s">
        <v>135</v>
      </c>
      <c r="H45" s="75" t="s">
        <v>136</v>
      </c>
      <c r="I45" s="75"/>
      <c r="J45" s="75"/>
      <c r="K45" s="73" t="s">
        <v>134</v>
      </c>
      <c r="L45" s="73"/>
      <c r="M45" s="74" t="s">
        <v>137</v>
      </c>
    </row>
    <row r="46" spans="3:14" s="9" customFormat="1" x14ac:dyDescent="0.25">
      <c r="C46" s="76">
        <v>1</v>
      </c>
      <c r="D46" s="77">
        <v>1</v>
      </c>
      <c r="E46" s="78">
        <f>1/3</f>
        <v>0.33333333333333331</v>
      </c>
      <c r="F46" s="77" t="e" cm="1">
        <f t="array" aca="1" ref="F46" ca="1">_xll.RiskDiscrete(C46:C48,E46:E48,_xll.RiskName("Sampled Formulation Type"),_xll.RiskStatic(1))</f>
        <v>#NAME?</v>
      </c>
      <c r="H46" s="76">
        <v>1</v>
      </c>
      <c r="I46" s="76"/>
      <c r="J46" s="76"/>
      <c r="K46" s="77">
        <v>1</v>
      </c>
      <c r="L46" s="79">
        <f>1/3</f>
        <v>0.33333333333333331</v>
      </c>
      <c r="M46" s="21" t="e" cm="1">
        <f t="array" aca="1" ref="M46" ca="1">_xll.RiskDiscrete(H46:H48,L46:L48,_xll.RiskName("Sampled Exposure Day Type"),_xll.RiskStatic(1))</f>
        <v>#NAME?</v>
      </c>
    </row>
    <row r="47" spans="3:14" s="9" customFormat="1" x14ac:dyDescent="0.25">
      <c r="C47" s="76">
        <v>2</v>
      </c>
      <c r="D47" s="77">
        <v>1</v>
      </c>
      <c r="E47" s="78">
        <f>1/3</f>
        <v>0.33333333333333331</v>
      </c>
      <c r="F47" s="77"/>
      <c r="H47" s="76">
        <v>2</v>
      </c>
      <c r="I47" s="76"/>
      <c r="J47" s="76"/>
      <c r="K47" s="77">
        <v>1</v>
      </c>
      <c r="L47" s="79">
        <f>1/3</f>
        <v>0.33333333333333331</v>
      </c>
      <c r="M47" s="21"/>
    </row>
    <row r="48" spans="3:14" s="9" customFormat="1" x14ac:dyDescent="0.25">
      <c r="C48" s="76">
        <v>3</v>
      </c>
      <c r="D48" s="77">
        <v>1</v>
      </c>
      <c r="E48" s="78">
        <f>1/3</f>
        <v>0.33333333333333331</v>
      </c>
      <c r="F48" s="77"/>
      <c r="H48" s="76">
        <v>3</v>
      </c>
      <c r="I48" s="76"/>
      <c r="J48" s="76"/>
      <c r="K48" s="77">
        <v>1</v>
      </c>
      <c r="L48" s="79">
        <f>1/3</f>
        <v>0.33333333333333331</v>
      </c>
      <c r="M48" s="21"/>
    </row>
    <row r="49" spans="3:13" s="9" customFormat="1" ht="32.1" customHeight="1" x14ac:dyDescent="0.25">
      <c r="C49" s="46" t="s">
        <v>138</v>
      </c>
      <c r="D49" s="80" t="s">
        <v>139</v>
      </c>
      <c r="E49" s="81"/>
      <c r="F49" s="27" t="s">
        <v>140</v>
      </c>
      <c r="H49" s="22" t="s">
        <v>141</v>
      </c>
      <c r="I49" s="22" t="s">
        <v>142</v>
      </c>
      <c r="J49" s="82"/>
      <c r="L49" s="82"/>
      <c r="M49" s="82"/>
    </row>
    <row r="50" spans="3:13" s="9" customFormat="1" x14ac:dyDescent="0.25">
      <c r="C50" s="76">
        <v>1</v>
      </c>
      <c r="D50" s="83">
        <v>0.01</v>
      </c>
      <c r="E50" s="84">
        <v>3.5000000000000003E-2</v>
      </c>
      <c r="F50" s="85" t="e" cm="1">
        <f t="array" aca="1" ref="F50" ca="1">_xll.RiskUniform(D50,E50)</f>
        <v>#NAME?</v>
      </c>
      <c r="H50" s="22"/>
      <c r="I50" s="22"/>
      <c r="J50" s="82"/>
      <c r="K50" s="82"/>
      <c r="L50" s="82"/>
      <c r="M50" s="82"/>
    </row>
    <row r="51" spans="3:13" s="9" customFormat="1" x14ac:dyDescent="0.25">
      <c r="C51" s="76">
        <v>2</v>
      </c>
      <c r="D51" s="83">
        <v>0.01</v>
      </c>
      <c r="E51" s="84">
        <v>3.5000000000000003E-2</v>
      </c>
      <c r="F51" s="85" t="e" cm="1">
        <f t="array" aca="1" ref="F51" ca="1">_xll.RiskUniform(D51,E51)</f>
        <v>#NAME?</v>
      </c>
      <c r="H51" s="76">
        <v>1</v>
      </c>
      <c r="I51" s="76">
        <v>250</v>
      </c>
      <c r="J51" s="86"/>
      <c r="L51" s="86"/>
      <c r="M51" s="86"/>
    </row>
    <row r="52" spans="3:13" s="9" customFormat="1" x14ac:dyDescent="0.25">
      <c r="C52" s="76">
        <v>3</v>
      </c>
      <c r="D52" s="83">
        <v>0.3</v>
      </c>
      <c r="E52" s="83">
        <v>0.5</v>
      </c>
      <c r="F52" s="85" t="e" cm="1">
        <f t="array" aca="1" ref="F52" ca="1">_xll.RiskUniform(D52,E52)</f>
        <v>#NAME?</v>
      </c>
      <c r="H52" s="76">
        <v>2</v>
      </c>
      <c r="I52" s="76">
        <v>200</v>
      </c>
      <c r="J52" s="86"/>
      <c r="L52" s="86"/>
      <c r="M52" s="86"/>
    </row>
    <row r="53" spans="3:13" s="9" customFormat="1" x14ac:dyDescent="0.25">
      <c r="H53" s="76">
        <v>3</v>
      </c>
      <c r="I53" s="76">
        <v>167</v>
      </c>
      <c r="J53" s="86"/>
      <c r="L53" s="86"/>
      <c r="M53" s="86"/>
    </row>
    <row r="55" spans="3:13" s="9" customFormat="1" ht="30" x14ac:dyDescent="0.25">
      <c r="C55" s="46" t="s">
        <v>143</v>
      </c>
      <c r="D55" s="68" t="s">
        <v>144</v>
      </c>
      <c r="E55" s="46" t="e" cm="1">
        <f t="array" aca="1" ref="E55" ca="1">_xll.RiskOutput()+VLOOKUP(F57,C62:F65,4,FALSE)</f>
        <v>#NAME?</v>
      </c>
      <c r="F55" s="46" t="s">
        <v>69</v>
      </c>
    </row>
    <row r="56" spans="3:13" s="9" customFormat="1" ht="45" x14ac:dyDescent="0.25">
      <c r="C56" s="72" t="s">
        <v>133</v>
      </c>
      <c r="D56" s="73" t="s">
        <v>134</v>
      </c>
      <c r="E56" s="73"/>
      <c r="F56" s="74" t="s">
        <v>135</v>
      </c>
    </row>
    <row r="57" spans="3:13" s="9" customFormat="1" x14ac:dyDescent="0.25">
      <c r="C57" s="76">
        <v>1</v>
      </c>
      <c r="D57" s="77">
        <v>1</v>
      </c>
      <c r="E57" s="78">
        <f>1/4</f>
        <v>0.25</v>
      </c>
      <c r="F57" s="77" t="e" cm="1">
        <f t="array" aca="1" ref="F57" ca="1">_xll.RiskDiscrete(C57:C60,E57:E60,_xll.RiskName("Sampled Formulation Type"),_xll.RiskStatic(1))</f>
        <v>#NAME?</v>
      </c>
    </row>
    <row r="58" spans="3:13" s="9" customFormat="1" x14ac:dyDescent="0.25">
      <c r="C58" s="76">
        <v>2</v>
      </c>
      <c r="D58" s="77">
        <v>1</v>
      </c>
      <c r="E58" s="78">
        <f>1/4</f>
        <v>0.25</v>
      </c>
      <c r="F58" s="77"/>
    </row>
    <row r="59" spans="3:13" s="9" customFormat="1" x14ac:dyDescent="0.25">
      <c r="C59" s="76">
        <v>3</v>
      </c>
      <c r="D59" s="77">
        <v>1</v>
      </c>
      <c r="E59" s="78">
        <f>1/4</f>
        <v>0.25</v>
      </c>
      <c r="F59" s="77"/>
    </row>
    <row r="60" spans="3:13" s="9" customFormat="1" x14ac:dyDescent="0.25">
      <c r="C60" s="76">
        <v>4</v>
      </c>
      <c r="D60" s="77">
        <v>1</v>
      </c>
      <c r="E60" s="78">
        <f>1/4</f>
        <v>0.25</v>
      </c>
      <c r="F60" s="77"/>
    </row>
    <row r="61" spans="3:13" s="9" customFormat="1" ht="30" x14ac:dyDescent="0.25">
      <c r="C61" s="46" t="s">
        <v>138</v>
      </c>
      <c r="D61" s="80" t="s">
        <v>139</v>
      </c>
      <c r="E61" s="81"/>
      <c r="F61" s="27" t="s">
        <v>140</v>
      </c>
    </row>
    <row r="62" spans="3:13" s="9" customFormat="1" x14ac:dyDescent="0.25">
      <c r="C62" s="76">
        <v>1</v>
      </c>
      <c r="D62" s="83">
        <v>0.8</v>
      </c>
      <c r="E62" s="84">
        <v>1</v>
      </c>
      <c r="F62" s="85" t="e" cm="1">
        <f t="array" aca="1" ref="F62" ca="1">_xll.RiskUniform(D62,E62)</f>
        <v>#NAME?</v>
      </c>
    </row>
    <row r="63" spans="3:13" s="9" customFormat="1" x14ac:dyDescent="0.25">
      <c r="C63" s="76">
        <v>2</v>
      </c>
      <c r="D63" s="84">
        <v>1E-3</v>
      </c>
      <c r="E63" s="84">
        <v>0.01</v>
      </c>
      <c r="F63" s="85" t="e" cm="1">
        <f t="array" aca="1" ref="F63" ca="1">_xll.RiskUniform(D63,E63)</f>
        <v>#NAME?</v>
      </c>
    </row>
    <row r="64" spans="3:13" s="9" customFormat="1" x14ac:dyDescent="0.25">
      <c r="C64" s="76">
        <v>3</v>
      </c>
      <c r="D64" s="84">
        <v>2E-3</v>
      </c>
      <c r="E64" s="84">
        <v>2E-3</v>
      </c>
      <c r="F64" s="85" t="e" cm="1">
        <f t="array" aca="1" ref="F64" ca="1">_xll.RiskUniform(D64,E64)</f>
        <v>#NAME?</v>
      </c>
    </row>
    <row r="65" spans="3:6" s="9" customFormat="1" x14ac:dyDescent="0.25">
      <c r="C65" s="76">
        <v>4</v>
      </c>
      <c r="D65" s="87">
        <v>2.0000000000000001E-4</v>
      </c>
      <c r="E65" s="87">
        <v>2.0000000000000001E-4</v>
      </c>
      <c r="F65" s="85" t="e" cm="1">
        <f t="array" aca="1" ref="F65" ca="1">_xll.RiskUniform(D65,E65)</f>
        <v>#NAME?</v>
      </c>
    </row>
  </sheetData>
  <sheetProtection sheet="1" objects="1" scenarios="1" formatCells="0" formatColumns="0" formatRows="0" sort="0" autoFilter="0"/>
  <autoFilter ref="C4:N5" xr:uid="{A6C665F7-7556-4ADF-9F98-BECF6791D6E3}">
    <filterColumn colId="3" showButton="0"/>
    <filterColumn colId="5" showButton="0"/>
    <filterColumn colId="6" showButton="0"/>
  </autoFilter>
  <mergeCells count="29">
    <mergeCell ref="D56:E56"/>
    <mergeCell ref="D61:E61"/>
    <mergeCell ref="I49:I50"/>
    <mergeCell ref="D45:E45"/>
    <mergeCell ref="D49:E49"/>
    <mergeCell ref="H45:J45"/>
    <mergeCell ref="K45:L45"/>
    <mergeCell ref="H49:H50"/>
    <mergeCell ref="C33:C36"/>
    <mergeCell ref="G33:N36"/>
    <mergeCell ref="G41:N41"/>
    <mergeCell ref="G40:N40"/>
    <mergeCell ref="H44:J44"/>
    <mergeCell ref="G32:N32"/>
    <mergeCell ref="G37:N37"/>
    <mergeCell ref="G38:N38"/>
    <mergeCell ref="N4:N5"/>
    <mergeCell ref="N6:N7"/>
    <mergeCell ref="K4:K5"/>
    <mergeCell ref="L4:L5"/>
    <mergeCell ref="M4:M5"/>
    <mergeCell ref="L16:M16"/>
    <mergeCell ref="L22:M22"/>
    <mergeCell ref="L25:M25"/>
    <mergeCell ref="C4:C5"/>
    <mergeCell ref="D4:D5"/>
    <mergeCell ref="E4:E5"/>
    <mergeCell ref="F4:G4"/>
    <mergeCell ref="H4:J4"/>
  </mergeCells>
  <phoneticPr fontId="6" type="noConversion"/>
  <dataValidations count="1">
    <dataValidation type="list" allowBlank="1" showInputMessage="1" showErrorMessage="1" sqref="D2" xr:uid="{F0EDA0DC-FAF1-4293-A2BB-22D98459F166}">
      <formula1>$Q$5:$Q$6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sheetPr>
  <dimension ref="B1:H92"/>
  <sheetViews>
    <sheetView zoomScale="62" zoomScaleNormal="90" workbookViewId="0"/>
  </sheetViews>
  <sheetFormatPr defaultRowHeight="15" x14ac:dyDescent="0.25"/>
  <cols>
    <col min="1" max="1" width="8.42578125" style="2" customWidth="1"/>
    <col min="2" max="2" width="12.42578125" style="2" customWidth="1"/>
    <col min="3" max="3" width="34.28515625" style="2" customWidth="1"/>
    <col min="4" max="4" width="29.140625" style="2" customWidth="1"/>
    <col min="5" max="5" width="20.85546875" style="2" customWidth="1"/>
    <col min="6" max="7" width="50.7109375" style="2" customWidth="1"/>
    <col min="8" max="9" width="20.85546875" style="2" customWidth="1"/>
    <col min="10" max="16384" width="9.140625" style="2"/>
  </cols>
  <sheetData>
    <row r="1" spans="2:8" ht="15.75" thickBot="1" x14ac:dyDescent="0.3"/>
    <row r="2" spans="2:8" x14ac:dyDescent="0.25">
      <c r="B2" s="2" t="s">
        <v>145</v>
      </c>
      <c r="C2" s="88" t="s">
        <v>146</v>
      </c>
      <c r="D2" s="88" t="s">
        <v>147</v>
      </c>
      <c r="E2" s="89" t="s">
        <v>28</v>
      </c>
      <c r="F2" s="90" t="s">
        <v>148</v>
      </c>
      <c r="G2" s="91" t="s">
        <v>149</v>
      </c>
      <c r="H2" s="92" t="s">
        <v>29</v>
      </c>
    </row>
    <row r="3" spans="2:8" ht="105" x14ac:dyDescent="0.25">
      <c r="B3" s="2" t="s">
        <v>70</v>
      </c>
      <c r="C3" s="36" t="s">
        <v>150</v>
      </c>
      <c r="D3" s="36" t="s">
        <v>151</v>
      </c>
      <c r="E3" s="21" t="s">
        <v>152</v>
      </c>
      <c r="F3" s="36" t="s">
        <v>153</v>
      </c>
      <c r="G3" s="93" t="e" cm="1">
        <f t="array" aca="1" ref="G3" ca="1">_xll.RiskOutput("OES 2 Potential Dose Rate - Average Adult Worker")+Savg*Qu*FT*Yderm2*IF(Yderm2&gt;=0.9, fabs_a, IF(Yderm2&gt;0.21, fabs_b, IF(Yderm2&gt;0.1, fabs_c, fabs_d)))</f>
        <v>#NAME?</v>
      </c>
      <c r="H3" s="94" t="s">
        <v>154</v>
      </c>
    </row>
    <row r="4" spans="2:8" ht="105" x14ac:dyDescent="0.25">
      <c r="C4" s="36" t="s">
        <v>150</v>
      </c>
      <c r="D4" s="36" t="s">
        <v>155</v>
      </c>
      <c r="E4" s="21" t="s">
        <v>156</v>
      </c>
      <c r="F4" s="36" t="s">
        <v>157</v>
      </c>
      <c r="G4" s="93" t="e" cm="1">
        <f t="array" aca="1" ref="G4" ca="1">_xll.RiskOutput("OES 2 Potential Dose Rate - Female of Reproductive Age")+Sfem*Qu*FT*Yderm2*IF(Yderm2&gt;=0.9, fabs_a, IF(Yderm2&gt;0.21, fabs_b, IF(Yderm2&gt;0.1, fabs_c, fabs_d)))</f>
        <v>#NAME?</v>
      </c>
      <c r="H4" s="94" t="s">
        <v>154</v>
      </c>
    </row>
    <row r="5" spans="2:8" x14ac:dyDescent="0.25">
      <c r="C5" s="36" t="s">
        <v>158</v>
      </c>
      <c r="D5" s="36" t="s">
        <v>151</v>
      </c>
      <c r="E5" s="21" t="s">
        <v>159</v>
      </c>
      <c r="F5" s="21" t="s">
        <v>160</v>
      </c>
      <c r="G5" s="93" t="e" cm="1">
        <f t="array" aca="1" ref="G5" ca="1">_xll.RiskOutput("OES 2 Potential Dose Rate - Average Adult Worker")+PDRavg2/BWavg</f>
        <v>#NAME?</v>
      </c>
      <c r="H5" s="94" t="s">
        <v>161</v>
      </c>
    </row>
    <row r="6" spans="2:8" x14ac:dyDescent="0.25">
      <c r="C6" s="36" t="s">
        <v>158</v>
      </c>
      <c r="D6" s="36" t="s">
        <v>155</v>
      </c>
      <c r="E6" s="21" t="s">
        <v>162</v>
      </c>
      <c r="F6" s="21" t="s">
        <v>163</v>
      </c>
      <c r="G6" s="93" t="e" cm="1">
        <f t="array" aca="1" ref="G6" ca="1">_xll.RiskOutput("OES 2 Potential Dose Rate - Female of Reproductive Age")+PDRfem2/BWfem</f>
        <v>#NAME?</v>
      </c>
      <c r="H6" s="94" t="s">
        <v>161</v>
      </c>
    </row>
    <row r="7" spans="2:8" ht="90" x14ac:dyDescent="0.25">
      <c r="C7" s="36" t="s">
        <v>164</v>
      </c>
      <c r="D7" s="36" t="s">
        <v>151</v>
      </c>
      <c r="E7" s="21" t="s">
        <v>165</v>
      </c>
      <c r="F7" s="36" t="s">
        <v>166</v>
      </c>
      <c r="G7" s="93" t="e" cm="1">
        <f t="array" aca="1" ref="G7" ca="1">_xll.RiskOutput("OES 2 Intermediate Retained Dose, Non-Cancer - Average Adult Worker")+IF((VLOOKUP(B3, Parameters!$B$21:$M$29, 12, FALSE)) &gt;= EF_IT, (ARDavg2 * EF_IT / AT_IT), (ARDavg2 * (VLOOKUP(B3, Parameters!$B$21:$M$29, 12, FALSE) / AT_IT)))</f>
        <v>#NAME?</v>
      </c>
      <c r="H7" s="94" t="s">
        <v>161</v>
      </c>
    </row>
    <row r="8" spans="2:8" ht="90" x14ac:dyDescent="0.25">
      <c r="C8" s="36" t="s">
        <v>164</v>
      </c>
      <c r="D8" s="36" t="s">
        <v>155</v>
      </c>
      <c r="E8" s="21" t="s">
        <v>167</v>
      </c>
      <c r="F8" s="36" t="s">
        <v>168</v>
      </c>
      <c r="G8" s="93" t="e" cm="1">
        <f t="array" aca="1" ref="G8" ca="1">_xll.RiskOutput("OES 2 Intermediate Retained Dose, Non-Cancer - Female of Reproductive Age")+IF((VLOOKUP(B3, Parameters!$B$21:$M$29, 12, FALSE)) &gt;= EF_IT, (ARDfem2 * EF_IT / AT_IT), (ARDfem2 * (VLOOKUP(B3, Parameters!$B$21:$M$29, 12, FALSE) / AT_IT)))</f>
        <v>#NAME?</v>
      </c>
      <c r="H8" s="94" t="s">
        <v>161</v>
      </c>
    </row>
    <row r="9" spans="2:8" x14ac:dyDescent="0.25">
      <c r="C9" s="36" t="s">
        <v>169</v>
      </c>
      <c r="D9" s="36" t="s">
        <v>151</v>
      </c>
      <c r="E9" s="21" t="s">
        <v>170</v>
      </c>
      <c r="F9" s="21" t="s">
        <v>171</v>
      </c>
      <c r="G9" s="93" t="e" cm="1">
        <f t="array" aca="1" ref="G9" ca="1">_xll.RiskOutput("OES 2 Chronic Retained Dose, Non-Cancer - Average Adult Worker")+ARDavg2*VLOOKUP(B3,Parameters!$B$21:$M$29,12,FALSE)*WY/(WY*EF_C)</f>
        <v>#NAME?</v>
      </c>
      <c r="H9" s="94" t="s">
        <v>161</v>
      </c>
    </row>
    <row r="10" spans="2:8" x14ac:dyDescent="0.25">
      <c r="C10" s="36" t="s">
        <v>169</v>
      </c>
      <c r="D10" s="36" t="s">
        <v>155</v>
      </c>
      <c r="E10" s="21" t="s">
        <v>172</v>
      </c>
      <c r="F10" s="21" t="s">
        <v>173</v>
      </c>
      <c r="G10" s="93" t="e" cm="1">
        <f t="array" aca="1" ref="G10" ca="1">_xll.RiskOutput("OES 2 Chronic Retained Dose, Non-Cancer - Female of Reproductive Age")+ARDfem2*VLOOKUP(B3,Parameters!$B$21:$M$29,12,FALSE)*WY/(WY*EF_C)</f>
        <v>#NAME?</v>
      </c>
      <c r="H10" s="94" t="s">
        <v>161</v>
      </c>
    </row>
    <row r="11" spans="2:8" x14ac:dyDescent="0.25">
      <c r="C11" s="36" t="s">
        <v>174</v>
      </c>
      <c r="D11" s="36" t="s">
        <v>151</v>
      </c>
      <c r="E11" s="21" t="s">
        <v>175</v>
      </c>
      <c r="F11" s="21" t="s">
        <v>176</v>
      </c>
      <c r="G11" s="93" t="e" cm="1">
        <f t="array" aca="1" ref="G11" ca="1">_xll.RiskOutput("OES 2 Lifetime Chronic Retained Dose, Cancer - Average Adult Worker")+ARDavg2*VLOOKUP(B3,Parameters!$B$21:$M$29,12,FALSE)*WY/AT_LCRD</f>
        <v>#NAME?</v>
      </c>
      <c r="H11" s="94" t="s">
        <v>161</v>
      </c>
    </row>
    <row r="12" spans="2:8" ht="15.75" thickBot="1" x14ac:dyDescent="0.3">
      <c r="C12" s="95" t="s">
        <v>174</v>
      </c>
      <c r="D12" s="95" t="s">
        <v>155</v>
      </c>
      <c r="E12" s="96" t="s">
        <v>177</v>
      </c>
      <c r="F12" s="96" t="s">
        <v>178</v>
      </c>
      <c r="G12" s="97" t="e" cm="1">
        <f t="array" aca="1" ref="G12" ca="1">_xll.RiskOutput("OES 2 Lifetime Chronic Retained Dose, Cancer - Female of Reproductive Age")+ARDfem2*VLOOKUP(B3,Parameters!$B$21:$M$29,12,FALSE)*WY/AT_LCRD</f>
        <v>#NAME?</v>
      </c>
      <c r="H12" s="98" t="s">
        <v>161</v>
      </c>
    </row>
    <row r="13" spans="2:8" ht="105" x14ac:dyDescent="0.25">
      <c r="B13" s="2" t="s">
        <v>73</v>
      </c>
      <c r="C13" s="36" t="s">
        <v>150</v>
      </c>
      <c r="D13" s="36" t="s">
        <v>151</v>
      </c>
      <c r="E13" s="21" t="s">
        <v>152</v>
      </c>
      <c r="F13" s="36" t="s">
        <v>153</v>
      </c>
      <c r="G13" s="93" t="e" cm="1">
        <f t="array" aca="1" ref="G13" ca="1">_xll.RiskOutput("OES 3 Potential Dose Rate - Average Adult Worker")+Savg*Qu*FT*Yderm3*IF(Yderm3&gt;=0.9, fabs_a, IF(Yderm3&gt;0.21, fabs_b, IF(Yderm3&gt;0.1, fabs_c, fabs_d)))</f>
        <v>#NAME?</v>
      </c>
      <c r="H13" s="94" t="s">
        <v>154</v>
      </c>
    </row>
    <row r="14" spans="2:8" ht="105" x14ac:dyDescent="0.25">
      <c r="C14" s="36" t="s">
        <v>150</v>
      </c>
      <c r="D14" s="36" t="s">
        <v>155</v>
      </c>
      <c r="E14" s="21" t="s">
        <v>156</v>
      </c>
      <c r="F14" s="36" t="s">
        <v>157</v>
      </c>
      <c r="G14" s="93" t="e" cm="1">
        <f t="array" aca="1" ref="G14" ca="1">_xll.RiskOutput("OES 3 Potential Dose Rate - Female of Reproductive Age")+Sfem*Qu*FT*Yderm3*IF(Yderm3&gt;=0.9, fabs_a, IF(Yderm3&gt;0.21, fabs_b, IF(Yderm3&gt;0.1, fabs_c, fabs_d)))</f>
        <v>#NAME?</v>
      </c>
      <c r="H14" s="94" t="s">
        <v>154</v>
      </c>
    </row>
    <row r="15" spans="2:8" x14ac:dyDescent="0.25">
      <c r="C15" s="36" t="s">
        <v>158</v>
      </c>
      <c r="D15" s="36" t="s">
        <v>151</v>
      </c>
      <c r="E15" s="21" t="s">
        <v>159</v>
      </c>
      <c r="F15" s="21" t="s">
        <v>160</v>
      </c>
      <c r="G15" s="93" t="e" cm="1">
        <f t="array" aca="1" ref="G15" ca="1">_xll.RiskOutput("OES 3 Potential Dose Rate - Average Adult Worker")+PDRavg3/BWavg</f>
        <v>#NAME?</v>
      </c>
      <c r="H15" s="94" t="s">
        <v>161</v>
      </c>
    </row>
    <row r="16" spans="2:8" x14ac:dyDescent="0.25">
      <c r="C16" s="36" t="s">
        <v>158</v>
      </c>
      <c r="D16" s="36" t="s">
        <v>155</v>
      </c>
      <c r="E16" s="21" t="s">
        <v>162</v>
      </c>
      <c r="F16" s="21" t="s">
        <v>163</v>
      </c>
      <c r="G16" s="93" t="e" cm="1">
        <f t="array" aca="1" ref="G16" ca="1">_xll.RiskOutput("OES 3 Potential Dose Rate - Female of Reproductive Age")+PDRfem3/BWfem</f>
        <v>#NAME?</v>
      </c>
      <c r="H16" s="94" t="s">
        <v>161</v>
      </c>
    </row>
    <row r="17" spans="2:8" ht="90" x14ac:dyDescent="0.25">
      <c r="C17" s="36" t="s">
        <v>164</v>
      </c>
      <c r="D17" s="36" t="s">
        <v>151</v>
      </c>
      <c r="E17" s="21" t="s">
        <v>165</v>
      </c>
      <c r="F17" s="36" t="s">
        <v>166</v>
      </c>
      <c r="G17" s="93" t="e" cm="1">
        <f t="array" aca="1" ref="G17" ca="1">_xll.RiskOutput("OES 3 Intermediate Retained Dose, Non-Cancer - Average Adult Worker")+IF(EF_3 &gt;= EF_IT, (ARDavg3 * (EF_3/250) * EF_IT / AT_IT), (ARDavg3 * EF_3 / AT_IT))</f>
        <v>#NAME?</v>
      </c>
      <c r="H17" s="94" t="s">
        <v>161</v>
      </c>
    </row>
    <row r="18" spans="2:8" ht="90" x14ac:dyDescent="0.25">
      <c r="C18" s="36" t="s">
        <v>164</v>
      </c>
      <c r="D18" s="36" t="s">
        <v>155</v>
      </c>
      <c r="E18" s="21" t="s">
        <v>167</v>
      </c>
      <c r="F18" s="36" t="s">
        <v>168</v>
      </c>
      <c r="G18" s="93" t="e" cm="1">
        <f t="array" aca="1" ref="G18" ca="1">_xll.RiskOutput("OES 3 Intermediate Retained Dose, Non-Cancer - Female of Reproductive Age")+IF(EF_3 &gt;= EF_IT, (ARDfem3 * (EF_3/250)*EF_IT / AT_IT), (ARDfem3 * EF_3 / AT_IT))</f>
        <v>#NAME?</v>
      </c>
      <c r="H18" s="94" t="s">
        <v>161</v>
      </c>
    </row>
    <row r="19" spans="2:8" x14ac:dyDescent="0.25">
      <c r="C19" s="36" t="s">
        <v>169</v>
      </c>
      <c r="D19" s="36" t="s">
        <v>151</v>
      </c>
      <c r="E19" s="21" t="s">
        <v>170</v>
      </c>
      <c r="F19" s="21" t="s">
        <v>171</v>
      </c>
      <c r="G19" s="93" t="e" cm="1">
        <f t="array" aca="1" ref="G19" ca="1">_xll.RiskOutput("OES 3 Chronic Retained Dose, Non-Cancer - Average Adult Worker")+ARDavg3*EF_3*WY/(WY*EF_C)</f>
        <v>#NAME?</v>
      </c>
      <c r="H19" s="94" t="s">
        <v>161</v>
      </c>
    </row>
    <row r="20" spans="2:8" x14ac:dyDescent="0.25">
      <c r="C20" s="36" t="s">
        <v>169</v>
      </c>
      <c r="D20" s="36" t="s">
        <v>155</v>
      </c>
      <c r="E20" s="21" t="s">
        <v>172</v>
      </c>
      <c r="F20" s="21" t="s">
        <v>173</v>
      </c>
      <c r="G20" s="93" t="e" cm="1">
        <f t="array" aca="1" ref="G20" ca="1">_xll.RiskOutput("OES 3 Chronic Retained Dose, Non-Cancer - Female of Reproductive Age")+ARDfem3*EF_3*WY/(WY*EF_C)</f>
        <v>#NAME?</v>
      </c>
      <c r="H20" s="94" t="s">
        <v>161</v>
      </c>
    </row>
    <row r="21" spans="2:8" x14ac:dyDescent="0.25">
      <c r="C21" s="36" t="s">
        <v>174</v>
      </c>
      <c r="D21" s="36" t="s">
        <v>151</v>
      </c>
      <c r="E21" s="21" t="s">
        <v>175</v>
      </c>
      <c r="F21" s="21" t="s">
        <v>176</v>
      </c>
      <c r="G21" s="93" t="e" cm="1">
        <f t="array" aca="1" ref="G21" ca="1">_xll.RiskOutput("OES 3 Lifetime Chronic Retained Dose, Cancer - Average Adult Worker")+ARDavg3*EF_3*WY/AT_LCRD</f>
        <v>#NAME?</v>
      </c>
      <c r="H21" s="94" t="s">
        <v>161</v>
      </c>
    </row>
    <row r="22" spans="2:8" ht="15.75" thickBot="1" x14ac:dyDescent="0.3">
      <c r="C22" s="95" t="s">
        <v>174</v>
      </c>
      <c r="D22" s="95" t="s">
        <v>155</v>
      </c>
      <c r="E22" s="96" t="s">
        <v>177</v>
      </c>
      <c r="F22" s="96" t="s">
        <v>178</v>
      </c>
      <c r="G22" s="97" t="e" cm="1">
        <f t="array" aca="1" ref="G22" ca="1">_xll.RiskOutput("OES 3 Lifetime Chronic Retained Dose, Cancer - Female of Reproductive Age")+ARDfem3*EF_3*WY/AT_LCRD</f>
        <v>#NAME?</v>
      </c>
      <c r="H22" s="98" t="s">
        <v>161</v>
      </c>
    </row>
    <row r="23" spans="2:8" ht="105" x14ac:dyDescent="0.25">
      <c r="B23" s="2" t="s">
        <v>76</v>
      </c>
      <c r="C23" s="36" t="s">
        <v>150</v>
      </c>
      <c r="D23" s="36" t="s">
        <v>151</v>
      </c>
      <c r="E23" s="21" t="s">
        <v>152</v>
      </c>
      <c r="F23" s="36" t="s">
        <v>153</v>
      </c>
      <c r="G23" s="93" t="e" cm="1">
        <f t="array" aca="1" ref="G23" ca="1">_xll.RiskOutput("OES 4 Potential Dose Rate - Average Adult Worker")+Savg*Qu*FT*Yderm4*IF(Yderm4&gt;=0.9, fabs_a, IF(Yderm4&gt;0.21, fabs_b, IF(Yderm4&gt;0.1, fabs_c, fabs_d)))</f>
        <v>#NAME?</v>
      </c>
      <c r="H23" s="94" t="s">
        <v>154</v>
      </c>
    </row>
    <row r="24" spans="2:8" ht="105" x14ac:dyDescent="0.25">
      <c r="C24" s="36" t="s">
        <v>150</v>
      </c>
      <c r="D24" s="36" t="s">
        <v>155</v>
      </c>
      <c r="E24" s="21" t="s">
        <v>156</v>
      </c>
      <c r="F24" s="36" t="s">
        <v>157</v>
      </c>
      <c r="G24" s="93" t="e" cm="1">
        <f t="array" aca="1" ref="G24" ca="1">_xll.RiskOutput("OES 4 Potential Dose Rate - Female of Reproductive Age")+Sfem*Qu*FT*Yderm4*IF(Yderm4&gt;=0.9, fabs_a, IF(Yderm4&gt;0.21, fabs_b, IF(Yderm4&gt;0.1, fabs_c, fabs_d)))</f>
        <v>#NAME?</v>
      </c>
      <c r="H24" s="94" t="s">
        <v>154</v>
      </c>
    </row>
    <row r="25" spans="2:8" x14ac:dyDescent="0.25">
      <c r="C25" s="36" t="s">
        <v>158</v>
      </c>
      <c r="D25" s="36" t="s">
        <v>151</v>
      </c>
      <c r="E25" s="21" t="s">
        <v>159</v>
      </c>
      <c r="F25" s="21" t="s">
        <v>160</v>
      </c>
      <c r="G25" s="93" t="e" cm="1">
        <f t="array" aca="1" ref="G25" ca="1">_xll.RiskOutput("OES 4 Potential Dose Rate - Average Adult Worker")+PDRavg4/BWavg</f>
        <v>#NAME?</v>
      </c>
      <c r="H25" s="94" t="s">
        <v>161</v>
      </c>
    </row>
    <row r="26" spans="2:8" x14ac:dyDescent="0.25">
      <c r="C26" s="36" t="s">
        <v>158</v>
      </c>
      <c r="D26" s="36" t="s">
        <v>155</v>
      </c>
      <c r="E26" s="21" t="s">
        <v>162</v>
      </c>
      <c r="F26" s="21" t="s">
        <v>163</v>
      </c>
      <c r="G26" s="93" t="e" cm="1">
        <f t="array" aca="1" ref="G26" ca="1">_xll.RiskOutput("OES 4 Potential Dose Rate - Female of Reproductive Age")+PDRfem4/BWfem</f>
        <v>#NAME?</v>
      </c>
      <c r="H26" s="94" t="s">
        <v>161</v>
      </c>
    </row>
    <row r="27" spans="2:8" ht="90" x14ac:dyDescent="0.25">
      <c r="C27" s="36" t="s">
        <v>164</v>
      </c>
      <c r="D27" s="36" t="s">
        <v>151</v>
      </c>
      <c r="E27" s="21" t="s">
        <v>165</v>
      </c>
      <c r="F27" s="36" t="s">
        <v>166</v>
      </c>
      <c r="G27" s="93" t="e" cm="1">
        <f t="array" aca="1" ref="G27" ca="1">_xll.RiskOutput("OES 4 Intermediate Retained Dose, Non-Cancer - Average Adult Worker")+IF((VLOOKUP(B23, Parameters!$B$21:$M$29, 12, FALSE)) &gt;= EF_IT, (ARDavg4 * EF_IT / AT_IT), (ARDavg4 * (VLOOKUP(B23, Parameters!$B$21:$M$29, 12, FALSE) / AT_IT)))</f>
        <v>#NAME?</v>
      </c>
      <c r="H27" s="94" t="s">
        <v>161</v>
      </c>
    </row>
    <row r="28" spans="2:8" ht="90" x14ac:dyDescent="0.25">
      <c r="C28" s="36" t="s">
        <v>164</v>
      </c>
      <c r="D28" s="36" t="s">
        <v>155</v>
      </c>
      <c r="E28" s="21" t="s">
        <v>167</v>
      </c>
      <c r="F28" s="36" t="s">
        <v>168</v>
      </c>
      <c r="G28" s="93" t="e" cm="1">
        <f t="array" aca="1" ref="G28" ca="1">_xll.RiskOutput("OES 4 Intermediate Retained Dose, Non-Cancer - Female of Reproductive Age")+IF((VLOOKUP(B23, Parameters!$B$21:$M$29, 12, FALSE)) &gt;= EF_IT, (ARDfem4 * EF_IT / AT_IT), (ARDfem4 * (VLOOKUP(B23, Parameters!$B$21:$M$29, 12, FALSE) / AT_IT)))</f>
        <v>#NAME?</v>
      </c>
      <c r="H28" s="94" t="s">
        <v>161</v>
      </c>
    </row>
    <row r="29" spans="2:8" x14ac:dyDescent="0.25">
      <c r="C29" s="36" t="s">
        <v>169</v>
      </c>
      <c r="D29" s="36" t="s">
        <v>151</v>
      </c>
      <c r="E29" s="21" t="s">
        <v>170</v>
      </c>
      <c r="F29" s="21" t="s">
        <v>171</v>
      </c>
      <c r="G29" s="93" t="e" cm="1">
        <f t="array" aca="1" ref="G29" ca="1">_xll.RiskOutput("OES 4 Chronic Retained Dose, Non-Cancer - Average Adult Worker")+ARDavg4*VLOOKUP(B23,Parameters!$B$21:$M$29,12,FALSE)*WY/(WY*EF_C)</f>
        <v>#NAME?</v>
      </c>
      <c r="H29" s="94" t="s">
        <v>161</v>
      </c>
    </row>
    <row r="30" spans="2:8" x14ac:dyDescent="0.25">
      <c r="C30" s="36" t="s">
        <v>169</v>
      </c>
      <c r="D30" s="36" t="s">
        <v>155</v>
      </c>
      <c r="E30" s="21" t="s">
        <v>172</v>
      </c>
      <c r="F30" s="21" t="s">
        <v>173</v>
      </c>
      <c r="G30" s="93" t="e" cm="1">
        <f t="array" aca="1" ref="G30" ca="1">_xll.RiskOutput("OES 4 Chronic Retained Dose, Non-Cancer - Female of Reproductive Age")+ARDfem4*VLOOKUP(B23,Parameters!$B$21:$M$29,12,FALSE)*WY/(WY*EF_C)</f>
        <v>#NAME?</v>
      </c>
      <c r="H30" s="94" t="s">
        <v>161</v>
      </c>
    </row>
    <row r="31" spans="2:8" x14ac:dyDescent="0.25">
      <c r="C31" s="36" t="s">
        <v>174</v>
      </c>
      <c r="D31" s="36" t="s">
        <v>151</v>
      </c>
      <c r="E31" s="21" t="s">
        <v>175</v>
      </c>
      <c r="F31" s="21" t="s">
        <v>176</v>
      </c>
      <c r="G31" s="93" t="e" cm="1">
        <f t="array" aca="1" ref="G31" ca="1">_xll.RiskOutput("OES 4 Lifetime Chronic Retained Dose, Cancer - Average Adult Worker")+ARDavg4*VLOOKUP(B23,Parameters!$B$21:$M$29,12,FALSE)*WY/AT_LCRD</f>
        <v>#NAME?</v>
      </c>
      <c r="H31" s="94" t="s">
        <v>161</v>
      </c>
    </row>
    <row r="32" spans="2:8" ht="15.75" thickBot="1" x14ac:dyDescent="0.3">
      <c r="C32" s="95" t="s">
        <v>174</v>
      </c>
      <c r="D32" s="95" t="s">
        <v>155</v>
      </c>
      <c r="E32" s="96" t="s">
        <v>177</v>
      </c>
      <c r="F32" s="96" t="s">
        <v>178</v>
      </c>
      <c r="G32" s="97" t="e" cm="1">
        <f t="array" aca="1" ref="G32" ca="1">_xll.RiskOutput("OES 4 Lifetime Chronic Retained Dose, Cancer - Female of Reproductive Age")+ARDfem4*VLOOKUP(B23,Parameters!$B$21:$M$29,12,FALSE)*WY/AT_LCRD</f>
        <v>#NAME?</v>
      </c>
      <c r="H32" s="98" t="s">
        <v>161</v>
      </c>
    </row>
    <row r="33" spans="2:8" ht="105" x14ac:dyDescent="0.25">
      <c r="B33" s="2" t="s">
        <v>78</v>
      </c>
      <c r="C33" s="36" t="s">
        <v>150</v>
      </c>
      <c r="D33" s="36" t="s">
        <v>151</v>
      </c>
      <c r="E33" s="21" t="s">
        <v>152</v>
      </c>
      <c r="F33" s="36" t="s">
        <v>153</v>
      </c>
      <c r="G33" s="93" t="e" cm="1">
        <f t="array" aca="1" ref="G33" ca="1">_xll.RiskOutput("OES 5 Potential Dose Rate - Average Adult Worker")+Savg*Qu*FT*Yderm5*IF(Yderm5&gt;=0.9, fabs_a, IF(Yderm5&gt;0.21, fabs_b, IF(Yderm5&gt;0.1, fabs_c, fabs_d)))</f>
        <v>#NAME?</v>
      </c>
      <c r="H33" s="94" t="s">
        <v>154</v>
      </c>
    </row>
    <row r="34" spans="2:8" ht="105" x14ac:dyDescent="0.25">
      <c r="C34" s="36" t="s">
        <v>150</v>
      </c>
      <c r="D34" s="36" t="s">
        <v>155</v>
      </c>
      <c r="E34" s="21" t="s">
        <v>156</v>
      </c>
      <c r="F34" s="36" t="s">
        <v>157</v>
      </c>
      <c r="G34" s="93" t="e" cm="1">
        <f t="array" aca="1" ref="G34" ca="1">_xll.RiskOutput("OES 5 Potential Dose Rate - Female of Reproductive Age")+Sfem*Qu*FT*Yderm5*IF(Yderm5&gt;=0.9, fabs_a, IF(Yderm5&gt;0.21, fabs_b, IF(Yderm5&gt;0.1, fabs_c, fabs_d)))</f>
        <v>#NAME?</v>
      </c>
      <c r="H34" s="94" t="s">
        <v>154</v>
      </c>
    </row>
    <row r="35" spans="2:8" x14ac:dyDescent="0.25">
      <c r="C35" s="36" t="s">
        <v>158</v>
      </c>
      <c r="D35" s="36" t="s">
        <v>151</v>
      </c>
      <c r="E35" s="21" t="s">
        <v>159</v>
      </c>
      <c r="F35" s="21" t="s">
        <v>160</v>
      </c>
      <c r="G35" s="93" t="e" cm="1">
        <f t="array" aca="1" ref="G35" ca="1">_xll.RiskOutput("OES 5 Potential Dose Rate - Average Adult Worker")+PDRavg5/BWavg</f>
        <v>#NAME?</v>
      </c>
      <c r="H35" s="94" t="s">
        <v>161</v>
      </c>
    </row>
    <row r="36" spans="2:8" x14ac:dyDescent="0.25">
      <c r="C36" s="36" t="s">
        <v>158</v>
      </c>
      <c r="D36" s="36" t="s">
        <v>155</v>
      </c>
      <c r="E36" s="21" t="s">
        <v>162</v>
      </c>
      <c r="F36" s="21" t="s">
        <v>163</v>
      </c>
      <c r="G36" s="93" t="e" cm="1">
        <f t="array" aca="1" ref="G36" ca="1">_xll.RiskOutput("OES 5 Potential Dose Rate - Female of Reproductive Age")+PDRfem5/BWfem</f>
        <v>#NAME?</v>
      </c>
      <c r="H36" s="94" t="s">
        <v>161</v>
      </c>
    </row>
    <row r="37" spans="2:8" ht="90" x14ac:dyDescent="0.25">
      <c r="C37" s="36" t="s">
        <v>164</v>
      </c>
      <c r="D37" s="36" t="s">
        <v>151</v>
      </c>
      <c r="E37" s="21" t="s">
        <v>165</v>
      </c>
      <c r="F37" s="36" t="s">
        <v>166</v>
      </c>
      <c r="G37" s="93" t="e" cm="1">
        <f t="array" aca="1" ref="G37" ca="1">_xll.RiskOutput("OES 5 Intermediate Retained Dose, Non-Cancer - Average Adult Worker")+IF((VLOOKUP(B33, Parameters!$B$21:$M$29, 12, FALSE)) &gt;= EF_IT, (ARDavg5 * EF_IT / AT_IT), (ARDavg5 * (VLOOKUP(B33, Parameters!$B$21:$M$29, 12, FALSE) / AT_IT)))</f>
        <v>#NAME?</v>
      </c>
      <c r="H37" s="94" t="s">
        <v>161</v>
      </c>
    </row>
    <row r="38" spans="2:8" ht="90" x14ac:dyDescent="0.25">
      <c r="C38" s="36" t="s">
        <v>164</v>
      </c>
      <c r="D38" s="36" t="s">
        <v>155</v>
      </c>
      <c r="E38" s="21" t="s">
        <v>167</v>
      </c>
      <c r="F38" s="36" t="s">
        <v>168</v>
      </c>
      <c r="G38" s="93" t="e" cm="1">
        <f t="array" aca="1" ref="G38" ca="1">_xll.RiskOutput("OES 5 Intermediate Retained Dose, Non-Cancer - Female of Reproductive Age")+IF((VLOOKUP(B33, Parameters!$B$21:$M$29, 12, FALSE)) &gt;= EF_IT, (ARDfem5 * EF_IT / AT_IT), (ARDfem5 * (VLOOKUP(B33, Parameters!$B$21:$M$29, 12, FALSE) / AT_IT)))</f>
        <v>#NAME?</v>
      </c>
      <c r="H38" s="94" t="s">
        <v>161</v>
      </c>
    </row>
    <row r="39" spans="2:8" x14ac:dyDescent="0.25">
      <c r="C39" s="36" t="s">
        <v>169</v>
      </c>
      <c r="D39" s="36" t="s">
        <v>151</v>
      </c>
      <c r="E39" s="21" t="s">
        <v>170</v>
      </c>
      <c r="F39" s="21" t="s">
        <v>171</v>
      </c>
      <c r="G39" s="93" t="e" cm="1">
        <f t="array" aca="1" ref="G39" ca="1">_xll.RiskOutput("OES 5 Chronic Retained Dose, Non-Cancer - Average Adult Worker")+ARDavg5*VLOOKUP(B33,Parameters!$B$21:$M$29,12,FALSE)*WY/(WY*EF_C)</f>
        <v>#NAME?</v>
      </c>
      <c r="H39" s="94" t="s">
        <v>161</v>
      </c>
    </row>
    <row r="40" spans="2:8" x14ac:dyDescent="0.25">
      <c r="C40" s="36" t="s">
        <v>169</v>
      </c>
      <c r="D40" s="36" t="s">
        <v>155</v>
      </c>
      <c r="E40" s="21" t="s">
        <v>172</v>
      </c>
      <c r="F40" s="21" t="s">
        <v>173</v>
      </c>
      <c r="G40" s="93" t="e" cm="1">
        <f t="array" aca="1" ref="G40" ca="1">_xll.RiskOutput("OES 5 Chronic Retained Dose, Non-Cancer - Female of Reproductive Age")+ARDfem5*VLOOKUP(B33,Parameters!$B$21:$M$29,12,FALSE)*WY/(WY*EF_C)</f>
        <v>#NAME?</v>
      </c>
      <c r="H40" s="94" t="s">
        <v>161</v>
      </c>
    </row>
    <row r="41" spans="2:8" x14ac:dyDescent="0.25">
      <c r="C41" s="36" t="s">
        <v>174</v>
      </c>
      <c r="D41" s="36" t="s">
        <v>151</v>
      </c>
      <c r="E41" s="21" t="s">
        <v>175</v>
      </c>
      <c r="F41" s="21" t="s">
        <v>176</v>
      </c>
      <c r="G41" s="93" t="e" cm="1">
        <f t="array" aca="1" ref="G41" ca="1">_xll.RiskOutput("OES 5 Lifetime Chronic Retained Dose, Cancer - Average Adult Worker")+ARDavg5*VLOOKUP(B33,Parameters!$B$21:$M$29,12,FALSE)*WY/AT_LCRD</f>
        <v>#NAME?</v>
      </c>
      <c r="H41" s="94" t="s">
        <v>161</v>
      </c>
    </row>
    <row r="42" spans="2:8" ht="15.75" thickBot="1" x14ac:dyDescent="0.3">
      <c r="C42" s="95" t="s">
        <v>174</v>
      </c>
      <c r="D42" s="95" t="s">
        <v>155</v>
      </c>
      <c r="E42" s="96" t="s">
        <v>177</v>
      </c>
      <c r="F42" s="96" t="s">
        <v>178</v>
      </c>
      <c r="G42" s="97" t="e" cm="1">
        <f t="array" aca="1" ref="G42" ca="1">_xll.RiskOutput("OES 5 Lifetime Chronic Retained Dose, Cancer - Female of Reproductive Age")+ARDfem5*VLOOKUP(B33,Parameters!$B$21:$M$29,12,FALSE)*WY/AT_LCRD</f>
        <v>#NAME?</v>
      </c>
      <c r="H42" s="98" t="s">
        <v>161</v>
      </c>
    </row>
    <row r="43" spans="2:8" ht="105" x14ac:dyDescent="0.25">
      <c r="B43" s="2" t="s">
        <v>81</v>
      </c>
      <c r="C43" s="36" t="s">
        <v>150</v>
      </c>
      <c r="D43" s="36" t="s">
        <v>151</v>
      </c>
      <c r="E43" s="21" t="s">
        <v>152</v>
      </c>
      <c r="F43" s="36" t="s">
        <v>153</v>
      </c>
      <c r="G43" s="93" t="e" cm="1">
        <f t="array" aca="1" ref="G43" ca="1">_xll.RiskOutput("OES 8 Potential Dose Rate - Average Adult Worker")+Savg*Qu*FT*Yderm8*IF(Yderm8&gt;=0.9, fabs_a, IF(Yderm8&gt;0.21, fabs_b, IF(Yderm8&gt;0.1, fabs_c, fabs_d)))</f>
        <v>#NAME?</v>
      </c>
      <c r="H43" s="94" t="s">
        <v>154</v>
      </c>
    </row>
    <row r="44" spans="2:8" ht="105" x14ac:dyDescent="0.25">
      <c r="C44" s="36" t="s">
        <v>150</v>
      </c>
      <c r="D44" s="36" t="s">
        <v>155</v>
      </c>
      <c r="E44" s="21" t="s">
        <v>156</v>
      </c>
      <c r="F44" s="36" t="s">
        <v>157</v>
      </c>
      <c r="G44" s="93" t="e" cm="1">
        <f t="array" aca="1" ref="G44" ca="1">_xll.RiskOutput("OES 8 Potential Dose Rate - Female of Reproductive Age")+Sfem*Qu*FT*Yderm8*IF(Yderm8&gt;=0.9, fabs_a, IF(Yderm8&gt;0.21, fabs_b, IF(Yderm8&gt;0.1, fabs_c, fabs_d)))</f>
        <v>#NAME?</v>
      </c>
      <c r="H44" s="94" t="s">
        <v>154</v>
      </c>
    </row>
    <row r="45" spans="2:8" x14ac:dyDescent="0.25">
      <c r="C45" s="36" t="s">
        <v>158</v>
      </c>
      <c r="D45" s="36" t="s">
        <v>151</v>
      </c>
      <c r="E45" s="21" t="s">
        <v>159</v>
      </c>
      <c r="F45" s="21" t="s">
        <v>160</v>
      </c>
      <c r="G45" s="93" t="e" cm="1">
        <f t="array" aca="1" ref="G45" ca="1">_xll.RiskOutput("OES 8 Potential Dose Rate - Average Adult Worker")+PDRavg8/BWavg</f>
        <v>#NAME?</v>
      </c>
      <c r="H45" s="94" t="s">
        <v>161</v>
      </c>
    </row>
    <row r="46" spans="2:8" x14ac:dyDescent="0.25">
      <c r="C46" s="36" t="s">
        <v>158</v>
      </c>
      <c r="D46" s="36" t="s">
        <v>155</v>
      </c>
      <c r="E46" s="21" t="s">
        <v>162</v>
      </c>
      <c r="F46" s="21" t="s">
        <v>163</v>
      </c>
      <c r="G46" s="93" t="e" cm="1">
        <f t="array" aca="1" ref="G46" ca="1">_xll.RiskOutput("OES 8 Potential Dose Rate - Female of Reproductive Age")+PDRfem8/BWfem</f>
        <v>#NAME?</v>
      </c>
      <c r="H46" s="94" t="s">
        <v>161</v>
      </c>
    </row>
    <row r="47" spans="2:8" ht="90" x14ac:dyDescent="0.25">
      <c r="C47" s="36" t="s">
        <v>164</v>
      </c>
      <c r="D47" s="36" t="s">
        <v>151</v>
      </c>
      <c r="E47" s="21" t="s">
        <v>165</v>
      </c>
      <c r="F47" s="36" t="s">
        <v>166</v>
      </c>
      <c r="G47" s="93" t="e" cm="1">
        <f t="array" aca="1" ref="G47" ca="1">_xll.RiskOutput("OES 8 Intermediate Retained Dose, Non-Cancer - Average Adult Worker")+IF(EF_3&gt;=EF_IT,(ARDavg8*(EF_3/250)*EF_IT/AT_IT),(ARDavg8*EF_3/AT_IT))</f>
        <v>#NAME?</v>
      </c>
      <c r="H47" s="94" t="s">
        <v>161</v>
      </c>
    </row>
    <row r="48" spans="2:8" ht="90" x14ac:dyDescent="0.25">
      <c r="C48" s="36" t="s">
        <v>164</v>
      </c>
      <c r="D48" s="36" t="s">
        <v>155</v>
      </c>
      <c r="E48" s="21" t="s">
        <v>167</v>
      </c>
      <c r="F48" s="36" t="s">
        <v>168</v>
      </c>
      <c r="G48" s="93" t="e" cm="1">
        <f t="array" aca="1" ref="G48" ca="1">_xll.RiskOutput("OES 8 Intermediate Retained Dose, Non-Cancer - Female of Reproductive Age")+IF(EF_3&gt;=EF_IT,(ARDfem8*(EF_3/250)*EF_IT/AT_IT),(ARDfem8*EF_3)/AT_IT)</f>
        <v>#NAME?</v>
      </c>
      <c r="H48" s="94" t="s">
        <v>161</v>
      </c>
    </row>
    <row r="49" spans="2:8" x14ac:dyDescent="0.25">
      <c r="C49" s="36" t="s">
        <v>169</v>
      </c>
      <c r="D49" s="36" t="s">
        <v>151</v>
      </c>
      <c r="E49" s="21" t="s">
        <v>170</v>
      </c>
      <c r="F49" s="21" t="s">
        <v>171</v>
      </c>
      <c r="G49" s="93" t="e" cm="1">
        <f t="array" aca="1" ref="G49" ca="1">_xll.RiskOutput("OES 8 Chronic Retained Dose, Non-Cancer - Average Adult Worker")+ARDavg8*EF_3*WY/(WY*EF_C)</f>
        <v>#NAME?</v>
      </c>
      <c r="H49" s="94" t="s">
        <v>161</v>
      </c>
    </row>
    <row r="50" spans="2:8" x14ac:dyDescent="0.25">
      <c r="C50" s="36" t="s">
        <v>169</v>
      </c>
      <c r="D50" s="36" t="s">
        <v>155</v>
      </c>
      <c r="E50" s="21" t="s">
        <v>172</v>
      </c>
      <c r="F50" s="21" t="s">
        <v>173</v>
      </c>
      <c r="G50" s="93" t="e" cm="1">
        <f t="array" aca="1" ref="G50" ca="1">_xll.RiskOutput("OES 8 Chronic Retained Dose, Non-Cancer - Female of Reproductive Age")+ARDfem8*EF_3*WY/(WY*EF_C)</f>
        <v>#NAME?</v>
      </c>
      <c r="H50" s="94" t="s">
        <v>161</v>
      </c>
    </row>
    <row r="51" spans="2:8" x14ac:dyDescent="0.25">
      <c r="C51" s="36" t="s">
        <v>174</v>
      </c>
      <c r="D51" s="36" t="s">
        <v>151</v>
      </c>
      <c r="E51" s="21" t="s">
        <v>175</v>
      </c>
      <c r="F51" s="21" t="s">
        <v>176</v>
      </c>
      <c r="G51" s="93" t="e" cm="1">
        <f t="array" aca="1" ref="G51" ca="1">_xll.RiskOutput("OES 8 Lifetime Chronic Retained Dose, Cancer - Average Adult Worker")+ARDavg8*EF_3*WY/AT_LCRD</f>
        <v>#NAME?</v>
      </c>
      <c r="H51" s="94" t="s">
        <v>161</v>
      </c>
    </row>
    <row r="52" spans="2:8" ht="15.75" thickBot="1" x14ac:dyDescent="0.3">
      <c r="C52" s="95" t="s">
        <v>174</v>
      </c>
      <c r="D52" s="95" t="s">
        <v>155</v>
      </c>
      <c r="E52" s="96" t="s">
        <v>177</v>
      </c>
      <c r="F52" s="96" t="s">
        <v>178</v>
      </c>
      <c r="G52" s="97" t="e" cm="1">
        <f t="array" aca="1" ref="G52" ca="1">_xll.RiskOutput("OES 8 Lifetime Chronic Retained Dose, Cancer - Female of Reproductive Age")+ARDfem8*EF_3*WY/AT_LCRD</f>
        <v>#NAME?</v>
      </c>
      <c r="H52" s="98" t="s">
        <v>161</v>
      </c>
    </row>
    <row r="53" spans="2:8" ht="105" x14ac:dyDescent="0.25">
      <c r="B53" s="2" t="s">
        <v>85</v>
      </c>
      <c r="C53" s="36" t="s">
        <v>150</v>
      </c>
      <c r="D53" s="36" t="s">
        <v>151</v>
      </c>
      <c r="E53" s="21" t="s">
        <v>152</v>
      </c>
      <c r="F53" s="36" t="s">
        <v>153</v>
      </c>
      <c r="G53" s="93" t="e" cm="1">
        <f t="array" aca="1" ref="G53" ca="1">_xll.RiskOutput("OES 9 Potential Dose Rate - Average Adult Worker")+Savg*Qu*FT*Yderm9*IF(Yderm9&gt;=0.9, fabs_a, IF(Yderm9&gt;0.21, fabs_b, IF(Yderm9&gt;0.1, fabs_c, fabs_d)))</f>
        <v>#NAME?</v>
      </c>
      <c r="H53" s="94" t="s">
        <v>154</v>
      </c>
    </row>
    <row r="54" spans="2:8" ht="105" x14ac:dyDescent="0.25">
      <c r="C54" s="36" t="s">
        <v>150</v>
      </c>
      <c r="D54" s="36" t="s">
        <v>155</v>
      </c>
      <c r="E54" s="21" t="s">
        <v>156</v>
      </c>
      <c r="F54" s="36" t="s">
        <v>157</v>
      </c>
      <c r="G54" s="93" t="e" cm="1">
        <f t="array" aca="1" ref="G54" ca="1">_xll.RiskOutput("OES 9 Potential Dose Rate - Female of Reproductive Age")+Sfem*Qu*FT*Yderm9*IF(Yderm9&gt;=0.9, fabs_a, IF(Yderm9&gt;0.21, fabs_b, IF(Yderm9&gt;0.1, fabs_c, fabs_d)))</f>
        <v>#NAME?</v>
      </c>
      <c r="H54" s="94" t="s">
        <v>154</v>
      </c>
    </row>
    <row r="55" spans="2:8" x14ac:dyDescent="0.25">
      <c r="C55" s="36" t="s">
        <v>158</v>
      </c>
      <c r="D55" s="36" t="s">
        <v>151</v>
      </c>
      <c r="E55" s="21" t="s">
        <v>159</v>
      </c>
      <c r="F55" s="21" t="s">
        <v>160</v>
      </c>
      <c r="G55" s="93" t="e" cm="1">
        <f t="array" aca="1" ref="G55" ca="1">_xll.RiskOutput("OES 9 Potential Dose Rate - Average Adult Worker")+PDRavg9/BWavg</f>
        <v>#NAME?</v>
      </c>
      <c r="H55" s="94" t="s">
        <v>161</v>
      </c>
    </row>
    <row r="56" spans="2:8" x14ac:dyDescent="0.25">
      <c r="C56" s="36" t="s">
        <v>158</v>
      </c>
      <c r="D56" s="36" t="s">
        <v>155</v>
      </c>
      <c r="E56" s="21" t="s">
        <v>162</v>
      </c>
      <c r="F56" s="21" t="s">
        <v>163</v>
      </c>
      <c r="G56" s="93" t="e" cm="1">
        <f t="array" aca="1" ref="G56" ca="1">_xll.RiskOutput("OES 9 Potential Dose Rate - Female of Reproductive Age")+PDRfem9/BWfem</f>
        <v>#NAME?</v>
      </c>
      <c r="H56" s="94" t="s">
        <v>161</v>
      </c>
    </row>
    <row r="57" spans="2:8" ht="90" x14ac:dyDescent="0.25">
      <c r="C57" s="36" t="s">
        <v>164</v>
      </c>
      <c r="D57" s="36" t="s">
        <v>151</v>
      </c>
      <c r="E57" s="21" t="s">
        <v>165</v>
      </c>
      <c r="F57" s="36" t="s">
        <v>166</v>
      </c>
      <c r="G57" s="93" t="e" cm="1">
        <f t="array" aca="1" ref="G57" ca="1">_xll.RiskOutput("OES 9 Intermediate Retained Dose, Non-Cancer - Average Adult Worker")+IF((VLOOKUP(B53, Parameters!$B$21:$M$29, 12, FALSE)) &gt;= EF_IT, (ARDavg9 * EF_IT / AT_IT), (ARDavg9 * (VLOOKUP(B53, Parameters!$B$21:$M$29, 12, FALSE) / AT_IT)))</f>
        <v>#NAME?</v>
      </c>
      <c r="H57" s="94" t="s">
        <v>161</v>
      </c>
    </row>
    <row r="58" spans="2:8" ht="90" x14ac:dyDescent="0.25">
      <c r="C58" s="36" t="s">
        <v>164</v>
      </c>
      <c r="D58" s="36" t="s">
        <v>155</v>
      </c>
      <c r="E58" s="21" t="s">
        <v>167</v>
      </c>
      <c r="F58" s="36" t="s">
        <v>168</v>
      </c>
      <c r="G58" s="93" t="e" cm="1">
        <f t="array" aca="1" ref="G58" ca="1">_xll.RiskOutput("OES 9 Intermediate Retained Dose, Non-Cancer - Female of Reproductive Age")+IF((VLOOKUP(B53, Parameters!$B$21:$M$29, 12, FALSE)) &gt;= EF_IT, (ARDfem9 * EF_IT / AT_IT), (ARDfem9 * (VLOOKUP(B53, Parameters!$B$21:$M$29, 12, FALSE) / AT_IT)))</f>
        <v>#NAME?</v>
      </c>
      <c r="H58" s="94" t="s">
        <v>161</v>
      </c>
    </row>
    <row r="59" spans="2:8" x14ac:dyDescent="0.25">
      <c r="C59" s="36" t="s">
        <v>169</v>
      </c>
      <c r="D59" s="36" t="s">
        <v>151</v>
      </c>
      <c r="E59" s="21" t="s">
        <v>170</v>
      </c>
      <c r="F59" s="21" t="s">
        <v>171</v>
      </c>
      <c r="G59" s="93" t="e" cm="1">
        <f t="array" aca="1" ref="G59" ca="1">_xll.RiskOutput("OES 9 Chronic Retained Dose, Non-Cancer - Average Adult Worker")+ARDavg9*VLOOKUP(B53,Parameters!$B$21:$M$29,12,FALSE)*WY/(WY*EF_C)</f>
        <v>#NAME?</v>
      </c>
      <c r="H59" s="94" t="s">
        <v>161</v>
      </c>
    </row>
    <row r="60" spans="2:8" x14ac:dyDescent="0.25">
      <c r="C60" s="36" t="s">
        <v>169</v>
      </c>
      <c r="D60" s="36" t="s">
        <v>155</v>
      </c>
      <c r="E60" s="21" t="s">
        <v>172</v>
      </c>
      <c r="F60" s="21" t="s">
        <v>173</v>
      </c>
      <c r="G60" s="93" t="e" cm="1">
        <f t="array" aca="1" ref="G60" ca="1">_xll.RiskOutput("OES 9 Chronic Retained Dose, Non-Cancer - Female of Reproductive Age")+ARDfem9*VLOOKUP(B53,Parameters!$B$21:$M$29,12,FALSE)*WY/(WY*EF_C)</f>
        <v>#NAME?</v>
      </c>
      <c r="H60" s="94" t="s">
        <v>161</v>
      </c>
    </row>
    <row r="61" spans="2:8" x14ac:dyDescent="0.25">
      <c r="C61" s="36" t="s">
        <v>174</v>
      </c>
      <c r="D61" s="36" t="s">
        <v>151</v>
      </c>
      <c r="E61" s="21" t="s">
        <v>175</v>
      </c>
      <c r="F61" s="21" t="s">
        <v>176</v>
      </c>
      <c r="G61" s="93" t="e" cm="1">
        <f t="array" aca="1" ref="G61" ca="1">_xll.RiskOutput("OES 9 Lifetime Chronic Retained Dose, Cancer - Average Adult Worker")+ARDavg9*VLOOKUP(B53,Parameters!$B$21:$M$29,12,FALSE)*WY/AT_LCRD</f>
        <v>#NAME?</v>
      </c>
      <c r="H61" s="94" t="s">
        <v>161</v>
      </c>
    </row>
    <row r="62" spans="2:8" ht="15.75" thickBot="1" x14ac:dyDescent="0.3">
      <c r="C62" s="95" t="s">
        <v>174</v>
      </c>
      <c r="D62" s="95" t="s">
        <v>155</v>
      </c>
      <c r="E62" s="96" t="s">
        <v>177</v>
      </c>
      <c r="F62" s="96" t="s">
        <v>178</v>
      </c>
      <c r="G62" s="97" t="e" cm="1">
        <f t="array" aca="1" ref="G62" ca="1">_xll.RiskOutput("OES 9 Lifetime Chronic Retained Dose, Cancer - Female of Reproductive Age")+ARDfem9*VLOOKUP(B53,Parameters!$B$21:$M$29,12,FALSE)*WY/AT_LCRD</f>
        <v>#NAME?</v>
      </c>
      <c r="H62" s="98" t="s">
        <v>161</v>
      </c>
    </row>
    <row r="63" spans="2:8" ht="105" x14ac:dyDescent="0.25">
      <c r="B63" s="2" t="s">
        <v>88</v>
      </c>
      <c r="C63" s="36" t="s">
        <v>150</v>
      </c>
      <c r="D63" s="36" t="s">
        <v>151</v>
      </c>
      <c r="E63" s="21" t="s">
        <v>152</v>
      </c>
      <c r="F63" s="36" t="s">
        <v>153</v>
      </c>
      <c r="G63" s="93" t="e" cm="1">
        <f t="array" aca="1" ref="G63" ca="1">_xll.RiskOutput("OES 10 Potential Dose Rate - Average Adult Worker")+Savg*Qu*FT*Yderm10*IF(Yderm10&gt;=0.9, fabs_a, IF(Yderm10&gt;0.21, fabs_b, IF(Yderm10&gt;0.1, fabs_c, fabs_d)))</f>
        <v>#NAME?</v>
      </c>
      <c r="H63" s="94" t="s">
        <v>154</v>
      </c>
    </row>
    <row r="64" spans="2:8" ht="105" x14ac:dyDescent="0.25">
      <c r="C64" s="36" t="s">
        <v>150</v>
      </c>
      <c r="D64" s="36" t="s">
        <v>155</v>
      </c>
      <c r="E64" s="21" t="s">
        <v>156</v>
      </c>
      <c r="F64" s="36" t="s">
        <v>157</v>
      </c>
      <c r="G64" s="93" t="e" cm="1">
        <f t="array" aca="1" ref="G64" ca="1">_xll.RiskOutput("OES 10 Potential Dose Rate - Female of Reproductive Age")+Sfem*Qu*FT*Yderm10*IF(Yderm10&gt;=0.9, fabs_a, IF(Yderm10&gt;0.21, fabs_b, IF(Yderm10&gt;0.1, fabs_c, fabs_d)))</f>
        <v>#NAME?</v>
      </c>
      <c r="H64" s="94" t="s">
        <v>154</v>
      </c>
    </row>
    <row r="65" spans="2:8" x14ac:dyDescent="0.25">
      <c r="C65" s="36" t="s">
        <v>158</v>
      </c>
      <c r="D65" s="36" t="s">
        <v>151</v>
      </c>
      <c r="E65" s="21" t="s">
        <v>159</v>
      </c>
      <c r="F65" s="21" t="s">
        <v>160</v>
      </c>
      <c r="G65" s="93" t="e" cm="1">
        <f t="array" aca="1" ref="G65" ca="1">_xll.RiskOutput("OES 10 Potential Dose Rate - Average Adult Worker")+PDRavg10/BWavg</f>
        <v>#NAME?</v>
      </c>
      <c r="H65" s="94" t="s">
        <v>161</v>
      </c>
    </row>
    <row r="66" spans="2:8" x14ac:dyDescent="0.25">
      <c r="C66" s="36" t="s">
        <v>158</v>
      </c>
      <c r="D66" s="36" t="s">
        <v>155</v>
      </c>
      <c r="E66" s="21" t="s">
        <v>162</v>
      </c>
      <c r="F66" s="21" t="s">
        <v>163</v>
      </c>
      <c r="G66" s="93" t="e" cm="1">
        <f t="array" aca="1" ref="G66" ca="1">_xll.RiskOutput("OES 10 Potential Dose Rate - Female of Reproductive Age")+PDRfem10/BWfem</f>
        <v>#NAME?</v>
      </c>
      <c r="H66" s="94" t="s">
        <v>161</v>
      </c>
    </row>
    <row r="67" spans="2:8" ht="90" x14ac:dyDescent="0.25">
      <c r="C67" s="36" t="s">
        <v>164</v>
      </c>
      <c r="D67" s="36" t="s">
        <v>151</v>
      </c>
      <c r="E67" s="21" t="s">
        <v>165</v>
      </c>
      <c r="F67" s="36" t="s">
        <v>166</v>
      </c>
      <c r="G67" s="93" t="e" cm="1">
        <f t="array" aca="1" ref="G67" ca="1">_xll.RiskOutput("OES 10 Intermediate Retained Dose, Non-Cancer - Average Adult Worker")+IF((VLOOKUP(B63, Parameters!$B$21:$M$29, 12, FALSE)) &gt;= EF_IT, (ARDavg10 * EF_IT / AT_IT), (ARDavg10 * (VLOOKUP(B63, Parameters!$B$21:$M$29, 12, FALSE) / AT_IT)))</f>
        <v>#NAME?</v>
      </c>
      <c r="H67" s="94" t="s">
        <v>161</v>
      </c>
    </row>
    <row r="68" spans="2:8" ht="90" x14ac:dyDescent="0.25">
      <c r="C68" s="36" t="s">
        <v>164</v>
      </c>
      <c r="D68" s="36" t="s">
        <v>155</v>
      </c>
      <c r="E68" s="21" t="s">
        <v>167</v>
      </c>
      <c r="F68" s="36" t="s">
        <v>168</v>
      </c>
      <c r="G68" s="93" t="e" cm="1">
        <f t="array" aca="1" ref="G68" ca="1">_xll.RiskOutput("OES 10 Intermediate Retained Dose, Non-Cancer - Female of Reproductive Age")+IF((VLOOKUP(B63, Parameters!$B$21:$M$29, 12, FALSE)) &gt;= EF_IT, (ARDfem10 * EF_IT / AT_IT), (ARDfem10 * (VLOOKUP(B63, Parameters!$B$21:$M$29, 12, FALSE) / AT_IT)))</f>
        <v>#NAME?</v>
      </c>
      <c r="H68" s="94" t="s">
        <v>161</v>
      </c>
    </row>
    <row r="69" spans="2:8" x14ac:dyDescent="0.25">
      <c r="C69" s="36" t="s">
        <v>169</v>
      </c>
      <c r="D69" s="36" t="s">
        <v>151</v>
      </c>
      <c r="E69" s="21" t="s">
        <v>170</v>
      </c>
      <c r="F69" s="21" t="s">
        <v>171</v>
      </c>
      <c r="G69" s="93" t="e" cm="1">
        <f t="array" aca="1" ref="G69" ca="1">_xll.RiskOutput("OES 10 Chronic Retained Dose, Non-Cancer - Average Adult Worker")+ARDavg10*VLOOKUP(B63,Parameters!$B$21:$M$29,12,FALSE)*WY/(WY*EF_C)</f>
        <v>#NAME?</v>
      </c>
      <c r="H69" s="94" t="s">
        <v>161</v>
      </c>
    </row>
    <row r="70" spans="2:8" x14ac:dyDescent="0.25">
      <c r="C70" s="36" t="s">
        <v>169</v>
      </c>
      <c r="D70" s="36" t="s">
        <v>155</v>
      </c>
      <c r="E70" s="21" t="s">
        <v>172</v>
      </c>
      <c r="F70" s="21" t="s">
        <v>173</v>
      </c>
      <c r="G70" s="93" t="e" cm="1">
        <f t="array" aca="1" ref="G70" ca="1">_xll.RiskOutput("OES 10 Chronic Retained Dose, Non-Cancer - Female of Reproductive Age")+ARDfem10*VLOOKUP(B63,Parameters!$B$21:$M$29,12,FALSE)*WY/(WY*EF_C)</f>
        <v>#NAME?</v>
      </c>
      <c r="H70" s="94" t="s">
        <v>161</v>
      </c>
    </row>
    <row r="71" spans="2:8" x14ac:dyDescent="0.25">
      <c r="C71" s="36" t="s">
        <v>174</v>
      </c>
      <c r="D71" s="36" t="s">
        <v>151</v>
      </c>
      <c r="E71" s="21" t="s">
        <v>175</v>
      </c>
      <c r="F71" s="21" t="s">
        <v>176</v>
      </c>
      <c r="G71" s="93" t="e" cm="1">
        <f t="array" aca="1" ref="G71" ca="1">_xll.RiskOutput("OES 10 Lifetime Chronic Retained Dose, Cancer - Average Adult Worker")+ARDavg10*VLOOKUP(B63,Parameters!$B$21:$M$29,12,FALSE)*WY/AT_LCRD</f>
        <v>#NAME?</v>
      </c>
      <c r="H71" s="94" t="s">
        <v>161</v>
      </c>
    </row>
    <row r="72" spans="2:8" ht="15.75" thickBot="1" x14ac:dyDescent="0.3">
      <c r="C72" s="95" t="s">
        <v>174</v>
      </c>
      <c r="D72" s="95" t="s">
        <v>155</v>
      </c>
      <c r="E72" s="96" t="s">
        <v>177</v>
      </c>
      <c r="F72" s="96" t="s">
        <v>178</v>
      </c>
      <c r="G72" s="97" t="e" cm="1">
        <f t="array" aca="1" ref="G72" ca="1">_xll.RiskOutput("OES 10 Lifetime Chronic Retained Dose, Cancer - Female of Reproductive Age")+ARDfem10*VLOOKUP(B63,Parameters!$B$21:$M$29,12,FALSE)*WY/AT_LCRD</f>
        <v>#NAME?</v>
      </c>
      <c r="H72" s="98" t="s">
        <v>161</v>
      </c>
    </row>
    <row r="73" spans="2:8" ht="105" x14ac:dyDescent="0.25">
      <c r="B73" s="2" t="s">
        <v>90</v>
      </c>
      <c r="C73" s="36" t="s">
        <v>150</v>
      </c>
      <c r="D73" s="36" t="s">
        <v>151</v>
      </c>
      <c r="E73" s="21" t="s">
        <v>152</v>
      </c>
      <c r="F73" s="36" t="s">
        <v>153</v>
      </c>
      <c r="G73" s="93" t="e" cm="1">
        <f t="array" aca="1" ref="G73" ca="1">_xll.RiskOutput("OES 11 Potential Dose Rate - Average Adult Worker")+Savg*Qu*FT*Yderm11*IF(Yderm11&gt;=0.9, fabs_a, IF(Yderm11&gt;0.21, fabs_b, IF(Yderm11&gt;0.1, fabs_c, fabs_d)))</f>
        <v>#NAME?</v>
      </c>
      <c r="H73" s="94" t="s">
        <v>154</v>
      </c>
    </row>
    <row r="74" spans="2:8" ht="105" x14ac:dyDescent="0.25">
      <c r="C74" s="36" t="s">
        <v>150</v>
      </c>
      <c r="D74" s="36" t="s">
        <v>155</v>
      </c>
      <c r="E74" s="21" t="s">
        <v>156</v>
      </c>
      <c r="F74" s="36" t="s">
        <v>157</v>
      </c>
      <c r="G74" s="93" t="e" cm="1">
        <f t="array" aca="1" ref="G74" ca="1">_xll.RiskOutput("OES 11 Potential Dose Rate - Female of Reproductive Age")+Sfem*Qu*FT*Yderm11*IF(Yderm11&gt;=0.9, fabs_a, IF(Yderm11&gt;0.21, fabs_b, IF(Yderm11&gt;0.1, fabs_c, fabs_d)))</f>
        <v>#NAME?</v>
      </c>
      <c r="H74" s="94" t="s">
        <v>154</v>
      </c>
    </row>
    <row r="75" spans="2:8" x14ac:dyDescent="0.25">
      <c r="C75" s="36" t="s">
        <v>158</v>
      </c>
      <c r="D75" s="36" t="s">
        <v>151</v>
      </c>
      <c r="E75" s="21" t="s">
        <v>159</v>
      </c>
      <c r="F75" s="21" t="s">
        <v>160</v>
      </c>
      <c r="G75" s="93" t="e" cm="1">
        <f t="array" aca="1" ref="G75" ca="1">_xll.RiskOutput("OES 11 Potential Dose Rate - Average Adult Worker")+PDRavg11/BWavg</f>
        <v>#NAME?</v>
      </c>
      <c r="H75" s="94" t="s">
        <v>161</v>
      </c>
    </row>
    <row r="76" spans="2:8" x14ac:dyDescent="0.25">
      <c r="C76" s="36" t="s">
        <v>158</v>
      </c>
      <c r="D76" s="36" t="s">
        <v>155</v>
      </c>
      <c r="E76" s="21" t="s">
        <v>162</v>
      </c>
      <c r="F76" s="21" t="s">
        <v>163</v>
      </c>
      <c r="G76" s="93" t="e" cm="1">
        <f t="array" aca="1" ref="G76" ca="1">_xll.RiskOutput("OES 11 Potential Dose Rate - Female of Reproductive Age")+PDRfem11/BWfem</f>
        <v>#NAME?</v>
      </c>
      <c r="H76" s="94" t="s">
        <v>161</v>
      </c>
    </row>
    <row r="77" spans="2:8" ht="90" x14ac:dyDescent="0.25">
      <c r="C77" s="36" t="s">
        <v>164</v>
      </c>
      <c r="D77" s="36" t="s">
        <v>151</v>
      </c>
      <c r="E77" s="21" t="s">
        <v>165</v>
      </c>
      <c r="F77" s="36" t="s">
        <v>166</v>
      </c>
      <c r="G77" s="93" t="e" cm="1">
        <f t="array" aca="1" ref="G77" ca="1">_xll.RiskOutput("OES 11 Intermediate Retained Dose, Non-Cancer - Average Adult Worker")+IF((VLOOKUP(B73, Parameters!$B$21:$M$29, 12, FALSE)) &gt;= EF_IT, (ARDavg11 * EF_IT / AT_IT), (ARDavg11 * (VLOOKUP(B73, Parameters!$B$21:$M$29, 12, FALSE) / AT_IT)))</f>
        <v>#NAME?</v>
      </c>
      <c r="H77" s="94" t="s">
        <v>161</v>
      </c>
    </row>
    <row r="78" spans="2:8" ht="90" x14ac:dyDescent="0.25">
      <c r="C78" s="36" t="s">
        <v>164</v>
      </c>
      <c r="D78" s="36" t="s">
        <v>155</v>
      </c>
      <c r="E78" s="21" t="s">
        <v>167</v>
      </c>
      <c r="F78" s="36" t="s">
        <v>168</v>
      </c>
      <c r="G78" s="93" t="e" cm="1">
        <f t="array" aca="1" ref="G78" ca="1">_xll.RiskOutput("OES 11 Intermediate Retained Dose, Non-Cancer - Female of Reproductive Age")+IF((VLOOKUP(B73, Parameters!$B$21:$M$29, 12, FALSE)) &gt;= EF_IT, (ARDfem11 * EF_IT / AT_IT), (ARDfem11 * (VLOOKUP(B73, Parameters!$B$21:$M$29, 12, FALSE) / AT_IT)))</f>
        <v>#NAME?</v>
      </c>
      <c r="H78" s="94" t="s">
        <v>161</v>
      </c>
    </row>
    <row r="79" spans="2:8" x14ac:dyDescent="0.25">
      <c r="C79" s="36" t="s">
        <v>169</v>
      </c>
      <c r="D79" s="36" t="s">
        <v>151</v>
      </c>
      <c r="E79" s="21" t="s">
        <v>170</v>
      </c>
      <c r="F79" s="21" t="s">
        <v>171</v>
      </c>
      <c r="G79" s="93" t="e" cm="1">
        <f t="array" aca="1" ref="G79" ca="1">_xll.RiskOutput("OES 11 Chronic Retained Dose, Non-Cancer - Average Adult Worker")+ARDavg11*VLOOKUP(B73,Parameters!$B$21:$M$29,12,FALSE)*WY/(WY*EF_C)</f>
        <v>#NAME?</v>
      </c>
      <c r="H79" s="94" t="s">
        <v>161</v>
      </c>
    </row>
    <row r="80" spans="2:8" x14ac:dyDescent="0.25">
      <c r="C80" s="36" t="s">
        <v>169</v>
      </c>
      <c r="D80" s="36" t="s">
        <v>155</v>
      </c>
      <c r="E80" s="21" t="s">
        <v>172</v>
      </c>
      <c r="F80" s="21" t="s">
        <v>173</v>
      </c>
      <c r="G80" s="93" t="e" cm="1">
        <f t="array" aca="1" ref="G80" ca="1">_xll.RiskOutput("OES 11 Chronic Retained Dose, Non-Cancer - Female of Reproductive Age")+ARDfem11*VLOOKUP(B73,Parameters!$B$21:$M$29,12,FALSE)*WY/(WY*EF_C)</f>
        <v>#NAME?</v>
      </c>
      <c r="H80" s="94" t="s">
        <v>161</v>
      </c>
    </row>
    <row r="81" spans="2:8" x14ac:dyDescent="0.25">
      <c r="C81" s="36" t="s">
        <v>174</v>
      </c>
      <c r="D81" s="36" t="s">
        <v>151</v>
      </c>
      <c r="E81" s="21" t="s">
        <v>175</v>
      </c>
      <c r="F81" s="21" t="s">
        <v>176</v>
      </c>
      <c r="G81" s="93" t="e" cm="1">
        <f t="array" aca="1" ref="G81" ca="1">_xll.RiskOutput("OES 11 Lifetime Chronic Retained Dose, Cancer - Average Adult Worker")+ARDavg11*VLOOKUP(B73,Parameters!$B$21:$M$29,12,FALSE)*WY/AT_LCRD</f>
        <v>#NAME?</v>
      </c>
      <c r="H81" s="94" t="s">
        <v>161</v>
      </c>
    </row>
    <row r="82" spans="2:8" ht="15.75" thickBot="1" x14ac:dyDescent="0.3">
      <c r="C82" s="95" t="s">
        <v>174</v>
      </c>
      <c r="D82" s="95" t="s">
        <v>155</v>
      </c>
      <c r="E82" s="96" t="s">
        <v>177</v>
      </c>
      <c r="F82" s="96" t="s">
        <v>178</v>
      </c>
      <c r="G82" s="97" t="e" cm="1">
        <f t="array" aca="1" ref="G82" ca="1">_xll.RiskOutput("OES 11 Lifetime Chronic Retained Dose, Cancer - Female of Reproductive Age")+ARDfem11*VLOOKUP(B73,Parameters!$B$21:$M$29,12,FALSE)*WY/AT_LCRD</f>
        <v>#NAME?</v>
      </c>
      <c r="H82" s="98" t="s">
        <v>161</v>
      </c>
    </row>
    <row r="83" spans="2:8" ht="105" x14ac:dyDescent="0.25">
      <c r="B83" s="2" t="s">
        <v>92</v>
      </c>
      <c r="C83" s="36" t="s">
        <v>150</v>
      </c>
      <c r="D83" s="36" t="s">
        <v>151</v>
      </c>
      <c r="E83" s="21" t="s">
        <v>152</v>
      </c>
      <c r="F83" s="36" t="s">
        <v>153</v>
      </c>
      <c r="G83" s="93" t="e" cm="1">
        <f t="array" aca="1" ref="G83" ca="1">_xll.RiskOutput("OES 12 Potential Dose Rate - Average Adult Worker")+Savg*Qu*FT*Yderm12*IF(Yderm12&gt;=0.9, fabs_a, IF(Yderm12&gt;0.21, fabs_b, IF(Yderm12&gt;0.1, fabs_c, fabs_d)))</f>
        <v>#NAME?</v>
      </c>
      <c r="H83" s="94" t="s">
        <v>154</v>
      </c>
    </row>
    <row r="84" spans="2:8" ht="105" x14ac:dyDescent="0.25">
      <c r="C84" s="36" t="s">
        <v>150</v>
      </c>
      <c r="D84" s="36" t="s">
        <v>155</v>
      </c>
      <c r="E84" s="21" t="s">
        <v>156</v>
      </c>
      <c r="F84" s="36" t="s">
        <v>157</v>
      </c>
      <c r="G84" s="93" t="e" cm="1">
        <f t="array" aca="1" ref="G84" ca="1">_xll.RiskOutput("OES 12 Potential Dose Rate - Female of Reproductive Age")+Sfem*Qu*FT*Yderm12*IF(Yderm12&gt;=0.9, fabs_a, IF(Yderm12&gt;0.21, fabs_b, IF(Yderm12&gt;0.1, fabs_c, fabs_d)))</f>
        <v>#NAME?</v>
      </c>
      <c r="H84" s="94" t="s">
        <v>154</v>
      </c>
    </row>
    <row r="85" spans="2:8" x14ac:dyDescent="0.25">
      <c r="C85" s="36" t="s">
        <v>158</v>
      </c>
      <c r="D85" s="36" t="s">
        <v>151</v>
      </c>
      <c r="E85" s="21" t="s">
        <v>159</v>
      </c>
      <c r="F85" s="21" t="s">
        <v>160</v>
      </c>
      <c r="G85" s="93" t="e" cm="1">
        <f t="array" aca="1" ref="G85" ca="1">_xll.RiskOutput("OES 12 Potential Dose Rate - Average Adult Worker")+PDRavg12/BWavg</f>
        <v>#NAME?</v>
      </c>
      <c r="H85" s="94" t="s">
        <v>161</v>
      </c>
    </row>
    <row r="86" spans="2:8" x14ac:dyDescent="0.25">
      <c r="C86" s="36" t="s">
        <v>158</v>
      </c>
      <c r="D86" s="36" t="s">
        <v>155</v>
      </c>
      <c r="E86" s="21" t="s">
        <v>162</v>
      </c>
      <c r="F86" s="21" t="s">
        <v>163</v>
      </c>
      <c r="G86" s="93" t="e" cm="1">
        <f t="array" aca="1" ref="G86" ca="1">_xll.RiskOutput("OES 12 Potential Dose Rate - Female of Reproductive Age")+PDRfem12/BWfem</f>
        <v>#NAME?</v>
      </c>
      <c r="H86" s="94" t="s">
        <v>161</v>
      </c>
    </row>
    <row r="87" spans="2:8" ht="90" x14ac:dyDescent="0.25">
      <c r="C87" s="36" t="s">
        <v>164</v>
      </c>
      <c r="D87" s="36" t="s">
        <v>151</v>
      </c>
      <c r="E87" s="21" t="s">
        <v>165</v>
      </c>
      <c r="F87" s="36" t="s">
        <v>166</v>
      </c>
      <c r="G87" s="93" t="e" cm="1">
        <f t="array" aca="1" ref="G87" ca="1">_xll.RiskOutput("OES 12 Intermediate Retained Dose, Non-Cancer - Average Adult Worker")+IF((VLOOKUP(B83, Parameters!$B$21:$M$29, 12, FALSE)) &gt;= EF_IT, (ARDavg12 * EF_IT / AT_IT), (ARDavg12 * (VLOOKUP(B83, Parameters!$B$21:$M$29, 12, FALSE) / AT_IT)))</f>
        <v>#NAME?</v>
      </c>
      <c r="H87" s="94" t="s">
        <v>161</v>
      </c>
    </row>
    <row r="88" spans="2:8" ht="90" x14ac:dyDescent="0.25">
      <c r="C88" s="36" t="s">
        <v>164</v>
      </c>
      <c r="D88" s="36" t="s">
        <v>155</v>
      </c>
      <c r="E88" s="21" t="s">
        <v>167</v>
      </c>
      <c r="F88" s="36" t="s">
        <v>168</v>
      </c>
      <c r="G88" s="93" t="e" cm="1">
        <f t="array" aca="1" ref="G88" ca="1">_xll.RiskOutput("OES 12 Intermediate Retained Dose, Non-Cancer - Female of Reproductive Age")+IF((VLOOKUP(B83, Parameters!$B$21:$M$29, 12, FALSE)) &gt;= EF_IT, (ARDfem12 * EF_IT / AT_IT), (ARDfem12 * (VLOOKUP(B83, Parameters!$B$21:$M$29, 12, FALSE) / AT_IT)))</f>
        <v>#NAME?</v>
      </c>
      <c r="H88" s="94" t="s">
        <v>161</v>
      </c>
    </row>
    <row r="89" spans="2:8" x14ac:dyDescent="0.25">
      <c r="C89" s="36" t="s">
        <v>169</v>
      </c>
      <c r="D89" s="36" t="s">
        <v>151</v>
      </c>
      <c r="E89" s="21" t="s">
        <v>170</v>
      </c>
      <c r="F89" s="21" t="s">
        <v>171</v>
      </c>
      <c r="G89" s="93" t="e" cm="1">
        <f t="array" aca="1" ref="G89" ca="1">_xll.RiskOutput("OES 12 Chronic Retained Dose, Non-Cancer - Average Adult Worker")+ARDavg12*VLOOKUP(B83,Parameters!$B$21:$M$29,12,FALSE)*WY/(WY*EF_C)</f>
        <v>#NAME?</v>
      </c>
      <c r="H89" s="94" t="s">
        <v>161</v>
      </c>
    </row>
    <row r="90" spans="2:8" x14ac:dyDescent="0.25">
      <c r="C90" s="36" t="s">
        <v>169</v>
      </c>
      <c r="D90" s="36" t="s">
        <v>155</v>
      </c>
      <c r="E90" s="21" t="s">
        <v>172</v>
      </c>
      <c r="F90" s="21" t="s">
        <v>173</v>
      </c>
      <c r="G90" s="93" t="e" cm="1">
        <f t="array" aca="1" ref="G90" ca="1">_xll.RiskOutput("OES 12 Chronic Retained Dose, Non-Cancer - Female of Reproductive Age")+ARDfem12*VLOOKUP(B83,Parameters!$B$21:$M$29,12,FALSE)*WY/(WY*EF_C)</f>
        <v>#NAME?</v>
      </c>
      <c r="H90" s="94" t="s">
        <v>161</v>
      </c>
    </row>
    <row r="91" spans="2:8" x14ac:dyDescent="0.25">
      <c r="C91" s="36" t="s">
        <v>174</v>
      </c>
      <c r="D91" s="36" t="s">
        <v>151</v>
      </c>
      <c r="E91" s="21" t="s">
        <v>175</v>
      </c>
      <c r="F91" s="21" t="s">
        <v>176</v>
      </c>
      <c r="G91" s="93" t="e" cm="1">
        <f t="array" aca="1" ref="G91" ca="1">_xll.RiskOutput("OES 12 Lifetime Chronic Retained Dose, Cancer - Average Adult Worker")+ARDavg12*VLOOKUP(B83,Parameters!$B$21:$M$29,12,FALSE)*WY/AT_LCRD</f>
        <v>#NAME?</v>
      </c>
      <c r="H91" s="94" t="s">
        <v>161</v>
      </c>
    </row>
    <row r="92" spans="2:8" ht="15.75" thickBot="1" x14ac:dyDescent="0.3">
      <c r="C92" s="95" t="s">
        <v>174</v>
      </c>
      <c r="D92" s="95" t="s">
        <v>155</v>
      </c>
      <c r="E92" s="96" t="s">
        <v>177</v>
      </c>
      <c r="F92" s="96" t="s">
        <v>178</v>
      </c>
      <c r="G92" s="97" t="e" cm="1">
        <f t="array" aca="1" ref="G92" ca="1">_xll.RiskOutput("OES 12 Lifetime Chronic Retained Dose, Cancer - Female of Reproductive Age")+ARDfem12*VLOOKUP(B83,Parameters!$B$21:$M$29,12,FALSE)*WY/AT_LCRD</f>
        <v>#NAME?</v>
      </c>
      <c r="H92" s="98" t="s">
        <v>161</v>
      </c>
    </row>
  </sheetData>
  <sheetProtection sheet="1" objects="1" scenarios="1" formatCells="0" formatColumns="0" formatRows="0" sort="0" autoFilter="0"/>
  <autoFilter ref="B2:H2" xr:uid="{00000000-0001-0000-0000-000000000000}"/>
  <conditionalFormatting sqref="G3:G92">
    <cfRule type="cellIs" dxfId="20" priority="1" operator="greaterThanOrEqual">
      <formula>10000</formula>
    </cfRule>
    <cfRule type="cellIs" dxfId="19" priority="2" operator="greaterThanOrEqual">
      <formula>10</formula>
    </cfRule>
    <cfRule type="cellIs" dxfId="18" priority="3" operator="between">
      <formula>1</formula>
      <formula>9.999</formula>
    </cfRule>
    <cfRule type="cellIs" dxfId="17" priority="4" operator="between">
      <formula>0.1</formula>
      <formula>0.999</formula>
    </cfRule>
    <cfRule type="cellIs" dxfId="16" priority="5" operator="lessThanOrEqual">
      <formula>0.1</formula>
    </cfRule>
    <cfRule type="containsBlanks" dxfId="15" priority="6" stopIfTrue="1">
      <formula>LEN(TRIM(G3))=0</formula>
    </cfRule>
    <cfRule type="cellIs" dxfId="14" priority="7"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20A8-AE61-4509-A7C6-4A56CB3C1576}">
  <sheetPr codeName="Sheet6"/>
  <dimension ref="A1:M71"/>
  <sheetViews>
    <sheetView zoomScale="72" workbookViewId="0">
      <selection sqref="A1:B1"/>
    </sheetView>
  </sheetViews>
  <sheetFormatPr defaultRowHeight="15" x14ac:dyDescent="0.25"/>
  <cols>
    <col min="1" max="1" width="22.28515625" style="2" customWidth="1"/>
    <col min="2" max="2" width="38" style="2" customWidth="1"/>
    <col min="3" max="3" width="25.140625" style="2" customWidth="1"/>
    <col min="4" max="8" width="17.5703125" style="2" customWidth="1"/>
    <col min="9" max="13" width="15.140625" style="2" customWidth="1"/>
    <col min="14" max="16384" width="9.140625" style="2"/>
  </cols>
  <sheetData>
    <row r="1" spans="1:13" x14ac:dyDescent="0.25">
      <c r="A1" s="99" t="s">
        <v>179</v>
      </c>
      <c r="B1" s="99"/>
    </row>
    <row r="2" spans="1:13" x14ac:dyDescent="0.25">
      <c r="A2" s="21" t="s">
        <v>180</v>
      </c>
      <c r="B2" s="100">
        <v>100000</v>
      </c>
    </row>
    <row r="3" spans="1:13" x14ac:dyDescent="0.25">
      <c r="A3" s="21" t="s">
        <v>181</v>
      </c>
      <c r="B3" s="77" t="s">
        <v>182</v>
      </c>
    </row>
    <row r="4" spans="1:13" x14ac:dyDescent="0.25">
      <c r="B4" s="4"/>
    </row>
    <row r="5" spans="1:13" ht="15.75" thickBot="1" x14ac:dyDescent="0.3">
      <c r="B5" s="4"/>
    </row>
    <row r="6" spans="1:13" x14ac:dyDescent="0.25">
      <c r="A6" s="101" t="s">
        <v>183</v>
      </c>
      <c r="B6" s="101" t="s">
        <v>184</v>
      </c>
      <c r="C6" s="102" t="s">
        <v>185</v>
      </c>
      <c r="D6" s="103" t="s">
        <v>151</v>
      </c>
      <c r="E6" s="104"/>
      <c r="F6" s="104"/>
      <c r="G6" s="104"/>
      <c r="H6" s="105"/>
      <c r="I6" s="106" t="s">
        <v>155</v>
      </c>
      <c r="J6" s="104"/>
      <c r="K6" s="104"/>
      <c r="L6" s="104"/>
      <c r="M6" s="105"/>
    </row>
    <row r="7" spans="1:13" ht="45" x14ac:dyDescent="0.25">
      <c r="A7" s="101"/>
      <c r="B7" s="101"/>
      <c r="C7" s="102"/>
      <c r="D7" s="107" t="s">
        <v>150</v>
      </c>
      <c r="E7" s="108" t="s">
        <v>158</v>
      </c>
      <c r="F7" s="108" t="s">
        <v>164</v>
      </c>
      <c r="G7" s="108" t="s">
        <v>169</v>
      </c>
      <c r="H7" s="109" t="s">
        <v>174</v>
      </c>
      <c r="I7" s="110" t="s">
        <v>150</v>
      </c>
      <c r="J7" s="108" t="s">
        <v>158</v>
      </c>
      <c r="K7" s="108" t="s">
        <v>164</v>
      </c>
      <c r="L7" s="108" t="s">
        <v>169</v>
      </c>
      <c r="M7" s="109" t="s">
        <v>174</v>
      </c>
    </row>
    <row r="8" spans="1:13" ht="30.75" thickBot="1" x14ac:dyDescent="0.3">
      <c r="A8" s="101"/>
      <c r="B8" s="101"/>
      <c r="C8" s="102"/>
      <c r="D8" s="111" t="s">
        <v>186</v>
      </c>
      <c r="E8" s="112" t="s">
        <v>187</v>
      </c>
      <c r="F8" s="112" t="s">
        <v>188</v>
      </c>
      <c r="G8" s="112" t="s">
        <v>189</v>
      </c>
      <c r="H8" s="113" t="s">
        <v>190</v>
      </c>
      <c r="I8" s="114" t="s">
        <v>186</v>
      </c>
      <c r="J8" s="112" t="s">
        <v>187</v>
      </c>
      <c r="K8" s="112" t="s">
        <v>188</v>
      </c>
      <c r="L8" s="112" t="s">
        <v>189</v>
      </c>
      <c r="M8" s="113" t="s">
        <v>190</v>
      </c>
    </row>
    <row r="9" spans="1:13" x14ac:dyDescent="0.25">
      <c r="A9" s="115" t="s">
        <v>70</v>
      </c>
      <c r="B9" s="116" t="str">
        <f>VLOOKUP(A9, 'OES Lookups'!$B$2:$C$12, 2, FALSE)</f>
        <v>Manufacture</v>
      </c>
      <c r="C9" s="117" t="s">
        <v>45</v>
      </c>
      <c r="D9" s="118" t="e" cm="1">
        <f t="array" aca="1" ref="D9" ca="1">_xll.RiskMax(PDRavg2)</f>
        <v>#NAME?</v>
      </c>
      <c r="E9" s="119" t="e" cm="1">
        <f t="array" aca="1" ref="E9" ca="1">_xll.RiskMax(ARDavg2)</f>
        <v>#NAME?</v>
      </c>
      <c r="F9" s="119" t="e" cm="1">
        <f t="array" aca="1" ref="F9" ca="1">_xll.RiskMax(IRDavg2)</f>
        <v>#NAME?</v>
      </c>
      <c r="G9" s="119" t="e" cm="1">
        <f t="array" aca="1" ref="G9" ca="1">_xll.RiskMax(CRDavg2)</f>
        <v>#NAME?</v>
      </c>
      <c r="H9" s="120" t="e" cm="1">
        <f t="array" aca="1" ref="H9" ca="1">_xll.RiskMax(LCRDavg2)</f>
        <v>#NAME?</v>
      </c>
      <c r="I9" s="121" t="e" cm="1">
        <f t="array" aca="1" ref="I9" ca="1">_xll.RiskMax(PDRfem2)</f>
        <v>#NAME?</v>
      </c>
      <c r="J9" s="119" t="e" cm="1">
        <f t="array" aca="1" ref="J9" ca="1">_xll.RiskMax(ARDfem2)</f>
        <v>#NAME?</v>
      </c>
      <c r="K9" s="119" t="e" cm="1">
        <f t="array" aca="1" ref="K9" ca="1">_xll.RiskMax(IRDfem2)</f>
        <v>#NAME?</v>
      </c>
      <c r="L9" s="119" t="e" cm="1">
        <f t="array" aca="1" ref="L9" ca="1">_xll.RiskMax(CRDfem2)</f>
        <v>#NAME?</v>
      </c>
      <c r="M9" s="120" t="e" cm="1">
        <f t="array" aca="1" ref="M9" ca="1">_xll.RiskMax(LCRDfem2)</f>
        <v>#NAME?</v>
      </c>
    </row>
    <row r="10" spans="1:13" x14ac:dyDescent="0.25">
      <c r="A10" s="122"/>
      <c r="B10" s="123"/>
      <c r="C10" s="124" t="s">
        <v>191</v>
      </c>
      <c r="D10" s="125" t="e" cm="1">
        <f t="array" aca="1" ref="D10" ca="1">_xll.RiskPercentile(PDRavg2, 0.99)</f>
        <v>#NAME?</v>
      </c>
      <c r="E10" s="126" t="e" cm="1">
        <f t="array" aca="1" ref="E10" ca="1">_xll.RiskPercentile(ARDavg2, 0.99)</f>
        <v>#NAME?</v>
      </c>
      <c r="F10" s="126" t="e" cm="1">
        <f t="array" aca="1" ref="F10" ca="1">_xll.RiskPercentile(IRDavg2, 0.99)</f>
        <v>#NAME?</v>
      </c>
      <c r="G10" s="126" t="e" cm="1">
        <f t="array" aca="1" ref="G10" ca="1">_xll.RiskPercentile(CRDavg2, 0.99)</f>
        <v>#NAME?</v>
      </c>
      <c r="H10" s="127" t="e" cm="1">
        <f t="array" aca="1" ref="H10" ca="1">_xll.RiskPercentile(LCRDavg2, 0.99)</f>
        <v>#NAME?</v>
      </c>
      <c r="I10" s="128" t="e" cm="1">
        <f t="array" aca="1" ref="I10" ca="1">_xll.RiskPercentile(PDRfem2, 0.99)</f>
        <v>#NAME?</v>
      </c>
      <c r="J10" s="126" t="e" cm="1">
        <f t="array" aca="1" ref="J10" ca="1">_xll.RiskPercentile(ARDfem2, 0.99)</f>
        <v>#NAME?</v>
      </c>
      <c r="K10" s="126" t="e" cm="1">
        <f t="array" aca="1" ref="K10" ca="1">_xll.RiskPercentile(IRDfem2, 0.99)</f>
        <v>#NAME?</v>
      </c>
      <c r="L10" s="126" t="e" cm="1">
        <f t="array" aca="1" ref="L10" ca="1">_xll.RiskPercentile(CRDfem2, 0.99)</f>
        <v>#NAME?</v>
      </c>
      <c r="M10" s="127" t="e" cm="1">
        <f t="array" aca="1" ref="M10" ca="1">_xll.RiskPercentile(LCRDfem2, 0.99)</f>
        <v>#NAME?</v>
      </c>
    </row>
    <row r="11" spans="1:13" x14ac:dyDescent="0.25">
      <c r="A11" s="122"/>
      <c r="B11" s="123"/>
      <c r="C11" s="124" t="s">
        <v>192</v>
      </c>
      <c r="D11" s="125" t="e" cm="1">
        <f t="array" aca="1" ref="D11" ca="1">_xll.RiskPercentile(PDRavg2, 0.95)</f>
        <v>#NAME?</v>
      </c>
      <c r="E11" s="126" t="e" cm="1">
        <f t="array" aca="1" ref="E11" ca="1">_xll.RiskPercentile(ARDavg2, 0.95)</f>
        <v>#NAME?</v>
      </c>
      <c r="F11" s="126" t="e" cm="1">
        <f t="array" aca="1" ref="F11" ca="1">_xll.RiskPercentile(IRDavg2, 0.95)</f>
        <v>#NAME?</v>
      </c>
      <c r="G11" s="126" t="e" cm="1">
        <f t="array" aca="1" ref="G11" ca="1">_xll.RiskPercentile(CRDavg2, 0.95)</f>
        <v>#NAME?</v>
      </c>
      <c r="H11" s="127" t="e" cm="1">
        <f t="array" aca="1" ref="H11" ca="1">_xll.RiskPercentile(LCRDavg2, 0.95)</f>
        <v>#NAME?</v>
      </c>
      <c r="I11" s="128" t="e" cm="1">
        <f t="array" aca="1" ref="I11" ca="1">_xll.RiskPercentile(PDRfem2, 0.95)</f>
        <v>#NAME?</v>
      </c>
      <c r="J11" s="126" t="e" cm="1">
        <f t="array" aca="1" ref="J11" ca="1">_xll.RiskPercentile(ARDfem2, 0.95)</f>
        <v>#NAME?</v>
      </c>
      <c r="K11" s="126" t="e" cm="1">
        <f t="array" aca="1" ref="K11" ca="1">_xll.RiskPercentile(IRDfem2, 0.95)</f>
        <v>#NAME?</v>
      </c>
      <c r="L11" s="126" t="e" cm="1">
        <f t="array" aca="1" ref="L11" ca="1">_xll.RiskPercentile(CRDfem2, 0.95)</f>
        <v>#NAME?</v>
      </c>
      <c r="M11" s="127" t="e" cm="1">
        <f t="array" aca="1" ref="M11" ca="1">_xll.RiskPercentile(LCRDfem2, 0.95)</f>
        <v>#NAME?</v>
      </c>
    </row>
    <row r="12" spans="1:13" x14ac:dyDescent="0.25">
      <c r="A12" s="122"/>
      <c r="B12" s="123"/>
      <c r="C12" s="124" t="s">
        <v>193</v>
      </c>
      <c r="D12" s="125" t="e" cm="1">
        <f t="array" aca="1" ref="D12" ca="1">_xll.RiskPercentile(PDRavg2, 0.5)</f>
        <v>#NAME?</v>
      </c>
      <c r="E12" s="126" t="e" cm="1">
        <f t="array" aca="1" ref="E12" ca="1">_xll.RiskPercentile(ARDavg2, 0.5)</f>
        <v>#NAME?</v>
      </c>
      <c r="F12" s="126" t="e" cm="1">
        <f t="array" aca="1" ref="F12" ca="1">_xll.RiskPercentile(IRDavg2, 0.5)</f>
        <v>#NAME?</v>
      </c>
      <c r="G12" s="126" t="e" cm="1">
        <f t="array" aca="1" ref="G12" ca="1">_xll.RiskPercentile(CRDavg2, 0.5)</f>
        <v>#NAME?</v>
      </c>
      <c r="H12" s="127" t="e" cm="1">
        <f t="array" aca="1" ref="H12" ca="1">_xll.RiskPercentile(LCRDavg2, 0.5)</f>
        <v>#NAME?</v>
      </c>
      <c r="I12" s="128" t="e" cm="1">
        <f t="array" aca="1" ref="I12" ca="1">_xll.RiskPercentile(PDRfem2, 0.5)</f>
        <v>#NAME?</v>
      </c>
      <c r="J12" s="126" t="e" cm="1">
        <f t="array" aca="1" ref="J12" ca="1">_xll.RiskPercentile(ARDfem2, 0.5)</f>
        <v>#NAME?</v>
      </c>
      <c r="K12" s="126" t="e" cm="1">
        <f t="array" aca="1" ref="K12" ca="1">_xll.RiskPercentile(IRDfem2, 0.5)</f>
        <v>#NAME?</v>
      </c>
      <c r="L12" s="126" t="e" cm="1">
        <f t="array" aca="1" ref="L12" ca="1">_xll.RiskPercentile(CRDfem2, 0.5)</f>
        <v>#NAME?</v>
      </c>
      <c r="M12" s="127" t="e" cm="1">
        <f t="array" aca="1" ref="M12" ca="1">_xll.RiskPercentile(LCRDfem2, 0.5)</f>
        <v>#NAME?</v>
      </c>
    </row>
    <row r="13" spans="1:13" x14ac:dyDescent="0.25">
      <c r="A13" s="122"/>
      <c r="B13" s="123"/>
      <c r="C13" s="124" t="s">
        <v>194</v>
      </c>
      <c r="D13" s="125" t="e" cm="1">
        <f t="array" aca="1" ref="D13" ca="1">_xll.RiskPercentile(PDRavg2, 0.05)</f>
        <v>#NAME?</v>
      </c>
      <c r="E13" s="126" t="e" cm="1">
        <f t="array" aca="1" ref="E13" ca="1">_xll.RiskPercentile(ARDavg2, 0.05)</f>
        <v>#NAME?</v>
      </c>
      <c r="F13" s="126" t="e" cm="1">
        <f t="array" aca="1" ref="F13" ca="1">_xll.RiskPercentile(IRDavg2, 0.05)</f>
        <v>#NAME?</v>
      </c>
      <c r="G13" s="126" t="e" cm="1">
        <f t="array" aca="1" ref="G13" ca="1">_xll.RiskPercentile(CRDavg2, 0.05)</f>
        <v>#NAME?</v>
      </c>
      <c r="H13" s="127" t="e" cm="1">
        <f t="array" aca="1" ref="H13" ca="1">_xll.RiskPercentile(LCRDavg2, 0.05)</f>
        <v>#NAME?</v>
      </c>
      <c r="I13" s="128" t="e" cm="1">
        <f t="array" aca="1" ref="I13" ca="1">_xll.RiskPercentile(PDRfem2, 0.05)</f>
        <v>#NAME?</v>
      </c>
      <c r="J13" s="126" t="e" cm="1">
        <f t="array" aca="1" ref="J13" ca="1">_xll.RiskPercentile(ARDfem2, 0.05)</f>
        <v>#NAME?</v>
      </c>
      <c r="K13" s="126" t="e" cm="1">
        <f t="array" aca="1" ref="K13" ca="1">_xll.RiskPercentile(IRDfem2, 0.05)</f>
        <v>#NAME?</v>
      </c>
      <c r="L13" s="126" t="e" cm="1">
        <f t="array" aca="1" ref="L13" ca="1">_xll.RiskPercentile(CRDfem2, 0.05)</f>
        <v>#NAME?</v>
      </c>
      <c r="M13" s="127" t="e" cm="1">
        <f t="array" aca="1" ref="M13" ca="1">_xll.RiskPercentile(LCRDfem2, 0.05)</f>
        <v>#NAME?</v>
      </c>
    </row>
    <row r="14" spans="1:13" x14ac:dyDescent="0.25">
      <c r="A14" s="122"/>
      <c r="B14" s="123"/>
      <c r="C14" s="124" t="s">
        <v>195</v>
      </c>
      <c r="D14" s="125" t="e" cm="1">
        <f t="array" aca="1" ref="D14" ca="1">_xll.RiskMin(PDRavg2)</f>
        <v>#NAME?</v>
      </c>
      <c r="E14" s="126" t="e" cm="1">
        <f t="array" aca="1" ref="E14" ca="1">_xll.RiskMin(ARDavg2)</f>
        <v>#NAME?</v>
      </c>
      <c r="F14" s="126" t="e" cm="1">
        <f t="array" aca="1" ref="F14" ca="1">_xll.RiskMin(IRDavg2)</f>
        <v>#NAME?</v>
      </c>
      <c r="G14" s="126" t="e" cm="1">
        <f t="array" aca="1" ref="G14" ca="1">_xll.RiskMin(CRDavg2)</f>
        <v>#NAME?</v>
      </c>
      <c r="H14" s="127" t="e" cm="1">
        <f t="array" aca="1" ref="H14" ca="1">_xll.RiskMin(LCRDavg2)</f>
        <v>#NAME?</v>
      </c>
      <c r="I14" s="128" t="e" cm="1">
        <f t="array" aca="1" ref="I14" ca="1">_xll.RiskMin(PDRfem2)</f>
        <v>#NAME?</v>
      </c>
      <c r="J14" s="126" t="e" cm="1">
        <f t="array" aca="1" ref="J14" ca="1">_xll.RiskMin(ARDfem2)</f>
        <v>#NAME?</v>
      </c>
      <c r="K14" s="126" t="e" cm="1">
        <f t="array" aca="1" ref="K14" ca="1">_xll.RiskMin(IRDfem2)</f>
        <v>#NAME?</v>
      </c>
      <c r="L14" s="126" t="e" cm="1">
        <f t="array" aca="1" ref="L14" ca="1">_xll.RiskMin(CRDfem2)</f>
        <v>#NAME?</v>
      </c>
      <c r="M14" s="127" t="e" cm="1">
        <f t="array" aca="1" ref="M14" ca="1">_xll.RiskMin(LCRDfem2)</f>
        <v>#NAME?</v>
      </c>
    </row>
    <row r="15" spans="1:13" ht="15.75" thickBot="1" x14ac:dyDescent="0.3">
      <c r="A15" s="129"/>
      <c r="B15" s="130"/>
      <c r="C15" s="131" t="s">
        <v>196</v>
      </c>
      <c r="D15" s="132" t="e" cm="1">
        <f t="array" aca="1" ref="D15" ca="1">_xll.RiskMean(PDRavg2)</f>
        <v>#NAME?</v>
      </c>
      <c r="E15" s="133" t="e" cm="1">
        <f t="array" aca="1" ref="E15" ca="1">_xll.RiskMean(ARDavg2)</f>
        <v>#NAME?</v>
      </c>
      <c r="F15" s="133" t="e" cm="1">
        <f t="array" aca="1" ref="F15" ca="1">_xll.RiskMean(IRDavg2)</f>
        <v>#NAME?</v>
      </c>
      <c r="G15" s="133" t="e" cm="1">
        <f t="array" aca="1" ref="G15" ca="1">_xll.RiskMean(CRDavg2)</f>
        <v>#NAME?</v>
      </c>
      <c r="H15" s="134" t="e" cm="1">
        <f t="array" aca="1" ref="H15" ca="1">_xll.RiskMean(LCRDavg2)</f>
        <v>#NAME?</v>
      </c>
      <c r="I15" s="135" t="e" cm="1">
        <f t="array" aca="1" ref="I15" ca="1">_xll.RiskMean(PDRfem2)</f>
        <v>#NAME?</v>
      </c>
      <c r="J15" s="133" t="e" cm="1">
        <f t="array" aca="1" ref="J15" ca="1">_xll.RiskMean(ARDfem2)</f>
        <v>#NAME?</v>
      </c>
      <c r="K15" s="133" t="e" cm="1">
        <f t="array" aca="1" ref="K15" ca="1">_xll.RiskMean(IRDfem2)</f>
        <v>#NAME?</v>
      </c>
      <c r="L15" s="133" t="e" cm="1">
        <f t="array" aca="1" ref="L15" ca="1">_xll.RiskMean(CRDfem2)</f>
        <v>#NAME?</v>
      </c>
      <c r="M15" s="134" t="e" cm="1">
        <f t="array" aca="1" ref="M15" ca="1">_xll.RiskMean(LCRDfem2)</f>
        <v>#NAME?</v>
      </c>
    </row>
    <row r="16" spans="1:13" x14ac:dyDescent="0.25">
      <c r="A16" s="115" t="s">
        <v>73</v>
      </c>
      <c r="B16" s="136" t="str">
        <f>VLOOKUP(A16, 'OES Lookups'!$B$2:$C$12, 2, FALSE)</f>
        <v>Repackaging</v>
      </c>
      <c r="C16" s="117" t="s">
        <v>45</v>
      </c>
      <c r="D16" s="118" t="e" cm="1">
        <f t="array" aca="1" ref="D16" ca="1">_xll.RiskMax(PDRavg3)</f>
        <v>#NAME?</v>
      </c>
      <c r="E16" s="119" t="e" cm="1">
        <f t="array" aca="1" ref="E16" ca="1">_xll.RiskMax(ARDavg3)</f>
        <v>#NAME?</v>
      </c>
      <c r="F16" s="119" t="e" cm="1">
        <f t="array" aca="1" ref="F16" ca="1">_xll.RiskMax(IRDavg3)</f>
        <v>#NAME?</v>
      </c>
      <c r="G16" s="119" t="e" cm="1">
        <f t="array" aca="1" ref="G16" ca="1">_xll.RiskMax(CRDavg3)</f>
        <v>#NAME?</v>
      </c>
      <c r="H16" s="120" t="e" cm="1">
        <f t="array" aca="1" ref="H16" ca="1">_xll.RiskMax(LCRDavg3)</f>
        <v>#NAME?</v>
      </c>
      <c r="I16" s="121" t="e" cm="1">
        <f t="array" aca="1" ref="I16" ca="1">_xll.RiskMax(PDRfem3)</f>
        <v>#NAME?</v>
      </c>
      <c r="J16" s="119" t="e" cm="1">
        <f t="array" aca="1" ref="J16" ca="1">_xll.RiskMax(ARDfem3)</f>
        <v>#NAME?</v>
      </c>
      <c r="K16" s="119" t="e" cm="1">
        <f t="array" aca="1" ref="K16" ca="1">_xll.RiskMax(IRDfem3)</f>
        <v>#NAME?</v>
      </c>
      <c r="L16" s="119" t="e" cm="1">
        <f t="array" aca="1" ref="L16" ca="1">_xll.RiskMax(CRDfem3)</f>
        <v>#NAME?</v>
      </c>
      <c r="M16" s="120" t="e" cm="1">
        <f t="array" aca="1" ref="M16" ca="1">_xll.RiskMax(LCRDfem3)</f>
        <v>#NAME?</v>
      </c>
    </row>
    <row r="17" spans="1:13" x14ac:dyDescent="0.25">
      <c r="A17" s="122"/>
      <c r="B17" s="137"/>
      <c r="C17" s="124" t="s">
        <v>191</v>
      </c>
      <c r="D17" s="125" t="e" cm="1">
        <f t="array" aca="1" ref="D17" ca="1">_xll.RiskPercentile(PDRavg3, 0.99)</f>
        <v>#NAME?</v>
      </c>
      <c r="E17" s="126" t="e" cm="1">
        <f t="array" aca="1" ref="E17" ca="1">_xll.RiskPercentile(ARDavg3, 0.99)</f>
        <v>#NAME?</v>
      </c>
      <c r="F17" s="126" t="e" cm="1">
        <f t="array" aca="1" ref="F17" ca="1">_xll.RiskPercentile(IRDavg3, 0.99)</f>
        <v>#NAME?</v>
      </c>
      <c r="G17" s="126" t="e" cm="1">
        <f t="array" aca="1" ref="G17" ca="1">_xll.RiskPercentile(CRDavg3, 0.99)</f>
        <v>#NAME?</v>
      </c>
      <c r="H17" s="127" t="e" cm="1">
        <f t="array" aca="1" ref="H17" ca="1">_xll.RiskPercentile(LCRDavg3, 0.99)</f>
        <v>#NAME?</v>
      </c>
      <c r="I17" s="128" t="e" cm="1">
        <f t="array" aca="1" ref="I17" ca="1">_xll.RiskPercentile(PDRfem3, 0.99)</f>
        <v>#NAME?</v>
      </c>
      <c r="J17" s="126" t="e" cm="1">
        <f t="array" aca="1" ref="J17" ca="1">_xll.RiskPercentile(ARDfem3, 0.99)</f>
        <v>#NAME?</v>
      </c>
      <c r="K17" s="126" t="e" cm="1">
        <f t="array" aca="1" ref="K17" ca="1">_xll.RiskPercentile(IRDfem3, 0.99)</f>
        <v>#NAME?</v>
      </c>
      <c r="L17" s="126" t="e" cm="1">
        <f t="array" aca="1" ref="L17" ca="1">_xll.RiskPercentile(CRDfem3, 0.99)</f>
        <v>#NAME?</v>
      </c>
      <c r="M17" s="127" t="e" cm="1">
        <f t="array" aca="1" ref="M17" ca="1">_xll.RiskPercentile(LCRDfem3, 0.99)</f>
        <v>#NAME?</v>
      </c>
    </row>
    <row r="18" spans="1:13" x14ac:dyDescent="0.25">
      <c r="A18" s="122"/>
      <c r="B18" s="137"/>
      <c r="C18" s="124" t="s">
        <v>192</v>
      </c>
      <c r="D18" s="125" t="e" cm="1">
        <f t="array" aca="1" ref="D18" ca="1">_xll.RiskPercentile(PDRavg3, 0.95)</f>
        <v>#NAME?</v>
      </c>
      <c r="E18" s="126" t="e" cm="1">
        <f t="array" aca="1" ref="E18" ca="1">_xll.RiskPercentile(ARDavg3, 0.95)</f>
        <v>#NAME?</v>
      </c>
      <c r="F18" s="126" t="e" cm="1">
        <f t="array" aca="1" ref="F18" ca="1">_xll.RiskPercentile(IRDavg3, 0.95)</f>
        <v>#NAME?</v>
      </c>
      <c r="G18" s="126" t="e" cm="1">
        <f t="array" aca="1" ref="G18" ca="1">_xll.RiskPercentile(CRDavg3, 0.95)</f>
        <v>#NAME?</v>
      </c>
      <c r="H18" s="127" t="e" cm="1">
        <f t="array" aca="1" ref="H18" ca="1">_xll.RiskPercentile(LCRDavg3, 0.95)</f>
        <v>#NAME?</v>
      </c>
      <c r="I18" s="128" t="e" cm="1">
        <f t="array" aca="1" ref="I18" ca="1">_xll.RiskPercentile(PDRfem3, 0.95)</f>
        <v>#NAME?</v>
      </c>
      <c r="J18" s="126" t="e" cm="1">
        <f t="array" aca="1" ref="J18" ca="1">_xll.RiskPercentile(ARDfem3, 0.95)</f>
        <v>#NAME?</v>
      </c>
      <c r="K18" s="126" t="e" cm="1">
        <f t="array" aca="1" ref="K18" ca="1">_xll.RiskPercentile(IRDfem3, 0.95)</f>
        <v>#NAME?</v>
      </c>
      <c r="L18" s="126" t="e" cm="1">
        <f t="array" aca="1" ref="L18" ca="1">_xll.RiskPercentile(CRDfem3, 0.95)</f>
        <v>#NAME?</v>
      </c>
      <c r="M18" s="127" t="e" cm="1">
        <f t="array" aca="1" ref="M18" ca="1">_xll.RiskPercentile(LCRDfem3, 0.95)</f>
        <v>#NAME?</v>
      </c>
    </row>
    <row r="19" spans="1:13" x14ac:dyDescent="0.25">
      <c r="A19" s="122"/>
      <c r="B19" s="137"/>
      <c r="C19" s="124" t="s">
        <v>193</v>
      </c>
      <c r="D19" s="125" t="e" cm="1">
        <f t="array" aca="1" ref="D19" ca="1">_xll.RiskPercentile(PDRavg3, 0.5)</f>
        <v>#NAME?</v>
      </c>
      <c r="E19" s="126" t="e" cm="1">
        <f t="array" aca="1" ref="E19" ca="1">_xll.RiskPercentile(ARDavg3, 0.5)</f>
        <v>#NAME?</v>
      </c>
      <c r="F19" s="126" t="e" cm="1">
        <f t="array" aca="1" ref="F19" ca="1">_xll.RiskPercentile(IRDavg3, 0.5)</f>
        <v>#NAME?</v>
      </c>
      <c r="G19" s="126" t="e" cm="1">
        <f t="array" aca="1" ref="G19" ca="1">_xll.RiskPercentile(CRDavg3, 0.5)</f>
        <v>#NAME?</v>
      </c>
      <c r="H19" s="127" t="e" cm="1">
        <f t="array" aca="1" ref="H19" ca="1">_xll.RiskPercentile(LCRDavg3, 0.5)</f>
        <v>#NAME?</v>
      </c>
      <c r="I19" s="128" t="e" cm="1">
        <f t="array" aca="1" ref="I19" ca="1">_xll.RiskPercentile(PDRfem3, 0.5)</f>
        <v>#NAME?</v>
      </c>
      <c r="J19" s="126" t="e" cm="1">
        <f t="array" aca="1" ref="J19" ca="1">_xll.RiskPercentile(ARDfem3, 0.5)</f>
        <v>#NAME?</v>
      </c>
      <c r="K19" s="126" t="e" cm="1">
        <f t="array" aca="1" ref="K19" ca="1">_xll.RiskPercentile(IRDfem3, 0.5)</f>
        <v>#NAME?</v>
      </c>
      <c r="L19" s="126" t="e" cm="1">
        <f t="array" aca="1" ref="L19" ca="1">_xll.RiskPercentile(CRDfem3, 0.5)</f>
        <v>#NAME?</v>
      </c>
      <c r="M19" s="127" t="e" cm="1">
        <f t="array" aca="1" ref="M19" ca="1">_xll.RiskPercentile(LCRDfem3, 0.5)</f>
        <v>#NAME?</v>
      </c>
    </row>
    <row r="20" spans="1:13" x14ac:dyDescent="0.25">
      <c r="A20" s="122"/>
      <c r="B20" s="137"/>
      <c r="C20" s="124" t="s">
        <v>194</v>
      </c>
      <c r="D20" s="125" t="e" cm="1">
        <f t="array" aca="1" ref="D20" ca="1">_xll.RiskPercentile(PDRavg3, 0.05)</f>
        <v>#NAME?</v>
      </c>
      <c r="E20" s="126" t="e" cm="1">
        <f t="array" aca="1" ref="E20" ca="1">_xll.RiskPercentile(ARDavg3, 0.05)</f>
        <v>#NAME?</v>
      </c>
      <c r="F20" s="126" t="e" cm="1">
        <f t="array" aca="1" ref="F20" ca="1">_xll.RiskPercentile(IRDavg3, 0.05)</f>
        <v>#NAME?</v>
      </c>
      <c r="G20" s="126" t="e" cm="1">
        <f t="array" aca="1" ref="G20" ca="1">_xll.RiskPercentile(CRDavg3, 0.05)</f>
        <v>#NAME?</v>
      </c>
      <c r="H20" s="127" t="e" cm="1">
        <f t="array" aca="1" ref="H20" ca="1">_xll.RiskPercentile(LCRDavg3, 0.05)</f>
        <v>#NAME?</v>
      </c>
      <c r="I20" s="128" t="e" cm="1">
        <f t="array" aca="1" ref="I20" ca="1">_xll.RiskPercentile(PDRfem3, 0.05)</f>
        <v>#NAME?</v>
      </c>
      <c r="J20" s="126" t="e" cm="1">
        <f t="array" aca="1" ref="J20" ca="1">_xll.RiskPercentile(ARDfem3, 0.05)</f>
        <v>#NAME?</v>
      </c>
      <c r="K20" s="126" t="e" cm="1">
        <f t="array" aca="1" ref="K20" ca="1">_xll.RiskPercentile(IRDfem3, 0.05)</f>
        <v>#NAME?</v>
      </c>
      <c r="L20" s="126" t="e" cm="1">
        <f t="array" aca="1" ref="L20" ca="1">_xll.RiskPercentile(CRDfem3, 0.05)</f>
        <v>#NAME?</v>
      </c>
      <c r="M20" s="127" t="e" cm="1">
        <f t="array" aca="1" ref="M20" ca="1">_xll.RiskPercentile(LCRDfem3, 0.05)</f>
        <v>#NAME?</v>
      </c>
    </row>
    <row r="21" spans="1:13" x14ac:dyDescent="0.25">
      <c r="A21" s="122"/>
      <c r="B21" s="137"/>
      <c r="C21" s="124" t="s">
        <v>195</v>
      </c>
      <c r="D21" s="125" t="e" cm="1">
        <f t="array" aca="1" ref="D21" ca="1">_xll.RiskMin(PDRavg3)</f>
        <v>#NAME?</v>
      </c>
      <c r="E21" s="126" t="e" cm="1">
        <f t="array" aca="1" ref="E21" ca="1">_xll.RiskMin(ARDavg3)</f>
        <v>#NAME?</v>
      </c>
      <c r="F21" s="126" t="e" cm="1">
        <f t="array" aca="1" ref="F21" ca="1">_xll.RiskMin(IRDavg3)</f>
        <v>#NAME?</v>
      </c>
      <c r="G21" s="126" t="e" cm="1">
        <f t="array" aca="1" ref="G21" ca="1">_xll.RiskMin(CRDavg3)</f>
        <v>#NAME?</v>
      </c>
      <c r="H21" s="127" t="e" cm="1">
        <f t="array" aca="1" ref="H21" ca="1">_xll.RiskMin(LCRDavg3)</f>
        <v>#NAME?</v>
      </c>
      <c r="I21" s="128" t="e" cm="1">
        <f t="array" aca="1" ref="I21" ca="1">_xll.RiskMin(PDRfem3)</f>
        <v>#NAME?</v>
      </c>
      <c r="J21" s="126" t="e" cm="1">
        <f t="array" aca="1" ref="J21" ca="1">_xll.RiskMin(ARDfem3)</f>
        <v>#NAME?</v>
      </c>
      <c r="K21" s="126" t="e" cm="1">
        <f t="array" aca="1" ref="K21" ca="1">_xll.RiskMin(IRDfem3)</f>
        <v>#NAME?</v>
      </c>
      <c r="L21" s="126" t="e" cm="1">
        <f t="array" aca="1" ref="L21" ca="1">_xll.RiskMin(CRDfem3)</f>
        <v>#NAME?</v>
      </c>
      <c r="M21" s="127" t="e" cm="1">
        <f t="array" aca="1" ref="M21" ca="1">_xll.RiskMin(LCRDfem3)</f>
        <v>#NAME?</v>
      </c>
    </row>
    <row r="22" spans="1:13" ht="15.75" thickBot="1" x14ac:dyDescent="0.3">
      <c r="A22" s="129"/>
      <c r="B22" s="138"/>
      <c r="C22" s="131" t="s">
        <v>196</v>
      </c>
      <c r="D22" s="132" t="e" cm="1">
        <f t="array" aca="1" ref="D22" ca="1">_xll.RiskMean(PDRavg3)</f>
        <v>#NAME?</v>
      </c>
      <c r="E22" s="133" t="e" cm="1">
        <f t="array" aca="1" ref="E22" ca="1">_xll.RiskMean(ARDavg3)</f>
        <v>#NAME?</v>
      </c>
      <c r="F22" s="133" t="e" cm="1">
        <f t="array" aca="1" ref="F22" ca="1">_xll.RiskMean(IRDavg3)</f>
        <v>#NAME?</v>
      </c>
      <c r="G22" s="133" t="e" cm="1">
        <f t="array" aca="1" ref="G22" ca="1">_xll.RiskMean(CRDavg3)</f>
        <v>#NAME?</v>
      </c>
      <c r="H22" s="134" t="e" cm="1">
        <f t="array" aca="1" ref="H22" ca="1">_xll.RiskMean(LCRDavg3)</f>
        <v>#NAME?</v>
      </c>
      <c r="I22" s="135" t="e" cm="1">
        <f t="array" aca="1" ref="I22" ca="1">_xll.RiskMean(PDRfem3)</f>
        <v>#NAME?</v>
      </c>
      <c r="J22" s="133" t="e" cm="1">
        <f t="array" aca="1" ref="J22" ca="1">_xll.RiskMean(ARDfem3)</f>
        <v>#NAME?</v>
      </c>
      <c r="K22" s="133" t="e" cm="1">
        <f t="array" aca="1" ref="K22" ca="1">_xll.RiskMean(IRDfem3)</f>
        <v>#NAME?</v>
      </c>
      <c r="L22" s="133" t="e" cm="1">
        <f t="array" aca="1" ref="L22" ca="1">_xll.RiskMean(CRDfem3)</f>
        <v>#NAME?</v>
      </c>
      <c r="M22" s="134" t="e" cm="1">
        <f t="array" aca="1" ref="M22" ca="1">_xll.RiskMean(LCRDfem3)</f>
        <v>#NAME?</v>
      </c>
    </row>
    <row r="23" spans="1:13" x14ac:dyDescent="0.25">
      <c r="A23" s="115" t="s">
        <v>76</v>
      </c>
      <c r="B23" s="116" t="str">
        <f>VLOOKUP(A23, 'OES Lookups'!$B$2:$C$12, 2, FALSE)</f>
        <v>Processing as a Reactant</v>
      </c>
      <c r="C23" s="117" t="s">
        <v>45</v>
      </c>
      <c r="D23" s="118" t="e" cm="1">
        <f t="array" aca="1" ref="D23" ca="1">_xll.RiskMax(PDRavg4)</f>
        <v>#NAME?</v>
      </c>
      <c r="E23" s="119" t="e" cm="1">
        <f t="array" aca="1" ref="E23" ca="1">_xll.RiskMax(ARDavg4)</f>
        <v>#NAME?</v>
      </c>
      <c r="F23" s="119" t="e" cm="1">
        <f t="array" aca="1" ref="F23" ca="1">_xll.RiskMax(IRDavg4)</f>
        <v>#NAME?</v>
      </c>
      <c r="G23" s="119" t="e" cm="1">
        <f t="array" aca="1" ref="G23" ca="1">_xll.RiskMax(CRDavg4)</f>
        <v>#NAME?</v>
      </c>
      <c r="H23" s="120" t="e" cm="1">
        <f t="array" aca="1" ref="H23" ca="1">_xll.RiskMax(LCRDavg4)</f>
        <v>#NAME?</v>
      </c>
      <c r="I23" s="121" t="e" cm="1">
        <f t="array" aca="1" ref="I23" ca="1">_xll.RiskMax(PDRfem4)</f>
        <v>#NAME?</v>
      </c>
      <c r="J23" s="119" t="e" cm="1">
        <f t="array" aca="1" ref="J23" ca="1">_xll.RiskMax(ARDfem4)</f>
        <v>#NAME?</v>
      </c>
      <c r="K23" s="119" t="e" cm="1">
        <f t="array" aca="1" ref="K23" ca="1">_xll.RiskMax(IRDfem4)</f>
        <v>#NAME?</v>
      </c>
      <c r="L23" s="119" t="e" cm="1">
        <f t="array" aca="1" ref="L23" ca="1">_xll.RiskMax(CRDfem4)</f>
        <v>#NAME?</v>
      </c>
      <c r="M23" s="120" t="e" cm="1">
        <f t="array" aca="1" ref="M23" ca="1">_xll.RiskMax(LCRDfem4)</f>
        <v>#NAME?</v>
      </c>
    </row>
    <row r="24" spans="1:13" x14ac:dyDescent="0.25">
      <c r="A24" s="122"/>
      <c r="B24" s="123"/>
      <c r="C24" s="124" t="s">
        <v>191</v>
      </c>
      <c r="D24" s="125" t="e" cm="1">
        <f t="array" aca="1" ref="D24" ca="1">_xll.RiskPercentile(PDRavg4, 0.99)</f>
        <v>#NAME?</v>
      </c>
      <c r="E24" s="126" t="e" cm="1">
        <f t="array" aca="1" ref="E24" ca="1">_xll.RiskPercentile(ARDavg4, 0.99)</f>
        <v>#NAME?</v>
      </c>
      <c r="F24" s="126" t="e" cm="1">
        <f t="array" aca="1" ref="F24" ca="1">_xll.RiskPercentile(IRDavg4, 0.99)</f>
        <v>#NAME?</v>
      </c>
      <c r="G24" s="126" t="e" cm="1">
        <f t="array" aca="1" ref="G24" ca="1">_xll.RiskPercentile(CRDavg4, 0.99)</f>
        <v>#NAME?</v>
      </c>
      <c r="H24" s="127" t="e" cm="1">
        <f t="array" aca="1" ref="H24" ca="1">_xll.RiskPercentile(LCRDavg4, 0.99)</f>
        <v>#NAME?</v>
      </c>
      <c r="I24" s="128" t="e" cm="1">
        <f t="array" aca="1" ref="I24" ca="1">_xll.RiskPercentile(PDRfem4, 0.99)</f>
        <v>#NAME?</v>
      </c>
      <c r="J24" s="126" t="e" cm="1">
        <f t="array" aca="1" ref="J24" ca="1">_xll.RiskPercentile(ARDfem4, 0.99)</f>
        <v>#NAME?</v>
      </c>
      <c r="K24" s="126" t="e" cm="1">
        <f t="array" aca="1" ref="K24" ca="1">_xll.RiskPercentile(IRDfem4, 0.99)</f>
        <v>#NAME?</v>
      </c>
      <c r="L24" s="126" t="e" cm="1">
        <f t="array" aca="1" ref="L24" ca="1">_xll.RiskPercentile(CRDfem4, 0.99)</f>
        <v>#NAME?</v>
      </c>
      <c r="M24" s="127" t="e" cm="1">
        <f t="array" aca="1" ref="M24" ca="1">_xll.RiskPercentile(LCRDfem4, 0.99)</f>
        <v>#NAME?</v>
      </c>
    </row>
    <row r="25" spans="1:13" x14ac:dyDescent="0.25">
      <c r="A25" s="122"/>
      <c r="B25" s="123"/>
      <c r="C25" s="124" t="s">
        <v>192</v>
      </c>
      <c r="D25" s="125" t="e" cm="1">
        <f t="array" aca="1" ref="D25" ca="1">_xll.RiskPercentile(PDRavg4, 0.95)</f>
        <v>#NAME?</v>
      </c>
      <c r="E25" s="126" t="e" cm="1">
        <f t="array" aca="1" ref="E25" ca="1">_xll.RiskPercentile(ARDavg4, 0.95)</f>
        <v>#NAME?</v>
      </c>
      <c r="F25" s="126" t="e" cm="1">
        <f t="array" aca="1" ref="F25" ca="1">_xll.RiskPercentile(IRDavg4, 0.95)</f>
        <v>#NAME?</v>
      </c>
      <c r="G25" s="126" t="e" cm="1">
        <f t="array" aca="1" ref="G25" ca="1">_xll.RiskPercentile(CRDavg4, 0.95)</f>
        <v>#NAME?</v>
      </c>
      <c r="H25" s="127" t="e" cm="1">
        <f t="array" aca="1" ref="H25" ca="1">_xll.RiskPercentile(LCRDavg4, 0.95)</f>
        <v>#NAME?</v>
      </c>
      <c r="I25" s="128" t="e" cm="1">
        <f t="array" aca="1" ref="I25" ca="1">_xll.RiskPercentile(PDRfem4, 0.95)</f>
        <v>#NAME?</v>
      </c>
      <c r="J25" s="126" t="e" cm="1">
        <f t="array" aca="1" ref="J25" ca="1">_xll.RiskPercentile(ARDfem4, 0.95)</f>
        <v>#NAME?</v>
      </c>
      <c r="K25" s="126" t="e" cm="1">
        <f t="array" aca="1" ref="K25" ca="1">_xll.RiskPercentile(IRDfem4, 0.95)</f>
        <v>#NAME?</v>
      </c>
      <c r="L25" s="126" t="e" cm="1">
        <f t="array" aca="1" ref="L25" ca="1">_xll.RiskPercentile(CRDfem4, 0.95)</f>
        <v>#NAME?</v>
      </c>
      <c r="M25" s="127" t="e" cm="1">
        <f t="array" aca="1" ref="M25" ca="1">_xll.RiskPercentile(LCRDfem4, 0.95)</f>
        <v>#NAME?</v>
      </c>
    </row>
    <row r="26" spans="1:13" x14ac:dyDescent="0.25">
      <c r="A26" s="122"/>
      <c r="B26" s="123"/>
      <c r="C26" s="124" t="s">
        <v>193</v>
      </c>
      <c r="D26" s="125" t="e" cm="1">
        <f t="array" aca="1" ref="D26" ca="1">_xll.RiskPercentile(PDRavg4, 0.5)</f>
        <v>#NAME?</v>
      </c>
      <c r="E26" s="126" t="e" cm="1">
        <f t="array" aca="1" ref="E26" ca="1">_xll.RiskPercentile(ARDavg4, 0.5)</f>
        <v>#NAME?</v>
      </c>
      <c r="F26" s="126" t="e" cm="1">
        <f t="array" aca="1" ref="F26" ca="1">_xll.RiskPercentile(IRDavg4, 0.5)</f>
        <v>#NAME?</v>
      </c>
      <c r="G26" s="126" t="e" cm="1">
        <f t="array" aca="1" ref="G26" ca="1">_xll.RiskPercentile(CRDavg4, 0.5)</f>
        <v>#NAME?</v>
      </c>
      <c r="H26" s="127" t="e" cm="1">
        <f t="array" aca="1" ref="H26" ca="1">_xll.RiskPercentile(LCRDavg4, 0.5)</f>
        <v>#NAME?</v>
      </c>
      <c r="I26" s="128" t="e" cm="1">
        <f t="array" aca="1" ref="I26" ca="1">_xll.RiskPercentile(PDRfem4, 0.5)</f>
        <v>#NAME?</v>
      </c>
      <c r="J26" s="126" t="e" cm="1">
        <f t="array" aca="1" ref="J26" ca="1">_xll.RiskPercentile(ARDfem4, 0.5)</f>
        <v>#NAME?</v>
      </c>
      <c r="K26" s="126" t="e" cm="1">
        <f t="array" aca="1" ref="K26" ca="1">_xll.RiskPercentile(IRDfem4, 0.5)</f>
        <v>#NAME?</v>
      </c>
      <c r="L26" s="126" t="e" cm="1">
        <f t="array" aca="1" ref="L26" ca="1">_xll.RiskPercentile(CRDfem4, 0.5)</f>
        <v>#NAME?</v>
      </c>
      <c r="M26" s="127" t="e" cm="1">
        <f t="array" aca="1" ref="M26" ca="1">_xll.RiskPercentile(LCRDfem4, 0.5)</f>
        <v>#NAME?</v>
      </c>
    </row>
    <row r="27" spans="1:13" x14ac:dyDescent="0.25">
      <c r="A27" s="122"/>
      <c r="B27" s="123"/>
      <c r="C27" s="124" t="s">
        <v>194</v>
      </c>
      <c r="D27" s="125" t="e" cm="1">
        <f t="array" aca="1" ref="D27" ca="1">_xll.RiskPercentile(PDRavg4, 0.05)</f>
        <v>#NAME?</v>
      </c>
      <c r="E27" s="126" t="e" cm="1">
        <f t="array" aca="1" ref="E27" ca="1">_xll.RiskPercentile(ARDavg4, 0.05)</f>
        <v>#NAME?</v>
      </c>
      <c r="F27" s="126" t="e" cm="1">
        <f t="array" aca="1" ref="F27" ca="1">_xll.RiskPercentile(IRDavg4, 0.05)</f>
        <v>#NAME?</v>
      </c>
      <c r="G27" s="126" t="e" cm="1">
        <f t="array" aca="1" ref="G27" ca="1">_xll.RiskPercentile(CRDavg4, 0.05)</f>
        <v>#NAME?</v>
      </c>
      <c r="H27" s="127" t="e" cm="1">
        <f t="array" aca="1" ref="H27" ca="1">_xll.RiskPercentile(LCRDavg4, 0.05)</f>
        <v>#NAME?</v>
      </c>
      <c r="I27" s="128" t="e" cm="1">
        <f t="array" aca="1" ref="I27" ca="1">_xll.RiskPercentile(PDRfem4, 0.05)</f>
        <v>#NAME?</v>
      </c>
      <c r="J27" s="126" t="e" cm="1">
        <f t="array" aca="1" ref="J27" ca="1">_xll.RiskPercentile(ARDfem4, 0.05)</f>
        <v>#NAME?</v>
      </c>
      <c r="K27" s="126" t="e" cm="1">
        <f t="array" aca="1" ref="K27" ca="1">_xll.RiskPercentile(IRDfem4, 0.05)</f>
        <v>#NAME?</v>
      </c>
      <c r="L27" s="126" t="e" cm="1">
        <f t="array" aca="1" ref="L27" ca="1">_xll.RiskPercentile(CRDfem4, 0.05)</f>
        <v>#NAME?</v>
      </c>
      <c r="M27" s="127" t="e" cm="1">
        <f t="array" aca="1" ref="M27" ca="1">_xll.RiskPercentile(LCRDfem4, 0.05)</f>
        <v>#NAME?</v>
      </c>
    </row>
    <row r="28" spans="1:13" x14ac:dyDescent="0.25">
      <c r="A28" s="122"/>
      <c r="B28" s="123"/>
      <c r="C28" s="124" t="s">
        <v>195</v>
      </c>
      <c r="D28" s="125" t="e" cm="1">
        <f t="array" aca="1" ref="D28" ca="1">_xll.RiskMin(PDRavg4)</f>
        <v>#NAME?</v>
      </c>
      <c r="E28" s="126" t="e" cm="1">
        <f t="array" aca="1" ref="E28" ca="1">_xll.RiskMin(ARDavg4)</f>
        <v>#NAME?</v>
      </c>
      <c r="F28" s="126" t="e" cm="1">
        <f t="array" aca="1" ref="F28" ca="1">_xll.RiskMin(IRDavg4)</f>
        <v>#NAME?</v>
      </c>
      <c r="G28" s="126" t="e" cm="1">
        <f t="array" aca="1" ref="G28" ca="1">_xll.RiskMin(CRDavg4)</f>
        <v>#NAME?</v>
      </c>
      <c r="H28" s="127" t="e" cm="1">
        <f t="array" aca="1" ref="H28" ca="1">_xll.RiskMin(LCRDavg4)</f>
        <v>#NAME?</v>
      </c>
      <c r="I28" s="128" t="e" cm="1">
        <f t="array" aca="1" ref="I28" ca="1">_xll.RiskMin(PDRfem4)</f>
        <v>#NAME?</v>
      </c>
      <c r="J28" s="126" t="e" cm="1">
        <f t="array" aca="1" ref="J28" ca="1">_xll.RiskMin(ARDfem4)</f>
        <v>#NAME?</v>
      </c>
      <c r="K28" s="126" t="e" cm="1">
        <f t="array" aca="1" ref="K28" ca="1">_xll.RiskMin(IRDfem4)</f>
        <v>#NAME?</v>
      </c>
      <c r="L28" s="126" t="e" cm="1">
        <f t="array" aca="1" ref="L28" ca="1">_xll.RiskMin(CRDfem4)</f>
        <v>#NAME?</v>
      </c>
      <c r="M28" s="127" t="e" cm="1">
        <f t="array" aca="1" ref="M28" ca="1">_xll.RiskMin(LCRDfem4)</f>
        <v>#NAME?</v>
      </c>
    </row>
    <row r="29" spans="1:13" ht="15.75" thickBot="1" x14ac:dyDescent="0.3">
      <c r="A29" s="129"/>
      <c r="B29" s="130"/>
      <c r="C29" s="131" t="s">
        <v>196</v>
      </c>
      <c r="D29" s="132" t="e" cm="1">
        <f t="array" aca="1" ref="D29" ca="1">_xll.RiskMean(PDRavg4)</f>
        <v>#NAME?</v>
      </c>
      <c r="E29" s="133" t="e" cm="1">
        <f t="array" aca="1" ref="E29" ca="1">_xll.RiskMean(ARDavg4)</f>
        <v>#NAME?</v>
      </c>
      <c r="F29" s="133" t="e" cm="1">
        <f t="array" aca="1" ref="F29" ca="1">_xll.RiskMean(IRDavg4)</f>
        <v>#NAME?</v>
      </c>
      <c r="G29" s="133" t="e" cm="1">
        <f t="array" aca="1" ref="G29" ca="1">_xll.RiskMean(CRDavg4)</f>
        <v>#NAME?</v>
      </c>
      <c r="H29" s="134" t="e" cm="1">
        <f t="array" aca="1" ref="H29" ca="1">_xll.RiskMean(LCRDavg4)</f>
        <v>#NAME?</v>
      </c>
      <c r="I29" s="135" t="e" cm="1">
        <f t="array" aca="1" ref="I29" ca="1">_xll.RiskMean(PDRfem4)</f>
        <v>#NAME?</v>
      </c>
      <c r="J29" s="133" t="e" cm="1">
        <f t="array" aca="1" ref="J29" ca="1">_xll.RiskMean(ARDfem4)</f>
        <v>#NAME?</v>
      </c>
      <c r="K29" s="133" t="e" cm="1">
        <f t="array" aca="1" ref="K29" ca="1">_xll.RiskMean(IRDfem4)</f>
        <v>#NAME?</v>
      </c>
      <c r="L29" s="133" t="e" cm="1">
        <f t="array" aca="1" ref="L29" ca="1">_xll.RiskMean(CRDfem4)</f>
        <v>#NAME?</v>
      </c>
      <c r="M29" s="134" t="e" cm="1">
        <f t="array" aca="1" ref="M29" ca="1">_xll.RiskMean(LCRDfem4)</f>
        <v>#NAME?</v>
      </c>
    </row>
    <row r="30" spans="1:13" x14ac:dyDescent="0.25">
      <c r="A30" s="115" t="s">
        <v>78</v>
      </c>
      <c r="B30" s="116" t="str">
        <f>VLOOKUP(A30, 'OES Lookups'!$B$2:$C$12, 2, FALSE)</f>
        <v>Processing Aid</v>
      </c>
      <c r="C30" s="117" t="s">
        <v>45</v>
      </c>
      <c r="D30" s="118" t="e" cm="1">
        <f t="array" aca="1" ref="D30" ca="1">_xll.RiskMax(PDRavg5)</f>
        <v>#NAME?</v>
      </c>
      <c r="E30" s="119" t="e" cm="1">
        <f t="array" aca="1" ref="E30" ca="1">_xll.RiskMax(ARDavg5)</f>
        <v>#NAME?</v>
      </c>
      <c r="F30" s="119" t="e" cm="1">
        <f t="array" aca="1" ref="F30" ca="1">_xll.RiskMax(IRDavg5)</f>
        <v>#NAME?</v>
      </c>
      <c r="G30" s="119" t="e" cm="1">
        <f t="array" aca="1" ref="G30" ca="1">_xll.RiskMax(CRDavg5)</f>
        <v>#NAME?</v>
      </c>
      <c r="H30" s="120" t="e" cm="1">
        <f t="array" aca="1" ref="H30" ca="1">_xll.RiskMax(LCRDavg5)</f>
        <v>#NAME?</v>
      </c>
      <c r="I30" s="121" t="e" cm="1">
        <f t="array" aca="1" ref="I30" ca="1">_xll.RiskMax(PDRfem5)</f>
        <v>#NAME?</v>
      </c>
      <c r="J30" s="119" t="e" cm="1">
        <f t="array" aca="1" ref="J30" ca="1">_xll.RiskMax(ARDfem5)</f>
        <v>#NAME?</v>
      </c>
      <c r="K30" s="119" t="e" cm="1">
        <f t="array" aca="1" ref="K30" ca="1">_xll.RiskMax(IRDfem5)</f>
        <v>#NAME?</v>
      </c>
      <c r="L30" s="119" t="e" cm="1">
        <f t="array" aca="1" ref="L30" ca="1">_xll.RiskMax(CRDfem5)</f>
        <v>#NAME?</v>
      </c>
      <c r="M30" s="120" t="e" cm="1">
        <f t="array" aca="1" ref="M30" ca="1">_xll.RiskMax(LCRDfem5)</f>
        <v>#NAME?</v>
      </c>
    </row>
    <row r="31" spans="1:13" x14ac:dyDescent="0.25">
      <c r="A31" s="122"/>
      <c r="B31" s="123"/>
      <c r="C31" s="124" t="s">
        <v>191</v>
      </c>
      <c r="D31" s="125" t="e" cm="1">
        <f t="array" aca="1" ref="D31" ca="1">_xll.RiskPercentile(PDRavg5, 0.99)</f>
        <v>#NAME?</v>
      </c>
      <c r="E31" s="126" t="e" cm="1">
        <f t="array" aca="1" ref="E31" ca="1">_xll.RiskPercentile(ARDavg5, 0.99)</f>
        <v>#NAME?</v>
      </c>
      <c r="F31" s="126" t="e" cm="1">
        <f t="array" aca="1" ref="F31" ca="1">_xll.RiskPercentile(IRDavg5, 0.99)</f>
        <v>#NAME?</v>
      </c>
      <c r="G31" s="126" t="e" cm="1">
        <f t="array" aca="1" ref="G31" ca="1">_xll.RiskPercentile(CRDavg5, 0.99)</f>
        <v>#NAME?</v>
      </c>
      <c r="H31" s="127" t="e" cm="1">
        <f t="array" aca="1" ref="H31" ca="1">_xll.RiskPercentile(LCRDavg5, 0.99)</f>
        <v>#NAME?</v>
      </c>
      <c r="I31" s="128" t="e" cm="1">
        <f t="array" aca="1" ref="I31" ca="1">_xll.RiskPercentile(PDRfem5, 0.99)</f>
        <v>#NAME?</v>
      </c>
      <c r="J31" s="126" t="e" cm="1">
        <f t="array" aca="1" ref="J31" ca="1">_xll.RiskPercentile(ARDfem5, 0.99)</f>
        <v>#NAME?</v>
      </c>
      <c r="K31" s="126" t="e" cm="1">
        <f t="array" aca="1" ref="K31" ca="1">_xll.RiskPercentile(IRDfem5, 0.99)</f>
        <v>#NAME?</v>
      </c>
      <c r="L31" s="126" t="e" cm="1">
        <f t="array" aca="1" ref="L31" ca="1">_xll.RiskPercentile(CRDfem5, 0.99)</f>
        <v>#NAME?</v>
      </c>
      <c r="M31" s="127" t="e" cm="1">
        <f t="array" aca="1" ref="M31" ca="1">_xll.RiskPercentile(LCRDfem5, 0.99)</f>
        <v>#NAME?</v>
      </c>
    </row>
    <row r="32" spans="1:13" x14ac:dyDescent="0.25">
      <c r="A32" s="122"/>
      <c r="B32" s="123"/>
      <c r="C32" s="124" t="s">
        <v>192</v>
      </c>
      <c r="D32" s="125" t="e" cm="1">
        <f t="array" aca="1" ref="D32" ca="1">_xll.RiskPercentile(PDRavg5, 0.95)</f>
        <v>#NAME?</v>
      </c>
      <c r="E32" s="126" t="e" cm="1">
        <f t="array" aca="1" ref="E32" ca="1">_xll.RiskPercentile(ARDavg5, 0.95)</f>
        <v>#NAME?</v>
      </c>
      <c r="F32" s="126" t="e" cm="1">
        <f t="array" aca="1" ref="F32" ca="1">_xll.RiskPercentile(IRDavg5, 0.95)</f>
        <v>#NAME?</v>
      </c>
      <c r="G32" s="126" t="e" cm="1">
        <f t="array" aca="1" ref="G32" ca="1">_xll.RiskPercentile(CRDavg5, 0.95)</f>
        <v>#NAME?</v>
      </c>
      <c r="H32" s="127" t="e" cm="1">
        <f t="array" aca="1" ref="H32" ca="1">_xll.RiskPercentile(LCRDavg5, 0.95)</f>
        <v>#NAME?</v>
      </c>
      <c r="I32" s="128" t="e" cm="1">
        <f t="array" aca="1" ref="I32" ca="1">_xll.RiskPercentile(PDRfem5, 0.95)</f>
        <v>#NAME?</v>
      </c>
      <c r="J32" s="126" t="e" cm="1">
        <f t="array" aca="1" ref="J32" ca="1">_xll.RiskPercentile(ARDfem5, 0.95)</f>
        <v>#NAME?</v>
      </c>
      <c r="K32" s="126" t="e" cm="1">
        <f t="array" aca="1" ref="K32" ca="1">_xll.RiskPercentile(IRDfem5, 0.95)</f>
        <v>#NAME?</v>
      </c>
      <c r="L32" s="126" t="e" cm="1">
        <f t="array" aca="1" ref="L32" ca="1">_xll.RiskPercentile(CRDfem5, 0.95)</f>
        <v>#NAME?</v>
      </c>
      <c r="M32" s="127" t="e" cm="1">
        <f t="array" aca="1" ref="M32" ca="1">_xll.RiskPercentile(LCRDfem5, 0.95)</f>
        <v>#NAME?</v>
      </c>
    </row>
    <row r="33" spans="1:13" x14ac:dyDescent="0.25">
      <c r="A33" s="122"/>
      <c r="B33" s="123"/>
      <c r="C33" s="124" t="s">
        <v>193</v>
      </c>
      <c r="D33" s="125" t="e" cm="1">
        <f t="array" aca="1" ref="D33" ca="1">_xll.RiskPercentile(PDRavg5, 0.5)</f>
        <v>#NAME?</v>
      </c>
      <c r="E33" s="126" t="e" cm="1">
        <f t="array" aca="1" ref="E33" ca="1">_xll.RiskPercentile(ARDavg5, 0.5)</f>
        <v>#NAME?</v>
      </c>
      <c r="F33" s="126" t="e" cm="1">
        <f t="array" aca="1" ref="F33" ca="1">_xll.RiskPercentile(IRDavg5, 0.5)</f>
        <v>#NAME?</v>
      </c>
      <c r="G33" s="126" t="e" cm="1">
        <f t="array" aca="1" ref="G33" ca="1">_xll.RiskPercentile(CRDavg5, 0.5)</f>
        <v>#NAME?</v>
      </c>
      <c r="H33" s="127" t="e" cm="1">
        <f t="array" aca="1" ref="H33" ca="1">_xll.RiskPercentile(LCRDavg5, 0.5)</f>
        <v>#NAME?</v>
      </c>
      <c r="I33" s="128" t="e" cm="1">
        <f t="array" aca="1" ref="I33" ca="1">_xll.RiskPercentile(PDRfem5, 0.5)</f>
        <v>#NAME?</v>
      </c>
      <c r="J33" s="126" t="e" cm="1">
        <f t="array" aca="1" ref="J33" ca="1">_xll.RiskPercentile(ARDfem5, 0.5)</f>
        <v>#NAME?</v>
      </c>
      <c r="K33" s="126" t="e" cm="1">
        <f t="array" aca="1" ref="K33" ca="1">_xll.RiskPercentile(IRDfem5, 0.5)</f>
        <v>#NAME?</v>
      </c>
      <c r="L33" s="126" t="e" cm="1">
        <f t="array" aca="1" ref="L33" ca="1">_xll.RiskPercentile(CRDfem5, 0.5)</f>
        <v>#NAME?</v>
      </c>
      <c r="M33" s="127" t="e" cm="1">
        <f t="array" aca="1" ref="M33" ca="1">_xll.RiskPercentile(LCRDfem5, 0.5)</f>
        <v>#NAME?</v>
      </c>
    </row>
    <row r="34" spans="1:13" x14ac:dyDescent="0.25">
      <c r="A34" s="122"/>
      <c r="B34" s="123"/>
      <c r="C34" s="124" t="s">
        <v>194</v>
      </c>
      <c r="D34" s="125" t="e" cm="1">
        <f t="array" aca="1" ref="D34" ca="1">_xll.RiskPercentile(PDRavg5, 0.05)</f>
        <v>#NAME?</v>
      </c>
      <c r="E34" s="126" t="e" cm="1">
        <f t="array" aca="1" ref="E34" ca="1">_xll.RiskPercentile(ARDavg5, 0.05)</f>
        <v>#NAME?</v>
      </c>
      <c r="F34" s="126" t="e" cm="1">
        <f t="array" aca="1" ref="F34" ca="1">_xll.RiskPercentile(IRDavg5, 0.05)</f>
        <v>#NAME?</v>
      </c>
      <c r="G34" s="126" t="e" cm="1">
        <f t="array" aca="1" ref="G34" ca="1">_xll.RiskPercentile(CRDavg5, 0.05)</f>
        <v>#NAME?</v>
      </c>
      <c r="H34" s="127" t="e" cm="1">
        <f t="array" aca="1" ref="H34" ca="1">_xll.RiskPercentile(LCRDavg5, 0.05)</f>
        <v>#NAME?</v>
      </c>
      <c r="I34" s="128" t="e" cm="1">
        <f t="array" aca="1" ref="I34" ca="1">_xll.RiskPercentile(PDRfem5, 0.05)</f>
        <v>#NAME?</v>
      </c>
      <c r="J34" s="126" t="e" cm="1">
        <f t="array" aca="1" ref="J34" ca="1">_xll.RiskPercentile(ARDfem5, 0.05)</f>
        <v>#NAME?</v>
      </c>
      <c r="K34" s="126" t="e" cm="1">
        <f t="array" aca="1" ref="K34" ca="1">_xll.RiskPercentile(IRDfem5, 0.05)</f>
        <v>#NAME?</v>
      </c>
      <c r="L34" s="126" t="e" cm="1">
        <f t="array" aca="1" ref="L34" ca="1">_xll.RiskPercentile(CRDfem5, 0.05)</f>
        <v>#NAME?</v>
      </c>
      <c r="M34" s="127" t="e" cm="1">
        <f t="array" aca="1" ref="M34" ca="1">_xll.RiskPercentile(LCRDfem5, 0.05)</f>
        <v>#NAME?</v>
      </c>
    </row>
    <row r="35" spans="1:13" x14ac:dyDescent="0.25">
      <c r="A35" s="122"/>
      <c r="B35" s="123"/>
      <c r="C35" s="124" t="s">
        <v>195</v>
      </c>
      <c r="D35" s="125" t="e" cm="1">
        <f t="array" aca="1" ref="D35" ca="1">_xll.RiskMin(PDRavg5)</f>
        <v>#NAME?</v>
      </c>
      <c r="E35" s="126" t="e" cm="1">
        <f t="array" aca="1" ref="E35" ca="1">_xll.RiskMin(ARDavg5)</f>
        <v>#NAME?</v>
      </c>
      <c r="F35" s="126" t="e" cm="1">
        <f t="array" aca="1" ref="F35" ca="1">_xll.RiskMin(IRDavg5)</f>
        <v>#NAME?</v>
      </c>
      <c r="G35" s="126" t="e" cm="1">
        <f t="array" aca="1" ref="G35" ca="1">_xll.RiskMin(CRDavg5)</f>
        <v>#NAME?</v>
      </c>
      <c r="H35" s="127" t="e" cm="1">
        <f t="array" aca="1" ref="H35" ca="1">_xll.RiskMin(LCRDavg5)</f>
        <v>#NAME?</v>
      </c>
      <c r="I35" s="128" t="e" cm="1">
        <f t="array" aca="1" ref="I35" ca="1">_xll.RiskMin(PDRfem5)</f>
        <v>#NAME?</v>
      </c>
      <c r="J35" s="126" t="e" cm="1">
        <f t="array" aca="1" ref="J35" ca="1">_xll.RiskMin(ARDfem5)</f>
        <v>#NAME?</v>
      </c>
      <c r="K35" s="126" t="e" cm="1">
        <f t="array" aca="1" ref="K35" ca="1">_xll.RiskMin(IRDfem5)</f>
        <v>#NAME?</v>
      </c>
      <c r="L35" s="126" t="e" cm="1">
        <f t="array" aca="1" ref="L35" ca="1">_xll.RiskMin(CRDfem5)</f>
        <v>#NAME?</v>
      </c>
      <c r="M35" s="127" t="e" cm="1">
        <f t="array" aca="1" ref="M35" ca="1">_xll.RiskMin(LCRDfem5)</f>
        <v>#NAME?</v>
      </c>
    </row>
    <row r="36" spans="1:13" ht="15.75" thickBot="1" x14ac:dyDescent="0.3">
      <c r="A36" s="129"/>
      <c r="B36" s="130"/>
      <c r="C36" s="131" t="s">
        <v>196</v>
      </c>
      <c r="D36" s="132" t="e" cm="1">
        <f t="array" aca="1" ref="D36" ca="1">_xll.RiskMean(PDRavg5)</f>
        <v>#NAME?</v>
      </c>
      <c r="E36" s="133" t="e" cm="1">
        <f t="array" aca="1" ref="E36" ca="1">_xll.RiskMean(ARDavg5)</f>
        <v>#NAME?</v>
      </c>
      <c r="F36" s="133" t="e" cm="1">
        <f t="array" aca="1" ref="F36" ca="1">_xll.RiskMean(IRDavg5)</f>
        <v>#NAME?</v>
      </c>
      <c r="G36" s="133" t="e" cm="1">
        <f t="array" aca="1" ref="G36" ca="1">_xll.RiskMean(CRDavg5)</f>
        <v>#NAME?</v>
      </c>
      <c r="H36" s="134" t="e" cm="1">
        <f t="array" aca="1" ref="H36" ca="1">_xll.RiskMean(LCRDavg5)</f>
        <v>#NAME?</v>
      </c>
      <c r="I36" s="135" t="e" cm="1">
        <f t="array" aca="1" ref="I36" ca="1">_xll.RiskMean(PDRfem5)</f>
        <v>#NAME?</v>
      </c>
      <c r="J36" s="133" t="e" cm="1">
        <f t="array" aca="1" ref="J36" ca="1">_xll.RiskMean(ARDfem5)</f>
        <v>#NAME?</v>
      </c>
      <c r="K36" s="133" t="e" cm="1">
        <f t="array" aca="1" ref="K36" ca="1">_xll.RiskMean(IRDfem5)</f>
        <v>#NAME?</v>
      </c>
      <c r="L36" s="133" t="e" cm="1">
        <f t="array" aca="1" ref="L36" ca="1">_xll.RiskMean(CRDfem5)</f>
        <v>#NAME?</v>
      </c>
      <c r="M36" s="134" t="e" cm="1">
        <f t="array" aca="1" ref="M36" ca="1">_xll.RiskMean(LCRDfem5)</f>
        <v>#NAME?</v>
      </c>
    </row>
    <row r="37" spans="1:13" x14ac:dyDescent="0.25">
      <c r="A37" s="115" t="s">
        <v>81</v>
      </c>
      <c r="B37" s="136" t="str">
        <f>VLOOKUP(A37, 'OES Lookups'!$B$2:$C$12, 2, FALSE)</f>
        <v>Use as Laboratory Chemical</v>
      </c>
      <c r="C37" s="117" t="s">
        <v>45</v>
      </c>
      <c r="D37" s="118" t="e" cm="1">
        <f t="array" aca="1" ref="D37" ca="1">_xll.RiskMax(PDRavg8)</f>
        <v>#NAME?</v>
      </c>
      <c r="E37" s="119" t="e" cm="1">
        <f t="array" aca="1" ref="E37" ca="1">_xll.RiskMax(ARDavg8)</f>
        <v>#NAME?</v>
      </c>
      <c r="F37" s="119" t="e" cm="1">
        <f t="array" aca="1" ref="F37" ca="1">_xll.RiskMax(IRDavg8)</f>
        <v>#NAME?</v>
      </c>
      <c r="G37" s="119" t="e" cm="1">
        <f t="array" aca="1" ref="G37" ca="1">_xll.RiskMax(CRDavg8)</f>
        <v>#NAME?</v>
      </c>
      <c r="H37" s="120" t="e" cm="1">
        <f t="array" aca="1" ref="H37" ca="1">_xll.RiskMax(LCRDavg8)</f>
        <v>#NAME?</v>
      </c>
      <c r="I37" s="121" t="e" cm="1">
        <f t="array" aca="1" ref="I37" ca="1">_xll.RiskMax(PDRfem8)</f>
        <v>#NAME?</v>
      </c>
      <c r="J37" s="119" t="e" cm="1">
        <f t="array" aca="1" ref="J37" ca="1">_xll.RiskMax(ARDfem8)</f>
        <v>#NAME?</v>
      </c>
      <c r="K37" s="119" t="e" cm="1">
        <f t="array" aca="1" ref="K37" ca="1">_xll.RiskMax(IRDfem8)</f>
        <v>#NAME?</v>
      </c>
      <c r="L37" s="119" t="e" cm="1">
        <f t="array" aca="1" ref="L37" ca="1">_xll.RiskMax(CRDfem8)</f>
        <v>#NAME?</v>
      </c>
      <c r="M37" s="120" t="e" cm="1">
        <f t="array" aca="1" ref="M37" ca="1">_xll.RiskMax(LCRDfem8)</f>
        <v>#NAME?</v>
      </c>
    </row>
    <row r="38" spans="1:13" x14ac:dyDescent="0.25">
      <c r="A38" s="122"/>
      <c r="B38" s="137"/>
      <c r="C38" s="124" t="s">
        <v>191</v>
      </c>
      <c r="D38" s="125" t="e" cm="1">
        <f t="array" aca="1" ref="D38" ca="1">_xll.RiskPercentile(PDRavg8, 0.99)</f>
        <v>#NAME?</v>
      </c>
      <c r="E38" s="126" t="e" cm="1">
        <f t="array" aca="1" ref="E38" ca="1">_xll.RiskPercentile(ARDavg8, 0.99)</f>
        <v>#NAME?</v>
      </c>
      <c r="F38" s="126" t="e" cm="1">
        <f t="array" aca="1" ref="F38" ca="1">_xll.RiskPercentile(IRDavg8, 0.99)</f>
        <v>#NAME?</v>
      </c>
      <c r="G38" s="126" t="e" cm="1">
        <f t="array" aca="1" ref="G38" ca="1">_xll.RiskPercentile(CRDavg8, 0.99)</f>
        <v>#NAME?</v>
      </c>
      <c r="H38" s="127" t="e" cm="1">
        <f t="array" aca="1" ref="H38" ca="1">_xll.RiskPercentile(LCRDavg8, 0.99)</f>
        <v>#NAME?</v>
      </c>
      <c r="I38" s="128" t="e" cm="1">
        <f t="array" aca="1" ref="I38" ca="1">_xll.RiskPercentile(PDRfem8, 0.99)</f>
        <v>#NAME?</v>
      </c>
      <c r="J38" s="126" t="e" cm="1">
        <f t="array" aca="1" ref="J38" ca="1">_xll.RiskPercentile(ARDfem8, 0.99)</f>
        <v>#NAME?</v>
      </c>
      <c r="K38" s="126" t="e" cm="1">
        <f t="array" aca="1" ref="K38" ca="1">_xll.RiskPercentile(IRDfem8, 0.99)</f>
        <v>#NAME?</v>
      </c>
      <c r="L38" s="126" t="e" cm="1">
        <f t="array" aca="1" ref="L38" ca="1">_xll.RiskPercentile(CRDfem8, 0.99)</f>
        <v>#NAME?</v>
      </c>
      <c r="M38" s="127" t="e" cm="1">
        <f t="array" aca="1" ref="M38" ca="1">_xll.RiskPercentile(LCRDfem8, 0.99)</f>
        <v>#NAME?</v>
      </c>
    </row>
    <row r="39" spans="1:13" x14ac:dyDescent="0.25">
      <c r="A39" s="122"/>
      <c r="B39" s="137"/>
      <c r="C39" s="124" t="s">
        <v>192</v>
      </c>
      <c r="D39" s="125" t="e" cm="1">
        <f t="array" aca="1" ref="D39" ca="1">_xll.RiskPercentile(PDRavg8, 0.95)</f>
        <v>#NAME?</v>
      </c>
      <c r="E39" s="126" t="e" cm="1">
        <f t="array" aca="1" ref="E39" ca="1">_xll.RiskPercentile(ARDavg8, 0.95)</f>
        <v>#NAME?</v>
      </c>
      <c r="F39" s="126" t="e" cm="1">
        <f t="array" aca="1" ref="F39" ca="1">_xll.RiskPercentile(IRDavg8, 0.95)</f>
        <v>#NAME?</v>
      </c>
      <c r="G39" s="126" t="e" cm="1">
        <f t="array" aca="1" ref="G39" ca="1">_xll.RiskPercentile(CRDavg8, 0.95)</f>
        <v>#NAME?</v>
      </c>
      <c r="H39" s="127" t="e" cm="1">
        <f t="array" aca="1" ref="H39" ca="1">_xll.RiskPercentile(LCRDavg8, 0.95)</f>
        <v>#NAME?</v>
      </c>
      <c r="I39" s="128" t="e" cm="1">
        <f t="array" aca="1" ref="I39" ca="1">_xll.RiskPercentile(PDRfem8, 0.95)</f>
        <v>#NAME?</v>
      </c>
      <c r="J39" s="126" t="e" cm="1">
        <f t="array" aca="1" ref="J39" ca="1">_xll.RiskPercentile(ARDfem8, 0.95)</f>
        <v>#NAME?</v>
      </c>
      <c r="K39" s="126" t="e" cm="1">
        <f t="array" aca="1" ref="K39" ca="1">_xll.RiskPercentile(IRDfem8, 0.95)</f>
        <v>#NAME?</v>
      </c>
      <c r="L39" s="126" t="e" cm="1">
        <f t="array" aca="1" ref="L39" ca="1">_xll.RiskPercentile(CRDfem8, 0.95)</f>
        <v>#NAME?</v>
      </c>
      <c r="M39" s="127" t="e" cm="1">
        <f t="array" aca="1" ref="M39" ca="1">_xll.RiskPercentile(LCRDfem8, 0.95)</f>
        <v>#NAME?</v>
      </c>
    </row>
    <row r="40" spans="1:13" x14ac:dyDescent="0.25">
      <c r="A40" s="122"/>
      <c r="B40" s="137"/>
      <c r="C40" s="124" t="s">
        <v>193</v>
      </c>
      <c r="D40" s="125" t="e" cm="1">
        <f t="array" aca="1" ref="D40" ca="1">_xll.RiskPercentile(PDRavg8, 0.5)</f>
        <v>#NAME?</v>
      </c>
      <c r="E40" s="126" t="e" cm="1">
        <f t="array" aca="1" ref="E40" ca="1">_xll.RiskPercentile(ARDavg8, 0.5)</f>
        <v>#NAME?</v>
      </c>
      <c r="F40" s="126" t="e" cm="1">
        <f t="array" aca="1" ref="F40" ca="1">_xll.RiskPercentile(IRDavg8, 0.5)</f>
        <v>#NAME?</v>
      </c>
      <c r="G40" s="126" t="e" cm="1">
        <f t="array" aca="1" ref="G40" ca="1">_xll.RiskPercentile(CRDavg8, 0.5)</f>
        <v>#NAME?</v>
      </c>
      <c r="H40" s="127" t="e" cm="1">
        <f t="array" aca="1" ref="H40" ca="1">_xll.RiskPercentile(LCRDavg8, 0.5)</f>
        <v>#NAME?</v>
      </c>
      <c r="I40" s="128" t="e" cm="1">
        <f t="array" aca="1" ref="I40" ca="1">_xll.RiskPercentile(PDRfem8, 0.5)</f>
        <v>#NAME?</v>
      </c>
      <c r="J40" s="126" t="e" cm="1">
        <f t="array" aca="1" ref="J40" ca="1">_xll.RiskPercentile(ARDfem8, 0.5)</f>
        <v>#NAME?</v>
      </c>
      <c r="K40" s="126" t="e" cm="1">
        <f t="array" aca="1" ref="K40" ca="1">_xll.RiskPercentile(IRDfem8, 0.5)</f>
        <v>#NAME?</v>
      </c>
      <c r="L40" s="126" t="e" cm="1">
        <f t="array" aca="1" ref="L40" ca="1">_xll.RiskPercentile(CRDfem8, 0.5)</f>
        <v>#NAME?</v>
      </c>
      <c r="M40" s="127" t="e" cm="1">
        <f t="array" aca="1" ref="M40" ca="1">_xll.RiskPercentile(LCRDfem8, 0.5)</f>
        <v>#NAME?</v>
      </c>
    </row>
    <row r="41" spans="1:13" x14ac:dyDescent="0.25">
      <c r="A41" s="122"/>
      <c r="B41" s="137"/>
      <c r="C41" s="124" t="s">
        <v>194</v>
      </c>
      <c r="D41" s="125" t="e" cm="1">
        <f t="array" aca="1" ref="D41" ca="1">_xll.RiskPercentile(PDRavg8, 0.05)</f>
        <v>#NAME?</v>
      </c>
      <c r="E41" s="126" t="e" cm="1">
        <f t="array" aca="1" ref="E41" ca="1">_xll.RiskPercentile(ARDavg8, 0.05)</f>
        <v>#NAME?</v>
      </c>
      <c r="F41" s="126" t="e" cm="1">
        <f t="array" aca="1" ref="F41" ca="1">_xll.RiskPercentile(IRDavg8, 0.05)</f>
        <v>#NAME?</v>
      </c>
      <c r="G41" s="126" t="e" cm="1">
        <f t="array" aca="1" ref="G41" ca="1">_xll.RiskPercentile(CRDavg8, 0.05)</f>
        <v>#NAME?</v>
      </c>
      <c r="H41" s="127" t="e" cm="1">
        <f t="array" aca="1" ref="H41" ca="1">_xll.RiskPercentile(LCRDavg8, 0.05)</f>
        <v>#NAME?</v>
      </c>
      <c r="I41" s="128" t="e" cm="1">
        <f t="array" aca="1" ref="I41" ca="1">_xll.RiskPercentile(PDRfem8, 0.05)</f>
        <v>#NAME?</v>
      </c>
      <c r="J41" s="126" t="e" cm="1">
        <f t="array" aca="1" ref="J41" ca="1">_xll.RiskPercentile(ARDfem8, 0.05)</f>
        <v>#NAME?</v>
      </c>
      <c r="K41" s="126" t="e" cm="1">
        <f t="array" aca="1" ref="K41" ca="1">_xll.RiskPercentile(IRDfem8, 0.05)</f>
        <v>#NAME?</v>
      </c>
      <c r="L41" s="126" t="e" cm="1">
        <f t="array" aca="1" ref="L41" ca="1">_xll.RiskPercentile(CRDfem8, 0.05)</f>
        <v>#NAME?</v>
      </c>
      <c r="M41" s="127" t="e" cm="1">
        <f t="array" aca="1" ref="M41" ca="1">_xll.RiskPercentile(LCRDfem8, 0.05)</f>
        <v>#NAME?</v>
      </c>
    </row>
    <row r="42" spans="1:13" x14ac:dyDescent="0.25">
      <c r="A42" s="122"/>
      <c r="B42" s="137"/>
      <c r="C42" s="124" t="s">
        <v>195</v>
      </c>
      <c r="D42" s="125" t="e" cm="1">
        <f t="array" aca="1" ref="D42" ca="1">_xll.RiskMin(PDRavg8)</f>
        <v>#NAME?</v>
      </c>
      <c r="E42" s="126" t="e" cm="1">
        <f t="array" aca="1" ref="E42" ca="1">_xll.RiskMin(ARDavg8)</f>
        <v>#NAME?</v>
      </c>
      <c r="F42" s="126" t="e" cm="1">
        <f t="array" aca="1" ref="F42" ca="1">_xll.RiskMin(IRDavg8)</f>
        <v>#NAME?</v>
      </c>
      <c r="G42" s="126" t="e" cm="1">
        <f t="array" aca="1" ref="G42" ca="1">_xll.RiskMin(CRDavg8)</f>
        <v>#NAME?</v>
      </c>
      <c r="H42" s="127" t="e" cm="1">
        <f t="array" aca="1" ref="H42" ca="1">_xll.RiskMin(LCRDavg8)</f>
        <v>#NAME?</v>
      </c>
      <c r="I42" s="128" t="e" cm="1">
        <f t="array" aca="1" ref="I42" ca="1">_xll.RiskMin(PDRfem8)</f>
        <v>#NAME?</v>
      </c>
      <c r="J42" s="126" t="e" cm="1">
        <f t="array" aca="1" ref="J42" ca="1">_xll.RiskMin(ARDfem8)</f>
        <v>#NAME?</v>
      </c>
      <c r="K42" s="126" t="e" cm="1">
        <f t="array" aca="1" ref="K42" ca="1">_xll.RiskMin(IRDfem8)</f>
        <v>#NAME?</v>
      </c>
      <c r="L42" s="126" t="e" cm="1">
        <f t="array" aca="1" ref="L42" ca="1">_xll.RiskMin(CRDfem8)</f>
        <v>#NAME?</v>
      </c>
      <c r="M42" s="127" t="e" cm="1">
        <f t="array" aca="1" ref="M42" ca="1">_xll.RiskMin(LCRDfem8)</f>
        <v>#NAME?</v>
      </c>
    </row>
    <row r="43" spans="1:13" ht="15.75" thickBot="1" x14ac:dyDescent="0.3">
      <c r="A43" s="129"/>
      <c r="B43" s="138"/>
      <c r="C43" s="131" t="s">
        <v>196</v>
      </c>
      <c r="D43" s="132" t="e" cm="1">
        <f t="array" aca="1" ref="D43" ca="1">_xll.RiskMean(PDRavg8)</f>
        <v>#NAME?</v>
      </c>
      <c r="E43" s="133" t="e" cm="1">
        <f t="array" aca="1" ref="E43" ca="1">_xll.RiskMean(ARDavg8)</f>
        <v>#NAME?</v>
      </c>
      <c r="F43" s="133" t="e" cm="1">
        <f t="array" aca="1" ref="F43" ca="1">_xll.RiskMean(IRDavg8)</f>
        <v>#NAME?</v>
      </c>
      <c r="G43" s="133" t="e" cm="1">
        <f t="array" aca="1" ref="G43" ca="1">_xll.RiskMean(CRDavg8)</f>
        <v>#NAME?</v>
      </c>
      <c r="H43" s="134" t="e" cm="1">
        <f t="array" aca="1" ref="H43" ca="1">_xll.RiskMean(LCRDavg8)</f>
        <v>#NAME?</v>
      </c>
      <c r="I43" s="135" t="e" cm="1">
        <f t="array" aca="1" ref="I43" ca="1">_xll.RiskMean(PDRfem8)</f>
        <v>#NAME?</v>
      </c>
      <c r="J43" s="133" t="e" cm="1">
        <f t="array" aca="1" ref="J43" ca="1">_xll.RiskMean(ARDfem8)</f>
        <v>#NAME?</v>
      </c>
      <c r="K43" s="133" t="e" cm="1">
        <f t="array" aca="1" ref="K43" ca="1">_xll.RiskMean(IRDfem8)</f>
        <v>#NAME?</v>
      </c>
      <c r="L43" s="133" t="e" cm="1">
        <f t="array" aca="1" ref="L43" ca="1">_xll.RiskMean(CRDfem8)</f>
        <v>#NAME?</v>
      </c>
      <c r="M43" s="134" t="e" cm="1">
        <f t="array" aca="1" ref="M43" ca="1">_xll.RiskMean(LCRDfem8)</f>
        <v>#NAME?</v>
      </c>
    </row>
    <row r="44" spans="1:13" x14ac:dyDescent="0.25">
      <c r="A44" s="139" t="s">
        <v>85</v>
      </c>
      <c r="B44" s="136" t="str">
        <f>VLOOKUP(A44, 'OES Lookups'!$B$2:$C$12, 2, FALSE)</f>
        <v>Waste Handling, Treatment and Disposal (incineration)</v>
      </c>
      <c r="C44" s="140" t="s">
        <v>45</v>
      </c>
      <c r="D44" s="118" t="e" cm="1">
        <f t="array" aca="1" ref="D44" ca="1">_xll.RiskMax(PDRavg9)</f>
        <v>#NAME?</v>
      </c>
      <c r="E44" s="119" t="e" cm="1">
        <f t="array" aca="1" ref="E44" ca="1">_xll.RiskMax(ARDavg9)</f>
        <v>#NAME?</v>
      </c>
      <c r="F44" s="119" t="e" cm="1">
        <f t="array" aca="1" ref="F44" ca="1">_xll.RiskMax(IRDavg9)</f>
        <v>#NAME?</v>
      </c>
      <c r="G44" s="119" t="e" cm="1">
        <f t="array" aca="1" ref="G44" ca="1">_xll.RiskMax(CRDavg9)</f>
        <v>#NAME?</v>
      </c>
      <c r="H44" s="120" t="e" cm="1">
        <f t="array" aca="1" ref="H44" ca="1">_xll.RiskMax(LCRDavg9)</f>
        <v>#NAME?</v>
      </c>
      <c r="I44" s="121" t="e" cm="1">
        <f t="array" aca="1" ref="I44" ca="1">_xll.RiskMax(PDRfem9)</f>
        <v>#NAME?</v>
      </c>
      <c r="J44" s="119" t="e" cm="1">
        <f t="array" aca="1" ref="J44" ca="1">_xll.RiskMax(ARDfem9)</f>
        <v>#NAME?</v>
      </c>
      <c r="K44" s="119" t="e" cm="1">
        <f t="array" aca="1" ref="K44" ca="1">_xll.RiskMax(IRDfem9)</f>
        <v>#NAME?</v>
      </c>
      <c r="L44" s="119" t="e" cm="1">
        <f t="array" aca="1" ref="L44" ca="1">_xll.RiskMax(CRDfem9)</f>
        <v>#NAME?</v>
      </c>
      <c r="M44" s="120" t="e" cm="1">
        <f t="array" aca="1" ref="M44" ca="1">_xll.RiskMax(LCRDfem9)</f>
        <v>#NAME?</v>
      </c>
    </row>
    <row r="45" spans="1:13" x14ac:dyDescent="0.25">
      <c r="A45" s="122"/>
      <c r="B45" s="137"/>
      <c r="C45" s="124" t="s">
        <v>191</v>
      </c>
      <c r="D45" s="125" t="e" cm="1">
        <f t="array" aca="1" ref="D45" ca="1">_xll.RiskPercentile(PDRavg9, 0.99)</f>
        <v>#NAME?</v>
      </c>
      <c r="E45" s="126" t="e" cm="1">
        <f t="array" aca="1" ref="E45" ca="1">_xll.RiskPercentile(ARDavg9, 0.99)</f>
        <v>#NAME?</v>
      </c>
      <c r="F45" s="126" t="e" cm="1">
        <f t="array" aca="1" ref="F45" ca="1">_xll.RiskPercentile(IRDavg9, 0.99)</f>
        <v>#NAME?</v>
      </c>
      <c r="G45" s="126" t="e" cm="1">
        <f t="array" aca="1" ref="G45" ca="1">_xll.RiskPercentile(CRDavg9, 0.99)</f>
        <v>#NAME?</v>
      </c>
      <c r="H45" s="127" t="e" cm="1">
        <f t="array" aca="1" ref="H45" ca="1">_xll.RiskPercentile(LCRDavg9, 0.99)</f>
        <v>#NAME?</v>
      </c>
      <c r="I45" s="128" t="e" cm="1">
        <f t="array" aca="1" ref="I45" ca="1">_xll.RiskPercentile(PDRfem9, 0.99)</f>
        <v>#NAME?</v>
      </c>
      <c r="J45" s="126" t="e" cm="1">
        <f t="array" aca="1" ref="J45" ca="1">_xll.RiskPercentile(ARDfem9, 0.99)</f>
        <v>#NAME?</v>
      </c>
      <c r="K45" s="126" t="e" cm="1">
        <f t="array" aca="1" ref="K45" ca="1">_xll.RiskPercentile(IRDfem9, 0.99)</f>
        <v>#NAME?</v>
      </c>
      <c r="L45" s="126" t="e" cm="1">
        <f t="array" aca="1" ref="L45" ca="1">_xll.RiskPercentile(CRDfem9, 0.99)</f>
        <v>#NAME?</v>
      </c>
      <c r="M45" s="127" t="e" cm="1">
        <f t="array" aca="1" ref="M45" ca="1">_xll.RiskPercentile(LCRDfem9, 0.99)</f>
        <v>#NAME?</v>
      </c>
    </row>
    <row r="46" spans="1:13" x14ac:dyDescent="0.25">
      <c r="A46" s="122"/>
      <c r="B46" s="137"/>
      <c r="C46" s="124" t="s">
        <v>192</v>
      </c>
      <c r="D46" s="125" t="e" cm="1">
        <f t="array" aca="1" ref="D46" ca="1">_xll.RiskPercentile(PDRavg9, 0.95)</f>
        <v>#NAME?</v>
      </c>
      <c r="E46" s="126" t="e" cm="1">
        <f t="array" aca="1" ref="E46" ca="1">_xll.RiskPercentile(ARDavg9, 0.95)</f>
        <v>#NAME?</v>
      </c>
      <c r="F46" s="126" t="e" cm="1">
        <f t="array" aca="1" ref="F46" ca="1">_xll.RiskPercentile(IRDavg9, 0.95)</f>
        <v>#NAME?</v>
      </c>
      <c r="G46" s="126" t="e" cm="1">
        <f t="array" aca="1" ref="G46" ca="1">_xll.RiskPercentile(CRDavg9, 0.95)</f>
        <v>#NAME?</v>
      </c>
      <c r="H46" s="127" t="e" cm="1">
        <f t="array" aca="1" ref="H46" ca="1">_xll.RiskPercentile(LCRDavg9, 0.95)</f>
        <v>#NAME?</v>
      </c>
      <c r="I46" s="128" t="e" cm="1">
        <f t="array" aca="1" ref="I46" ca="1">_xll.RiskPercentile(PDRfem9, 0.95)</f>
        <v>#NAME?</v>
      </c>
      <c r="J46" s="126" t="e" cm="1">
        <f t="array" aca="1" ref="J46" ca="1">_xll.RiskPercentile(ARDfem9, 0.95)</f>
        <v>#NAME?</v>
      </c>
      <c r="K46" s="126" t="e" cm="1">
        <f t="array" aca="1" ref="K46" ca="1">_xll.RiskPercentile(IRDfem9, 0.95)</f>
        <v>#NAME?</v>
      </c>
      <c r="L46" s="126" t="e" cm="1">
        <f t="array" aca="1" ref="L46" ca="1">_xll.RiskPercentile(CRDfem9, 0.95)</f>
        <v>#NAME?</v>
      </c>
      <c r="M46" s="127" t="e" cm="1">
        <f t="array" aca="1" ref="M46" ca="1">_xll.RiskPercentile(LCRDfem9, 0.95)</f>
        <v>#NAME?</v>
      </c>
    </row>
    <row r="47" spans="1:13" x14ac:dyDescent="0.25">
      <c r="A47" s="122"/>
      <c r="B47" s="137"/>
      <c r="C47" s="124" t="s">
        <v>193</v>
      </c>
      <c r="D47" s="125" t="e" cm="1">
        <f t="array" aca="1" ref="D47" ca="1">_xll.RiskPercentile(PDRavg9, 0.5)</f>
        <v>#NAME?</v>
      </c>
      <c r="E47" s="126" t="e" cm="1">
        <f t="array" aca="1" ref="E47" ca="1">_xll.RiskPercentile(ARDavg9, 0.5)</f>
        <v>#NAME?</v>
      </c>
      <c r="F47" s="126" t="e" cm="1">
        <f t="array" aca="1" ref="F47" ca="1">_xll.RiskPercentile(IRDavg9, 0.5)</f>
        <v>#NAME?</v>
      </c>
      <c r="G47" s="126" t="e" cm="1">
        <f t="array" aca="1" ref="G47" ca="1">_xll.RiskPercentile(CRDavg9, 0.5)</f>
        <v>#NAME?</v>
      </c>
      <c r="H47" s="127" t="e" cm="1">
        <f t="array" aca="1" ref="H47" ca="1">_xll.RiskPercentile(LCRDavg9, 0.5)</f>
        <v>#NAME?</v>
      </c>
      <c r="I47" s="128" t="e" cm="1">
        <f t="array" aca="1" ref="I47" ca="1">_xll.RiskPercentile(PDRfem9, 0.5)</f>
        <v>#NAME?</v>
      </c>
      <c r="J47" s="126" t="e" cm="1">
        <f t="array" aca="1" ref="J47" ca="1">_xll.RiskPercentile(ARDfem9, 0.5)</f>
        <v>#NAME?</v>
      </c>
      <c r="K47" s="126" t="e" cm="1">
        <f t="array" aca="1" ref="K47" ca="1">_xll.RiskPercentile(IRDfem9, 0.5)</f>
        <v>#NAME?</v>
      </c>
      <c r="L47" s="126" t="e" cm="1">
        <f t="array" aca="1" ref="L47" ca="1">_xll.RiskPercentile(CRDfem9, 0.5)</f>
        <v>#NAME?</v>
      </c>
      <c r="M47" s="127" t="e" cm="1">
        <f t="array" aca="1" ref="M47" ca="1">_xll.RiskPercentile(LCRDfem9, 0.5)</f>
        <v>#NAME?</v>
      </c>
    </row>
    <row r="48" spans="1:13" x14ac:dyDescent="0.25">
      <c r="A48" s="122"/>
      <c r="B48" s="137"/>
      <c r="C48" s="124" t="s">
        <v>194</v>
      </c>
      <c r="D48" s="125" t="e" cm="1">
        <f t="array" aca="1" ref="D48" ca="1">_xll.RiskPercentile(PDRavg9, 0.05)</f>
        <v>#NAME?</v>
      </c>
      <c r="E48" s="126" t="e" cm="1">
        <f t="array" aca="1" ref="E48" ca="1">_xll.RiskPercentile(ARDavg9, 0.05)</f>
        <v>#NAME?</v>
      </c>
      <c r="F48" s="126" t="e" cm="1">
        <f t="array" aca="1" ref="F48" ca="1">_xll.RiskPercentile(IRDavg9, 0.05)</f>
        <v>#NAME?</v>
      </c>
      <c r="G48" s="126" t="e" cm="1">
        <f t="array" aca="1" ref="G48" ca="1">_xll.RiskPercentile(CRDavg9, 0.05)</f>
        <v>#NAME?</v>
      </c>
      <c r="H48" s="127" t="e" cm="1">
        <f t="array" aca="1" ref="H48" ca="1">_xll.RiskPercentile(LCRDavg9, 0.05)</f>
        <v>#NAME?</v>
      </c>
      <c r="I48" s="128" t="e" cm="1">
        <f t="array" aca="1" ref="I48" ca="1">_xll.RiskPercentile(PDRfem9, 0.05)</f>
        <v>#NAME?</v>
      </c>
      <c r="J48" s="126" t="e" cm="1">
        <f t="array" aca="1" ref="J48" ca="1">_xll.RiskPercentile(ARDfem9, 0.05)</f>
        <v>#NAME?</v>
      </c>
      <c r="K48" s="126" t="e" cm="1">
        <f t="array" aca="1" ref="K48" ca="1">_xll.RiskPercentile(IRDfem9, 0.05)</f>
        <v>#NAME?</v>
      </c>
      <c r="L48" s="126" t="e" cm="1">
        <f t="array" aca="1" ref="L48" ca="1">_xll.RiskPercentile(CRDfem9, 0.05)</f>
        <v>#NAME?</v>
      </c>
      <c r="M48" s="127" t="e" cm="1">
        <f t="array" aca="1" ref="M48" ca="1">_xll.RiskPercentile(LCRDfem9, 0.05)</f>
        <v>#NAME?</v>
      </c>
    </row>
    <row r="49" spans="1:13" x14ac:dyDescent="0.25">
      <c r="A49" s="122"/>
      <c r="B49" s="137"/>
      <c r="C49" s="124" t="s">
        <v>195</v>
      </c>
      <c r="D49" s="125" t="e" cm="1">
        <f t="array" aca="1" ref="D49" ca="1">_xll.RiskMin(PDRavg9)</f>
        <v>#NAME?</v>
      </c>
      <c r="E49" s="126" t="e" cm="1">
        <f t="array" aca="1" ref="E49" ca="1">_xll.RiskMin(ARDavg9)</f>
        <v>#NAME?</v>
      </c>
      <c r="F49" s="126" t="e" cm="1">
        <f t="array" aca="1" ref="F49" ca="1">_xll.RiskMin(IRDavg9)</f>
        <v>#NAME?</v>
      </c>
      <c r="G49" s="126" t="e" cm="1">
        <f t="array" aca="1" ref="G49" ca="1">_xll.RiskMin(CRDavg9)</f>
        <v>#NAME?</v>
      </c>
      <c r="H49" s="127" t="e" cm="1">
        <f t="array" aca="1" ref="H49" ca="1">_xll.RiskMin(LCRDavg9)</f>
        <v>#NAME?</v>
      </c>
      <c r="I49" s="128" t="e" cm="1">
        <f t="array" aca="1" ref="I49" ca="1">_xll.RiskMin(PDRfem9)</f>
        <v>#NAME?</v>
      </c>
      <c r="J49" s="126" t="e" cm="1">
        <f t="array" aca="1" ref="J49" ca="1">_xll.RiskMin(ARDfem9)</f>
        <v>#NAME?</v>
      </c>
      <c r="K49" s="126" t="e" cm="1">
        <f t="array" aca="1" ref="K49" ca="1">_xll.RiskMin(IRDfem9)</f>
        <v>#NAME?</v>
      </c>
      <c r="L49" s="126" t="e" cm="1">
        <f t="array" aca="1" ref="L49" ca="1">_xll.RiskMin(CRDfem9)</f>
        <v>#NAME?</v>
      </c>
      <c r="M49" s="127" t="e" cm="1">
        <f t="array" aca="1" ref="M49" ca="1">_xll.RiskMin(LCRDfem9)</f>
        <v>#NAME?</v>
      </c>
    </row>
    <row r="50" spans="1:13" ht="15.75" thickBot="1" x14ac:dyDescent="0.3">
      <c r="A50" s="129"/>
      <c r="B50" s="138"/>
      <c r="C50" s="131" t="s">
        <v>196</v>
      </c>
      <c r="D50" s="132" t="e" cm="1">
        <f t="array" aca="1" ref="D50" ca="1">_xll.RiskMean(PDRavg9)</f>
        <v>#NAME?</v>
      </c>
      <c r="E50" s="133" t="e" cm="1">
        <f t="array" aca="1" ref="E50" ca="1">_xll.RiskMean(ARDavg9)</f>
        <v>#NAME?</v>
      </c>
      <c r="F50" s="133" t="e" cm="1">
        <f t="array" aca="1" ref="F50" ca="1">_xll.RiskMean(IRDavg9)</f>
        <v>#NAME?</v>
      </c>
      <c r="G50" s="133" t="e" cm="1">
        <f t="array" aca="1" ref="G50" ca="1">_xll.RiskMean(CRDavg9)</f>
        <v>#NAME?</v>
      </c>
      <c r="H50" s="134" t="e" cm="1">
        <f t="array" aca="1" ref="H50" ca="1">_xll.RiskMean(LCRDavg9)</f>
        <v>#NAME?</v>
      </c>
      <c r="I50" s="135" t="e" cm="1">
        <f t="array" aca="1" ref="I50" ca="1">_xll.RiskMean(PDRfem9)</f>
        <v>#NAME?</v>
      </c>
      <c r="J50" s="133" t="e" cm="1">
        <f t="array" aca="1" ref="J50" ca="1">_xll.RiskMean(ARDfem9)</f>
        <v>#NAME?</v>
      </c>
      <c r="K50" s="133" t="e" cm="1">
        <f t="array" aca="1" ref="K50" ca="1">_xll.RiskMean(IRDfem9)</f>
        <v>#NAME?</v>
      </c>
      <c r="L50" s="133" t="e" cm="1">
        <f t="array" aca="1" ref="L50" ca="1">_xll.RiskMean(CRDfem9)</f>
        <v>#NAME?</v>
      </c>
      <c r="M50" s="134" t="e" cm="1">
        <f t="array" aca="1" ref="M50" ca="1">_xll.RiskMean(LCRDfem9)</f>
        <v>#NAME?</v>
      </c>
    </row>
    <row r="51" spans="1:13" x14ac:dyDescent="0.25">
      <c r="A51" s="139" t="s">
        <v>88</v>
      </c>
      <c r="B51" s="136" t="str">
        <f>VLOOKUP(A51, 'OES Lookups'!$B$2:$C$12, 2, FALSE)</f>
        <v>Waste Handling, Treatment and Disposal (landfill)</v>
      </c>
      <c r="C51" s="140" t="s">
        <v>45</v>
      </c>
      <c r="D51" s="141" t="e" cm="1">
        <f t="array" aca="1" ref="D51" ca="1">_xll.RiskMax(PDRavg10)</f>
        <v>#NAME?</v>
      </c>
      <c r="E51" s="142" t="e" cm="1">
        <f t="array" aca="1" ref="E51" ca="1">_xll.RiskMax(ARDavg10)</f>
        <v>#NAME?</v>
      </c>
      <c r="F51" s="142" t="e" cm="1">
        <f t="array" aca="1" ref="F51" ca="1">_xll.RiskMax(IRDavg10)</f>
        <v>#NAME?</v>
      </c>
      <c r="G51" s="142" t="e" cm="1">
        <f t="array" aca="1" ref="G51" ca="1">_xll.RiskMax(CRDavg10)</f>
        <v>#NAME?</v>
      </c>
      <c r="H51" s="143" t="e" cm="1">
        <f t="array" aca="1" ref="H51" ca="1">_xll.RiskMax(LCRDavg10)</f>
        <v>#NAME?</v>
      </c>
      <c r="I51" s="144" t="e" cm="1">
        <f t="array" aca="1" ref="I51" ca="1">_xll.RiskMax(PDRfem10)</f>
        <v>#NAME?</v>
      </c>
      <c r="J51" s="142" t="e" cm="1">
        <f t="array" aca="1" ref="J51" ca="1">_xll.RiskMax(ARDfem10)</f>
        <v>#NAME?</v>
      </c>
      <c r="K51" s="142" t="e" cm="1">
        <f t="array" aca="1" ref="K51" ca="1">_xll.RiskMax(IRDfem10)</f>
        <v>#NAME?</v>
      </c>
      <c r="L51" s="142" t="e" cm="1">
        <f t="array" aca="1" ref="L51" ca="1">_xll.RiskMax(CRDfem10)</f>
        <v>#NAME?</v>
      </c>
      <c r="M51" s="143" t="e" cm="1">
        <f t="array" aca="1" ref="M51" ca="1">_xll.RiskMax(LCRDfem10)</f>
        <v>#NAME?</v>
      </c>
    </row>
    <row r="52" spans="1:13" x14ac:dyDescent="0.25">
      <c r="A52" s="122"/>
      <c r="B52" s="137"/>
      <c r="C52" s="124" t="s">
        <v>191</v>
      </c>
      <c r="D52" s="125" t="e" cm="1">
        <f t="array" aca="1" ref="D52" ca="1">_xll.RiskPercentile(PDRavg10, 0.99)</f>
        <v>#NAME?</v>
      </c>
      <c r="E52" s="126" t="e" cm="1">
        <f t="array" aca="1" ref="E52" ca="1">_xll.RiskPercentile(ARDavg10, 0.99)</f>
        <v>#NAME?</v>
      </c>
      <c r="F52" s="126" t="e" cm="1">
        <f t="array" aca="1" ref="F52" ca="1">_xll.RiskPercentile(IRDavg10, 0.99)</f>
        <v>#NAME?</v>
      </c>
      <c r="G52" s="126" t="e" cm="1">
        <f t="array" aca="1" ref="G52" ca="1">_xll.RiskPercentile(CRDavg10, 0.99)</f>
        <v>#NAME?</v>
      </c>
      <c r="H52" s="127" t="e" cm="1">
        <f t="array" aca="1" ref="H52" ca="1">_xll.RiskPercentile(LCRDavg10, 0.99)</f>
        <v>#NAME?</v>
      </c>
      <c r="I52" s="128" t="e" cm="1">
        <f t="array" aca="1" ref="I52" ca="1">_xll.RiskPercentile(PDRfem10, 0.99)</f>
        <v>#NAME?</v>
      </c>
      <c r="J52" s="126" t="e" cm="1">
        <f t="array" aca="1" ref="J52" ca="1">_xll.RiskPercentile(ARDfem10, 0.99)</f>
        <v>#NAME?</v>
      </c>
      <c r="K52" s="126" t="e" cm="1">
        <f t="array" aca="1" ref="K52" ca="1">_xll.RiskPercentile(IRDfem10, 0.99)</f>
        <v>#NAME?</v>
      </c>
      <c r="L52" s="126" t="e" cm="1">
        <f t="array" aca="1" ref="L52" ca="1">_xll.RiskPercentile(CRDfem10, 0.99)</f>
        <v>#NAME?</v>
      </c>
      <c r="M52" s="127" t="e" cm="1">
        <f t="array" aca="1" ref="M52" ca="1">_xll.RiskPercentile(LCRDfem10, 0.99)</f>
        <v>#NAME?</v>
      </c>
    </row>
    <row r="53" spans="1:13" x14ac:dyDescent="0.25">
      <c r="A53" s="122"/>
      <c r="B53" s="137"/>
      <c r="C53" s="124" t="s">
        <v>192</v>
      </c>
      <c r="D53" s="125" t="e" cm="1">
        <f t="array" aca="1" ref="D53" ca="1">_xll.RiskPercentile(PDRavg10, 0.95)</f>
        <v>#NAME?</v>
      </c>
      <c r="E53" s="126" t="e" cm="1">
        <f t="array" aca="1" ref="E53" ca="1">_xll.RiskPercentile(ARDavg10, 0.95)</f>
        <v>#NAME?</v>
      </c>
      <c r="F53" s="126" t="e" cm="1">
        <f t="array" aca="1" ref="F53" ca="1">_xll.RiskPercentile(IRDavg10, 0.95)</f>
        <v>#NAME?</v>
      </c>
      <c r="G53" s="126" t="e" cm="1">
        <f t="array" aca="1" ref="G53" ca="1">_xll.RiskPercentile(CRDavg10, 0.95)</f>
        <v>#NAME?</v>
      </c>
      <c r="H53" s="127" t="e" cm="1">
        <f t="array" aca="1" ref="H53" ca="1">_xll.RiskPercentile(LCRDavg10, 0.95)</f>
        <v>#NAME?</v>
      </c>
      <c r="I53" s="128" t="e" cm="1">
        <f t="array" aca="1" ref="I53" ca="1">_xll.RiskPercentile(PDRfem10, 0.95)</f>
        <v>#NAME?</v>
      </c>
      <c r="J53" s="126" t="e" cm="1">
        <f t="array" aca="1" ref="J53" ca="1">_xll.RiskPercentile(ARDfem10, 0.95)</f>
        <v>#NAME?</v>
      </c>
      <c r="K53" s="126" t="e" cm="1">
        <f t="array" aca="1" ref="K53" ca="1">_xll.RiskPercentile(IRDfem10, 0.95)</f>
        <v>#NAME?</v>
      </c>
      <c r="L53" s="126" t="e" cm="1">
        <f t="array" aca="1" ref="L53" ca="1">_xll.RiskPercentile(CRDfem10, 0.95)</f>
        <v>#NAME?</v>
      </c>
      <c r="M53" s="127" t="e" cm="1">
        <f t="array" aca="1" ref="M53" ca="1">_xll.RiskPercentile(LCRDfem10, 0.95)</f>
        <v>#NAME?</v>
      </c>
    </row>
    <row r="54" spans="1:13" x14ac:dyDescent="0.25">
      <c r="A54" s="122"/>
      <c r="B54" s="137"/>
      <c r="C54" s="124" t="s">
        <v>193</v>
      </c>
      <c r="D54" s="125" t="e" cm="1">
        <f t="array" aca="1" ref="D54" ca="1">_xll.RiskPercentile(PDRavg10, 0.5)</f>
        <v>#NAME?</v>
      </c>
      <c r="E54" s="126" t="e" cm="1">
        <f t="array" aca="1" ref="E54" ca="1">_xll.RiskPercentile(ARDavg10, 0.5)</f>
        <v>#NAME?</v>
      </c>
      <c r="F54" s="126" t="e" cm="1">
        <f t="array" aca="1" ref="F54" ca="1">_xll.RiskPercentile(IRDavg10, 0.5)</f>
        <v>#NAME?</v>
      </c>
      <c r="G54" s="126" t="e" cm="1">
        <f t="array" aca="1" ref="G54" ca="1">_xll.RiskPercentile(CRDavg10, 0.5)</f>
        <v>#NAME?</v>
      </c>
      <c r="H54" s="127" t="e" cm="1">
        <f t="array" aca="1" ref="H54" ca="1">_xll.RiskPercentile(LCRDavg10, 0.5)</f>
        <v>#NAME?</v>
      </c>
      <c r="I54" s="128" t="e" cm="1">
        <f t="array" aca="1" ref="I54" ca="1">_xll.RiskPercentile(PDRfem10, 0.5)</f>
        <v>#NAME?</v>
      </c>
      <c r="J54" s="126" t="e" cm="1">
        <f t="array" aca="1" ref="J54" ca="1">_xll.RiskPercentile(ARDfem10, 0.5)</f>
        <v>#NAME?</v>
      </c>
      <c r="K54" s="126" t="e" cm="1">
        <f t="array" aca="1" ref="K54" ca="1">_xll.RiskPercentile(IRDfem10, 0.5)</f>
        <v>#NAME?</v>
      </c>
      <c r="L54" s="126" t="e" cm="1">
        <f t="array" aca="1" ref="L54" ca="1">_xll.RiskPercentile(CRDfem10, 0.5)</f>
        <v>#NAME?</v>
      </c>
      <c r="M54" s="127" t="e" cm="1">
        <f t="array" aca="1" ref="M54" ca="1">_xll.RiskPercentile(LCRDfem10, 0.5)</f>
        <v>#NAME?</v>
      </c>
    </row>
    <row r="55" spans="1:13" x14ac:dyDescent="0.25">
      <c r="A55" s="122"/>
      <c r="B55" s="137"/>
      <c r="C55" s="124" t="s">
        <v>194</v>
      </c>
      <c r="D55" s="125" t="e" cm="1">
        <f t="array" aca="1" ref="D55" ca="1">_xll.RiskPercentile(PDRavg10, 0.05)</f>
        <v>#NAME?</v>
      </c>
      <c r="E55" s="126" t="e" cm="1">
        <f t="array" aca="1" ref="E55" ca="1">_xll.RiskPercentile(ARDavg10, 0.05)</f>
        <v>#NAME?</v>
      </c>
      <c r="F55" s="126" t="e" cm="1">
        <f t="array" aca="1" ref="F55" ca="1">_xll.RiskPercentile(IRDavg10, 0.05)</f>
        <v>#NAME?</v>
      </c>
      <c r="G55" s="126" t="e" cm="1">
        <f t="array" aca="1" ref="G55" ca="1">_xll.RiskPercentile(CRDavg10, 0.05)</f>
        <v>#NAME?</v>
      </c>
      <c r="H55" s="127" t="e" cm="1">
        <f t="array" aca="1" ref="H55" ca="1">_xll.RiskPercentile(LCRDavg10, 0.05)</f>
        <v>#NAME?</v>
      </c>
      <c r="I55" s="128" t="e" cm="1">
        <f t="array" aca="1" ref="I55" ca="1">_xll.RiskPercentile(PDRfem10, 0.05)</f>
        <v>#NAME?</v>
      </c>
      <c r="J55" s="126" t="e" cm="1">
        <f t="array" aca="1" ref="J55" ca="1">_xll.RiskPercentile(ARDfem10, 0.05)</f>
        <v>#NAME?</v>
      </c>
      <c r="K55" s="126" t="e" cm="1">
        <f t="array" aca="1" ref="K55" ca="1">_xll.RiskPercentile(IRDfem10, 0.05)</f>
        <v>#NAME?</v>
      </c>
      <c r="L55" s="126" t="e" cm="1">
        <f t="array" aca="1" ref="L55" ca="1">_xll.RiskPercentile(CRDfem10, 0.05)</f>
        <v>#NAME?</v>
      </c>
      <c r="M55" s="127" t="e" cm="1">
        <f t="array" aca="1" ref="M55" ca="1">_xll.RiskPercentile(LCRDfem10, 0.05)</f>
        <v>#NAME?</v>
      </c>
    </row>
    <row r="56" spans="1:13" x14ac:dyDescent="0.25">
      <c r="A56" s="122"/>
      <c r="B56" s="137"/>
      <c r="C56" s="124" t="s">
        <v>195</v>
      </c>
      <c r="D56" s="125" t="e" cm="1">
        <f t="array" aca="1" ref="D56" ca="1">_xll.RiskMin(PDRavg10)</f>
        <v>#NAME?</v>
      </c>
      <c r="E56" s="126" t="e" cm="1">
        <f t="array" aca="1" ref="E56" ca="1">_xll.RiskMin(ARDavg10)</f>
        <v>#NAME?</v>
      </c>
      <c r="F56" s="126" t="e" cm="1">
        <f t="array" aca="1" ref="F56" ca="1">_xll.RiskMin(IRDavg10)</f>
        <v>#NAME?</v>
      </c>
      <c r="G56" s="126" t="e" cm="1">
        <f t="array" aca="1" ref="G56" ca="1">_xll.RiskMin(CRDavg10)</f>
        <v>#NAME?</v>
      </c>
      <c r="H56" s="127" t="e" cm="1">
        <f t="array" aca="1" ref="H56" ca="1">_xll.RiskMin(LCRDavg10)</f>
        <v>#NAME?</v>
      </c>
      <c r="I56" s="128" t="e" cm="1">
        <f t="array" aca="1" ref="I56" ca="1">_xll.RiskMin(PDRfem10)</f>
        <v>#NAME?</v>
      </c>
      <c r="J56" s="126" t="e" cm="1">
        <f t="array" aca="1" ref="J56" ca="1">_xll.RiskMin(ARDfem10)</f>
        <v>#NAME?</v>
      </c>
      <c r="K56" s="126" t="e" cm="1">
        <f t="array" aca="1" ref="K56" ca="1">_xll.RiskMin(IRDfem10)</f>
        <v>#NAME?</v>
      </c>
      <c r="L56" s="126" t="e" cm="1">
        <f t="array" aca="1" ref="L56" ca="1">_xll.RiskMin(CRDfem10)</f>
        <v>#NAME?</v>
      </c>
      <c r="M56" s="127" t="e" cm="1">
        <f t="array" aca="1" ref="M56" ca="1">_xll.RiskMin(LCRDfem10)</f>
        <v>#NAME?</v>
      </c>
    </row>
    <row r="57" spans="1:13" ht="15.75" thickBot="1" x14ac:dyDescent="0.3">
      <c r="A57" s="129"/>
      <c r="B57" s="138"/>
      <c r="C57" s="131" t="s">
        <v>196</v>
      </c>
      <c r="D57" s="145" t="e" cm="1">
        <f t="array" aca="1" ref="D57" ca="1">_xll.RiskMean(PDRavg10)</f>
        <v>#NAME?</v>
      </c>
      <c r="E57" s="146" t="e" cm="1">
        <f t="array" aca="1" ref="E57" ca="1">_xll.RiskMean(ARDavg10)</f>
        <v>#NAME?</v>
      </c>
      <c r="F57" s="146" t="e" cm="1">
        <f t="array" aca="1" ref="F57" ca="1">_xll.RiskMean(IRDavg10)</f>
        <v>#NAME?</v>
      </c>
      <c r="G57" s="146" t="e" cm="1">
        <f t="array" aca="1" ref="G57" ca="1">_xll.RiskMean(CRDavg10)</f>
        <v>#NAME?</v>
      </c>
      <c r="H57" s="147" t="e" cm="1">
        <f t="array" aca="1" ref="H57" ca="1">_xll.RiskMean(LCRDavg10)</f>
        <v>#NAME?</v>
      </c>
      <c r="I57" s="148" t="e" cm="1">
        <f t="array" aca="1" ref="I57" ca="1">_xll.RiskMean(PDRfem10)</f>
        <v>#NAME?</v>
      </c>
      <c r="J57" s="146" t="e" cm="1">
        <f t="array" aca="1" ref="J57" ca="1">_xll.RiskMean(ARDfem10)</f>
        <v>#NAME?</v>
      </c>
      <c r="K57" s="146" t="e" cm="1">
        <f t="array" aca="1" ref="K57" ca="1">_xll.RiskMean(IRDfem10)</f>
        <v>#NAME?</v>
      </c>
      <c r="L57" s="146" t="e" cm="1">
        <f t="array" aca="1" ref="L57" ca="1">_xll.RiskMean(CRDfem10)</f>
        <v>#NAME?</v>
      </c>
      <c r="M57" s="147" t="e" cm="1">
        <f t="array" aca="1" ref="M57" ca="1">_xll.RiskMean(LCRDfem10)</f>
        <v>#NAME?</v>
      </c>
    </row>
    <row r="58" spans="1:13" x14ac:dyDescent="0.25">
      <c r="A58" s="139" t="s">
        <v>90</v>
      </c>
      <c r="B58" s="136" t="str">
        <f>VLOOKUP(A58, 'OES Lookups'!$B$2:$C$12, 2, FALSE)</f>
        <v>Waste Handling, Treatment and Disposal (POTW)</v>
      </c>
      <c r="C58" s="140" t="s">
        <v>45</v>
      </c>
      <c r="D58" s="118" t="e" cm="1">
        <f t="array" aca="1" ref="D58" ca="1">_xll.RiskMax(PDRavg11)</f>
        <v>#NAME?</v>
      </c>
      <c r="E58" s="119" t="e" cm="1">
        <f t="array" aca="1" ref="E58" ca="1">_xll.RiskMax(ARDavg11)</f>
        <v>#NAME?</v>
      </c>
      <c r="F58" s="119" t="e" cm="1">
        <f t="array" aca="1" ref="F58" ca="1">_xll.RiskMax(IRDavg11)</f>
        <v>#NAME?</v>
      </c>
      <c r="G58" s="119" t="e" cm="1">
        <f t="array" aca="1" ref="G58" ca="1">_xll.RiskMax(CRDavg11)</f>
        <v>#NAME?</v>
      </c>
      <c r="H58" s="120" t="e" cm="1">
        <f t="array" aca="1" ref="H58" ca="1">_xll.RiskMax(LCRDavg11)</f>
        <v>#NAME?</v>
      </c>
      <c r="I58" s="121" t="e" cm="1">
        <f t="array" aca="1" ref="I58" ca="1">_xll.RiskMax(PDRfem11)</f>
        <v>#NAME?</v>
      </c>
      <c r="J58" s="119" t="e" cm="1">
        <f t="array" aca="1" ref="J58" ca="1">_xll.RiskMax(ARDfem11)</f>
        <v>#NAME?</v>
      </c>
      <c r="K58" s="119" t="e" cm="1">
        <f t="array" aca="1" ref="K58" ca="1">_xll.RiskMax(IRDfem11)</f>
        <v>#NAME?</v>
      </c>
      <c r="L58" s="119" t="e" cm="1">
        <f t="array" aca="1" ref="L58" ca="1">_xll.RiskMax(CRDfem11)</f>
        <v>#NAME?</v>
      </c>
      <c r="M58" s="120" t="e" cm="1">
        <f t="array" aca="1" ref="M58" ca="1">_xll.RiskMax(LCRDfem11)</f>
        <v>#NAME?</v>
      </c>
    </row>
    <row r="59" spans="1:13" x14ac:dyDescent="0.25">
      <c r="A59" s="122"/>
      <c r="B59" s="137"/>
      <c r="C59" s="124" t="s">
        <v>191</v>
      </c>
      <c r="D59" s="125" t="e" cm="1">
        <f t="array" aca="1" ref="D59" ca="1">_xll.RiskPercentile(PDRavg11, 0.99)</f>
        <v>#NAME?</v>
      </c>
      <c r="E59" s="126" t="e" cm="1">
        <f t="array" aca="1" ref="E59" ca="1">_xll.RiskPercentile(ARDavg11, 0.99)</f>
        <v>#NAME?</v>
      </c>
      <c r="F59" s="126" t="e" cm="1">
        <f t="array" aca="1" ref="F59" ca="1">_xll.RiskPercentile(IRDavg11, 0.99)</f>
        <v>#NAME?</v>
      </c>
      <c r="G59" s="126" t="e" cm="1">
        <f t="array" aca="1" ref="G59" ca="1">_xll.RiskPercentile(CRDavg11, 0.99)</f>
        <v>#NAME?</v>
      </c>
      <c r="H59" s="127" t="e" cm="1">
        <f t="array" aca="1" ref="H59" ca="1">_xll.RiskPercentile(LCRDavg11, 0.99)</f>
        <v>#NAME?</v>
      </c>
      <c r="I59" s="128" t="e" cm="1">
        <f t="array" aca="1" ref="I59" ca="1">_xll.RiskPercentile(PDRfem11, 0.99)</f>
        <v>#NAME?</v>
      </c>
      <c r="J59" s="126" t="e" cm="1">
        <f t="array" aca="1" ref="J59" ca="1">_xll.RiskPercentile(ARDfem11, 0.99)</f>
        <v>#NAME?</v>
      </c>
      <c r="K59" s="126" t="e" cm="1">
        <f t="array" aca="1" ref="K59" ca="1">_xll.RiskPercentile(IRDfem11, 0.99)</f>
        <v>#NAME?</v>
      </c>
      <c r="L59" s="126" t="e" cm="1">
        <f t="array" aca="1" ref="L59" ca="1">_xll.RiskPercentile(CRDfem11, 0.99)</f>
        <v>#NAME?</v>
      </c>
      <c r="M59" s="127" t="e" cm="1">
        <f t="array" aca="1" ref="M59" ca="1">_xll.RiskPercentile(LCRDfem11, 0.99)</f>
        <v>#NAME?</v>
      </c>
    </row>
    <row r="60" spans="1:13" x14ac:dyDescent="0.25">
      <c r="A60" s="122"/>
      <c r="B60" s="137"/>
      <c r="C60" s="124" t="s">
        <v>192</v>
      </c>
      <c r="D60" s="125" t="e" cm="1">
        <f t="array" aca="1" ref="D60" ca="1">_xll.RiskPercentile(PDRavg11, 0.95)</f>
        <v>#NAME?</v>
      </c>
      <c r="E60" s="126" t="e" cm="1">
        <f t="array" aca="1" ref="E60" ca="1">_xll.RiskPercentile(ARDavg11, 0.95)</f>
        <v>#NAME?</v>
      </c>
      <c r="F60" s="126" t="e" cm="1">
        <f t="array" aca="1" ref="F60" ca="1">_xll.RiskPercentile(IRDavg11, 0.95)</f>
        <v>#NAME?</v>
      </c>
      <c r="G60" s="126" t="e" cm="1">
        <f t="array" aca="1" ref="G60" ca="1">_xll.RiskPercentile(CRDavg11, 0.95)</f>
        <v>#NAME?</v>
      </c>
      <c r="H60" s="127" t="e" cm="1">
        <f t="array" aca="1" ref="H60" ca="1">_xll.RiskPercentile(LCRDavg11, 0.95)</f>
        <v>#NAME?</v>
      </c>
      <c r="I60" s="128" t="e" cm="1">
        <f t="array" aca="1" ref="I60" ca="1">_xll.RiskPercentile(PDRfem11, 0.95)</f>
        <v>#NAME?</v>
      </c>
      <c r="J60" s="126" t="e" cm="1">
        <f t="array" aca="1" ref="J60" ca="1">_xll.RiskPercentile(ARDfem11, 0.95)</f>
        <v>#NAME?</v>
      </c>
      <c r="K60" s="126" t="e" cm="1">
        <f t="array" aca="1" ref="K60" ca="1">_xll.RiskPercentile(IRDfem11, 0.95)</f>
        <v>#NAME?</v>
      </c>
      <c r="L60" s="126" t="e" cm="1">
        <f t="array" aca="1" ref="L60" ca="1">_xll.RiskPercentile(CRDfem11, 0.95)</f>
        <v>#NAME?</v>
      </c>
      <c r="M60" s="127" t="e" cm="1">
        <f t="array" aca="1" ref="M60" ca="1">_xll.RiskPercentile(LCRDfem11, 0.95)</f>
        <v>#NAME?</v>
      </c>
    </row>
    <row r="61" spans="1:13" x14ac:dyDescent="0.25">
      <c r="A61" s="122"/>
      <c r="B61" s="137"/>
      <c r="C61" s="124" t="s">
        <v>193</v>
      </c>
      <c r="D61" s="125" t="e" cm="1">
        <f t="array" aca="1" ref="D61" ca="1">_xll.RiskPercentile(PDRavg11, 0.5)</f>
        <v>#NAME?</v>
      </c>
      <c r="E61" s="126" t="e" cm="1">
        <f t="array" aca="1" ref="E61" ca="1">_xll.RiskPercentile(ARDavg11, 0.5)</f>
        <v>#NAME?</v>
      </c>
      <c r="F61" s="126" t="e" cm="1">
        <f t="array" aca="1" ref="F61" ca="1">_xll.RiskPercentile(IRDavg11, 0.5)</f>
        <v>#NAME?</v>
      </c>
      <c r="G61" s="126" t="e" cm="1">
        <f t="array" aca="1" ref="G61" ca="1">_xll.RiskPercentile(CRDavg11, 0.5)</f>
        <v>#NAME?</v>
      </c>
      <c r="H61" s="127" t="e" cm="1">
        <f t="array" aca="1" ref="H61" ca="1">_xll.RiskPercentile(LCRDavg11, 0.5)</f>
        <v>#NAME?</v>
      </c>
      <c r="I61" s="128" t="e" cm="1">
        <f t="array" aca="1" ref="I61" ca="1">_xll.RiskPercentile(PDRfem11, 0.5)</f>
        <v>#NAME?</v>
      </c>
      <c r="J61" s="126" t="e" cm="1">
        <f t="array" aca="1" ref="J61" ca="1">_xll.RiskPercentile(ARDfem11, 0.5)</f>
        <v>#NAME?</v>
      </c>
      <c r="K61" s="126" t="e" cm="1">
        <f t="array" aca="1" ref="K61" ca="1">_xll.RiskPercentile(IRDfem11, 0.5)</f>
        <v>#NAME?</v>
      </c>
      <c r="L61" s="126" t="e" cm="1">
        <f t="array" aca="1" ref="L61" ca="1">_xll.RiskPercentile(CRDfem11, 0.5)</f>
        <v>#NAME?</v>
      </c>
      <c r="M61" s="127" t="e" cm="1">
        <f t="array" aca="1" ref="M61" ca="1">_xll.RiskPercentile(LCRDfem11, 0.5)</f>
        <v>#NAME?</v>
      </c>
    </row>
    <row r="62" spans="1:13" x14ac:dyDescent="0.25">
      <c r="A62" s="122"/>
      <c r="B62" s="137"/>
      <c r="C62" s="124" t="s">
        <v>194</v>
      </c>
      <c r="D62" s="125" t="e" cm="1">
        <f t="array" aca="1" ref="D62" ca="1">_xll.RiskPercentile(PDRavg11, 0.05)</f>
        <v>#NAME?</v>
      </c>
      <c r="E62" s="126" t="e" cm="1">
        <f t="array" aca="1" ref="E62" ca="1">_xll.RiskPercentile(ARDavg11, 0.05)</f>
        <v>#NAME?</v>
      </c>
      <c r="F62" s="126" t="e" cm="1">
        <f t="array" aca="1" ref="F62" ca="1">_xll.RiskPercentile(IRDavg11, 0.05)</f>
        <v>#NAME?</v>
      </c>
      <c r="G62" s="126" t="e" cm="1">
        <f t="array" aca="1" ref="G62" ca="1">_xll.RiskPercentile(CRDavg11, 0.05)</f>
        <v>#NAME?</v>
      </c>
      <c r="H62" s="127" t="e" cm="1">
        <f t="array" aca="1" ref="H62" ca="1">_xll.RiskPercentile(LCRDavg11, 0.05)</f>
        <v>#NAME?</v>
      </c>
      <c r="I62" s="128" t="e" cm="1">
        <f t="array" aca="1" ref="I62" ca="1">_xll.RiskPercentile(PDRfem11, 0.05)</f>
        <v>#NAME?</v>
      </c>
      <c r="J62" s="126" t="e" cm="1">
        <f t="array" aca="1" ref="J62" ca="1">_xll.RiskPercentile(ARDfem11, 0.05)</f>
        <v>#NAME?</v>
      </c>
      <c r="K62" s="126" t="e" cm="1">
        <f t="array" aca="1" ref="K62" ca="1">_xll.RiskPercentile(IRDfem11, 0.05)</f>
        <v>#NAME?</v>
      </c>
      <c r="L62" s="126" t="e" cm="1">
        <f t="array" aca="1" ref="L62" ca="1">_xll.RiskPercentile(CRDfem11, 0.05)</f>
        <v>#NAME?</v>
      </c>
      <c r="M62" s="127" t="e" cm="1">
        <f t="array" aca="1" ref="M62" ca="1">_xll.RiskPercentile(LCRDfem11, 0.05)</f>
        <v>#NAME?</v>
      </c>
    </row>
    <row r="63" spans="1:13" x14ac:dyDescent="0.25">
      <c r="A63" s="122"/>
      <c r="B63" s="137"/>
      <c r="C63" s="124" t="s">
        <v>195</v>
      </c>
      <c r="D63" s="125" t="e" cm="1">
        <f t="array" aca="1" ref="D63" ca="1">_xll.RiskMin(PDRavg11)</f>
        <v>#NAME?</v>
      </c>
      <c r="E63" s="126" t="e" cm="1">
        <f t="array" aca="1" ref="E63" ca="1">_xll.RiskMin(ARDavg11)</f>
        <v>#NAME?</v>
      </c>
      <c r="F63" s="126" t="e" cm="1">
        <f t="array" aca="1" ref="F63" ca="1">_xll.RiskMin(IRDavg11)</f>
        <v>#NAME?</v>
      </c>
      <c r="G63" s="126" t="e" cm="1">
        <f t="array" aca="1" ref="G63" ca="1">_xll.RiskMin(CRDavg11)</f>
        <v>#NAME?</v>
      </c>
      <c r="H63" s="127" t="e" cm="1">
        <f t="array" aca="1" ref="H63" ca="1">_xll.RiskMin(LCRDavg11)</f>
        <v>#NAME?</v>
      </c>
      <c r="I63" s="128" t="e" cm="1">
        <f t="array" aca="1" ref="I63" ca="1">_xll.RiskMin(PDRfem11)</f>
        <v>#NAME?</v>
      </c>
      <c r="J63" s="126" t="e" cm="1">
        <f t="array" aca="1" ref="J63" ca="1">_xll.RiskMin(ARDfem11)</f>
        <v>#NAME?</v>
      </c>
      <c r="K63" s="126" t="e" cm="1">
        <f t="array" aca="1" ref="K63" ca="1">_xll.RiskMin(IRDfem11)</f>
        <v>#NAME?</v>
      </c>
      <c r="L63" s="126" t="e" cm="1">
        <f t="array" aca="1" ref="L63" ca="1">_xll.RiskMin(CRDfem11)</f>
        <v>#NAME?</v>
      </c>
      <c r="M63" s="127" t="e" cm="1">
        <f t="array" aca="1" ref="M63" ca="1">_xll.RiskMin(LCRDfem11)</f>
        <v>#NAME?</v>
      </c>
    </row>
    <row r="64" spans="1:13" ht="15.75" thickBot="1" x14ac:dyDescent="0.3">
      <c r="A64" s="129"/>
      <c r="B64" s="138"/>
      <c r="C64" s="131" t="s">
        <v>196</v>
      </c>
      <c r="D64" s="132" t="e" cm="1">
        <f t="array" aca="1" ref="D64" ca="1">_xll.RiskMean(PDRavg11)</f>
        <v>#NAME?</v>
      </c>
      <c r="E64" s="133" t="e" cm="1">
        <f t="array" aca="1" ref="E64" ca="1">_xll.RiskMean(ARDavg11)</f>
        <v>#NAME?</v>
      </c>
      <c r="F64" s="133" t="e" cm="1">
        <f t="array" aca="1" ref="F64" ca="1">_xll.RiskMean(IRDavg11)</f>
        <v>#NAME?</v>
      </c>
      <c r="G64" s="133" t="e" cm="1">
        <f t="array" aca="1" ref="G64" ca="1">_xll.RiskMean(CRDavg11)</f>
        <v>#NAME?</v>
      </c>
      <c r="H64" s="134" t="e" cm="1">
        <f t="array" aca="1" ref="H64" ca="1">_xll.RiskMean(LCRDavg11)</f>
        <v>#NAME?</v>
      </c>
      <c r="I64" s="135" t="e" cm="1">
        <f t="array" aca="1" ref="I64" ca="1">_xll.RiskMean(PDRfem11)</f>
        <v>#NAME?</v>
      </c>
      <c r="J64" s="133" t="e" cm="1">
        <f t="array" aca="1" ref="J64" ca="1">_xll.RiskMean(ARDfem11)</f>
        <v>#NAME?</v>
      </c>
      <c r="K64" s="133" t="e" cm="1">
        <f t="array" aca="1" ref="K64" ca="1">_xll.RiskMean(IRDfem11)</f>
        <v>#NAME?</v>
      </c>
      <c r="L64" s="133" t="e" cm="1">
        <f t="array" aca="1" ref="L64" ca="1">_xll.RiskMean(CRDfem11)</f>
        <v>#NAME?</v>
      </c>
      <c r="M64" s="134" t="e" cm="1">
        <f t="array" aca="1" ref="M64" ca="1">_xll.RiskMean(LCRDfem11)</f>
        <v>#NAME?</v>
      </c>
    </row>
    <row r="65" spans="1:13" x14ac:dyDescent="0.25">
      <c r="A65" s="139" t="s">
        <v>92</v>
      </c>
      <c r="B65" s="136" t="str">
        <f>VLOOKUP(A65, 'OES Lookups'!$B$2:$C$12, 2, FALSE)</f>
        <v>Waste Handling, Treatment and Disposal (Non-POTW WWT)</v>
      </c>
      <c r="C65" s="140" t="s">
        <v>45</v>
      </c>
      <c r="D65" s="141" t="e" cm="1">
        <f t="array" aca="1" ref="D65" ca="1">_xll.RiskMax(PDRavg12)</f>
        <v>#NAME?</v>
      </c>
      <c r="E65" s="142" t="e" cm="1">
        <f t="array" aca="1" ref="E65" ca="1">_xll.RiskMax(ARDavg12)</f>
        <v>#NAME?</v>
      </c>
      <c r="F65" s="142" t="e" cm="1">
        <f t="array" aca="1" ref="F65" ca="1">_xll.RiskMax(IRDavg12)</f>
        <v>#NAME?</v>
      </c>
      <c r="G65" s="142" t="e" cm="1">
        <f t="array" aca="1" ref="G65" ca="1">_xll.RiskMax(CRDavg12)</f>
        <v>#NAME?</v>
      </c>
      <c r="H65" s="143" t="e" cm="1">
        <f t="array" aca="1" ref="H65" ca="1">_xll.RiskMax(LCRDavg12)</f>
        <v>#NAME?</v>
      </c>
      <c r="I65" s="144" t="e" cm="1">
        <f t="array" aca="1" ref="I65" ca="1">_xll.RiskMax(PDRfem12)</f>
        <v>#NAME?</v>
      </c>
      <c r="J65" s="142" t="e" cm="1">
        <f t="array" aca="1" ref="J65" ca="1">_xll.RiskMax(ARDfem12)</f>
        <v>#NAME?</v>
      </c>
      <c r="K65" s="142" t="e" cm="1">
        <f t="array" aca="1" ref="K65" ca="1">_xll.RiskMax(IRDfem12)</f>
        <v>#NAME?</v>
      </c>
      <c r="L65" s="142" t="e" cm="1">
        <f t="array" aca="1" ref="L65" ca="1">_xll.RiskMax(CRDfem12)</f>
        <v>#NAME?</v>
      </c>
      <c r="M65" s="143" t="e" cm="1">
        <f t="array" aca="1" ref="M65" ca="1">_xll.RiskMax(LCRDfem12)</f>
        <v>#NAME?</v>
      </c>
    </row>
    <row r="66" spans="1:13" x14ac:dyDescent="0.25">
      <c r="A66" s="122"/>
      <c r="B66" s="137"/>
      <c r="C66" s="124" t="s">
        <v>191</v>
      </c>
      <c r="D66" s="125" t="e" cm="1">
        <f t="array" aca="1" ref="D66" ca="1">_xll.RiskPercentile(PDRavg12, 0.99)</f>
        <v>#NAME?</v>
      </c>
      <c r="E66" s="126" t="e" cm="1">
        <f t="array" aca="1" ref="E66" ca="1">_xll.RiskPercentile(ARDavg12, 0.99)</f>
        <v>#NAME?</v>
      </c>
      <c r="F66" s="126" t="e" cm="1">
        <f t="array" aca="1" ref="F66" ca="1">_xll.RiskPercentile(IRDavg12, 0.99)</f>
        <v>#NAME?</v>
      </c>
      <c r="G66" s="126" t="e" cm="1">
        <f t="array" aca="1" ref="G66" ca="1">_xll.RiskPercentile(CRDavg12, 0.99)</f>
        <v>#NAME?</v>
      </c>
      <c r="H66" s="127" t="e" cm="1">
        <f t="array" aca="1" ref="H66" ca="1">_xll.RiskPercentile(LCRDavg12, 0.99)</f>
        <v>#NAME?</v>
      </c>
      <c r="I66" s="128" t="e" cm="1">
        <f t="array" aca="1" ref="I66" ca="1">_xll.RiskPercentile(PDRfem12, 0.99)</f>
        <v>#NAME?</v>
      </c>
      <c r="J66" s="126" t="e" cm="1">
        <f t="array" aca="1" ref="J66" ca="1">_xll.RiskPercentile(ARDfem12, 0.99)</f>
        <v>#NAME?</v>
      </c>
      <c r="K66" s="126" t="e" cm="1">
        <f t="array" aca="1" ref="K66" ca="1">_xll.RiskPercentile(IRDfem12, 0.99)</f>
        <v>#NAME?</v>
      </c>
      <c r="L66" s="126" t="e" cm="1">
        <f t="array" aca="1" ref="L66" ca="1">_xll.RiskPercentile(CRDfem12, 0.99)</f>
        <v>#NAME?</v>
      </c>
      <c r="M66" s="127" t="e" cm="1">
        <f t="array" aca="1" ref="M66" ca="1">_xll.RiskPercentile(LCRDfem12, 0.99)</f>
        <v>#NAME?</v>
      </c>
    </row>
    <row r="67" spans="1:13" x14ac:dyDescent="0.25">
      <c r="A67" s="122"/>
      <c r="B67" s="137"/>
      <c r="C67" s="124" t="s">
        <v>192</v>
      </c>
      <c r="D67" s="125" t="e" cm="1">
        <f t="array" aca="1" ref="D67" ca="1">_xll.RiskPercentile(PDRavg12, 0.95)</f>
        <v>#NAME?</v>
      </c>
      <c r="E67" s="126" t="e" cm="1">
        <f t="array" aca="1" ref="E67" ca="1">_xll.RiskPercentile(ARDavg12, 0.95)</f>
        <v>#NAME?</v>
      </c>
      <c r="F67" s="126" t="e" cm="1">
        <f t="array" aca="1" ref="F67" ca="1">_xll.RiskPercentile(IRDavg12, 0.95)</f>
        <v>#NAME?</v>
      </c>
      <c r="G67" s="126" t="e" cm="1">
        <f t="array" aca="1" ref="G67" ca="1">_xll.RiskPercentile(CRDavg12, 0.95)</f>
        <v>#NAME?</v>
      </c>
      <c r="H67" s="127" t="e" cm="1">
        <f t="array" aca="1" ref="H67" ca="1">_xll.RiskPercentile(LCRDavg12, 0.95)</f>
        <v>#NAME?</v>
      </c>
      <c r="I67" s="128" t="e" cm="1">
        <f t="array" aca="1" ref="I67" ca="1">_xll.RiskPercentile(PDRfem12, 0.95)</f>
        <v>#NAME?</v>
      </c>
      <c r="J67" s="126" t="e" cm="1">
        <f t="array" aca="1" ref="J67" ca="1">_xll.RiskPercentile(ARDfem12, 0.95)</f>
        <v>#NAME?</v>
      </c>
      <c r="K67" s="126" t="e" cm="1">
        <f t="array" aca="1" ref="K67" ca="1">_xll.RiskPercentile(IRDfem12, 0.95)</f>
        <v>#NAME?</v>
      </c>
      <c r="L67" s="126" t="e" cm="1">
        <f t="array" aca="1" ref="L67" ca="1">_xll.RiskPercentile(CRDfem12, 0.95)</f>
        <v>#NAME?</v>
      </c>
      <c r="M67" s="127" t="e" cm="1">
        <f t="array" aca="1" ref="M67" ca="1">_xll.RiskPercentile(LCRDfem12, 0.95)</f>
        <v>#NAME?</v>
      </c>
    </row>
    <row r="68" spans="1:13" x14ac:dyDescent="0.25">
      <c r="A68" s="122"/>
      <c r="B68" s="137"/>
      <c r="C68" s="124" t="s">
        <v>193</v>
      </c>
      <c r="D68" s="125" t="e" cm="1">
        <f t="array" aca="1" ref="D68" ca="1">_xll.RiskPercentile(PDRavg12, 0.5)</f>
        <v>#NAME?</v>
      </c>
      <c r="E68" s="126" t="e" cm="1">
        <f t="array" aca="1" ref="E68" ca="1">_xll.RiskPercentile(ARDavg12, 0.5)</f>
        <v>#NAME?</v>
      </c>
      <c r="F68" s="126" t="e" cm="1">
        <f t="array" aca="1" ref="F68" ca="1">_xll.RiskPercentile(IRDavg12, 0.5)</f>
        <v>#NAME?</v>
      </c>
      <c r="G68" s="126" t="e" cm="1">
        <f t="array" aca="1" ref="G68" ca="1">_xll.RiskPercentile(CRDavg12, 0.5)</f>
        <v>#NAME?</v>
      </c>
      <c r="H68" s="127" t="e" cm="1">
        <f t="array" aca="1" ref="H68" ca="1">_xll.RiskPercentile(LCRDavg12, 0.5)</f>
        <v>#NAME?</v>
      </c>
      <c r="I68" s="128" t="e" cm="1">
        <f t="array" aca="1" ref="I68" ca="1">_xll.RiskPercentile(PDRfem12, 0.5)</f>
        <v>#NAME?</v>
      </c>
      <c r="J68" s="126" t="e" cm="1">
        <f t="array" aca="1" ref="J68" ca="1">_xll.RiskPercentile(ARDfem12, 0.5)</f>
        <v>#NAME?</v>
      </c>
      <c r="K68" s="126" t="e" cm="1">
        <f t="array" aca="1" ref="K68" ca="1">_xll.RiskPercentile(IRDfem12, 0.5)</f>
        <v>#NAME?</v>
      </c>
      <c r="L68" s="126" t="e" cm="1">
        <f t="array" aca="1" ref="L68" ca="1">_xll.RiskPercentile(CRDfem12, 0.5)</f>
        <v>#NAME?</v>
      </c>
      <c r="M68" s="127" t="e" cm="1">
        <f t="array" aca="1" ref="M68" ca="1">_xll.RiskPercentile(LCRDfem12, 0.5)</f>
        <v>#NAME?</v>
      </c>
    </row>
    <row r="69" spans="1:13" x14ac:dyDescent="0.25">
      <c r="A69" s="122"/>
      <c r="B69" s="137"/>
      <c r="C69" s="124" t="s">
        <v>194</v>
      </c>
      <c r="D69" s="125" t="e" cm="1">
        <f t="array" aca="1" ref="D69" ca="1">_xll.RiskPercentile(PDRavg12, 0.05)</f>
        <v>#NAME?</v>
      </c>
      <c r="E69" s="126" t="e" cm="1">
        <f t="array" aca="1" ref="E69" ca="1">_xll.RiskPercentile(ARDavg12, 0.05)</f>
        <v>#NAME?</v>
      </c>
      <c r="F69" s="126" t="e" cm="1">
        <f t="array" aca="1" ref="F69" ca="1">_xll.RiskPercentile(IRDavg12, 0.05)</f>
        <v>#NAME?</v>
      </c>
      <c r="G69" s="126" t="e" cm="1">
        <f t="array" aca="1" ref="G69" ca="1">_xll.RiskPercentile(CRDavg12, 0.05)</f>
        <v>#NAME?</v>
      </c>
      <c r="H69" s="127" t="e" cm="1">
        <f t="array" aca="1" ref="H69" ca="1">_xll.RiskPercentile(LCRDavg12, 0.05)</f>
        <v>#NAME?</v>
      </c>
      <c r="I69" s="128" t="e" cm="1">
        <f t="array" aca="1" ref="I69" ca="1">_xll.RiskPercentile(PDRfem12, 0.05)</f>
        <v>#NAME?</v>
      </c>
      <c r="J69" s="126" t="e" cm="1">
        <f t="array" aca="1" ref="J69" ca="1">_xll.RiskPercentile(ARDfem12, 0.05)</f>
        <v>#NAME?</v>
      </c>
      <c r="K69" s="126" t="e" cm="1">
        <f t="array" aca="1" ref="K69" ca="1">_xll.RiskPercentile(IRDfem12, 0.05)</f>
        <v>#NAME?</v>
      </c>
      <c r="L69" s="126" t="e" cm="1">
        <f t="array" aca="1" ref="L69" ca="1">_xll.RiskPercentile(CRDfem12, 0.05)</f>
        <v>#NAME?</v>
      </c>
      <c r="M69" s="127" t="e" cm="1">
        <f t="array" aca="1" ref="M69" ca="1">_xll.RiskPercentile(LCRDfem12, 0.05)</f>
        <v>#NAME?</v>
      </c>
    </row>
    <row r="70" spans="1:13" x14ac:dyDescent="0.25">
      <c r="A70" s="122"/>
      <c r="B70" s="137"/>
      <c r="C70" s="124" t="s">
        <v>195</v>
      </c>
      <c r="D70" s="125" t="e" cm="1">
        <f t="array" aca="1" ref="D70" ca="1">_xll.RiskMin(PDRavg12)</f>
        <v>#NAME?</v>
      </c>
      <c r="E70" s="126" t="e" cm="1">
        <f t="array" aca="1" ref="E70" ca="1">_xll.RiskMin(ARDavg12)</f>
        <v>#NAME?</v>
      </c>
      <c r="F70" s="126" t="e" cm="1">
        <f t="array" aca="1" ref="F70" ca="1">_xll.RiskMin(IRDavg12)</f>
        <v>#NAME?</v>
      </c>
      <c r="G70" s="126" t="e" cm="1">
        <f t="array" aca="1" ref="G70" ca="1">_xll.RiskMin(CRDavg12)</f>
        <v>#NAME?</v>
      </c>
      <c r="H70" s="127" t="e" cm="1">
        <f t="array" aca="1" ref="H70" ca="1">_xll.RiskMin(LCRDavg12)</f>
        <v>#NAME?</v>
      </c>
      <c r="I70" s="128" t="e" cm="1">
        <f t="array" aca="1" ref="I70" ca="1">_xll.RiskMin(PDRfem12)</f>
        <v>#NAME?</v>
      </c>
      <c r="J70" s="126" t="e" cm="1">
        <f t="array" aca="1" ref="J70" ca="1">_xll.RiskMin(ARDfem12)</f>
        <v>#NAME?</v>
      </c>
      <c r="K70" s="126" t="e" cm="1">
        <f t="array" aca="1" ref="K70" ca="1">_xll.RiskMin(IRDfem12)</f>
        <v>#NAME?</v>
      </c>
      <c r="L70" s="126" t="e" cm="1">
        <f t="array" aca="1" ref="L70" ca="1">_xll.RiskMin(CRDfem12)</f>
        <v>#NAME?</v>
      </c>
      <c r="M70" s="127" t="e" cm="1">
        <f t="array" aca="1" ref="M70" ca="1">_xll.RiskMin(LCRDfem12)</f>
        <v>#NAME?</v>
      </c>
    </row>
    <row r="71" spans="1:13" ht="15.75" thickBot="1" x14ac:dyDescent="0.3">
      <c r="A71" s="129"/>
      <c r="B71" s="138"/>
      <c r="C71" s="131" t="s">
        <v>196</v>
      </c>
      <c r="D71" s="132" t="e" cm="1">
        <f t="array" aca="1" ref="D71" ca="1">_xll.RiskMean(PDRavg12)</f>
        <v>#NAME?</v>
      </c>
      <c r="E71" s="133" t="e" cm="1">
        <f t="array" aca="1" ref="E71" ca="1">_xll.RiskMean(ARDavg12)</f>
        <v>#NAME?</v>
      </c>
      <c r="F71" s="133" t="e" cm="1">
        <f t="array" aca="1" ref="F71" ca="1">_xll.RiskMean(IRDavg12)</f>
        <v>#NAME?</v>
      </c>
      <c r="G71" s="133" t="e" cm="1">
        <f t="array" aca="1" ref="G71" ca="1">_xll.RiskMean(CRDavg12)</f>
        <v>#NAME?</v>
      </c>
      <c r="H71" s="134" t="e" cm="1">
        <f t="array" aca="1" ref="H71" ca="1">_xll.RiskMean(LCRDavg12)</f>
        <v>#NAME?</v>
      </c>
      <c r="I71" s="135" t="e" cm="1">
        <f t="array" aca="1" ref="I71" ca="1">_xll.RiskMean(PDRfem12)</f>
        <v>#NAME?</v>
      </c>
      <c r="J71" s="133" t="e" cm="1">
        <f t="array" aca="1" ref="J71" ca="1">_xll.RiskMean(ARDfem12)</f>
        <v>#NAME?</v>
      </c>
      <c r="K71" s="133" t="e" cm="1">
        <f t="array" aca="1" ref="K71" ca="1">_xll.RiskMean(IRDfem12)</f>
        <v>#NAME?</v>
      </c>
      <c r="L71" s="133" t="e" cm="1">
        <f t="array" aca="1" ref="L71" ca="1">_xll.RiskMean(CRDfem12)</f>
        <v>#NAME?</v>
      </c>
      <c r="M71" s="134" t="e" cm="1">
        <f t="array" aca="1" ref="M71" ca="1">_xll.RiskMean(LCRDfem12)</f>
        <v>#NAME?</v>
      </c>
    </row>
  </sheetData>
  <sheetProtection sheet="1" objects="1" scenarios="1" formatCells="0" formatColumns="0" formatRows="0" sort="0" autoFilter="0"/>
  <autoFilter ref="A6:M8" xr:uid="{05C320A8-AE61-4509-A7C6-4A56CB3C1576}">
    <filterColumn colId="3" showButton="0"/>
    <filterColumn colId="4" showButton="0"/>
    <filterColumn colId="5" showButton="0"/>
    <filterColumn colId="6" showButton="0"/>
    <filterColumn colId="8" showButton="0"/>
    <filterColumn colId="9" showButton="0"/>
    <filterColumn colId="10" showButton="0"/>
    <filterColumn colId="11" showButton="0"/>
  </autoFilter>
  <mergeCells count="15">
    <mergeCell ref="B58:B64"/>
    <mergeCell ref="B65:B71"/>
    <mergeCell ref="B37:B43"/>
    <mergeCell ref="B44:B50"/>
    <mergeCell ref="B51:B57"/>
    <mergeCell ref="A1:B1"/>
    <mergeCell ref="A6:A8"/>
    <mergeCell ref="B6:B8"/>
    <mergeCell ref="C6:C8"/>
    <mergeCell ref="D6:H6"/>
    <mergeCell ref="B9:B15"/>
    <mergeCell ref="B16:B22"/>
    <mergeCell ref="B23:B29"/>
    <mergeCell ref="B30:B36"/>
    <mergeCell ref="I6:M6"/>
  </mergeCells>
  <conditionalFormatting sqref="D9:M71">
    <cfRule type="cellIs" dxfId="13" priority="1" operator="greaterThanOrEqual">
      <formula>10000</formula>
    </cfRule>
    <cfRule type="cellIs" dxfId="12" priority="2" operator="greaterThanOrEqual">
      <formula>10</formula>
    </cfRule>
    <cfRule type="cellIs" dxfId="11" priority="3" operator="between">
      <formula>1</formula>
      <formula>9.999</formula>
    </cfRule>
    <cfRule type="cellIs" dxfId="10" priority="4" operator="between">
      <formula>0.1</formula>
      <formula>0.999</formula>
    </cfRule>
    <cfRule type="cellIs" dxfId="9" priority="5" operator="lessThanOrEqual">
      <formula>0.1</formula>
    </cfRule>
    <cfRule type="containsBlanks" dxfId="8" priority="6" stopIfTrue="1">
      <formula>LEN(TRIM(D9))=0</formula>
    </cfRule>
    <cfRule type="cellIs" dxfId="7" priority="7" operator="equal">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51977-B640-429D-84E9-7CFC6F3CB0C2}">
  <sheetPr codeName="Sheet7"/>
  <dimension ref="A1:M71"/>
  <sheetViews>
    <sheetView zoomScaleNormal="100" workbookViewId="0">
      <selection sqref="A1:B1"/>
    </sheetView>
  </sheetViews>
  <sheetFormatPr defaultRowHeight="15" x14ac:dyDescent="0.25"/>
  <cols>
    <col min="1" max="1" width="22.28515625" style="2" customWidth="1"/>
    <col min="2" max="2" width="38" style="2" customWidth="1"/>
    <col min="3" max="3" width="25.140625" style="2" customWidth="1"/>
    <col min="4" max="8" width="17.5703125" style="2" customWidth="1"/>
    <col min="9" max="13" width="15.140625" style="2" customWidth="1"/>
    <col min="14" max="16384" width="9.140625" style="2"/>
  </cols>
  <sheetData>
    <row r="1" spans="1:13" x14ac:dyDescent="0.25">
      <c r="A1" s="99" t="s">
        <v>179</v>
      </c>
      <c r="B1" s="99"/>
    </row>
    <row r="2" spans="1:13" x14ac:dyDescent="0.25">
      <c r="A2" s="21" t="s">
        <v>180</v>
      </c>
      <c r="B2" s="100">
        <v>100000</v>
      </c>
    </row>
    <row r="3" spans="1:13" x14ac:dyDescent="0.25">
      <c r="A3" s="21" t="s">
        <v>181</v>
      </c>
      <c r="B3" s="77" t="s">
        <v>182</v>
      </c>
    </row>
    <row r="4" spans="1:13" x14ac:dyDescent="0.25">
      <c r="B4" s="4"/>
    </row>
    <row r="5" spans="1:13" ht="15.75" thickBot="1" x14ac:dyDescent="0.3">
      <c r="B5" s="4"/>
    </row>
    <row r="6" spans="1:13" x14ac:dyDescent="0.25">
      <c r="A6" s="101" t="s">
        <v>183</v>
      </c>
      <c r="B6" s="101" t="s">
        <v>184</v>
      </c>
      <c r="C6" s="102" t="s">
        <v>185</v>
      </c>
      <c r="D6" s="103" t="s">
        <v>151</v>
      </c>
      <c r="E6" s="104"/>
      <c r="F6" s="104"/>
      <c r="G6" s="104"/>
      <c r="H6" s="105"/>
      <c r="I6" s="106" t="s">
        <v>155</v>
      </c>
      <c r="J6" s="104"/>
      <c r="K6" s="104"/>
      <c r="L6" s="104"/>
      <c r="M6" s="105"/>
    </row>
    <row r="7" spans="1:13" ht="45" x14ac:dyDescent="0.25">
      <c r="A7" s="101"/>
      <c r="B7" s="101"/>
      <c r="C7" s="102"/>
      <c r="D7" s="107" t="s">
        <v>150</v>
      </c>
      <c r="E7" s="108" t="s">
        <v>158</v>
      </c>
      <c r="F7" s="108" t="s">
        <v>164</v>
      </c>
      <c r="G7" s="108" t="s">
        <v>169</v>
      </c>
      <c r="H7" s="109" t="s">
        <v>174</v>
      </c>
      <c r="I7" s="110" t="s">
        <v>150</v>
      </c>
      <c r="J7" s="108" t="s">
        <v>158</v>
      </c>
      <c r="K7" s="108" t="s">
        <v>164</v>
      </c>
      <c r="L7" s="108" t="s">
        <v>169</v>
      </c>
      <c r="M7" s="109" t="s">
        <v>174</v>
      </c>
    </row>
    <row r="8" spans="1:13" ht="30.75" thickBot="1" x14ac:dyDescent="0.3">
      <c r="A8" s="101"/>
      <c r="B8" s="101"/>
      <c r="C8" s="102"/>
      <c r="D8" s="111" t="s">
        <v>186</v>
      </c>
      <c r="E8" s="112" t="s">
        <v>187</v>
      </c>
      <c r="F8" s="112" t="s">
        <v>188</v>
      </c>
      <c r="G8" s="112" t="s">
        <v>189</v>
      </c>
      <c r="H8" s="113" t="s">
        <v>190</v>
      </c>
      <c r="I8" s="114" t="s">
        <v>186</v>
      </c>
      <c r="J8" s="112" t="s">
        <v>187</v>
      </c>
      <c r="K8" s="112" t="s">
        <v>188</v>
      </c>
      <c r="L8" s="112" t="s">
        <v>189</v>
      </c>
      <c r="M8" s="113" t="s">
        <v>190</v>
      </c>
    </row>
    <row r="9" spans="1:13" x14ac:dyDescent="0.25">
      <c r="A9" s="115" t="s">
        <v>70</v>
      </c>
      <c r="B9" s="116" t="s">
        <v>259</v>
      </c>
      <c r="C9" s="117" t="s">
        <v>45</v>
      </c>
      <c r="D9" s="118">
        <v>38.777253982144053</v>
      </c>
      <c r="E9" s="119">
        <v>0.48471567477680066</v>
      </c>
      <c r="F9" s="119">
        <v>0.35545816150298715</v>
      </c>
      <c r="G9" s="119">
        <v>0.33199703751835657</v>
      </c>
      <c r="H9" s="120">
        <v>0.17953225900767877</v>
      </c>
      <c r="I9" s="121">
        <v>32.557616639290806</v>
      </c>
      <c r="J9" s="119">
        <v>0.44969083755926526</v>
      </c>
      <c r="K9" s="119">
        <v>0.32977328087679447</v>
      </c>
      <c r="L9" s="119">
        <v>0.30800742298579814</v>
      </c>
      <c r="M9" s="120">
        <v>0.16131728966322503</v>
      </c>
    </row>
    <row r="10" spans="1:13" x14ac:dyDescent="0.25">
      <c r="A10" s="122"/>
      <c r="B10" s="123"/>
      <c r="C10" s="124" t="s">
        <v>191</v>
      </c>
      <c r="D10" s="125">
        <v>33.194724822060927</v>
      </c>
      <c r="E10" s="126">
        <v>0.41493406027576157</v>
      </c>
      <c r="F10" s="126">
        <v>0.3042849775355585</v>
      </c>
      <c r="G10" s="126">
        <v>0.28420141114778191</v>
      </c>
      <c r="H10" s="127">
        <v>0.12617254323905866</v>
      </c>
      <c r="I10" s="128">
        <v>27.656141996828602</v>
      </c>
      <c r="J10" s="126">
        <v>0.38199091155840609</v>
      </c>
      <c r="K10" s="126">
        <v>0.28012666847616446</v>
      </c>
      <c r="L10" s="126">
        <v>0.26163761065644253</v>
      </c>
      <c r="M10" s="127">
        <v>0.11626617669171485</v>
      </c>
    </row>
    <row r="11" spans="1:13" x14ac:dyDescent="0.25">
      <c r="A11" s="122"/>
      <c r="B11" s="123"/>
      <c r="C11" s="124" t="s">
        <v>192</v>
      </c>
      <c r="D11" s="125">
        <v>28.177423570461148</v>
      </c>
      <c r="E11" s="126">
        <v>0.35221779463076436</v>
      </c>
      <c r="F11" s="126">
        <v>0.25829304939589387</v>
      </c>
      <c r="G11" s="126">
        <v>0.24124506481559202</v>
      </c>
      <c r="H11" s="127">
        <v>9.980347228755046E-2</v>
      </c>
      <c r="I11" s="128">
        <v>23.416336759366573</v>
      </c>
      <c r="J11" s="126">
        <v>0.32343006573710731</v>
      </c>
      <c r="K11" s="126">
        <v>0.23718204820721203</v>
      </c>
      <c r="L11" s="126">
        <v>0.22152744228568996</v>
      </c>
      <c r="M11" s="127">
        <v>9.1536496722516708E-2</v>
      </c>
    </row>
    <row r="12" spans="1:13" x14ac:dyDescent="0.25">
      <c r="A12" s="122"/>
      <c r="B12" s="123"/>
      <c r="C12" s="124" t="s">
        <v>193</v>
      </c>
      <c r="D12" s="125">
        <v>11.328176041097972</v>
      </c>
      <c r="E12" s="126">
        <v>0.14160220051372466</v>
      </c>
      <c r="F12" s="126">
        <v>0.10384161371006476</v>
      </c>
      <c r="G12" s="126">
        <v>9.6987808571044276E-2</v>
      </c>
      <c r="H12" s="127">
        <v>3.5595848339469563E-2</v>
      </c>
      <c r="I12" s="128">
        <v>9.4478077099225111</v>
      </c>
      <c r="J12" s="126">
        <v>0.13049458162876396</v>
      </c>
      <c r="K12" s="126">
        <v>9.5696026527760228E-2</v>
      </c>
      <c r="L12" s="126">
        <v>8.9379850430660254E-2</v>
      </c>
      <c r="M12" s="127">
        <v>3.2704612190305474E-2</v>
      </c>
    </row>
    <row r="13" spans="1:13" x14ac:dyDescent="0.25">
      <c r="A13" s="122"/>
      <c r="B13" s="123"/>
      <c r="C13" s="124" t="s">
        <v>194</v>
      </c>
      <c r="D13" s="125">
        <v>1.1330423157121525</v>
      </c>
      <c r="E13" s="126">
        <v>1.4163028946401906E-2</v>
      </c>
      <c r="F13" s="126">
        <v>1.0386221227361398E-2</v>
      </c>
      <c r="G13" s="126">
        <v>9.7007047578095227E-3</v>
      </c>
      <c r="H13" s="127">
        <v>3.5096260929881424E-3</v>
      </c>
      <c r="I13" s="128">
        <v>0.94529358678846842</v>
      </c>
      <c r="J13" s="126">
        <v>1.305654125398437E-2</v>
      </c>
      <c r="K13" s="126">
        <v>9.5747969195885373E-3</v>
      </c>
      <c r="L13" s="126">
        <v>8.9428364753317592E-3</v>
      </c>
      <c r="M13" s="127">
        <v>3.2113430313769078E-3</v>
      </c>
    </row>
    <row r="14" spans="1:13" x14ac:dyDescent="0.25">
      <c r="A14" s="122"/>
      <c r="B14" s="123"/>
      <c r="C14" s="124" t="s">
        <v>195</v>
      </c>
      <c r="D14" s="125">
        <v>1.6191021198229076E-5</v>
      </c>
      <c r="E14" s="126">
        <v>2.0238776497786345E-7</v>
      </c>
      <c r="F14" s="126">
        <v>1.4841769431709989E-7</v>
      </c>
      <c r="G14" s="126">
        <v>1.3862175683415301E-7</v>
      </c>
      <c r="H14" s="127">
        <v>5.1704393234536793E-8</v>
      </c>
      <c r="I14" s="128">
        <v>1.5714425347988607E-4</v>
      </c>
      <c r="J14" s="126">
        <v>2.1705007386724596E-6</v>
      </c>
      <c r="K14" s="126">
        <v>1.5917005416931371E-6</v>
      </c>
      <c r="L14" s="126">
        <v>1.4866443415564794E-6</v>
      </c>
      <c r="M14" s="127">
        <v>5.8033657390284752E-7</v>
      </c>
    </row>
    <row r="15" spans="1:13" ht="15.75" thickBot="1" x14ac:dyDescent="0.3">
      <c r="A15" s="129"/>
      <c r="B15" s="130"/>
      <c r="C15" s="131" t="s">
        <v>196</v>
      </c>
      <c r="D15" s="132">
        <v>12.464302204533999</v>
      </c>
      <c r="E15" s="133">
        <v>0.15580377755667438</v>
      </c>
      <c r="F15" s="133">
        <v>0.11425610354156158</v>
      </c>
      <c r="G15" s="133">
        <v>0.10671491613470858</v>
      </c>
      <c r="H15" s="134">
        <v>4.1204095469538377E-2</v>
      </c>
      <c r="I15" s="135">
        <v>10.36665378604075</v>
      </c>
      <c r="J15" s="133">
        <v>0.14318582577404407</v>
      </c>
      <c r="K15" s="133">
        <v>0.10500293890096607</v>
      </c>
      <c r="L15" s="133">
        <v>9.8072483406878103E-2</v>
      </c>
      <c r="M15" s="134">
        <v>3.7876792497861723E-2</v>
      </c>
    </row>
    <row r="16" spans="1:13" x14ac:dyDescent="0.25">
      <c r="A16" s="115" t="s">
        <v>73</v>
      </c>
      <c r="B16" s="136" t="s">
        <v>197</v>
      </c>
      <c r="C16" s="117" t="s">
        <v>45</v>
      </c>
      <c r="D16" s="118">
        <v>38.827314119249216</v>
      </c>
      <c r="E16" s="119">
        <v>0.48534142649061518</v>
      </c>
      <c r="F16" s="119">
        <v>0.35258872462788027</v>
      </c>
      <c r="G16" s="119">
        <v>0.32931699062379849</v>
      </c>
      <c r="H16" s="120">
        <v>0.17088599363221588</v>
      </c>
      <c r="I16" s="121">
        <v>32.361384647365568</v>
      </c>
      <c r="J16" s="119">
        <v>0.44698045093046362</v>
      </c>
      <c r="K16" s="119">
        <v>0.32560545490971737</v>
      </c>
      <c r="L16" s="119">
        <v>0.30411468391318558</v>
      </c>
      <c r="M16" s="120">
        <v>0.15772723462046745</v>
      </c>
    </row>
    <row r="17" spans="1:13" x14ac:dyDescent="0.25">
      <c r="A17" s="122"/>
      <c r="B17" s="137"/>
      <c r="C17" s="124" t="s">
        <v>191</v>
      </c>
      <c r="D17" s="125">
        <v>33.222416075847413</v>
      </c>
      <c r="E17" s="126">
        <v>0.41528020094809265</v>
      </c>
      <c r="F17" s="126">
        <v>0.27514207550444214</v>
      </c>
      <c r="G17" s="126">
        <v>0.25698201323578035</v>
      </c>
      <c r="H17" s="127">
        <v>0.1107284572465026</v>
      </c>
      <c r="I17" s="128">
        <v>27.648043487850718</v>
      </c>
      <c r="J17" s="126">
        <v>0.38187905369959552</v>
      </c>
      <c r="K17" s="126">
        <v>0.25421969872326144</v>
      </c>
      <c r="L17" s="126">
        <v>0.23744056543268499</v>
      </c>
      <c r="M17" s="127">
        <v>0.10259576703954579</v>
      </c>
    </row>
    <row r="18" spans="1:13" x14ac:dyDescent="0.25">
      <c r="A18" s="122"/>
      <c r="B18" s="137"/>
      <c r="C18" s="124" t="s">
        <v>192</v>
      </c>
      <c r="D18" s="125">
        <v>28.190222932104643</v>
      </c>
      <c r="E18" s="126">
        <v>0.35237778665130803</v>
      </c>
      <c r="F18" s="126">
        <v>0.21810682911710152</v>
      </c>
      <c r="G18" s="126">
        <v>0.2037112351654124</v>
      </c>
      <c r="H18" s="127">
        <v>8.4071433286280653E-2</v>
      </c>
      <c r="I18" s="128">
        <v>23.453375583122039</v>
      </c>
      <c r="J18" s="126">
        <v>0.32394165170058065</v>
      </c>
      <c r="K18" s="126">
        <v>0.20044459796688491</v>
      </c>
      <c r="L18" s="126">
        <v>0.18721475526172315</v>
      </c>
      <c r="M18" s="127">
        <v>7.7272536620106386E-2</v>
      </c>
    </row>
    <row r="19" spans="1:13" x14ac:dyDescent="0.25">
      <c r="A19" s="122"/>
      <c r="B19" s="137"/>
      <c r="C19" s="124" t="s">
        <v>193</v>
      </c>
      <c r="D19" s="125">
        <v>11.333598974793102</v>
      </c>
      <c r="E19" s="126">
        <v>0.14166998718491378</v>
      </c>
      <c r="F19" s="126">
        <v>8.3300141636625885E-2</v>
      </c>
      <c r="G19" s="126">
        <v>7.7802124816275728E-2</v>
      </c>
      <c r="H19" s="127">
        <v>2.8655488643205052E-2</v>
      </c>
      <c r="I19" s="128">
        <v>9.4372328900029405</v>
      </c>
      <c r="J19" s="126">
        <v>0.13034852058015109</v>
      </c>
      <c r="K19" s="126">
        <v>7.6538243317244264E-2</v>
      </c>
      <c r="L19" s="126">
        <v>7.148652862756312E-2</v>
      </c>
      <c r="M19" s="127">
        <v>2.6317516917677062E-2</v>
      </c>
    </row>
    <row r="20" spans="1:13" x14ac:dyDescent="0.25">
      <c r="A20" s="122"/>
      <c r="B20" s="137"/>
      <c r="C20" s="124" t="s">
        <v>194</v>
      </c>
      <c r="D20" s="125">
        <v>1.1393845752920579</v>
      </c>
      <c r="E20" s="126">
        <v>1.4242307191150725E-2</v>
      </c>
      <c r="F20" s="126">
        <v>8.3597826095699254E-3</v>
      </c>
      <c r="G20" s="126">
        <v>7.8080161359619475E-3</v>
      </c>
      <c r="H20" s="127">
        <v>2.8177080606582015E-3</v>
      </c>
      <c r="I20" s="128">
        <v>0.9452524267844542</v>
      </c>
      <c r="J20" s="126">
        <v>1.3055972745641631E-2</v>
      </c>
      <c r="K20" s="126">
        <v>7.7083569071738989E-3</v>
      </c>
      <c r="L20" s="126">
        <v>7.1995861524040148E-3</v>
      </c>
      <c r="M20" s="127">
        <v>2.5718632316202358E-3</v>
      </c>
    </row>
    <row r="21" spans="1:13" x14ac:dyDescent="0.25">
      <c r="A21" s="122"/>
      <c r="B21" s="137"/>
      <c r="C21" s="124" t="s">
        <v>195</v>
      </c>
      <c r="D21" s="125">
        <v>1.5192530529584737E-5</v>
      </c>
      <c r="E21" s="126">
        <v>1.899066316198092E-7</v>
      </c>
      <c r="F21" s="126">
        <v>1.392648631878601E-7</v>
      </c>
      <c r="G21" s="126">
        <v>1.300730353560337E-7</v>
      </c>
      <c r="H21" s="127">
        <v>4.8515813988019033E-8</v>
      </c>
      <c r="I21" s="128">
        <v>1.5154850194415171E-4</v>
      </c>
      <c r="J21" s="126">
        <v>2.0932113528197748E-6</v>
      </c>
      <c r="K21" s="126">
        <v>1.5350216587345016E-6</v>
      </c>
      <c r="L21" s="126">
        <v>1.4337064060409416E-6</v>
      </c>
      <c r="M21" s="127">
        <v>5.5967136214519743E-7</v>
      </c>
    </row>
    <row r="22" spans="1:13" ht="15.75" thickBot="1" x14ac:dyDescent="0.3">
      <c r="A22" s="129"/>
      <c r="B22" s="138"/>
      <c r="C22" s="131" t="s">
        <v>196</v>
      </c>
      <c r="D22" s="132">
        <v>12.462533814986084</v>
      </c>
      <c r="E22" s="133">
        <v>0.15578167268732424</v>
      </c>
      <c r="F22" s="133">
        <v>9.3928510613016172E-2</v>
      </c>
      <c r="G22" s="133">
        <v>8.7728994968571006E-2</v>
      </c>
      <c r="H22" s="134">
        <v>3.3880108661958633E-2</v>
      </c>
      <c r="I22" s="135">
        <v>10.365839204580013</v>
      </c>
      <c r="J22" s="133">
        <v>0.14317457464889705</v>
      </c>
      <c r="K22" s="133">
        <v>8.6370331177195753E-2</v>
      </c>
      <c r="L22" s="133">
        <v>8.0669674200369759E-2</v>
      </c>
      <c r="M22" s="134">
        <v>3.1162986002945585E-2</v>
      </c>
    </row>
    <row r="23" spans="1:13" x14ac:dyDescent="0.25">
      <c r="A23" s="115" t="s">
        <v>76</v>
      </c>
      <c r="B23" s="116" t="s">
        <v>198</v>
      </c>
      <c r="C23" s="117" t="s">
        <v>45</v>
      </c>
      <c r="D23" s="118">
        <v>38.767170368126145</v>
      </c>
      <c r="E23" s="119">
        <v>0.48458962960157681</v>
      </c>
      <c r="F23" s="119">
        <v>0.35536572837448965</v>
      </c>
      <c r="G23" s="119">
        <v>0.33191070520655941</v>
      </c>
      <c r="H23" s="120">
        <v>0.17301919508899041</v>
      </c>
      <c r="I23" s="121">
        <v>32.39809306735652</v>
      </c>
      <c r="J23" s="119">
        <v>0.44748747330602923</v>
      </c>
      <c r="K23" s="119">
        <v>0.32815748042442139</v>
      </c>
      <c r="L23" s="119">
        <v>0.30649826938769126</v>
      </c>
      <c r="M23" s="120">
        <v>0.15814174719107021</v>
      </c>
    </row>
    <row r="24" spans="1:13" x14ac:dyDescent="0.25">
      <c r="A24" s="122"/>
      <c r="B24" s="123"/>
      <c r="C24" s="124" t="s">
        <v>191</v>
      </c>
      <c r="D24" s="125">
        <v>33.169336208092986</v>
      </c>
      <c r="E24" s="126">
        <v>0.41461670260116235</v>
      </c>
      <c r="F24" s="126">
        <v>0.30405224857418572</v>
      </c>
      <c r="G24" s="126">
        <v>0.28398404287750845</v>
      </c>
      <c r="H24" s="127">
        <v>0.12667111948039933</v>
      </c>
      <c r="I24" s="128">
        <v>27.653493910992246</v>
      </c>
      <c r="J24" s="126">
        <v>0.38195433578718568</v>
      </c>
      <c r="K24" s="126">
        <v>0.28009984624393619</v>
      </c>
      <c r="L24" s="126">
        <v>0.26161255875834638</v>
      </c>
      <c r="M24" s="127">
        <v>0.11634307890250585</v>
      </c>
    </row>
    <row r="25" spans="1:13" x14ac:dyDescent="0.25">
      <c r="A25" s="122"/>
      <c r="B25" s="123"/>
      <c r="C25" s="124" t="s">
        <v>192</v>
      </c>
      <c r="D25" s="125">
        <v>28.205052622314525</v>
      </c>
      <c r="E25" s="126">
        <v>0.35256315777893155</v>
      </c>
      <c r="F25" s="126">
        <v>0.25854631570454978</v>
      </c>
      <c r="G25" s="126">
        <v>0.24148161491707643</v>
      </c>
      <c r="H25" s="127">
        <v>9.9710183634611371E-2</v>
      </c>
      <c r="I25" s="128">
        <v>23.412804684570418</v>
      </c>
      <c r="J25" s="126">
        <v>0.32338128017362455</v>
      </c>
      <c r="K25" s="126">
        <v>0.23714627212732467</v>
      </c>
      <c r="L25" s="126">
        <v>0.22149402751618119</v>
      </c>
      <c r="M25" s="127">
        <v>9.1371946656856606E-2</v>
      </c>
    </row>
    <row r="26" spans="1:13" x14ac:dyDescent="0.25">
      <c r="A26" s="122"/>
      <c r="B26" s="123"/>
      <c r="C26" s="124" t="s">
        <v>193</v>
      </c>
      <c r="D26" s="125">
        <v>11.315436164811972</v>
      </c>
      <c r="E26" s="126">
        <v>0.14144295206014965</v>
      </c>
      <c r="F26" s="126">
        <v>0.10372483151077641</v>
      </c>
      <c r="G26" s="126">
        <v>9.687873428777373E-2</v>
      </c>
      <c r="H26" s="127">
        <v>3.561594701094814E-2</v>
      </c>
      <c r="I26" s="128">
        <v>9.429844145022976</v>
      </c>
      <c r="J26" s="126">
        <v>0.13024646609147755</v>
      </c>
      <c r="K26" s="126">
        <v>9.5514075133750209E-2</v>
      </c>
      <c r="L26" s="126">
        <v>8.9209908281833936E-2</v>
      </c>
      <c r="M26" s="127">
        <v>3.2709191453050936E-2</v>
      </c>
    </row>
    <row r="27" spans="1:13" x14ac:dyDescent="0.25">
      <c r="A27" s="122"/>
      <c r="B27" s="123"/>
      <c r="C27" s="124" t="s">
        <v>194</v>
      </c>
      <c r="D27" s="125">
        <v>1.1292667174101787</v>
      </c>
      <c r="E27" s="126">
        <v>1.4115833967627233E-2</v>
      </c>
      <c r="F27" s="126">
        <v>1.035161157625997E-2</v>
      </c>
      <c r="G27" s="126">
        <v>9.668379429881668E-3</v>
      </c>
      <c r="H27" s="127">
        <v>3.5069514448324807E-3</v>
      </c>
      <c r="I27" s="128">
        <v>0.94527864491651159</v>
      </c>
      <c r="J27" s="126">
        <v>1.3056334874537452E-2</v>
      </c>
      <c r="K27" s="126">
        <v>9.5746455746607995E-3</v>
      </c>
      <c r="L27" s="126">
        <v>8.9426951195462016E-3</v>
      </c>
      <c r="M27" s="127">
        <v>3.2012794302752078E-3</v>
      </c>
    </row>
    <row r="28" spans="1:13" x14ac:dyDescent="0.25">
      <c r="A28" s="122"/>
      <c r="B28" s="123"/>
      <c r="C28" s="124" t="s">
        <v>195</v>
      </c>
      <c r="D28" s="125">
        <v>1.6033264141524161E-5</v>
      </c>
      <c r="E28" s="126">
        <v>2.0041580176905203E-7</v>
      </c>
      <c r="F28" s="126">
        <v>1.4697158796397147E-7</v>
      </c>
      <c r="G28" s="126">
        <v>1.3727109710209044E-7</v>
      </c>
      <c r="H28" s="127">
        <v>5.1200611984699017E-8</v>
      </c>
      <c r="I28" s="128">
        <v>1.5747951437406545E-4</v>
      </c>
      <c r="J28" s="126">
        <v>2.1751314140064285E-6</v>
      </c>
      <c r="K28" s="126">
        <v>1.5950963702713808E-6</v>
      </c>
      <c r="L28" s="126">
        <v>1.4898160369907044E-6</v>
      </c>
      <c r="M28" s="127">
        <v>5.8157469845645418E-7</v>
      </c>
    </row>
    <row r="29" spans="1:13" ht="15.75" thickBot="1" x14ac:dyDescent="0.3">
      <c r="A29" s="129"/>
      <c r="B29" s="130"/>
      <c r="C29" s="131" t="s">
        <v>196</v>
      </c>
      <c r="D29" s="132">
        <v>12.463813902265469</v>
      </c>
      <c r="E29" s="133">
        <v>0.15579767377831555</v>
      </c>
      <c r="F29" s="133">
        <v>0.11425162743743295</v>
      </c>
      <c r="G29" s="133">
        <v>0.1067107354645984</v>
      </c>
      <c r="H29" s="134">
        <v>4.1203118152787675E-2</v>
      </c>
      <c r="I29" s="135">
        <v>10.364335194317816</v>
      </c>
      <c r="J29" s="133">
        <v>0.14315380102649275</v>
      </c>
      <c r="K29" s="133">
        <v>0.10497945408609541</v>
      </c>
      <c r="L29" s="133">
        <v>9.8050548648281652E-2</v>
      </c>
      <c r="M29" s="134">
        <v>3.7869211418891061E-2</v>
      </c>
    </row>
    <row r="30" spans="1:13" x14ac:dyDescent="0.25">
      <c r="A30" s="115" t="s">
        <v>78</v>
      </c>
      <c r="B30" s="116" t="s">
        <v>199</v>
      </c>
      <c r="C30" s="117" t="s">
        <v>45</v>
      </c>
      <c r="D30" s="118">
        <v>38.558178434588932</v>
      </c>
      <c r="E30" s="119">
        <v>0.48197723043236163</v>
      </c>
      <c r="F30" s="119">
        <v>0.35344996898373188</v>
      </c>
      <c r="G30" s="119">
        <v>0.33012139070709701</v>
      </c>
      <c r="H30" s="120">
        <v>0.17505782495144392</v>
      </c>
      <c r="I30" s="121">
        <v>32.20808964894546</v>
      </c>
      <c r="J30" s="119">
        <v>0.44486311669814166</v>
      </c>
      <c r="K30" s="119">
        <v>0.32623295224530391</v>
      </c>
      <c r="L30" s="119">
        <v>0.30470076486174086</v>
      </c>
      <c r="M30" s="120">
        <v>0.1585841793213591</v>
      </c>
    </row>
    <row r="31" spans="1:13" x14ac:dyDescent="0.25">
      <c r="A31" s="122"/>
      <c r="B31" s="123"/>
      <c r="C31" s="124" t="s">
        <v>191</v>
      </c>
      <c r="D31" s="125">
        <v>33.187350570253244</v>
      </c>
      <c r="E31" s="126">
        <v>0.41484188212816553</v>
      </c>
      <c r="F31" s="126">
        <v>0.30421738022732137</v>
      </c>
      <c r="G31" s="126">
        <v>0.28413827543025033</v>
      </c>
      <c r="H31" s="127">
        <v>0.12605670618701095</v>
      </c>
      <c r="I31" s="128">
        <v>27.66874520430251</v>
      </c>
      <c r="J31" s="126">
        <v>0.38216498900970314</v>
      </c>
      <c r="K31" s="126">
        <v>0.2802543252737823</v>
      </c>
      <c r="L31" s="126">
        <v>0.26175684178746794</v>
      </c>
      <c r="M31" s="127">
        <v>0.11644970791242126</v>
      </c>
    </row>
    <row r="32" spans="1:13" x14ac:dyDescent="0.25">
      <c r="A32" s="122"/>
      <c r="B32" s="123"/>
      <c r="C32" s="124" t="s">
        <v>192</v>
      </c>
      <c r="D32" s="125">
        <v>28.142509463411141</v>
      </c>
      <c r="E32" s="126">
        <v>0.35178136829263928</v>
      </c>
      <c r="F32" s="126">
        <v>0.25797300341460211</v>
      </c>
      <c r="G32" s="126">
        <v>0.2409461426661913</v>
      </c>
      <c r="H32" s="127">
        <v>9.9739457333559212E-2</v>
      </c>
      <c r="I32" s="128">
        <v>23.407766831534499</v>
      </c>
      <c r="J32" s="126">
        <v>0.32331169656815606</v>
      </c>
      <c r="K32" s="126">
        <v>0.23709524414998112</v>
      </c>
      <c r="L32" s="126">
        <v>0.22144636751243563</v>
      </c>
      <c r="M32" s="127">
        <v>9.1356396780542887E-2</v>
      </c>
    </row>
    <row r="33" spans="1:13" x14ac:dyDescent="0.25">
      <c r="A33" s="122"/>
      <c r="B33" s="123"/>
      <c r="C33" s="124" t="s">
        <v>193</v>
      </c>
      <c r="D33" s="125">
        <v>11.323334218263044</v>
      </c>
      <c r="E33" s="126">
        <v>0.14154167772828805</v>
      </c>
      <c r="F33" s="126">
        <v>0.10379723033407791</v>
      </c>
      <c r="G33" s="126">
        <v>9.6946354608416468E-2</v>
      </c>
      <c r="H33" s="127">
        <v>3.5616802419768299E-2</v>
      </c>
      <c r="I33" s="128">
        <v>9.4361833197812288</v>
      </c>
      <c r="J33" s="126">
        <v>0.13033402375388436</v>
      </c>
      <c r="K33" s="126">
        <v>9.5578284086181867E-2</v>
      </c>
      <c r="L33" s="126">
        <v>8.9269879283482442E-2</v>
      </c>
      <c r="M33" s="127">
        <v>3.2706950302835457E-2</v>
      </c>
    </row>
    <row r="34" spans="1:13" x14ac:dyDescent="0.25">
      <c r="A34" s="122"/>
      <c r="B34" s="123"/>
      <c r="C34" s="124" t="s">
        <v>194</v>
      </c>
      <c r="D34" s="125">
        <v>1.1337469140223424</v>
      </c>
      <c r="E34" s="126">
        <v>1.4171836425279281E-2</v>
      </c>
      <c r="F34" s="126">
        <v>1.0392680045204805E-2</v>
      </c>
      <c r="G34" s="126">
        <v>9.7067372775885494E-3</v>
      </c>
      <c r="H34" s="127">
        <v>3.5090947740405326E-3</v>
      </c>
      <c r="I34" s="128">
        <v>0.9454677236732254</v>
      </c>
      <c r="J34" s="126">
        <v>1.3058946459574935E-2</v>
      </c>
      <c r="K34" s="126">
        <v>9.5765607370216187E-3</v>
      </c>
      <c r="L34" s="126">
        <v>8.9444838764211887E-3</v>
      </c>
      <c r="M34" s="127">
        <v>3.2004829671482765E-3</v>
      </c>
    </row>
    <row r="35" spans="1:13" x14ac:dyDescent="0.25">
      <c r="A35" s="122"/>
      <c r="B35" s="123"/>
      <c r="C35" s="124" t="s">
        <v>195</v>
      </c>
      <c r="D35" s="125">
        <v>1.6118625703423658E-5</v>
      </c>
      <c r="E35" s="126">
        <v>2.0148282129279572E-7</v>
      </c>
      <c r="F35" s="126">
        <v>1.477540689480502E-7</v>
      </c>
      <c r="G35" s="126">
        <v>1.3800193239232582E-7</v>
      </c>
      <c r="H35" s="127">
        <v>5.1473205523397391E-8</v>
      </c>
      <c r="I35" s="128">
        <v>1.4213236667691019E-4</v>
      </c>
      <c r="J35" s="126">
        <v>1.9631542358689252E-6</v>
      </c>
      <c r="K35" s="126">
        <v>1.4396464396372118E-6</v>
      </c>
      <c r="L35" s="126">
        <v>1.3446261889513185E-6</v>
      </c>
      <c r="M35" s="127">
        <v>5.2489740408190655E-7</v>
      </c>
    </row>
    <row r="36" spans="1:13" ht="15.75" thickBot="1" x14ac:dyDescent="0.3">
      <c r="A36" s="129"/>
      <c r="B36" s="130"/>
      <c r="C36" s="131" t="s">
        <v>196</v>
      </c>
      <c r="D36" s="132">
        <v>12.462882090026335</v>
      </c>
      <c r="E36" s="133">
        <v>0.15578602612533043</v>
      </c>
      <c r="F36" s="133">
        <v>0.11424308582524198</v>
      </c>
      <c r="G36" s="133">
        <v>0.10670275762009016</v>
      </c>
      <c r="H36" s="134">
        <v>4.1199563658817377E-2</v>
      </c>
      <c r="I36" s="135">
        <v>10.365081424609738</v>
      </c>
      <c r="J36" s="133">
        <v>0.14316410807472135</v>
      </c>
      <c r="K36" s="133">
        <v>0.10498701258812915</v>
      </c>
      <c r="L36" s="133">
        <v>9.8057608270356394E-2</v>
      </c>
      <c r="M36" s="134">
        <v>3.7871313391013815E-2</v>
      </c>
    </row>
    <row r="37" spans="1:13" x14ac:dyDescent="0.25">
      <c r="A37" s="115" t="s">
        <v>81</v>
      </c>
      <c r="B37" s="136" t="s">
        <v>202</v>
      </c>
      <c r="C37" s="117" t="s">
        <v>45</v>
      </c>
      <c r="D37" s="118">
        <v>37.559219123788253</v>
      </c>
      <c r="E37" s="119">
        <v>0.46949023904735315</v>
      </c>
      <c r="F37" s="119">
        <v>0.34429284196805898</v>
      </c>
      <c r="G37" s="119">
        <v>0.32156865688174874</v>
      </c>
      <c r="H37" s="120">
        <v>0.15277066338023262</v>
      </c>
      <c r="I37" s="121">
        <v>31.427482997442542</v>
      </c>
      <c r="J37" s="119">
        <v>0.43408125687075333</v>
      </c>
      <c r="K37" s="119">
        <v>0.31331369769006806</v>
      </c>
      <c r="L37" s="119">
        <v>0.29263421328462147</v>
      </c>
      <c r="M37" s="120">
        <v>0.1446792981223278</v>
      </c>
    </row>
    <row r="38" spans="1:13" x14ac:dyDescent="0.25">
      <c r="A38" s="122"/>
      <c r="B38" s="137"/>
      <c r="C38" s="124" t="s">
        <v>191</v>
      </c>
      <c r="D38" s="125">
        <v>26.487097073469101</v>
      </c>
      <c r="E38" s="126">
        <v>0.33108871341836377</v>
      </c>
      <c r="F38" s="126">
        <v>0.20755698466462275</v>
      </c>
      <c r="G38" s="126">
        <v>0.19385770672287306</v>
      </c>
      <c r="H38" s="127">
        <v>7.9446502251786691E-2</v>
      </c>
      <c r="I38" s="128">
        <v>22.098564933907141</v>
      </c>
      <c r="J38" s="126">
        <v>0.30522879742965664</v>
      </c>
      <c r="K38" s="126">
        <v>0.19037531122304518</v>
      </c>
      <c r="L38" s="126">
        <v>0.17781006652214681</v>
      </c>
      <c r="M38" s="127">
        <v>7.3477783502484906E-2</v>
      </c>
    </row>
    <row r="39" spans="1:13" x14ac:dyDescent="0.25">
      <c r="A39" s="122"/>
      <c r="B39" s="137"/>
      <c r="C39" s="124" t="s">
        <v>192</v>
      </c>
      <c r="D39" s="125">
        <v>17.652776937748659</v>
      </c>
      <c r="E39" s="126">
        <v>0.22065971172185822</v>
      </c>
      <c r="F39" s="126">
        <v>0.13223972951983196</v>
      </c>
      <c r="G39" s="126">
        <v>0.12351157800731503</v>
      </c>
      <c r="H39" s="127">
        <v>4.7770947108328077E-2</v>
      </c>
      <c r="I39" s="128">
        <v>14.668156947765356</v>
      </c>
      <c r="J39" s="126">
        <v>0.20259885286968721</v>
      </c>
      <c r="K39" s="126">
        <v>0.12189292440921135</v>
      </c>
      <c r="L39" s="126">
        <v>0.11384768780436923</v>
      </c>
      <c r="M39" s="127">
        <v>4.4148217799533075E-2</v>
      </c>
    </row>
    <row r="40" spans="1:13" x14ac:dyDescent="0.25">
      <c r="A40" s="122"/>
      <c r="B40" s="137"/>
      <c r="C40" s="124" t="s">
        <v>193</v>
      </c>
      <c r="D40" s="125">
        <v>2.1525920194447049E-2</v>
      </c>
      <c r="E40" s="126">
        <v>2.6907400243058813E-4</v>
      </c>
      <c r="F40" s="126">
        <v>1.6025973271697398E-4</v>
      </c>
      <c r="G40" s="126">
        <v>1.4968219120514378E-4</v>
      </c>
      <c r="H40" s="127">
        <v>5.5817231408381739E-5</v>
      </c>
      <c r="I40" s="128">
        <v>1.7799664897774421E-2</v>
      </c>
      <c r="J40" s="126">
        <v>2.4585172510738147E-4</v>
      </c>
      <c r="K40" s="126">
        <v>1.4630233513852117E-4</v>
      </c>
      <c r="L40" s="126">
        <v>1.3664601663000109E-4</v>
      </c>
      <c r="M40" s="127">
        <v>5.0778054179452761E-5</v>
      </c>
    </row>
    <row r="41" spans="1:13" x14ac:dyDescent="0.25">
      <c r="A41" s="122"/>
      <c r="B41" s="137"/>
      <c r="C41" s="124" t="s">
        <v>194</v>
      </c>
      <c r="D41" s="125">
        <v>5.529426474693718E-4</v>
      </c>
      <c r="E41" s="126">
        <v>6.9117830933671473E-6</v>
      </c>
      <c r="F41" s="126">
        <v>4.0355555719638462E-6</v>
      </c>
      <c r="G41" s="126">
        <v>3.7691988530172907E-6</v>
      </c>
      <c r="H41" s="127">
        <v>1.3569273473969513E-6</v>
      </c>
      <c r="I41" s="128">
        <v>4.5657151806919926E-4</v>
      </c>
      <c r="J41" s="126">
        <v>6.3062364374198791E-6</v>
      </c>
      <c r="K41" s="126">
        <v>3.7291786487111255E-6</v>
      </c>
      <c r="L41" s="126">
        <v>3.483043569780005E-6</v>
      </c>
      <c r="M41" s="127">
        <v>1.2435825893288295E-6</v>
      </c>
    </row>
    <row r="42" spans="1:13" x14ac:dyDescent="0.25">
      <c r="A42" s="122"/>
      <c r="B42" s="137"/>
      <c r="C42" s="124" t="s">
        <v>195</v>
      </c>
      <c r="D42" s="125">
        <v>2.8412989069638891E-8</v>
      </c>
      <c r="E42" s="126">
        <v>3.5516236337048612E-10</v>
      </c>
      <c r="F42" s="126">
        <v>2.604523998050232E-10</v>
      </c>
      <c r="G42" s="126">
        <v>2.4326189271951104E-10</v>
      </c>
      <c r="H42" s="127">
        <v>9.0734014972810241E-11</v>
      </c>
      <c r="I42" s="128">
        <v>2.0905699704717008E-8</v>
      </c>
      <c r="J42" s="126">
        <v>2.8875275835244482E-10</v>
      </c>
      <c r="K42" s="126">
        <v>2.1175202279179288E-10</v>
      </c>
      <c r="L42" s="126">
        <v>1.977758618852362E-10</v>
      </c>
      <c r="M42" s="127">
        <v>7.7205127600992025E-11</v>
      </c>
    </row>
    <row r="43" spans="1:13" ht="15.75" thickBot="1" x14ac:dyDescent="0.3">
      <c r="A43" s="129"/>
      <c r="B43" s="138"/>
      <c r="C43" s="131" t="s">
        <v>196</v>
      </c>
      <c r="D43" s="132">
        <v>2.8044097352488349</v>
      </c>
      <c r="E43" s="133">
        <v>3.5055121690610348E-2</v>
      </c>
      <c r="F43" s="133">
        <v>2.1145074037132085E-2</v>
      </c>
      <c r="G43" s="133">
        <v>1.9749446485490988E-2</v>
      </c>
      <c r="H43" s="134">
        <v>7.6216775237481025E-3</v>
      </c>
      <c r="I43" s="135">
        <v>2.3339684632649611</v>
      </c>
      <c r="J43" s="133">
        <v>3.2237133470510888E-2</v>
      </c>
      <c r="K43" s="133">
        <v>1.9459894143502514E-2</v>
      </c>
      <c r="L43" s="133">
        <v>1.8175492662050877E-2</v>
      </c>
      <c r="M43" s="134">
        <v>7.0215474149454568E-3</v>
      </c>
    </row>
    <row r="44" spans="1:13" x14ac:dyDescent="0.25">
      <c r="A44" s="139" t="s">
        <v>85</v>
      </c>
      <c r="B44" s="136" t="s">
        <v>203</v>
      </c>
      <c r="C44" s="140" t="s">
        <v>45</v>
      </c>
      <c r="D44" s="118">
        <v>38.52674346359472</v>
      </c>
      <c r="E44" s="119">
        <v>0.48158429329493402</v>
      </c>
      <c r="F44" s="119">
        <v>0.35316181508295158</v>
      </c>
      <c r="G44" s="119">
        <v>0.32985225568146165</v>
      </c>
      <c r="H44" s="120">
        <v>0.17635831615903691</v>
      </c>
      <c r="I44" s="121">
        <v>31.581288039849927</v>
      </c>
      <c r="J44" s="119">
        <v>0.43620563590952932</v>
      </c>
      <c r="K44" s="119">
        <v>0.31988413300032154</v>
      </c>
      <c r="L44" s="119">
        <v>0.29877098349967768</v>
      </c>
      <c r="M44" s="120">
        <v>0.14965062258599079</v>
      </c>
    </row>
    <row r="45" spans="1:13" x14ac:dyDescent="0.25">
      <c r="A45" s="122"/>
      <c r="B45" s="137"/>
      <c r="C45" s="124" t="s">
        <v>191</v>
      </c>
      <c r="D45" s="125">
        <v>25.596654483907695</v>
      </c>
      <c r="E45" s="126">
        <v>0.31995818104884621</v>
      </c>
      <c r="F45" s="126">
        <v>0.23463599943582056</v>
      </c>
      <c r="G45" s="126">
        <v>0.2191494390745522</v>
      </c>
      <c r="H45" s="127">
        <v>9.2468640312816389E-2</v>
      </c>
      <c r="I45" s="128">
        <v>21.278178347475809</v>
      </c>
      <c r="J45" s="126">
        <v>0.29389749098723489</v>
      </c>
      <c r="K45" s="126">
        <v>0.21552482672397225</v>
      </c>
      <c r="L45" s="126">
        <v>0.20129965136111977</v>
      </c>
      <c r="M45" s="127">
        <v>8.4779198449325188E-2</v>
      </c>
    </row>
    <row r="46" spans="1:13" x14ac:dyDescent="0.25">
      <c r="A46" s="122"/>
      <c r="B46" s="137"/>
      <c r="C46" s="124" t="s">
        <v>192</v>
      </c>
      <c r="D46" s="125">
        <v>18.082043704565162</v>
      </c>
      <c r="E46" s="126">
        <v>0.22602554630706453</v>
      </c>
      <c r="F46" s="126">
        <v>0.1657520672918473</v>
      </c>
      <c r="G46" s="126">
        <v>0.15481201801853736</v>
      </c>
      <c r="H46" s="127">
        <v>6.1542963461249045E-2</v>
      </c>
      <c r="I46" s="128">
        <v>15.016316230479822</v>
      </c>
      <c r="J46" s="126">
        <v>0.20740768274143398</v>
      </c>
      <c r="K46" s="126">
        <v>0.15209896734371825</v>
      </c>
      <c r="L46" s="126">
        <v>0.14206005667221502</v>
      </c>
      <c r="M46" s="127">
        <v>5.7029136533476868E-2</v>
      </c>
    </row>
    <row r="47" spans="1:13" x14ac:dyDescent="0.25">
      <c r="A47" s="122"/>
      <c r="B47" s="137"/>
      <c r="C47" s="124" t="s">
        <v>193</v>
      </c>
      <c r="D47" s="125">
        <v>4.0099659444977398</v>
      </c>
      <c r="E47" s="126">
        <v>5.0124574306221747E-2</v>
      </c>
      <c r="F47" s="126">
        <v>3.6758021157895948E-2</v>
      </c>
      <c r="G47" s="126">
        <v>3.4331900209740925E-2</v>
      </c>
      <c r="H47" s="127">
        <v>1.2594456647483951E-2</v>
      </c>
      <c r="I47" s="128">
        <v>3.3444309684584113</v>
      </c>
      <c r="J47" s="126">
        <v>4.6193797906884132E-2</v>
      </c>
      <c r="K47" s="126">
        <v>3.3875451798381695E-2</v>
      </c>
      <c r="L47" s="126">
        <v>3.1639587607454882E-2</v>
      </c>
      <c r="M47" s="127">
        <v>1.16237401617978E-2</v>
      </c>
    </row>
    <row r="48" spans="1:13" x14ac:dyDescent="0.25">
      <c r="A48" s="122"/>
      <c r="B48" s="137"/>
      <c r="C48" s="124" t="s">
        <v>194</v>
      </c>
      <c r="D48" s="125">
        <v>0.15070178325918954</v>
      </c>
      <c r="E48" s="126">
        <v>1.8837722907398692E-3</v>
      </c>
      <c r="F48" s="126">
        <v>1.3814330132092374E-3</v>
      </c>
      <c r="G48" s="126">
        <v>1.2902549936574447E-3</v>
      </c>
      <c r="H48" s="127">
        <v>4.6867766830898327E-4</v>
      </c>
      <c r="I48" s="128">
        <v>0.12414485106862141</v>
      </c>
      <c r="J48" s="126">
        <v>1.7147078876881409E-3</v>
      </c>
      <c r="K48" s="126">
        <v>1.2574524509713033E-3</v>
      </c>
      <c r="L48" s="126">
        <v>1.1744574573206445E-3</v>
      </c>
      <c r="M48" s="127">
        <v>4.2489669485930076E-4</v>
      </c>
    </row>
    <row r="49" spans="1:13" x14ac:dyDescent="0.25">
      <c r="A49" s="122"/>
      <c r="B49" s="137"/>
      <c r="C49" s="124" t="s">
        <v>195</v>
      </c>
      <c r="D49" s="125">
        <v>1.0567152552640658E-5</v>
      </c>
      <c r="E49" s="126">
        <v>1.3208940690800823E-7</v>
      </c>
      <c r="F49" s="126">
        <v>9.6865565065872706E-8</v>
      </c>
      <c r="G49" s="126">
        <v>9.0472196512334404E-8</v>
      </c>
      <c r="H49" s="127">
        <v>3.3745135915876141E-8</v>
      </c>
      <c r="I49" s="128">
        <v>1.7541046798229703E-5</v>
      </c>
      <c r="J49" s="126">
        <v>2.4227965190925003E-7</v>
      </c>
      <c r="K49" s="126">
        <v>1.7767174473345001E-7</v>
      </c>
      <c r="L49" s="126">
        <v>1.6594496706113016E-7</v>
      </c>
      <c r="M49" s="127">
        <v>8.8710039886053493E-8</v>
      </c>
    </row>
    <row r="50" spans="1:13" ht="15.75" thickBot="1" x14ac:dyDescent="0.3">
      <c r="A50" s="129"/>
      <c r="B50" s="138"/>
      <c r="C50" s="131" t="s">
        <v>196</v>
      </c>
      <c r="D50" s="132">
        <v>5.8751218548182527</v>
      </c>
      <c r="E50" s="133">
        <v>7.3439023185229657E-2</v>
      </c>
      <c r="F50" s="133">
        <v>5.385528366916871E-2</v>
      </c>
      <c r="G50" s="133">
        <v>5.0300700811800873E-2</v>
      </c>
      <c r="H50" s="134">
        <v>1.9416295020576606E-2</v>
      </c>
      <c r="I50" s="135">
        <v>4.8903402099331972</v>
      </c>
      <c r="J50" s="133">
        <v>6.7546135496313858E-2</v>
      </c>
      <c r="K50" s="133">
        <v>4.9533832697297241E-2</v>
      </c>
      <c r="L50" s="133">
        <v>4.6264476367338978E-2</v>
      </c>
      <c r="M50" s="134">
        <v>1.7874788033971443E-2</v>
      </c>
    </row>
    <row r="51" spans="1:13" x14ac:dyDescent="0.25">
      <c r="A51" s="139" t="s">
        <v>88</v>
      </c>
      <c r="B51" s="136" t="s">
        <v>204</v>
      </c>
      <c r="C51" s="140" t="s">
        <v>45</v>
      </c>
      <c r="D51" s="141">
        <v>38.444658241135244</v>
      </c>
      <c r="E51" s="142">
        <v>0.48055822801419057</v>
      </c>
      <c r="F51" s="142">
        <v>0.35240936721040644</v>
      </c>
      <c r="G51" s="142">
        <v>0.3291494712425963</v>
      </c>
      <c r="H51" s="143">
        <v>0.17358094018421535</v>
      </c>
      <c r="I51" s="144">
        <v>32.391406230602485</v>
      </c>
      <c r="J51" s="142">
        <v>0.44739511368235474</v>
      </c>
      <c r="K51" s="142">
        <v>0.32808975003372681</v>
      </c>
      <c r="L51" s="142">
        <v>0.30643500937147583</v>
      </c>
      <c r="M51" s="143">
        <v>0.15275422855486936</v>
      </c>
    </row>
    <row r="52" spans="1:13" x14ac:dyDescent="0.25">
      <c r="A52" s="122"/>
      <c r="B52" s="137"/>
      <c r="C52" s="124" t="s">
        <v>191</v>
      </c>
      <c r="D52" s="125">
        <v>25.569747640095102</v>
      </c>
      <c r="E52" s="126">
        <v>0.31962184550118877</v>
      </c>
      <c r="F52" s="126">
        <v>0.23438935336753844</v>
      </c>
      <c r="G52" s="126">
        <v>0.2189190722610882</v>
      </c>
      <c r="H52" s="127">
        <v>9.1639221148979794E-2</v>
      </c>
      <c r="I52" s="128">
        <v>21.193857536423948</v>
      </c>
      <c r="J52" s="126">
        <v>0.29273283890088325</v>
      </c>
      <c r="K52" s="126">
        <v>0.21467074852731438</v>
      </c>
      <c r="L52" s="126">
        <v>0.20050194445265981</v>
      </c>
      <c r="M52" s="127">
        <v>8.3706296867451596E-2</v>
      </c>
    </row>
    <row r="53" spans="1:13" x14ac:dyDescent="0.25">
      <c r="A53" s="122"/>
      <c r="B53" s="137"/>
      <c r="C53" s="124" t="s">
        <v>192</v>
      </c>
      <c r="D53" s="125">
        <v>18.119382347746836</v>
      </c>
      <c r="E53" s="126">
        <v>0.22649227934683544</v>
      </c>
      <c r="F53" s="126">
        <v>0.16609433818767932</v>
      </c>
      <c r="G53" s="126">
        <v>0.15513169818276401</v>
      </c>
      <c r="H53" s="127">
        <v>6.2054340338289618E-2</v>
      </c>
      <c r="I53" s="128">
        <v>15.031313034846194</v>
      </c>
      <c r="J53" s="126">
        <v>0.20761482092328995</v>
      </c>
      <c r="K53" s="126">
        <v>0.15225086867707929</v>
      </c>
      <c r="L53" s="126">
        <v>0.14220193213923971</v>
      </c>
      <c r="M53" s="127">
        <v>5.6610056583129446E-2</v>
      </c>
    </row>
    <row r="54" spans="1:13" x14ac:dyDescent="0.25">
      <c r="A54" s="122"/>
      <c r="B54" s="137"/>
      <c r="C54" s="124" t="s">
        <v>193</v>
      </c>
      <c r="D54" s="125">
        <v>3.9955236830530376</v>
      </c>
      <c r="E54" s="126">
        <v>4.9944046038162972E-2</v>
      </c>
      <c r="F54" s="126">
        <v>3.6625633761319512E-2</v>
      </c>
      <c r="G54" s="126">
        <v>3.4208250711070524E-2</v>
      </c>
      <c r="H54" s="127">
        <v>1.2571021615713787E-2</v>
      </c>
      <c r="I54" s="128">
        <v>3.3544415045339817</v>
      </c>
      <c r="J54" s="126">
        <v>4.6332064979751127E-2</v>
      </c>
      <c r="K54" s="126">
        <v>3.3976847651817493E-2</v>
      </c>
      <c r="L54" s="126">
        <v>3.1734291082021318E-2</v>
      </c>
      <c r="M54" s="127">
        <v>1.1646066526822657E-2</v>
      </c>
    </row>
    <row r="55" spans="1:13" x14ac:dyDescent="0.25">
      <c r="A55" s="122"/>
      <c r="B55" s="137"/>
      <c r="C55" s="124" t="s">
        <v>194</v>
      </c>
      <c r="D55" s="125">
        <v>0.15173119281438061</v>
      </c>
      <c r="E55" s="126">
        <v>1.8966399101797576E-3</v>
      </c>
      <c r="F55" s="126">
        <v>1.3908692674651556E-3</v>
      </c>
      <c r="G55" s="126">
        <v>1.2990684316299707E-3</v>
      </c>
      <c r="H55" s="127">
        <v>4.7239847517658993E-4</v>
      </c>
      <c r="I55" s="128">
        <v>0.12647125570173046</v>
      </c>
      <c r="J55" s="126">
        <v>1.7468405483664427E-3</v>
      </c>
      <c r="K55" s="126">
        <v>1.2810164021353912E-3</v>
      </c>
      <c r="L55" s="126">
        <v>1.1964661290181115E-3</v>
      </c>
      <c r="M55" s="127">
        <v>4.3767332135622404E-4</v>
      </c>
    </row>
    <row r="56" spans="1:13" x14ac:dyDescent="0.25">
      <c r="A56" s="122"/>
      <c r="B56" s="137"/>
      <c r="C56" s="124" t="s">
        <v>195</v>
      </c>
      <c r="D56" s="125">
        <v>8.791449675152865E-6</v>
      </c>
      <c r="E56" s="126">
        <v>1.0989312093941081E-7</v>
      </c>
      <c r="F56" s="126">
        <v>8.0588288688901259E-8</v>
      </c>
      <c r="G56" s="126">
        <v>7.5269260917404657E-8</v>
      </c>
      <c r="H56" s="127">
        <v>2.8074607866949278E-8</v>
      </c>
      <c r="I56" s="128">
        <v>1.4612324102892529E-5</v>
      </c>
      <c r="J56" s="126">
        <v>2.0182768097917856E-7</v>
      </c>
      <c r="K56" s="126">
        <v>1.4800696605139761E-7</v>
      </c>
      <c r="L56" s="126">
        <v>1.3823813765697161E-7</v>
      </c>
      <c r="M56" s="127">
        <v>4.8447039959926127E-8</v>
      </c>
    </row>
    <row r="57" spans="1:13" ht="15.75" thickBot="1" x14ac:dyDescent="0.3">
      <c r="A57" s="129"/>
      <c r="B57" s="138"/>
      <c r="C57" s="131" t="s">
        <v>196</v>
      </c>
      <c r="D57" s="145">
        <v>5.8823381878030405</v>
      </c>
      <c r="E57" s="146">
        <v>7.3529227347536821E-2</v>
      </c>
      <c r="F57" s="146">
        <v>5.3921433388193579E-2</v>
      </c>
      <c r="G57" s="146">
        <v>5.0362484484614632E-2</v>
      </c>
      <c r="H57" s="147">
        <v>1.9422359030747752E-2</v>
      </c>
      <c r="I57" s="148">
        <v>4.8936845065337922</v>
      </c>
      <c r="J57" s="146">
        <v>6.7592327438312463E-2</v>
      </c>
      <c r="K57" s="146">
        <v>4.9567706788095377E-2</v>
      </c>
      <c r="L57" s="146">
        <v>4.6296114683775043E-2</v>
      </c>
      <c r="M57" s="147">
        <v>1.7863889836916051E-2</v>
      </c>
    </row>
    <row r="58" spans="1:13" x14ac:dyDescent="0.25">
      <c r="A58" s="139" t="s">
        <v>90</v>
      </c>
      <c r="B58" s="136" t="s">
        <v>205</v>
      </c>
      <c r="C58" s="140" t="s">
        <v>45</v>
      </c>
      <c r="D58" s="118">
        <v>38.471985642508955</v>
      </c>
      <c r="E58" s="119">
        <v>0.48089982053136193</v>
      </c>
      <c r="F58" s="119">
        <v>0.3526598683896654</v>
      </c>
      <c r="G58" s="119">
        <v>0.32938343872011089</v>
      </c>
      <c r="H58" s="120">
        <v>0.1642335143711896</v>
      </c>
      <c r="I58" s="121">
        <v>31.832131625591131</v>
      </c>
      <c r="J58" s="119">
        <v>0.43967032632031944</v>
      </c>
      <c r="K58" s="119">
        <v>0.32242490596823425</v>
      </c>
      <c r="L58" s="119">
        <v>0.30114405912350645</v>
      </c>
      <c r="M58" s="120">
        <v>0.15684227196634087</v>
      </c>
    </row>
    <row r="59" spans="1:13" x14ac:dyDescent="0.25">
      <c r="A59" s="122"/>
      <c r="B59" s="137"/>
      <c r="C59" s="124" t="s">
        <v>191</v>
      </c>
      <c r="D59" s="125">
        <v>25.574599141481038</v>
      </c>
      <c r="E59" s="126">
        <v>0.31968248926851295</v>
      </c>
      <c r="F59" s="126">
        <v>0.23443382546357616</v>
      </c>
      <c r="G59" s="126">
        <v>0.21896060908802253</v>
      </c>
      <c r="H59" s="127">
        <v>9.2063678944934252E-2</v>
      </c>
      <c r="I59" s="128">
        <v>21.271904047735706</v>
      </c>
      <c r="J59" s="126">
        <v>0.29381082938861469</v>
      </c>
      <c r="K59" s="126">
        <v>0.21546127488498409</v>
      </c>
      <c r="L59" s="126">
        <v>0.20124029410179087</v>
      </c>
      <c r="M59" s="127">
        <v>8.4539508673092692E-2</v>
      </c>
    </row>
    <row r="60" spans="1:13" x14ac:dyDescent="0.25">
      <c r="A60" s="122"/>
      <c r="B60" s="137"/>
      <c r="C60" s="124" t="s">
        <v>192</v>
      </c>
      <c r="D60" s="125">
        <v>18.060755809911978</v>
      </c>
      <c r="E60" s="126">
        <v>0.22575944762389971</v>
      </c>
      <c r="F60" s="126">
        <v>0.16555692825752646</v>
      </c>
      <c r="G60" s="126">
        <v>0.15462975864650666</v>
      </c>
      <c r="H60" s="127">
        <v>6.1766177848783868E-2</v>
      </c>
      <c r="I60" s="128">
        <v>14.991367985558297</v>
      </c>
      <c r="J60" s="126">
        <v>0.20706309372318088</v>
      </c>
      <c r="K60" s="126">
        <v>0.15184626873033263</v>
      </c>
      <c r="L60" s="126">
        <v>0.14182403679669922</v>
      </c>
      <c r="M60" s="127">
        <v>5.6750530331286561E-2</v>
      </c>
    </row>
    <row r="61" spans="1:13" x14ac:dyDescent="0.25">
      <c r="A61" s="122"/>
      <c r="B61" s="137"/>
      <c r="C61" s="124" t="s">
        <v>193</v>
      </c>
      <c r="D61" s="125">
        <v>4.0047754642435915</v>
      </c>
      <c r="E61" s="126">
        <v>5.0059693303044897E-2</v>
      </c>
      <c r="F61" s="126">
        <v>3.6710441755566259E-2</v>
      </c>
      <c r="G61" s="126">
        <v>3.4287461166469108E-2</v>
      </c>
      <c r="H61" s="127">
        <v>1.2576661474603349E-2</v>
      </c>
      <c r="I61" s="128">
        <v>3.3533809350592985</v>
      </c>
      <c r="J61" s="126">
        <v>4.6317416230100807E-2</v>
      </c>
      <c r="K61" s="126">
        <v>3.3966105235407253E-2</v>
      </c>
      <c r="L61" s="126">
        <v>3.1724257691849868E-2</v>
      </c>
      <c r="M61" s="127">
        <v>1.1609659672488124E-2</v>
      </c>
    </row>
    <row r="62" spans="1:13" x14ac:dyDescent="0.25">
      <c r="A62" s="122"/>
      <c r="B62" s="137"/>
      <c r="C62" s="124" t="s">
        <v>194</v>
      </c>
      <c r="D62" s="125">
        <v>0.15288206731772511</v>
      </c>
      <c r="E62" s="126">
        <v>1.9110258414715639E-3</v>
      </c>
      <c r="F62" s="126">
        <v>1.40141895041248E-3</v>
      </c>
      <c r="G62" s="126">
        <v>1.3089218092270985E-3</v>
      </c>
      <c r="H62" s="127">
        <v>4.7666991512127329E-4</v>
      </c>
      <c r="I62" s="128">
        <v>0.1263251682053399</v>
      </c>
      <c r="J62" s="126">
        <v>1.7448227652671255E-3</v>
      </c>
      <c r="K62" s="126">
        <v>1.2795366945292255E-3</v>
      </c>
      <c r="L62" s="126">
        <v>1.1950840857994011E-3</v>
      </c>
      <c r="M62" s="127">
        <v>4.3535706920047216E-4</v>
      </c>
    </row>
    <row r="63" spans="1:13" x14ac:dyDescent="0.25">
      <c r="A63" s="122"/>
      <c r="B63" s="137"/>
      <c r="C63" s="124" t="s">
        <v>195</v>
      </c>
      <c r="D63" s="125">
        <v>1.58853609893671E-6</v>
      </c>
      <c r="E63" s="126">
        <v>1.9856701236708874E-8</v>
      </c>
      <c r="F63" s="126">
        <v>1.4561580906919841E-8</v>
      </c>
      <c r="G63" s="126">
        <v>1.3600480299115668E-8</v>
      </c>
      <c r="H63" s="127">
        <v>5.072829818520916E-9</v>
      </c>
      <c r="I63" s="128">
        <v>8.9264810405615666E-6</v>
      </c>
      <c r="J63" s="126">
        <v>1.2329393702433102E-7</v>
      </c>
      <c r="K63" s="126">
        <v>9.041555381784275E-8</v>
      </c>
      <c r="L63" s="126">
        <v>8.4447902071459608E-8</v>
      </c>
      <c r="M63" s="127">
        <v>3.4968288475863604E-8</v>
      </c>
    </row>
    <row r="64" spans="1:13" ht="15.75" thickBot="1" x14ac:dyDescent="0.3">
      <c r="A64" s="129"/>
      <c r="B64" s="138"/>
      <c r="C64" s="131" t="s">
        <v>196</v>
      </c>
      <c r="D64" s="132">
        <v>5.880221883857554</v>
      </c>
      <c r="E64" s="133">
        <v>7.3502773548219158E-2</v>
      </c>
      <c r="F64" s="133">
        <v>5.3902033935361339E-2</v>
      </c>
      <c r="G64" s="133">
        <v>5.0344365443985822E-2</v>
      </c>
      <c r="H64" s="134">
        <v>1.9434163805417858E-2</v>
      </c>
      <c r="I64" s="135">
        <v>4.8869710321566977</v>
      </c>
      <c r="J64" s="133">
        <v>6.7499599891666345E-2</v>
      </c>
      <c r="K64" s="133">
        <v>4.9499706587221692E-2</v>
      </c>
      <c r="L64" s="133">
        <v>4.6232602665524571E-2</v>
      </c>
      <c r="M64" s="134">
        <v>1.7848983316394614E-2</v>
      </c>
    </row>
    <row r="65" spans="1:13" x14ac:dyDescent="0.25">
      <c r="A65" s="139" t="s">
        <v>92</v>
      </c>
      <c r="B65" s="136" t="s">
        <v>206</v>
      </c>
      <c r="C65" s="140" t="s">
        <v>45</v>
      </c>
      <c r="D65" s="141">
        <v>37.336393508599848</v>
      </c>
      <c r="E65" s="142">
        <v>0.4667049188574981</v>
      </c>
      <c r="F65" s="142">
        <v>0.34225027382883189</v>
      </c>
      <c r="G65" s="142">
        <v>0.31966090332705349</v>
      </c>
      <c r="H65" s="143">
        <v>0.1696871144204225</v>
      </c>
      <c r="I65" s="144">
        <v>32.353155947983169</v>
      </c>
      <c r="J65" s="142">
        <v>0.44686679486164593</v>
      </c>
      <c r="K65" s="142">
        <v>0.32770231623187368</v>
      </c>
      <c r="L65" s="142">
        <v>0.30607314716551093</v>
      </c>
      <c r="M65" s="143">
        <v>0.14830566739334211</v>
      </c>
    </row>
    <row r="66" spans="1:13" x14ac:dyDescent="0.25">
      <c r="A66" s="122"/>
      <c r="B66" s="137"/>
      <c r="C66" s="124" t="s">
        <v>191</v>
      </c>
      <c r="D66" s="125">
        <v>25.775987124869037</v>
      </c>
      <c r="E66" s="126">
        <v>0.32219983906086297</v>
      </c>
      <c r="F66" s="126">
        <v>0.23627988197796618</v>
      </c>
      <c r="G66" s="126">
        <v>0.22068482127456368</v>
      </c>
      <c r="H66" s="127">
        <v>9.1551538623139278E-2</v>
      </c>
      <c r="I66" s="128">
        <v>21.320755725852923</v>
      </c>
      <c r="J66" s="126">
        <v>0.29448557632393535</v>
      </c>
      <c r="K66" s="126">
        <v>0.21595608930421928</v>
      </c>
      <c r="L66" s="126">
        <v>0.201702449536942</v>
      </c>
      <c r="M66" s="127">
        <v>8.3820470819442897E-2</v>
      </c>
    </row>
    <row r="67" spans="1:13" x14ac:dyDescent="0.25">
      <c r="A67" s="122"/>
      <c r="B67" s="137"/>
      <c r="C67" s="124" t="s">
        <v>192</v>
      </c>
      <c r="D67" s="125">
        <v>18.126434704428213</v>
      </c>
      <c r="E67" s="126">
        <v>0.22658043380535267</v>
      </c>
      <c r="F67" s="126">
        <v>0.16615898479059196</v>
      </c>
      <c r="G67" s="126">
        <v>0.15519207794887172</v>
      </c>
      <c r="H67" s="127">
        <v>6.1421863975660414E-2</v>
      </c>
      <c r="I67" s="128">
        <v>14.986638642821847</v>
      </c>
      <c r="J67" s="126">
        <v>0.20699777130969399</v>
      </c>
      <c r="K67" s="126">
        <v>0.15179836562710894</v>
      </c>
      <c r="L67" s="126">
        <v>0.14177929541759865</v>
      </c>
      <c r="M67" s="127">
        <v>5.6839295385630074E-2</v>
      </c>
    </row>
    <row r="68" spans="1:13" x14ac:dyDescent="0.25">
      <c r="A68" s="122"/>
      <c r="B68" s="137"/>
      <c r="C68" s="124" t="s">
        <v>193</v>
      </c>
      <c r="D68" s="125">
        <v>4.0225219696110095</v>
      </c>
      <c r="E68" s="126">
        <v>5.0281524620137616E-2</v>
      </c>
      <c r="F68" s="126">
        <v>3.6873118054767583E-2</v>
      </c>
      <c r="G68" s="126">
        <v>3.4439400424751791E-2</v>
      </c>
      <c r="H68" s="127">
        <v>1.2660238011490224E-2</v>
      </c>
      <c r="I68" s="128">
        <v>3.349410563301678</v>
      </c>
      <c r="J68" s="126">
        <v>4.6262576841183393E-2</v>
      </c>
      <c r="K68" s="126">
        <v>3.3925889683534487E-2</v>
      </c>
      <c r="L68" s="126">
        <v>3.1686696466563968E-2</v>
      </c>
      <c r="M68" s="127">
        <v>1.1687992073081393E-2</v>
      </c>
    </row>
    <row r="69" spans="1:13" x14ac:dyDescent="0.25">
      <c r="A69" s="122"/>
      <c r="B69" s="137"/>
      <c r="C69" s="124" t="s">
        <v>194</v>
      </c>
      <c r="D69" s="125">
        <v>0.15072666947635141</v>
      </c>
      <c r="E69" s="126">
        <v>1.8840833684543926E-3</v>
      </c>
      <c r="F69" s="126">
        <v>1.3816611368665547E-3</v>
      </c>
      <c r="G69" s="126">
        <v>1.2904680605852004E-3</v>
      </c>
      <c r="H69" s="127">
        <v>4.5955696626597919E-4</v>
      </c>
      <c r="I69" s="128">
        <v>0.12555913531531443</v>
      </c>
      <c r="J69" s="126">
        <v>1.7342422004877683E-3</v>
      </c>
      <c r="K69" s="126">
        <v>1.27177761369103E-3</v>
      </c>
      <c r="L69" s="126">
        <v>1.1878371236217591E-3</v>
      </c>
      <c r="M69" s="127">
        <v>4.3269187683107251E-4</v>
      </c>
    </row>
    <row r="70" spans="1:13" x14ac:dyDescent="0.25">
      <c r="A70" s="122"/>
      <c r="B70" s="137"/>
      <c r="C70" s="124" t="s">
        <v>195</v>
      </c>
      <c r="D70" s="125">
        <v>6.8710660294724746E-6</v>
      </c>
      <c r="E70" s="126">
        <v>8.5888325368405938E-8</v>
      </c>
      <c r="F70" s="126">
        <v>6.298477193683102E-8</v>
      </c>
      <c r="G70" s="126">
        <v>5.8827620115346538E-8</v>
      </c>
      <c r="H70" s="127">
        <v>2.2819449915310849E-8</v>
      </c>
      <c r="I70" s="128">
        <v>1.3523138786892761E-5</v>
      </c>
      <c r="J70" s="126">
        <v>1.8678368490183371E-7</v>
      </c>
      <c r="K70" s="126">
        <v>1.3697470226134473E-7</v>
      </c>
      <c r="L70" s="126">
        <v>1.2793403075468062E-7</v>
      </c>
      <c r="M70" s="127">
        <v>5.3033246604554521E-8</v>
      </c>
    </row>
    <row r="71" spans="1:13" ht="15.75" thickBot="1" x14ac:dyDescent="0.3">
      <c r="A71" s="129"/>
      <c r="B71" s="138"/>
      <c r="C71" s="131" t="s">
        <v>196</v>
      </c>
      <c r="D71" s="132">
        <v>5.8791569057832715</v>
      </c>
      <c r="E71" s="133">
        <v>7.3489461322288327E-2</v>
      </c>
      <c r="F71" s="133">
        <v>5.3892271636345225E-2</v>
      </c>
      <c r="G71" s="133">
        <v>5.0335247481019724E-2</v>
      </c>
      <c r="H71" s="134">
        <v>1.9423492407980063E-2</v>
      </c>
      <c r="I71" s="135">
        <v>4.8915409655602886</v>
      </c>
      <c r="J71" s="133">
        <v>6.7562720518788894E-2</v>
      </c>
      <c r="K71" s="133">
        <v>4.9545995047110748E-2</v>
      </c>
      <c r="L71" s="133">
        <v>4.6275835971772601E-2</v>
      </c>
      <c r="M71" s="134">
        <v>1.7869533108484898E-2</v>
      </c>
    </row>
  </sheetData>
  <sheetProtection sheet="1" objects="1" scenarios="1" formatCells="0" formatColumns="0" formatRows="0" sort="0" autoFilter="0"/>
  <autoFilter ref="A6:M8" xr:uid="{D1151977-B640-429D-84E9-7CFC6F3CB0C2}">
    <filterColumn colId="3" showButton="0"/>
    <filterColumn colId="4" showButton="0"/>
    <filterColumn colId="5" showButton="0"/>
    <filterColumn colId="6" showButton="0"/>
    <filterColumn colId="8" showButton="0"/>
    <filterColumn colId="9" showButton="0"/>
    <filterColumn colId="10" showButton="0"/>
    <filterColumn colId="11" showButton="0"/>
  </autoFilter>
  <mergeCells count="15">
    <mergeCell ref="I6:M6"/>
    <mergeCell ref="A1:B1"/>
    <mergeCell ref="A6:A8"/>
    <mergeCell ref="B6:B8"/>
    <mergeCell ref="C6:C8"/>
    <mergeCell ref="D6:H6"/>
    <mergeCell ref="B65:B71"/>
    <mergeCell ref="B9:B15"/>
    <mergeCell ref="B16:B22"/>
    <mergeCell ref="B23:B29"/>
    <mergeCell ref="B30:B36"/>
    <mergeCell ref="B37:B43"/>
    <mergeCell ref="B44:B50"/>
    <mergeCell ref="B51:B57"/>
    <mergeCell ref="B58:B64"/>
  </mergeCells>
  <conditionalFormatting sqref="D9:M71">
    <cfRule type="cellIs" dxfId="6" priority="1" operator="greaterThanOrEqual">
      <formula>10000</formula>
    </cfRule>
    <cfRule type="cellIs" dxfId="5" priority="2" operator="greaterThanOrEqual">
      <formula>10</formula>
    </cfRule>
    <cfRule type="cellIs" dxfId="4" priority="3" operator="between">
      <formula>1</formula>
      <formula>9.999</formula>
    </cfRule>
    <cfRule type="cellIs" dxfId="3" priority="4" operator="between">
      <formula>0.1</formula>
      <formula>0.999</formula>
    </cfRule>
    <cfRule type="cellIs" dxfId="2" priority="5" operator="lessThanOrEqual">
      <formula>0.1</formula>
    </cfRule>
    <cfRule type="containsBlanks" dxfId="1" priority="6" stopIfTrue="1">
      <formula>LEN(TRIM(D9))=0</formula>
    </cfRule>
    <cfRule type="cellIs" dxfId="0" priority="7" operator="equal">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A9D1-3BAF-4C41-83A0-9D057E64E68E}">
  <sheetPr codeName="Sheet8"/>
  <dimension ref="A1:C7"/>
  <sheetViews>
    <sheetView zoomScaleNormal="100" workbookViewId="0"/>
  </sheetViews>
  <sheetFormatPr defaultRowHeight="15" x14ac:dyDescent="0.25"/>
  <cols>
    <col min="1" max="1" width="16.85546875" style="2" bestFit="1" customWidth="1"/>
    <col min="2" max="2" width="20.28515625" style="2" bestFit="1" customWidth="1"/>
    <col min="3" max="3" width="21.7109375" style="2" customWidth="1"/>
    <col min="4" max="16384" width="9.140625" style="2"/>
  </cols>
  <sheetData>
    <row r="1" spans="1:3" x14ac:dyDescent="0.25">
      <c r="A1" s="149" t="s">
        <v>207</v>
      </c>
      <c r="B1" s="150" t="s">
        <v>37</v>
      </c>
      <c r="C1" s="151" t="s">
        <v>208</v>
      </c>
    </row>
    <row r="2" spans="1:3" x14ac:dyDescent="0.25">
      <c r="A2" s="122" t="s">
        <v>209</v>
      </c>
      <c r="B2" s="50" t="s">
        <v>210</v>
      </c>
      <c r="C2" s="152" t="s">
        <v>211</v>
      </c>
    </row>
    <row r="3" spans="1:3" x14ac:dyDescent="0.25">
      <c r="A3" s="122" t="s">
        <v>212</v>
      </c>
      <c r="B3" s="50" t="s">
        <v>213</v>
      </c>
      <c r="C3" s="152" t="s">
        <v>211</v>
      </c>
    </row>
    <row r="4" spans="1:3" x14ac:dyDescent="0.25">
      <c r="A4" s="122" t="s">
        <v>214</v>
      </c>
      <c r="B4" s="50" t="s">
        <v>215</v>
      </c>
      <c r="C4" s="152" t="s">
        <v>211</v>
      </c>
    </row>
    <row r="5" spans="1:3" x14ac:dyDescent="0.25">
      <c r="A5" s="122" t="s">
        <v>216</v>
      </c>
      <c r="B5" s="50" t="s">
        <v>217</v>
      </c>
      <c r="C5" s="152" t="s">
        <v>211</v>
      </c>
    </row>
    <row r="6" spans="1:3" x14ac:dyDescent="0.25">
      <c r="A6" s="122" t="s">
        <v>218</v>
      </c>
      <c r="B6" s="50" t="s">
        <v>219</v>
      </c>
      <c r="C6" s="152" t="s">
        <v>211</v>
      </c>
    </row>
    <row r="7" spans="1:3" ht="15.75" thickBot="1" x14ac:dyDescent="0.3">
      <c r="A7" s="129" t="s">
        <v>220</v>
      </c>
      <c r="B7" s="153" t="s">
        <v>221</v>
      </c>
      <c r="C7" s="154" t="s">
        <v>211</v>
      </c>
    </row>
  </sheetData>
  <sheetProtection sheet="1" objects="1" scenarios="1" formatCells="0" formatColumns="0" formatRows="0" sort="0" autoFilter="0"/>
  <autoFilter ref="A1:C7" xr:uid="{18C2A9D1-3BAF-4C41-83A0-9D057E64E68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301CF-79E5-459B-8AF9-33902C097962}">
  <sheetPr codeName="Sheet9"/>
  <dimension ref="A1:G10"/>
  <sheetViews>
    <sheetView zoomScaleNormal="100" workbookViewId="0">
      <selection sqref="A1:A2"/>
    </sheetView>
  </sheetViews>
  <sheetFormatPr defaultRowHeight="15" x14ac:dyDescent="0.25"/>
  <cols>
    <col min="1" max="1" width="27.7109375" style="2" customWidth="1"/>
    <col min="2" max="2" width="28" style="4" bestFit="1" customWidth="1"/>
    <col min="3" max="3" width="49.140625" style="4" bestFit="1" customWidth="1"/>
    <col min="4" max="4" width="13.7109375" style="4" bestFit="1" customWidth="1"/>
    <col min="5" max="6" width="23" style="4" customWidth="1"/>
    <col min="7" max="7" width="47.42578125" style="182" customWidth="1"/>
    <col min="8" max="16384" width="9.140625" style="2"/>
  </cols>
  <sheetData>
    <row r="1" spans="1:7" x14ac:dyDescent="0.25">
      <c r="A1" s="155" t="s">
        <v>145</v>
      </c>
      <c r="B1" s="156" t="s">
        <v>222</v>
      </c>
      <c r="C1" s="156" t="s">
        <v>223</v>
      </c>
      <c r="D1" s="156" t="s">
        <v>224</v>
      </c>
      <c r="E1" s="156"/>
      <c r="F1" s="157" t="s">
        <v>225</v>
      </c>
      <c r="G1" s="158" t="s">
        <v>226</v>
      </c>
    </row>
    <row r="2" spans="1:7" ht="15.75" thickBot="1" x14ac:dyDescent="0.3">
      <c r="A2" s="159"/>
      <c r="B2" s="160"/>
      <c r="C2" s="160"/>
      <c r="D2" s="161" t="s">
        <v>227</v>
      </c>
      <c r="E2" s="161" t="s">
        <v>228</v>
      </c>
      <c r="F2" s="162"/>
      <c r="G2" s="163"/>
    </row>
    <row r="3" spans="1:7" ht="106.5" customHeight="1" x14ac:dyDescent="0.25">
      <c r="A3" s="164" t="s">
        <v>200</v>
      </c>
      <c r="B3" s="165" t="s">
        <v>229</v>
      </c>
      <c r="C3" s="165" t="s">
        <v>230</v>
      </c>
      <c r="D3" s="166" t="s">
        <v>231</v>
      </c>
      <c r="E3" s="167" t="s">
        <v>232</v>
      </c>
      <c r="F3" s="167" t="s">
        <v>233</v>
      </c>
      <c r="G3" s="168" t="s">
        <v>234</v>
      </c>
    </row>
    <row r="4" spans="1:7" x14ac:dyDescent="0.25">
      <c r="A4" s="169"/>
      <c r="B4" s="170" t="s">
        <v>229</v>
      </c>
      <c r="C4" s="170" t="s">
        <v>235</v>
      </c>
      <c r="D4" s="171" t="s">
        <v>236</v>
      </c>
      <c r="E4" s="172" t="s">
        <v>232</v>
      </c>
      <c r="F4" s="172" t="s">
        <v>237</v>
      </c>
      <c r="G4" s="173" t="s">
        <v>238</v>
      </c>
    </row>
    <row r="5" spans="1:7" x14ac:dyDescent="0.25">
      <c r="A5" s="169"/>
      <c r="B5" s="170" t="s">
        <v>229</v>
      </c>
      <c r="C5" s="170" t="s">
        <v>239</v>
      </c>
      <c r="D5" s="174" t="s">
        <v>236</v>
      </c>
      <c r="E5" s="172" t="s">
        <v>232</v>
      </c>
      <c r="F5" s="172" t="s">
        <v>237</v>
      </c>
      <c r="G5" s="173" t="s">
        <v>238</v>
      </c>
    </row>
    <row r="6" spans="1:7" ht="36" customHeight="1" x14ac:dyDescent="0.25">
      <c r="A6" s="175" t="s">
        <v>201</v>
      </c>
      <c r="B6" s="170" t="s">
        <v>229</v>
      </c>
      <c r="C6" s="170" t="s">
        <v>240</v>
      </c>
      <c r="D6" s="171" t="s">
        <v>236</v>
      </c>
      <c r="E6" s="172" t="s">
        <v>232</v>
      </c>
      <c r="F6" s="172" t="s">
        <v>241</v>
      </c>
      <c r="G6" s="173" t="s">
        <v>242</v>
      </c>
    </row>
    <row r="7" spans="1:7" ht="30" x14ac:dyDescent="0.25">
      <c r="A7" s="176" t="s">
        <v>243</v>
      </c>
      <c r="B7" s="170" t="s">
        <v>244</v>
      </c>
      <c r="C7" s="170" t="s">
        <v>245</v>
      </c>
      <c r="D7" s="171" t="s">
        <v>246</v>
      </c>
      <c r="E7" s="172" t="s">
        <v>247</v>
      </c>
      <c r="F7" s="172" t="s">
        <v>248</v>
      </c>
      <c r="G7" s="173" t="s">
        <v>213</v>
      </c>
    </row>
    <row r="8" spans="1:7" x14ac:dyDescent="0.25">
      <c r="A8" s="176"/>
      <c r="B8" s="170" t="s">
        <v>249</v>
      </c>
      <c r="C8" s="170" t="s">
        <v>250</v>
      </c>
      <c r="D8" s="171" t="s">
        <v>251</v>
      </c>
      <c r="E8" s="172" t="s">
        <v>252</v>
      </c>
      <c r="F8" s="172" t="s">
        <v>253</v>
      </c>
      <c r="G8" s="173" t="s">
        <v>213</v>
      </c>
    </row>
    <row r="9" spans="1:7" x14ac:dyDescent="0.25">
      <c r="A9" s="176"/>
      <c r="B9" s="170" t="s">
        <v>254</v>
      </c>
      <c r="C9" s="170" t="s">
        <v>255</v>
      </c>
      <c r="D9" s="171">
        <v>2E-3</v>
      </c>
      <c r="E9" s="172" t="s">
        <v>247</v>
      </c>
      <c r="F9" s="172" t="s">
        <v>253</v>
      </c>
      <c r="G9" s="173" t="s">
        <v>213</v>
      </c>
    </row>
    <row r="10" spans="1:7" ht="15.75" thickBot="1" x14ac:dyDescent="0.3">
      <c r="A10" s="177"/>
      <c r="B10" s="178" t="s">
        <v>256</v>
      </c>
      <c r="C10" s="178" t="s">
        <v>257</v>
      </c>
      <c r="D10" s="179">
        <v>2.0000000000000001E-4</v>
      </c>
      <c r="E10" s="180" t="s">
        <v>247</v>
      </c>
      <c r="F10" s="180" t="s">
        <v>253</v>
      </c>
      <c r="G10" s="181" t="s">
        <v>213</v>
      </c>
    </row>
  </sheetData>
  <sheetProtection sheet="1" objects="1" scenarios="1" formatCells="0" formatColumns="0" formatRows="0" sort="0" autoFilter="0"/>
  <autoFilter ref="A1:G10" xr:uid="{EF5301CF-79E5-459B-8AF9-33902C097962}">
    <filterColumn colId="3" showButton="0"/>
  </autoFilter>
  <mergeCells count="8">
    <mergeCell ref="F1:F2"/>
    <mergeCell ref="G1:G2"/>
    <mergeCell ref="A1:A2"/>
    <mergeCell ref="A3:A5"/>
    <mergeCell ref="A7:A10"/>
    <mergeCell ref="B1:B2"/>
    <mergeCell ref="C1:C2"/>
    <mergeCell ref="D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ad8da0f-3542-4e50-96c8-f1f698624e86">
      <Terms xmlns="http://schemas.microsoft.com/office/infopath/2007/PartnerControls"/>
    </lcf76f155ced4ddcb4097134ff3c332f>
    <TaxCatchAll xmlns="4ffa91fb-a0ff-4ac5-b2db-65c790d184a4">
      <Value>2106</Value>
      <Value>2037</Value>
      <Value>1558</Value>
      <Value>2151</Value>
      <Value>2150</Value>
      <Value>1758</Value>
      <Value>2130</Value>
      <Value>2129</Value>
      <Value>1922</Value>
    </TaxCatchAll>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CASRN 78-87-5</TermName>
          <TermId xmlns="http://schemas.microsoft.com/office/infopath/2007/PartnerControls">6c0f0415-e883-4313-be5b-62ccf49181ff</TermId>
        </TermInfo>
        <TermInfo xmlns="http://schemas.microsoft.com/office/infopath/2007/PartnerControls">
          <TermName xmlns="http://schemas.microsoft.com/office/infopath/2007/PartnerControls">Monte Carlo</TermName>
          <TermId xmlns="http://schemas.microsoft.com/office/infopath/2007/PartnerControls">f1df55a8-bb99-4cf9-a7c7-1ee805c02596</TermId>
        </TermInfo>
        <TermInfo xmlns="http://schemas.microsoft.com/office/infopath/2007/PartnerControls">
          <TermName xmlns="http://schemas.microsoft.com/office/infopath/2007/PartnerControls">skin</TermName>
          <TermId xmlns="http://schemas.microsoft.com/office/infopath/2007/PartnerControls">205078d6-0b63-401b-900a-001ce6f41bdb</TermId>
        </TermInfo>
        <TermInfo xmlns="http://schemas.microsoft.com/office/infopath/2007/PartnerControls">
          <TermName xmlns="http://schemas.microsoft.com/office/infopath/2007/PartnerControls">absorbed fraction</TermName>
          <TermId xmlns="http://schemas.microsoft.com/office/infopath/2007/PartnerControls">e2994495-9f62-4e1d-886d-0009653c357e</TermId>
        </TermInfo>
        <TermInfo xmlns="http://schemas.microsoft.com/office/infopath/2007/PartnerControls">
          <TermName xmlns="http://schemas.microsoft.com/office/infopath/2007/PartnerControls">absorption</TermName>
          <TermId xmlns="http://schemas.microsoft.com/office/infopath/2007/PartnerControls">63c48f5b-67f4-46d0-979e-70bbe9eb6f1c</TermId>
        </TermInfo>
        <TermInfo xmlns="http://schemas.microsoft.com/office/infopath/2007/PartnerControls">
          <TermName xmlns="http://schemas.microsoft.com/office/infopath/2007/PartnerControls">Dermal Exposure</TermName>
          <TermId xmlns="http://schemas.microsoft.com/office/infopath/2007/PartnerControls">607ed057-8cc1-4055-b7f7-3f5385ab2981</TermId>
        </TermInfo>
        <TermInfo xmlns="http://schemas.microsoft.com/office/infopath/2007/PartnerControls">
          <TermName xmlns="http://schemas.microsoft.com/office/infopath/2007/PartnerControls">12DCP</TermName>
          <TermId xmlns="http://schemas.microsoft.com/office/infopath/2007/PartnerControls">d176ffec-5a29-4ccc-9d1a-3beae4ea5552</TermId>
        </TermInfo>
        <TermInfo xmlns="http://schemas.microsoft.com/office/infopath/2007/PartnerControls">
          <TermName xmlns="http://schemas.microsoft.com/office/infopath/2007/PartnerControls">12Dichloropropane</TermName>
          <TermId xmlns="http://schemas.microsoft.com/office/infopath/2007/PartnerControls">1c68f91c-a98e-44e5-9441-281843d32ac9</TermId>
        </TermInfo>
        <TermInfo xmlns="http://schemas.microsoft.com/office/infopath/2007/PartnerControls">
          <TermName xmlns="http://schemas.microsoft.com/office/infopath/2007/PartnerControls">Dermal Exposure Model</TermName>
          <TermId xmlns="http://schemas.microsoft.com/office/infopath/2007/PartnerControls">4e617e5c-a461-42a2-97bd-895a01b1e006</TermId>
        </TermInfo>
      </Term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2025-12-03T13:22:54+00:00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1D3E4C95-9241-4F61-A406-3BF5108BC6C1}">
  <ds:schemaRefs>
    <ds:schemaRef ds:uri="http://schemas.microsoft.com/sharepoint/v3/contenttype/forms"/>
  </ds:schemaRefs>
</ds:datastoreItem>
</file>

<file path=customXml/itemProps2.xml><?xml version="1.0" encoding="utf-8"?>
<ds:datastoreItem xmlns:ds="http://schemas.openxmlformats.org/officeDocument/2006/customXml" ds:itemID="{FA2E0862-AA75-4D23-BFCE-61EBD3A83AC4}">
  <ds:schemaRefs>
    <ds:schemaRef ds:uri="http://schemas.microsoft.com/sharepoint.v3"/>
    <ds:schemaRef ds:uri="http://schemas.microsoft.com/office/infopath/2007/PartnerControls"/>
    <ds:schemaRef ds:uri="ead8da0f-3542-4e50-96c8-f1f698624e86"/>
    <ds:schemaRef ds:uri="http://schemas.microsoft.com/office/2006/metadata/properties"/>
    <ds:schemaRef ds:uri="http://purl.org/dc/terms/"/>
    <ds:schemaRef ds:uri="http://schemas.openxmlformats.org/package/2006/metadata/core-properties"/>
    <ds:schemaRef ds:uri="fecc2597-e8fd-4279-ac06-bd7c891938be"/>
    <ds:schemaRef ds:uri="http://purl.org/dc/dcmitype/"/>
    <ds:schemaRef ds:uri="http://schemas.microsoft.com/sharepoint/v3/fields"/>
    <ds:schemaRef ds:uri="4ffa91fb-a0ff-4ac5-b2db-65c790d184a4"/>
    <ds:schemaRef ds:uri="http://schemas.microsoft.com/office/2006/documentManagement/types"/>
    <ds:schemaRef ds:uri="http://schemas.microsoft.com/sharepoint/v3"/>
    <ds:schemaRef ds:uri="http://www.w3.org/XML/1998/namespace"/>
    <ds:schemaRef ds:uri="http://purl.org/dc/elements/1.1/"/>
  </ds:schemaRefs>
</ds:datastoreItem>
</file>

<file path=customXml/itemProps3.xml><?xml version="1.0" encoding="utf-8"?>
<ds:datastoreItem xmlns:ds="http://schemas.openxmlformats.org/officeDocument/2006/customXml" ds:itemID="{E3DE2BF2-D93E-46FD-92FB-54B68C049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64F5F1-5AF3-491E-AE02-1455343B981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123</vt:i4>
      </vt:variant>
    </vt:vector>
  </HeadingPairs>
  <TitlesOfParts>
    <vt:vector size="133" baseType="lpstr">
      <vt:lpstr>Cover Page</vt:lpstr>
      <vt:lpstr>ReadMe</vt:lpstr>
      <vt:lpstr>Methodology</vt:lpstr>
      <vt:lpstr>Parameters</vt:lpstr>
      <vt:lpstr>Calculations</vt:lpstr>
      <vt:lpstr>Exposure Results</vt:lpstr>
      <vt:lpstr>Static Exposure Results</vt:lpstr>
      <vt:lpstr>Chemistry</vt:lpstr>
      <vt:lpstr>Products</vt:lpstr>
      <vt:lpstr>OES Lookups</vt:lpstr>
      <vt:lpstr>ARDavg10</vt:lpstr>
      <vt:lpstr>ARDavg11</vt:lpstr>
      <vt:lpstr>ARDavg12</vt:lpstr>
      <vt:lpstr>ARDavg2</vt:lpstr>
      <vt:lpstr>ARDavg3</vt:lpstr>
      <vt:lpstr>ARDavg4</vt:lpstr>
      <vt:lpstr>ARDavg5</vt:lpstr>
      <vt:lpstr>ARDavg8</vt:lpstr>
      <vt:lpstr>ARDavg9</vt:lpstr>
      <vt:lpstr>ARDfem10</vt:lpstr>
      <vt:lpstr>ARDfem11</vt:lpstr>
      <vt:lpstr>ARDfem12</vt:lpstr>
      <vt:lpstr>ARDfem2</vt:lpstr>
      <vt:lpstr>ARDfem3</vt:lpstr>
      <vt:lpstr>ARDfem4</vt:lpstr>
      <vt:lpstr>ARDfem5</vt:lpstr>
      <vt:lpstr>ARDfem8</vt:lpstr>
      <vt:lpstr>ARDfem9</vt:lpstr>
      <vt:lpstr>AT_IT</vt:lpstr>
      <vt:lpstr>AT_LCRD</vt:lpstr>
      <vt:lpstr>BWavg</vt:lpstr>
      <vt:lpstr>BWfem</vt:lpstr>
      <vt:lpstr>CRDavg10</vt:lpstr>
      <vt:lpstr>CRDavg11</vt:lpstr>
      <vt:lpstr>CRDavg12</vt:lpstr>
      <vt:lpstr>CRDavg2</vt:lpstr>
      <vt:lpstr>CRDavg3</vt:lpstr>
      <vt:lpstr>CRDavg4</vt:lpstr>
      <vt:lpstr>CRDavg5</vt:lpstr>
      <vt:lpstr>CRDavg8</vt:lpstr>
      <vt:lpstr>CRDavg9</vt:lpstr>
      <vt:lpstr>CRDfem10</vt:lpstr>
      <vt:lpstr>CRDfem11</vt:lpstr>
      <vt:lpstr>CRDfem12</vt:lpstr>
      <vt:lpstr>CRDfem2</vt:lpstr>
      <vt:lpstr>CRDfem3</vt:lpstr>
      <vt:lpstr>CRDfem4</vt:lpstr>
      <vt:lpstr>CRDfem5</vt:lpstr>
      <vt:lpstr>CRDfem8</vt:lpstr>
      <vt:lpstr>CRDfem9</vt:lpstr>
      <vt:lpstr>EF_10</vt:lpstr>
      <vt:lpstr>EF_11</vt:lpstr>
      <vt:lpstr>EF_12</vt:lpstr>
      <vt:lpstr>EF_2</vt:lpstr>
      <vt:lpstr>EF_3</vt:lpstr>
      <vt:lpstr>EF_4</vt:lpstr>
      <vt:lpstr>EF_5</vt:lpstr>
      <vt:lpstr>EF_9</vt:lpstr>
      <vt:lpstr>EF_C</vt:lpstr>
      <vt:lpstr>EF_IT</vt:lpstr>
      <vt:lpstr>fabs_a</vt:lpstr>
      <vt:lpstr>fabs_b</vt:lpstr>
      <vt:lpstr>fabs_c</vt:lpstr>
      <vt:lpstr>fabs_d</vt:lpstr>
      <vt:lpstr>FT</vt:lpstr>
      <vt:lpstr>IRDavg10</vt:lpstr>
      <vt:lpstr>IRDavg11</vt:lpstr>
      <vt:lpstr>IRDavg12</vt:lpstr>
      <vt:lpstr>IRDavg2</vt:lpstr>
      <vt:lpstr>IRDavg3</vt:lpstr>
      <vt:lpstr>IRDavg4</vt:lpstr>
      <vt:lpstr>IRDavg5</vt:lpstr>
      <vt:lpstr>IRDavg8</vt:lpstr>
      <vt:lpstr>IRDavg9</vt:lpstr>
      <vt:lpstr>IRDfem10</vt:lpstr>
      <vt:lpstr>IRDfem11</vt:lpstr>
      <vt:lpstr>IRDfem12</vt:lpstr>
      <vt:lpstr>IRDfem2</vt:lpstr>
      <vt:lpstr>IRDfem3</vt:lpstr>
      <vt:lpstr>IRDfem4</vt:lpstr>
      <vt:lpstr>IRDfem5</vt:lpstr>
      <vt:lpstr>IRDfem8</vt:lpstr>
      <vt:lpstr>IRDfem9</vt:lpstr>
      <vt:lpstr>LCRDavg10</vt:lpstr>
      <vt:lpstr>LCRDavg11</vt:lpstr>
      <vt:lpstr>LCRDavg12</vt:lpstr>
      <vt:lpstr>LCRDavg2</vt:lpstr>
      <vt:lpstr>LCRDavg3</vt:lpstr>
      <vt:lpstr>LCRDavg4</vt:lpstr>
      <vt:lpstr>LCRDavg5</vt:lpstr>
      <vt:lpstr>LCRDavg8</vt:lpstr>
      <vt:lpstr>LCRDavg9</vt:lpstr>
      <vt:lpstr>LCRDfem10</vt:lpstr>
      <vt:lpstr>LCRDfem11</vt:lpstr>
      <vt:lpstr>LCRDfem12</vt:lpstr>
      <vt:lpstr>LCRDfem2</vt:lpstr>
      <vt:lpstr>LCRDfem3</vt:lpstr>
      <vt:lpstr>LCRDfem4</vt:lpstr>
      <vt:lpstr>LCRDfem5</vt:lpstr>
      <vt:lpstr>LCRDfem8</vt:lpstr>
      <vt:lpstr>LCRDfem9</vt:lpstr>
      <vt:lpstr>PDRavg10</vt:lpstr>
      <vt:lpstr>PDRavg11</vt:lpstr>
      <vt:lpstr>PDRavg12</vt:lpstr>
      <vt:lpstr>PDRavg2</vt:lpstr>
      <vt:lpstr>PDRavg3</vt:lpstr>
      <vt:lpstr>PDRavg4</vt:lpstr>
      <vt:lpstr>PDRavg5</vt:lpstr>
      <vt:lpstr>PDRavg8</vt:lpstr>
      <vt:lpstr>PDRavg9</vt:lpstr>
      <vt:lpstr>PDRfem10</vt:lpstr>
      <vt:lpstr>PDRfem11</vt:lpstr>
      <vt:lpstr>PDRfem12</vt:lpstr>
      <vt:lpstr>PDRfem2</vt:lpstr>
      <vt:lpstr>PDRfem3</vt:lpstr>
      <vt:lpstr>PDRfem4</vt:lpstr>
      <vt:lpstr>PDRfem5</vt:lpstr>
      <vt:lpstr>PDRfem8</vt:lpstr>
      <vt:lpstr>PDRfem9</vt:lpstr>
      <vt:lpstr>Qu</vt:lpstr>
      <vt:lpstr>Savg</vt:lpstr>
      <vt:lpstr>Sfem</vt:lpstr>
      <vt:lpstr>WY</vt:lpstr>
      <vt:lpstr>Yderm10</vt:lpstr>
      <vt:lpstr>Yderm11</vt:lpstr>
      <vt:lpstr>Yderm12</vt:lpstr>
      <vt:lpstr>Yderm2</vt:lpstr>
      <vt:lpstr>Yderm3</vt:lpstr>
      <vt:lpstr>Yderm4</vt:lpstr>
      <vt:lpstr>Yderm5</vt:lpstr>
      <vt:lpstr>Yderm6</vt:lpstr>
      <vt:lpstr>Yderm8</vt:lpstr>
      <vt:lpstr>Yderm9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Dermal Monte Carlo Exposure Model for 1,2-Dichloropropane		</dc:title>
  <dc:subject>Draft Risk Evaluation for 1,2-Dichloropropane</dc:subject>
  <dc:creator>US EPA</dc:creator>
  <cp:keywords>12Dichloropropane ; 12DCP ; CASRN 78-87-5 ; Dermal Exposure ; Dermal Exposure Model ; Monte Carlo ; skin ; absorption ; absorbed fraction</cp:keywords>
  <dc:description/>
  <cp:lastModifiedBy>Stanfield, Kelley</cp:lastModifiedBy>
  <cp:revision/>
  <dcterms:created xsi:type="dcterms:W3CDTF">2025-10-07T15:36:21Z</dcterms:created>
  <dcterms:modified xsi:type="dcterms:W3CDTF">2026-07-28T12:31:57Z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MediaServiceImageTags">
    <vt:lpwstr/>
  </property>
  <property fmtid="{D5CDD505-2E9C-101B-9397-08002B2CF9AE}" pid="4" name="TaxKeyword">
    <vt:lpwstr>2106;#CASRN 78-87-5|6c0f0415-e883-4313-be5b-62ccf49181ff;#2037;#Monte Carlo|f1df55a8-bb99-4cf9-a7c7-1ee805c02596;#1558;#skin|205078d6-0b63-401b-900a-001ce6f41bdb;#2151;#absorbed fraction|e2994495-9f62-4e1d-886d-0009653c357e;#2150;#absorption|63c48f5b-67f4-46d0-979e-70bbe9eb6f1c;#1758;#Dermal Exposure|607ed057-8cc1-4055-b7f7-3f5385ab2981;#2130;#12DCP|d176ffec-5a29-4ccc-9d1a-3beae4ea5552;#2129;#12Dichloropropane|1c68f91c-a98e-44e5-9441-281843d32ac9;#1922;#Dermal Exposure Model|4e617e5c-a461-42a2-97bd-895a01b1e006</vt:lpwstr>
  </property>
  <property fmtid="{D5CDD505-2E9C-101B-9397-08002B2CF9AE}" pid="5" name="Document_x0020_Type">
    <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