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usepa-my.sharepoint.com/personal/muller_layne_epa_gov/Documents/Downloads/"/>
    </mc:Choice>
  </mc:AlternateContent>
  <xr:revisionPtr revIDLastSave="0" documentId="8_{4E7F3DAA-3921-4833-BE91-C2FEB5D18624}" xr6:coauthVersionLast="47" xr6:coauthVersionMax="47" xr10:uidLastSave="{00000000-0000-0000-0000-000000000000}"/>
  <workbookProtection workbookAlgorithmName="SHA-512" workbookHashValue="ct/cu1yZf6AiClVRfXpxeMlTG2tjAxqp1XFp32LGy72GJtz/2th9zymHYiQUf7uim6sI2JKtT7AM+sZy4sjapA==" workbookSaltValue="6RkYxsNgOXCU1wJQhMXwmA==" workbookSpinCount="100000" lockStructure="1"/>
  <bookViews>
    <workbookView xWindow="-110" yWindow="-110" windowWidth="19420" windowHeight="11500" firstSheet="2" activeTab="2" xr2:uid="{2A44917B-6298-4D31-B7E3-B6840AED4614}"/>
  </bookViews>
  <sheets>
    <sheet name="Instructions" sheetId="13" r:id="rId1"/>
    <sheet name="Company &amp; Report Data" sheetId="5" r:id="rId2"/>
    <sheet name="UC &amp; Total Est Purchases" sheetId="7" r:id="rId3"/>
    <sheet name="Results" sheetId="10" r:id="rId4"/>
    <sheet name="backend calcs" sheetId="11" state="hidden" r:id="rId5"/>
    <sheet name="Lists" sheetId="3" state="hidden" r:id="rId6"/>
  </sheets>
  <definedNames>
    <definedName name="_xlnm._FilterDatabase" localSheetId="5" hidden="1">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5" l="1" a="1"/>
  <c r="E4" i="5" s="1"/>
  <c r="E59" i="11" a="1"/>
  <c r="E59" i="11" s="1"/>
  <c r="B5" i="10" l="1"/>
  <c r="G34" i="11" l="1"/>
  <c r="G33" i="11"/>
  <c r="E15" i="10" l="1"/>
  <c r="F47" i="11"/>
  <c r="G6" i="10"/>
  <c r="G5" i="10"/>
  <c r="B35" i="11"/>
  <c r="B34" i="11"/>
  <c r="B33" i="11"/>
  <c r="G10" i="11"/>
  <c r="H46" i="5" l="1" a="1"/>
  <c r="H46" i="5" s="1"/>
  <c r="H34" i="5" a="1"/>
  <c r="H34" i="5" s="1"/>
  <c r="H48" i="5" a="1"/>
  <c r="H48" i="5" s="1"/>
  <c r="H49" i="5" a="1"/>
  <c r="H49" i="5" s="1"/>
  <c r="H50" i="5" a="1"/>
  <c r="H50" i="5" s="1"/>
  <c r="H47" i="5" a="1"/>
  <c r="H47" i="5" s="1"/>
  <c r="H35" i="5" a="1"/>
  <c r="H35" i="5" s="1"/>
  <c r="D14" i="7"/>
  <c r="D21" i="7"/>
  <c r="H24" i="5" l="1" a="1"/>
  <c r="H24" i="5" s="1"/>
  <c r="H25" i="5" a="1"/>
  <c r="H25" i="5" s="1"/>
  <c r="H26" i="5" a="1"/>
  <c r="H26" i="5" s="1"/>
  <c r="H23" i="5" a="1"/>
  <c r="H23" i="5" s="1"/>
  <c r="H38" i="5" a="1"/>
  <c r="H38" i="5" s="1"/>
  <c r="H36" i="5" a="1"/>
  <c r="H36" i="5" s="1"/>
  <c r="H37" i="5" a="1"/>
  <c r="H37" i="5" s="1"/>
  <c r="H60" i="5" a="1"/>
  <c r="H60" i="5" s="1"/>
  <c r="H61" i="5" a="1"/>
  <c r="H61" i="5" s="1"/>
  <c r="H62" i="5" a="1"/>
  <c r="H62" i="5" s="1"/>
  <c r="H59" i="5" a="1"/>
  <c r="H59" i="5" s="1"/>
  <c r="H72" i="5" a="1"/>
  <c r="H72" i="5" s="1"/>
  <c r="H73" i="5" a="1"/>
  <c r="H73" i="5" s="1"/>
  <c r="H74" i="5" a="1"/>
  <c r="H74" i="5" s="1"/>
  <c r="H71" i="5" a="1"/>
  <c r="H71" i="5" s="1"/>
  <c r="H96" i="5" a="1"/>
  <c r="H96" i="5" s="1"/>
  <c r="H97" i="5" a="1"/>
  <c r="H97" i="5" s="1"/>
  <c r="H98" i="5" a="1"/>
  <c r="H98" i="5" s="1"/>
  <c r="H95" i="5" a="1"/>
  <c r="H95" i="5" s="1"/>
  <c r="H83" i="5" a="1"/>
  <c r="H83" i="5" s="1"/>
  <c r="H84" i="5" a="1"/>
  <c r="H84" i="5" s="1"/>
  <c r="H85" i="5" a="1"/>
  <c r="H85" i="5" s="1"/>
  <c r="H86" i="5" a="1"/>
  <c r="H86" i="5" s="1"/>
  <c r="H22" i="5" a="1"/>
  <c r="H22" i="5" s="1"/>
  <c r="H82" i="5" a="1"/>
  <c r="H82" i="5" s="1"/>
  <c r="H70" i="5" a="1"/>
  <c r="H70" i="5" s="1"/>
  <c r="H58" i="5" a="1"/>
  <c r="H58" i="5" s="1"/>
  <c r="H19" i="5" a="1"/>
  <c r="H19" i="5" s="1"/>
  <c r="B8" i="5"/>
  <c r="B15" i="5"/>
  <c r="A47" i="5" l="1" a="1"/>
  <c r="A47" i="5" s="1"/>
  <c r="H54" i="5"/>
  <c r="H30" i="5"/>
  <c r="H18" i="5"/>
  <c r="H66" i="5"/>
  <c r="H78" i="5"/>
  <c r="H42" i="5"/>
  <c r="A95" i="5" a="1"/>
  <c r="A95" i="5" s="1"/>
  <c r="A83" i="5" a="1"/>
  <c r="A83" i="5" s="1"/>
  <c r="A71" i="5" a="1"/>
  <c r="A71" i="5" s="1"/>
  <c r="A59" i="5" a="1"/>
  <c r="A59" i="5" s="1"/>
  <c r="A35" i="5" a="1"/>
  <c r="A35" i="5" s="1"/>
  <c r="A23" i="5" a="1"/>
  <c r="A23" i="5" s="1"/>
  <c r="G44" i="11"/>
  <c r="B7" i="5"/>
  <c r="B7" i="10"/>
  <c r="B6" i="10"/>
  <c r="B89" i="5"/>
  <c r="B77" i="5"/>
  <c r="B65" i="5"/>
  <c r="B53" i="5"/>
  <c r="B41" i="5"/>
  <c r="B29" i="5"/>
  <c r="B17" i="5"/>
  <c r="E22" i="11"/>
  <c r="B12" i="5"/>
  <c r="B2" i="10" l="1"/>
  <c r="E23" i="11" l="1"/>
  <c r="I29" i="11" l="1"/>
  <c r="I28" i="11"/>
  <c r="I27" i="11"/>
  <c r="I26" i="11"/>
  <c r="I25" i="11"/>
  <c r="I24" i="11"/>
  <c r="I23" i="11"/>
  <c r="I22" i="11"/>
  <c r="I21" i="11"/>
  <c r="I20" i="11"/>
  <c r="I19" i="11"/>
  <c r="I18" i="11"/>
  <c r="I17" i="11"/>
  <c r="I16" i="11"/>
  <c r="I15" i="11"/>
  <c r="I14" i="11"/>
  <c r="I13" i="11"/>
  <c r="I12" i="11"/>
  <c r="I11" i="11"/>
  <c r="I10" i="11"/>
  <c r="I9" i="11"/>
  <c r="I8" i="11"/>
  <c r="I7" i="11"/>
  <c r="I6" i="11"/>
  <c r="I5" i="11"/>
  <c r="I4" i="11"/>
  <c r="I3" i="11"/>
  <c r="I2" i="11"/>
  <c r="G35" i="11" l="1"/>
  <c r="G7" i="10" s="1"/>
  <c r="D22" i="7"/>
  <c r="D23" i="7"/>
  <c r="E19" i="7" l="1"/>
  <c r="E61" i="11" s="1"/>
  <c r="D17" i="10"/>
  <c r="E17" i="10" s="1"/>
  <c r="E2" i="11"/>
  <c r="D24" i="7"/>
  <c r="D15" i="7"/>
  <c r="D16" i="7"/>
  <c r="D17" i="7"/>
  <c r="G27" i="11"/>
  <c r="G28" i="11"/>
  <c r="H28" i="11" s="1"/>
  <c r="G29" i="11"/>
  <c r="H29" i="11" s="1"/>
  <c r="G26" i="11"/>
  <c r="H26" i="11" s="1"/>
  <c r="G23" i="11"/>
  <c r="H23" i="11" s="1"/>
  <c r="G24" i="11"/>
  <c r="G25" i="11"/>
  <c r="G22" i="11"/>
  <c r="G19" i="11"/>
  <c r="G20" i="11"/>
  <c r="G21" i="11"/>
  <c r="G18" i="11"/>
  <c r="G15" i="11"/>
  <c r="G16" i="11"/>
  <c r="H16" i="11" s="1"/>
  <c r="G17" i="11"/>
  <c r="H17" i="11" s="1"/>
  <c r="G14" i="11"/>
  <c r="G11" i="11"/>
  <c r="G12" i="11"/>
  <c r="G13" i="11"/>
  <c r="G7" i="11"/>
  <c r="G8" i="11"/>
  <c r="G9" i="11"/>
  <c r="G6" i="11"/>
  <c r="G3" i="11"/>
  <c r="G4" i="11"/>
  <c r="G5" i="11"/>
  <c r="G2" i="11"/>
  <c r="E27" i="11"/>
  <c r="E28" i="11"/>
  <c r="F28" i="11" s="1"/>
  <c r="E29" i="11"/>
  <c r="E26" i="11"/>
  <c r="E24" i="11"/>
  <c r="E25" i="11"/>
  <c r="E19" i="11"/>
  <c r="E20" i="11"/>
  <c r="E21" i="11"/>
  <c r="E18" i="11"/>
  <c r="E15" i="11"/>
  <c r="E16" i="11"/>
  <c r="F16" i="11" s="1"/>
  <c r="E17" i="11"/>
  <c r="F17" i="11" s="1"/>
  <c r="E14" i="11"/>
  <c r="E11" i="11"/>
  <c r="E12" i="11"/>
  <c r="F12" i="11" s="1"/>
  <c r="E13" i="11"/>
  <c r="E10" i="11"/>
  <c r="E7" i="11"/>
  <c r="E8" i="11"/>
  <c r="E9" i="11"/>
  <c r="E6" i="11"/>
  <c r="E3" i="11"/>
  <c r="E4" i="11"/>
  <c r="F4" i="11" s="1"/>
  <c r="E5" i="11"/>
  <c r="D27" i="11"/>
  <c r="J27" i="11" s="1"/>
  <c r="D28" i="11"/>
  <c r="J28" i="11" s="1"/>
  <c r="D29" i="11"/>
  <c r="J29" i="11" s="1"/>
  <c r="D26" i="11"/>
  <c r="J26" i="11" s="1"/>
  <c r="D23" i="11"/>
  <c r="D24" i="11"/>
  <c r="J24" i="11" s="1"/>
  <c r="D25" i="11"/>
  <c r="J25" i="11" s="1"/>
  <c r="D19" i="11"/>
  <c r="J19" i="11" s="1"/>
  <c r="D20" i="11"/>
  <c r="J20" i="11" s="1"/>
  <c r="D21" i="11"/>
  <c r="J21" i="11" s="1"/>
  <c r="D22" i="11"/>
  <c r="D18" i="11"/>
  <c r="J18" i="11" s="1"/>
  <c r="D15" i="11"/>
  <c r="J15" i="11" s="1"/>
  <c r="D16" i="11"/>
  <c r="J16" i="11" s="1"/>
  <c r="D17" i="11"/>
  <c r="J17" i="11" s="1"/>
  <c r="D14" i="11"/>
  <c r="J14" i="11" s="1"/>
  <c r="D11" i="11"/>
  <c r="J11" i="11" s="1"/>
  <c r="D12" i="11"/>
  <c r="J12" i="11" s="1"/>
  <c r="D13" i="11"/>
  <c r="J13" i="11" s="1"/>
  <c r="D10" i="11"/>
  <c r="D7" i="11"/>
  <c r="J7" i="11" s="1"/>
  <c r="D8" i="11"/>
  <c r="J8" i="11" s="1"/>
  <c r="D9" i="11"/>
  <c r="J9" i="11" s="1"/>
  <c r="D6" i="11"/>
  <c r="J6" i="11" s="1"/>
  <c r="D3" i="11"/>
  <c r="J3" i="11" s="1"/>
  <c r="D4" i="11"/>
  <c r="J4" i="11" s="1"/>
  <c r="D5" i="11"/>
  <c r="J5" i="11" s="1"/>
  <c r="D2" i="11"/>
  <c r="J2" i="11" s="1"/>
  <c r="H14" i="11" l="1"/>
  <c r="E33" i="11"/>
  <c r="F8" i="11"/>
  <c r="C33" i="11"/>
  <c r="F11" i="11"/>
  <c r="F27" i="11"/>
  <c r="F10" i="11"/>
  <c r="F18" i="11"/>
  <c r="H27" i="11"/>
  <c r="F26" i="11"/>
  <c r="F29" i="11"/>
  <c r="J22" i="11"/>
  <c r="F22" i="11"/>
  <c r="F25" i="11"/>
  <c r="J23" i="11"/>
  <c r="F23" i="11"/>
  <c r="F24" i="11"/>
  <c r="C35" i="11"/>
  <c r="H22" i="11"/>
  <c r="H25" i="11"/>
  <c r="H24" i="11"/>
  <c r="F21" i="11"/>
  <c r="H18" i="11"/>
  <c r="F20" i="11"/>
  <c r="H21" i="11"/>
  <c r="F19" i="11"/>
  <c r="H20" i="11"/>
  <c r="H19" i="11"/>
  <c r="H15" i="11"/>
  <c r="F14" i="11"/>
  <c r="C34" i="11"/>
  <c r="F15" i="11"/>
  <c r="H11" i="11"/>
  <c r="E34" i="11"/>
  <c r="E6" i="10" s="1"/>
  <c r="F13" i="11"/>
  <c r="J10" i="11"/>
  <c r="H33" i="11" s="1"/>
  <c r="H5" i="10" s="1"/>
  <c r="H10" i="11"/>
  <c r="H13" i="11"/>
  <c r="H12" i="11"/>
  <c r="H9" i="11"/>
  <c r="F6" i="11"/>
  <c r="F9" i="11"/>
  <c r="F7" i="11"/>
  <c r="H8" i="11"/>
  <c r="H7" i="11"/>
  <c r="H6" i="11"/>
  <c r="F2" i="11"/>
  <c r="F5" i="11"/>
  <c r="H2" i="11"/>
  <c r="E5" i="10"/>
  <c r="F3" i="11"/>
  <c r="H5" i="11"/>
  <c r="H4" i="11"/>
  <c r="H3" i="11"/>
  <c r="E35" i="11"/>
  <c r="H34" i="11"/>
  <c r="H6" i="10" s="1"/>
  <c r="F46" i="11"/>
  <c r="D14" i="10"/>
  <c r="E14" i="10" s="1"/>
  <c r="D33" i="11" l="1"/>
  <c r="I34" i="11"/>
  <c r="C5" i="10"/>
  <c r="I5" i="10" s="1" a="1"/>
  <c r="I5" i="10" s="1"/>
  <c r="I33" i="11"/>
  <c r="I35" i="11"/>
  <c r="E7" i="10"/>
  <c r="F35" i="11"/>
  <c r="F34" i="11"/>
  <c r="F6" i="10" s="1"/>
  <c r="H35" i="11"/>
  <c r="H7" i="10" s="1"/>
  <c r="F33" i="11"/>
  <c r="F5" i="10" s="1"/>
  <c r="C7" i="10"/>
  <c r="C6" i="10"/>
  <c r="I6" i="10" s="1" a="1"/>
  <c r="I6" i="10" s="1"/>
  <c r="D35" i="11"/>
  <c r="D34" i="11"/>
  <c r="I7" i="10" l="1" a="1"/>
  <c r="I7" i="10" s="1"/>
  <c r="J33" i="11"/>
  <c r="K5" i="10"/>
  <c r="J34" i="11"/>
  <c r="F7" i="10"/>
  <c r="J35" i="11"/>
  <c r="F43" i="11" a="1"/>
  <c r="F43" i="11" s="1"/>
  <c r="D38" i="11"/>
  <c r="K6" i="10"/>
  <c r="D7" i="10"/>
  <c r="F48" i="11" a="1"/>
  <c r="F48" i="11" s="1"/>
  <c r="D5" i="10"/>
  <c r="J5" i="10" s="1" a="1"/>
  <c r="J5" i="10" s="1"/>
  <c r="F49" i="11"/>
  <c r="F45" i="11"/>
  <c r="D6" i="10"/>
  <c r="J6" i="10" s="1" a="1"/>
  <c r="J6" i="10" s="1"/>
  <c r="D39" i="11"/>
  <c r="K7" i="10" l="1"/>
  <c r="E60" i="11" s="1" a="1"/>
  <c r="E60" i="11" s="1"/>
  <c r="J7" i="10" a="1"/>
  <c r="J7" i="10" s="1"/>
  <c r="K4" i="10" s="1" a="1"/>
  <c r="K4" i="10" s="1"/>
  <c r="D40" i="11"/>
  <c r="F44" i="11" s="1" a="1"/>
  <c r="F44" i="11" s="1"/>
  <c r="F50" i="11" s="1"/>
  <c r="B28" i="11"/>
  <c r="B27" i="11"/>
  <c r="B29" i="11"/>
  <c r="B24" i="11"/>
  <c r="B25" i="11"/>
  <c r="B23" i="11"/>
  <c r="B19" i="11"/>
  <c r="B21" i="11"/>
  <c r="B20" i="11"/>
  <c r="B15" i="11"/>
  <c r="B17" i="11"/>
  <c r="B16" i="11"/>
  <c r="B12" i="11"/>
  <c r="B13" i="11"/>
  <c r="B11" i="11"/>
  <c r="B9" i="11"/>
  <c r="B7" i="11"/>
  <c r="B8" i="11"/>
  <c r="B3" i="11"/>
  <c r="B4" i="11"/>
  <c r="B5" i="11"/>
  <c r="B26" i="11"/>
  <c r="B22" i="11"/>
  <c r="B18" i="11"/>
  <c r="B14" i="11"/>
  <c r="B10" i="11"/>
  <c r="B6" i="11"/>
  <c r="B2" i="11"/>
  <c r="C54" i="11" l="1"/>
  <c r="C55" i="11" s="1"/>
  <c r="E55" i="11" s="1"/>
  <c r="D11" i="10"/>
  <c r="D9" i="10" s="1"/>
  <c r="D13" i="10" l="1"/>
  <c r="E13" i="10" s="1" a="1"/>
  <c r="E13" i="10" s="1"/>
  <c r="E54" i="11"/>
  <c r="D15" i="10" l="1"/>
  <c r="D19" i="10" s="1"/>
  <c r="B20"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<sst xmlns="http://schemas.openxmlformats.org/spreadsheetml/2006/main" count="158" uniqueCount="107">
  <si>
    <t>U.S. Environmental Protection Agency (EPA)</t>
  </si>
  <si>
    <t>Application-Specific Allowance Allocation Estimation Tool</t>
  </si>
  <si>
    <t>Overview:</t>
  </si>
  <si>
    <t xml:space="preserve">- This tool allows application-specific end users to estimate the number of HFC application-specific allowances (ASAs) they may be eligible to receive in the upcoming calendar year, based on the methodology codified at 40 CFR 84.13. </t>
  </si>
  <si>
    <t>- For entities considered “regular” or “new” in the ASA allocation methodology, this tool does not account for the application-wide average annual growth rate (AAGR). If you are a regular user, this tool multiplies Year 3 use by the calculated entity AAGR. If you are a new user with use in Year 3, this tool multiplies Year 3 use by one. If the application-wide AAGR is higher, that may result in a change in your eligible allocation. More information on the ASA allocation methodology can be found in the links below.</t>
  </si>
  <si>
    <t>Disclaimer: This tool is for informational purposes only. Values calculated in this tool do not guarantee the allocation of application-specific allowances. Inadvertant errors or unverifiable data may result in inaccurate estimates. Final allowance allocations will be determined based on EPA's review of reported data, supporting documentation, application AAGR, and other relevant factors.</t>
  </si>
  <si>
    <t>Instructions:</t>
  </si>
  <si>
    <t>- Input your information into the blue tabs below: 'Company &amp; Report Data' and 'UC &amp; Total Est Purchases'. On each tab, fill in the light blue cells.</t>
  </si>
  <si>
    <t>- Each tab has instructions specific to the data needed on that tab.</t>
  </si>
  <si>
    <t>- Error messages will appear if any data is missing. The calculator will not be able to estimate your allocation without all requisite data.</t>
  </si>
  <si>
    <t>- High-level results can be found on the Results tab.</t>
  </si>
  <si>
    <t xml:space="preserve">- If you have questions about your allocation estimate or encounter any issues in using the calculator, please reach out to EPA at HFCAllocation@epa.gov. </t>
  </si>
  <si>
    <t>Last Updated:</t>
  </si>
  <si>
    <t>Version 1.1 [7/21/2026]</t>
  </si>
  <si>
    <t>Useful Resources:</t>
  </si>
  <si>
    <t>40 CFR 84.13 - Allocation of application-specific allowances</t>
  </si>
  <si>
    <t>Frequently Asked Questions on the HFC Allowance Allocation Program</t>
  </si>
  <si>
    <t>Tool Navigation:</t>
  </si>
  <si>
    <t>Company &amp; Report Data</t>
  </si>
  <si>
    <t>UC &amp; Total Est Purchases</t>
  </si>
  <si>
    <t>Results</t>
  </si>
  <si>
    <t>Step 1. Company Information</t>
  </si>
  <si>
    <t>Company Name</t>
  </si>
  <si>
    <t>Allocation Year</t>
  </si>
  <si>
    <t>Are you in the semiconductor application?</t>
  </si>
  <si>
    <t>No</t>
  </si>
  <si>
    <t>Yes</t>
  </si>
  <si>
    <t>HFC</t>
  </si>
  <si>
    <t>Quantity Acquired through Conferring Allowances
(kg)</t>
  </si>
  <si>
    <t>Quantity of HFCs Your Company Imported Expending Your Allowances
(kg)</t>
  </si>
  <si>
    <t>Quantity of HFCs Purchased for Application-Specific Use without Expending or Conferring Your Allowances
(kg)</t>
  </si>
  <si>
    <t>Quantity Held in Inventory by the Reporting Company or Held under Contract by Another Company for the Reporting Company’s Use
(kg)</t>
  </si>
  <si>
    <t>Quantity Sold, Returned, or Conveyed, Excluding Heels
(kg)</t>
  </si>
  <si>
    <t xml:space="preserve">Step 3. Unique Circumstances Request and Total Expected Purchases </t>
  </si>
  <si>
    <t xml:space="preserve">1) Enter your Unique Circumstances request (Section 6 of your current biannual report). Enter only the total kg value for each HFC. You do not need to fill in all four rows. The total MTEVe value will auto-calculate. </t>
  </si>
  <si>
    <t>2) Enter your total expected purchases (Section 7 of your current biannual report). You do not need to fill in all four rows. Enter only the value in kg. The MTEVe value will auto-calculate.</t>
  </si>
  <si>
    <t>Companies may be eligible for the amount of allowances they need without needing to submit a Unique Circumstances request. The estimated base allocation without a Unique Circumstances request can be viewed in the 'Results' tab.</t>
  </si>
  <si>
    <t>Disclaimer: If a Unique Circumstance request is entered, this calculator assumes the full requested amount is granted. Final allowance allocations are determined by EPA following review of reported data and supporting documentation.</t>
  </si>
  <si>
    <t>Links:</t>
  </si>
  <si>
    <t>For more information regarding Unique Circumstances, please see:</t>
  </si>
  <si>
    <t>40 CFR 84.13(b)(1)</t>
  </si>
  <si>
    <t>Unique Circumstance Request (Optional)</t>
  </si>
  <si>
    <t>Total (kg)</t>
  </si>
  <si>
    <t>Total (MTEVe)</t>
  </si>
  <si>
    <t/>
  </si>
  <si>
    <t>Total Expected Purchases (Required)</t>
  </si>
  <si>
    <t>Year</t>
  </si>
  <si>
    <t>HFC Purchases (kg)</t>
  </si>
  <si>
    <t>HFC Purchases (MTEVe)</t>
  </si>
  <si>
    <t>HFC Inventory Change (kg)</t>
  </si>
  <si>
    <t>HFC Inventory Change (MTEVe)</t>
  </si>
  <si>
    <t>HFC Sales, Returns, or Conveyances (kg)</t>
  </si>
  <si>
    <t>HFC Sales, Returns, or Conveyances (MTEVe)</t>
  </si>
  <si>
    <t>Use (kg)</t>
  </si>
  <si>
    <t>Use (MTEVe)</t>
  </si>
  <si>
    <t>Entity AAGR</t>
  </si>
  <si>
    <t>Category</t>
  </si>
  <si>
    <t>Base Allocation Estimate (MTEVe)</t>
  </si>
  <si>
    <t>UC Request (MTEVe)</t>
  </si>
  <si>
    <t>Eligible Allocation Estimate (MTEVe)</t>
  </si>
  <si>
    <t>Total Expected Purchases (MTEVe)</t>
  </si>
  <si>
    <t>Estimated Allocation</t>
  </si>
  <si>
    <t>MTEVe</t>
  </si>
  <si>
    <t>Disclaimer: The final allocation may vary if EPA is unable to verify all reported purchases, the basis for UC requests, or other reported data.</t>
  </si>
  <si>
    <t>Reporting Period</t>
  </si>
  <si>
    <t>Purchases (kg)</t>
  </si>
  <si>
    <t>Purchases (MTEVe)</t>
  </si>
  <si>
    <t>Inventory (kg)</t>
  </si>
  <si>
    <t>Inventory (MTEVe)</t>
  </si>
  <si>
    <t>Sales/Conveyances (kg)</t>
  </si>
  <si>
    <t>Sales/Conveyances (MTEVe)</t>
  </si>
  <si>
    <t>Entity HFC Use</t>
  </si>
  <si>
    <t>HFC Sales/Conveyances (kg)</t>
  </si>
  <si>
    <t>HFC Sales/Conveyances (MTEVe)</t>
  </si>
  <si>
    <t>HFC Use (kg)</t>
  </si>
  <si>
    <t>HFC Use (MTEVe)</t>
  </si>
  <si>
    <t>Change in HFC Use</t>
  </si>
  <si>
    <t>Year 1 - Year 2</t>
  </si>
  <si>
    <t>Year 2 - Year 3</t>
  </si>
  <si>
    <t>HFC User Type Checks</t>
  </si>
  <si>
    <t>Is there at least one year of zero purchases or use?</t>
  </si>
  <si>
    <t>Does entity have an AAGR &gt;= 200% and &lt;100 kg of purchases in at least 1 year?</t>
  </si>
  <si>
    <t>Is entity's Year 3 usage &lt;= 33% of its Year 2 usage?</t>
  </si>
  <si>
    <t>Are purchases in all 3 years &lt;= 100 kg?</t>
  </si>
  <si>
    <t>Is entity a new HFC user?</t>
  </si>
  <si>
    <t>Is there use in any of the past 3 years?</t>
  </si>
  <si>
    <t>Is there use in Year 3?</t>
  </si>
  <si>
    <t>User Type</t>
  </si>
  <si>
    <t>Preliminary Allocation Estimation (MTEVe)</t>
  </si>
  <si>
    <t>Without Semi Bump</t>
  </si>
  <si>
    <t>With Semi Bump (if applicable)</t>
  </si>
  <si>
    <t>Without UC</t>
  </si>
  <si>
    <t>With UC</t>
  </si>
  <si>
    <t>ERROR CHECK</t>
  </si>
  <si>
    <t>All information submitted on "Company Info" section of Company &amp; Report Data tab?</t>
  </si>
  <si>
    <t>Any Biannual Report Data entry errors?</t>
  </si>
  <si>
    <t>Was a Total Request entered?</t>
  </si>
  <si>
    <t>Chemical Name</t>
  </si>
  <si>
    <t>Exchange Value </t>
  </si>
  <si>
    <t>HFC-125</t>
  </si>
  <si>
    <t>HFC-134a</t>
  </si>
  <si>
    <t>HFC-152a</t>
  </si>
  <si>
    <t>HFC-227ea</t>
  </si>
  <si>
    <t>HFC-23</t>
  </si>
  <si>
    <t>HFC-236fa</t>
  </si>
  <si>
    <t>HFC-32</t>
  </si>
  <si>
    <t>HFC-41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</si>
</sst>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
    <numFmt numFmtId="166" formatCode="_(* #,##0.0_);_(* \(#,##0.0\);_(* &quot;-&quot;??_);_(@_)"/>
    <numFmt numFmtId="167" formatCode="#,##0.000000"/>
    <numFmt numFmtId="168" formatCode="#,##0.00000000000000"/>
  </numFmts>
  <fonts count="28" x14ac:knownFonts="1">
    <font>
      <sz val="11"/>
      <color theme="1"/>
      <name val="Calibri"/>
      <family val="2"/>
      <scheme val="minor"/>
    </font>
    <font>
      <sz val="11"/>
      <color theme="1"/>
      <name val="Calibri"/>
      <family val="2"/>
      <scheme val="minor"/>
    </font>
    <font>
      <sz val="10"/>
      <color theme="1"/>
      <name val="Calibri"/>
      <family val="2"/>
      <scheme val="minor"/>
    </font>
    <font>
      <b/>
      <sz val="11"/>
      <name val="Aptos"/>
      <family val="2"/>
    </font>
    <font>
      <sz val="11"/>
      <color theme="1"/>
      <name val="Aptos"/>
      <family val="2"/>
    </font>
    <font>
      <b/>
      <sz val="11"/>
      <color theme="1"/>
      <name val="Aptos"/>
      <family val="2"/>
    </font>
    <font>
      <sz val="11"/>
      <name val="Aptos"/>
      <family val="2"/>
    </font>
    <font>
      <b/>
      <sz val="11"/>
      <color theme="0"/>
      <name val="Aptos"/>
      <family val="2"/>
    </font>
    <font>
      <b/>
      <sz val="14"/>
      <color theme="1"/>
      <name val="Aptos"/>
      <family val="2"/>
    </font>
    <font>
      <sz val="14"/>
      <color theme="1"/>
      <name val="Aptos"/>
      <family val="2"/>
    </font>
    <font>
      <sz val="11"/>
      <color theme="0"/>
      <name val="Aptos"/>
      <family val="2"/>
    </font>
    <font>
      <sz val="14"/>
      <color theme="0"/>
      <name val="Aptos ExtraBold"/>
      <family val="2"/>
    </font>
    <font>
      <u/>
      <sz val="11"/>
      <color theme="10"/>
      <name val="Calibri"/>
      <family val="2"/>
      <scheme val="minor"/>
    </font>
    <font>
      <b/>
      <sz val="11"/>
      <color theme="1"/>
      <name val="Arial"/>
      <family val="2"/>
    </font>
    <font>
      <sz val="11"/>
      <color theme="1"/>
      <name val="Arial"/>
      <family val="2"/>
    </font>
    <font>
      <b/>
      <sz val="16"/>
      <color theme="1"/>
      <name val="Aptos"/>
      <family val="2"/>
    </font>
    <font>
      <u/>
      <sz val="11"/>
      <color rgb="FF0563C1"/>
      <name val="Aptos"/>
      <family val="2"/>
    </font>
    <font>
      <sz val="11"/>
      <color rgb="FF0563C1"/>
      <name val="Aptos"/>
      <family val="2"/>
    </font>
    <font>
      <b/>
      <sz val="14"/>
      <color theme="0"/>
      <name val="Aptos ExtraBold"/>
      <family val="2"/>
    </font>
    <font>
      <u/>
      <sz val="14"/>
      <color rgb="FF0563C1"/>
      <name val="Aptos"/>
      <family val="2"/>
    </font>
    <font>
      <u/>
      <sz val="11"/>
      <color theme="10"/>
      <name val="Aptos"/>
      <family val="2"/>
    </font>
    <font>
      <b/>
      <sz val="11"/>
      <color rgb="FFFF0000"/>
      <name val="Aptos"/>
      <family val="2"/>
    </font>
    <font>
      <b/>
      <sz val="14"/>
      <color theme="0"/>
      <name val="Aptos"/>
      <family val="2"/>
    </font>
    <font>
      <b/>
      <sz val="14"/>
      <name val="Aptos"/>
      <family val="2"/>
    </font>
    <font>
      <u/>
      <sz val="11"/>
      <color theme="0"/>
      <name val="Aptos"/>
      <family val="2"/>
    </font>
    <font>
      <sz val="11"/>
      <color rgb="FF242424"/>
      <name val="Aptos"/>
      <family val="2"/>
    </font>
    <font>
      <sz val="11"/>
      <color rgb="FF242424"/>
      <name val="Consolas"/>
      <charset val="1"/>
    </font>
    <font>
      <sz val="14"/>
      <color theme="0"/>
      <name val="Aptos"/>
      <family val="2"/>
    </font>
  </fonts>
  <fills count="17">
    <fill>
      <patternFill patternType="none"/>
    </fill>
    <fill>
      <patternFill patternType="gray125"/>
    </fill>
    <fill>
      <patternFill patternType="solid">
        <fgColor theme="0"/>
        <bgColor indexed="64"/>
      </patternFill>
    </fill>
    <fill>
      <patternFill patternType="solid">
        <fgColor rgb="FF146CB5"/>
        <bgColor indexed="64"/>
      </patternFill>
    </fill>
    <fill>
      <patternFill patternType="solid">
        <fgColor rgb="FF0070C0"/>
        <bgColor indexed="64"/>
      </patternFill>
    </fill>
    <fill>
      <patternFill patternType="solid">
        <fgColor theme="7"/>
        <bgColor indexed="64"/>
      </patternFill>
    </fill>
    <fill>
      <patternFill patternType="solid">
        <fgColor theme="0" tint="-4.9989318521683403E-2"/>
        <bgColor indexed="64"/>
      </patternFill>
    </fill>
    <fill>
      <patternFill patternType="solid">
        <fgColor rgb="FFCCECFF"/>
        <bgColor indexed="64"/>
      </patternFill>
    </fill>
    <fill>
      <patternFill patternType="solid">
        <fgColor rgb="FFCDEFD8"/>
        <bgColor indexed="64"/>
      </patternFill>
    </fill>
    <fill>
      <patternFill patternType="solid">
        <fgColor theme="0" tint="-0.499984740745262"/>
        <bgColor indexed="64"/>
      </patternFill>
    </fill>
    <fill>
      <patternFill patternType="solid">
        <fgColor rgb="FFCEE6FA"/>
        <bgColor indexed="64"/>
      </patternFill>
    </fill>
    <fill>
      <patternFill patternType="solid">
        <fgColor theme="4"/>
        <bgColor theme="4"/>
      </patternFill>
    </fill>
    <fill>
      <patternFill patternType="solid">
        <fgColor theme="1" tint="0.49998474074526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rgb="FF78BAF0"/>
        <bgColor indexed="64"/>
      </patternFill>
    </fill>
    <fill>
      <patternFill patternType="solid">
        <fgColor theme="5"/>
        <bgColor indexed="64"/>
      </patternFill>
    </fill>
  </fills>
  <borders count="90">
    <border>
      <left/>
      <right/>
      <top/>
      <bottom/>
      <diagonal/>
    </border>
    <border>
      <left style="medium">
        <color rgb="FF146CB5"/>
      </left>
      <right style="medium">
        <color rgb="FF146CB5"/>
      </right>
      <top/>
      <bottom style="thin">
        <color theme="4"/>
      </bottom>
      <diagonal/>
    </border>
    <border>
      <left style="medium">
        <color rgb="FF146CB5"/>
      </left>
      <right style="medium">
        <color rgb="FF146CB5"/>
      </right>
      <top style="thin">
        <color theme="4"/>
      </top>
      <bottom style="thin">
        <color theme="4"/>
      </bottom>
      <diagonal/>
    </border>
    <border>
      <left style="medium">
        <color rgb="FF146CB5"/>
      </left>
      <right style="medium">
        <color rgb="FF146CB5"/>
      </right>
      <top style="thin">
        <color theme="4"/>
      </top>
      <bottom style="medium">
        <color rgb="FF146CB5"/>
      </bottom>
      <diagonal/>
    </border>
    <border>
      <left style="medium">
        <color theme="4"/>
      </left>
      <right/>
      <top style="medium">
        <color theme="4"/>
      </top>
      <bottom/>
      <diagonal/>
    </border>
    <border>
      <left/>
      <right style="medium">
        <color theme="4"/>
      </right>
      <top style="medium">
        <color theme="4"/>
      </top>
      <bottom/>
      <diagonal/>
    </border>
    <border>
      <left style="medium">
        <color theme="4"/>
      </left>
      <right/>
      <top/>
      <bottom/>
      <diagonal/>
    </border>
    <border>
      <left style="medium">
        <color theme="4"/>
      </left>
      <right/>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rgb="FF146CB5"/>
      </left>
      <right/>
      <top style="medium">
        <color rgb="FF146CB5"/>
      </top>
      <bottom/>
      <diagonal/>
    </border>
    <border>
      <left/>
      <right/>
      <top style="medium">
        <color rgb="FF146CB5"/>
      </top>
      <bottom/>
      <diagonal/>
    </border>
    <border>
      <left/>
      <right style="medium">
        <color rgb="FF146CB5"/>
      </right>
      <top style="medium">
        <color rgb="FF146CB5"/>
      </top>
      <bottom/>
      <diagonal/>
    </border>
    <border>
      <left style="medium">
        <color rgb="FF146CB5"/>
      </left>
      <right/>
      <top/>
      <bottom/>
      <diagonal/>
    </border>
    <border>
      <left/>
      <right style="medium">
        <color rgb="FF146CB5"/>
      </right>
      <top/>
      <bottom/>
      <diagonal/>
    </border>
    <border>
      <left/>
      <right style="medium">
        <color rgb="FF146CB5"/>
      </right>
      <top/>
      <bottom style="medium">
        <color rgb="FF146CB5"/>
      </bottom>
      <diagonal/>
    </border>
    <border>
      <left style="thin">
        <color rgb="FF097ABF"/>
      </left>
      <right style="medium">
        <color rgb="FF146CB5"/>
      </right>
      <top style="medium">
        <color rgb="FF146CB5"/>
      </top>
      <bottom/>
      <diagonal/>
    </border>
    <border>
      <left style="medium">
        <color rgb="FF146CB5"/>
      </left>
      <right/>
      <top/>
      <bottom style="thin">
        <color theme="0" tint="-0.24994659260841701"/>
      </bottom>
      <diagonal/>
    </border>
    <border>
      <left/>
      <right style="medium">
        <color rgb="FF146CB5"/>
      </right>
      <top/>
      <bottom style="thin">
        <color theme="0" tint="-0.24994659260841701"/>
      </bottom>
      <diagonal/>
    </border>
    <border>
      <left style="medium">
        <color rgb="FF146CB5"/>
      </left>
      <right/>
      <top style="thin">
        <color theme="0" tint="-0.24994659260841701"/>
      </top>
      <bottom style="thin">
        <color theme="0" tint="-0.24994659260841701"/>
      </bottom>
      <diagonal/>
    </border>
    <border>
      <left/>
      <right style="medium">
        <color rgb="FF146CB5"/>
      </right>
      <top style="thin">
        <color theme="0" tint="-0.24994659260841701"/>
      </top>
      <bottom style="thin">
        <color theme="0" tint="-0.24994659260841701"/>
      </bottom>
      <diagonal/>
    </border>
    <border>
      <left style="medium">
        <color rgb="FF146CB5"/>
      </left>
      <right/>
      <top style="thin">
        <color theme="0" tint="-0.24994659260841701"/>
      </top>
      <bottom style="medium">
        <color rgb="FF146CB5"/>
      </bottom>
      <diagonal/>
    </border>
    <border>
      <left/>
      <right style="medium">
        <color rgb="FF146CB5"/>
      </right>
      <top style="thin">
        <color theme="0" tint="-0.24994659260841701"/>
      </top>
      <bottom style="medium">
        <color rgb="FF146CB5"/>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medium">
        <color rgb="FF146CB5"/>
      </left>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style="thin">
        <color theme="0"/>
      </right>
      <top style="thin">
        <color theme="1"/>
      </top>
      <bottom style="thin">
        <color theme="1"/>
      </bottom>
      <diagonal/>
    </border>
    <border>
      <left style="thin">
        <color theme="0"/>
      </left>
      <right style="thin">
        <color theme="1"/>
      </right>
      <top style="thin">
        <color theme="1"/>
      </top>
      <bottom style="thin">
        <color theme="1"/>
      </bottom>
      <diagonal/>
    </border>
    <border>
      <left style="thin">
        <color theme="1"/>
      </left>
      <right style="thin">
        <color theme="0"/>
      </right>
      <top style="thin">
        <color theme="1"/>
      </top>
      <bottom/>
      <diagonal/>
    </border>
    <border>
      <left style="thin">
        <color theme="0"/>
      </left>
      <right style="thin">
        <color theme="1"/>
      </right>
      <top style="thin">
        <color theme="1"/>
      </top>
      <bottom/>
      <diagonal/>
    </border>
    <border>
      <left style="medium">
        <color rgb="FF146CB5"/>
      </left>
      <right/>
      <top style="thin">
        <color theme="0"/>
      </top>
      <bottom/>
      <diagonal/>
    </border>
    <border>
      <left style="thin">
        <color theme="0"/>
      </left>
      <right style="medium">
        <color rgb="FF146CB5"/>
      </right>
      <top style="thin">
        <color theme="1"/>
      </top>
      <bottom/>
      <diagonal/>
    </border>
    <border>
      <left style="medium">
        <color rgb="FF146CB5"/>
      </left>
      <right/>
      <top style="thin">
        <color theme="1"/>
      </top>
      <bottom style="thin">
        <color theme="1"/>
      </bottom>
      <diagonal/>
    </border>
    <border>
      <left style="thin">
        <color theme="0"/>
      </left>
      <right style="medium">
        <color rgb="FF146CB5"/>
      </right>
      <top style="thin">
        <color theme="1"/>
      </top>
      <bottom style="thin">
        <color theme="1"/>
      </bottom>
      <diagonal/>
    </border>
    <border>
      <left style="medium">
        <color rgb="FF146CB5"/>
      </left>
      <right/>
      <top style="thin">
        <color theme="1"/>
      </top>
      <bottom style="medium">
        <color rgb="FF146CB5"/>
      </bottom>
      <diagonal/>
    </border>
    <border>
      <left style="thin">
        <color theme="1"/>
      </left>
      <right style="thin">
        <color theme="0"/>
      </right>
      <top style="thin">
        <color theme="1"/>
      </top>
      <bottom style="medium">
        <color rgb="FF146CB5"/>
      </bottom>
      <diagonal/>
    </border>
    <border>
      <left style="thin">
        <color theme="0"/>
      </left>
      <right style="thin">
        <color theme="1"/>
      </right>
      <top style="thin">
        <color theme="1"/>
      </top>
      <bottom style="medium">
        <color rgb="FF146CB5"/>
      </bottom>
      <diagonal/>
    </border>
    <border>
      <left style="thin">
        <color theme="0"/>
      </left>
      <right style="medium">
        <color rgb="FF146CB5"/>
      </right>
      <top style="thin">
        <color theme="1"/>
      </top>
      <bottom style="medium">
        <color rgb="FF146CB5"/>
      </bottom>
      <diagonal/>
    </border>
    <border>
      <left style="thin">
        <color theme="1"/>
      </left>
      <right style="thin">
        <color theme="1"/>
      </right>
      <top style="medium">
        <color rgb="FF146CB5"/>
      </top>
      <bottom style="thin">
        <color theme="1"/>
      </bottom>
      <diagonal/>
    </border>
    <border>
      <left style="thin">
        <color theme="1"/>
      </left>
      <right style="medium">
        <color rgb="FF146CB5"/>
      </right>
      <top style="medium">
        <color rgb="FF146CB5"/>
      </top>
      <bottom style="thin">
        <color theme="1"/>
      </bottom>
      <diagonal/>
    </border>
    <border>
      <left style="medium">
        <color rgb="FF146CB5"/>
      </left>
      <right style="thin">
        <color theme="1"/>
      </right>
      <top style="thin">
        <color theme="1"/>
      </top>
      <bottom style="thin">
        <color theme="1"/>
      </bottom>
      <diagonal/>
    </border>
    <border>
      <left style="thin">
        <color theme="1"/>
      </left>
      <right style="medium">
        <color rgb="FF146CB5"/>
      </right>
      <top style="thin">
        <color theme="1"/>
      </top>
      <bottom style="thin">
        <color theme="1"/>
      </bottom>
      <diagonal/>
    </border>
    <border>
      <left style="medium">
        <color rgb="FF146CB5"/>
      </left>
      <right style="thin">
        <color theme="1"/>
      </right>
      <top style="thin">
        <color theme="1"/>
      </top>
      <bottom style="medium">
        <color rgb="FF146CB5"/>
      </bottom>
      <diagonal/>
    </border>
    <border>
      <left style="thin">
        <color theme="1"/>
      </left>
      <right style="thin">
        <color theme="1"/>
      </right>
      <top style="thin">
        <color theme="1"/>
      </top>
      <bottom style="medium">
        <color rgb="FF146CB5"/>
      </bottom>
      <diagonal/>
    </border>
    <border>
      <left style="thin">
        <color indexed="64"/>
      </left>
      <right style="thin">
        <color indexed="64"/>
      </right>
      <top style="thin">
        <color indexed="64"/>
      </top>
      <bottom/>
      <diagonal/>
    </border>
    <border>
      <left style="medium">
        <color rgb="FF146CB5"/>
      </left>
      <right/>
      <top style="medium">
        <color rgb="FF146CB5"/>
      </top>
      <bottom style="thin">
        <color theme="1"/>
      </bottom>
      <diagonal/>
    </border>
    <border>
      <left/>
      <right style="thin">
        <color theme="1"/>
      </right>
      <top style="medium">
        <color rgb="FF146CB5"/>
      </top>
      <bottom style="thin">
        <color theme="1"/>
      </bottom>
      <diagonal/>
    </border>
    <border>
      <left style="thin">
        <color theme="0"/>
      </left>
      <right/>
      <top/>
      <bottom style="medium">
        <color rgb="FF146CB5"/>
      </bottom>
      <diagonal/>
    </border>
    <border>
      <left style="medium">
        <color rgb="FF146CB5"/>
      </left>
      <right/>
      <top style="thin">
        <color theme="0"/>
      </top>
      <bottom style="medium">
        <color rgb="FF146CB5"/>
      </bottom>
      <diagonal/>
    </border>
    <border>
      <left/>
      <right/>
      <top style="thin">
        <color theme="0"/>
      </top>
      <bottom style="medium">
        <color rgb="FF146CB5"/>
      </bottom>
      <diagonal/>
    </border>
    <border>
      <left/>
      <right style="thin">
        <color theme="0"/>
      </right>
      <top style="thin">
        <color theme="0"/>
      </top>
      <bottom style="medium">
        <color rgb="FF146CB5"/>
      </bottom>
      <diagonal/>
    </border>
    <border>
      <left style="thin">
        <color theme="0"/>
      </left>
      <right style="thin">
        <color theme="0"/>
      </right>
      <top style="thin">
        <color theme="0"/>
      </top>
      <bottom style="medium">
        <color theme="0"/>
      </bottom>
      <diagonal/>
    </border>
    <border>
      <left style="thin">
        <color theme="1"/>
      </left>
      <right/>
      <top style="thin">
        <color theme="1"/>
      </top>
      <bottom style="medium">
        <color rgb="FF146CB5"/>
      </bottom>
      <diagonal/>
    </border>
    <border>
      <left/>
      <right style="thin">
        <color theme="1"/>
      </right>
      <top style="thin">
        <color theme="1"/>
      </top>
      <bottom style="medium">
        <color rgb="FF146CB5"/>
      </bottom>
      <diagonal/>
    </border>
    <border>
      <left style="thin">
        <color theme="1"/>
      </left>
      <right style="thin">
        <color theme="1"/>
      </right>
      <top style="thin">
        <color theme="1"/>
      </top>
      <bottom/>
      <diagonal/>
    </border>
    <border>
      <left style="thin">
        <color theme="1"/>
      </left>
      <right style="medium">
        <color rgb="FF146CB5"/>
      </right>
      <top style="thin">
        <color theme="1"/>
      </top>
      <bottom style="medium">
        <color rgb="FF146CB5"/>
      </bottom>
      <diagonal/>
    </border>
    <border>
      <left style="thin">
        <color theme="1"/>
      </left>
      <right style="thin">
        <color theme="1"/>
      </right>
      <top style="thin">
        <color rgb="FF000000"/>
      </top>
      <bottom style="medium">
        <color rgb="FF146CB5"/>
      </bottom>
      <diagonal/>
    </border>
    <border>
      <left style="thin">
        <color rgb="FF000000"/>
      </left>
      <right style="thin">
        <color rgb="FF000000"/>
      </right>
      <top style="thin">
        <color rgb="FF000000"/>
      </top>
      <bottom style="medium">
        <color rgb="FF146CB5"/>
      </bottom>
      <diagonal/>
    </border>
    <border>
      <left style="medium">
        <color rgb="FF146CB5"/>
      </left>
      <right style="medium">
        <color rgb="FF146CB5"/>
      </right>
      <top style="medium">
        <color rgb="FF146CB5"/>
      </top>
      <bottom/>
      <diagonal/>
    </border>
    <border>
      <left style="medium">
        <color rgb="FF146CB5"/>
      </left>
      <right style="medium">
        <color rgb="FF146CB5"/>
      </right>
      <top/>
      <bottom/>
      <diagonal/>
    </border>
    <border>
      <left style="medium">
        <color rgb="FF146CB5"/>
      </left>
      <right style="medium">
        <color rgb="FF146CB5"/>
      </right>
      <top style="medium">
        <color rgb="FF146CB5"/>
      </top>
      <bottom style="medium">
        <color rgb="FF146CB5"/>
      </bottom>
      <diagonal/>
    </border>
    <border>
      <left style="medium">
        <color rgb="FF146CB5"/>
      </left>
      <right/>
      <top/>
      <bottom style="medium">
        <color rgb="FF146CB5"/>
      </bottom>
      <diagonal/>
    </border>
    <border>
      <left/>
      <right/>
      <top/>
      <bottom style="medium">
        <color rgb="FF146CB5"/>
      </bottom>
      <diagonal/>
    </border>
    <border>
      <left/>
      <right/>
      <top style="medium">
        <color theme="4"/>
      </top>
      <bottom/>
      <diagonal/>
    </border>
  </borders>
  <cellStyleXfs count="5">
    <xf numFmtId="0" fontId="0" fillId="0" borderId="0"/>
    <xf numFmtId="9" fontId="1" fillId="0" borderId="0" applyFont="0" applyFill="0" applyBorder="0" applyAlignment="0" applyProtection="0"/>
    <xf numFmtId="0" fontId="1" fillId="0" borderId="0"/>
    <xf numFmtId="0" fontId="12" fillId="0" borderId="0" applyNumberFormat="0" applyFill="0" applyBorder="0" applyAlignment="0" applyProtection="0"/>
    <xf numFmtId="43" fontId="1" fillId="0" borderId="0" applyFont="0" applyFill="0" applyBorder="0" applyAlignment="0" applyProtection="0"/>
  </cellStyleXfs>
  <cellXfs count="316">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wrapText="1"/>
    </xf>
    <xf numFmtId="0" fontId="0" fillId="2" borderId="0" xfId="0" applyFill="1"/>
    <xf numFmtId="0" fontId="4" fillId="0" borderId="0" xfId="0" applyFont="1"/>
    <xf numFmtId="0" fontId="4" fillId="2" borderId="0" xfId="0" applyFont="1" applyFill="1"/>
    <xf numFmtId="4" fontId="6" fillId="2" borderId="0" xfId="2" applyNumberFormat="1" applyFont="1" applyFill="1" applyAlignment="1" applyProtection="1">
      <alignment horizontal="center" vertical="center" wrapText="1"/>
      <protection locked="0"/>
    </xf>
    <xf numFmtId="164" fontId="4" fillId="0" borderId="0" xfId="0" applyNumberFormat="1" applyFont="1"/>
    <xf numFmtId="0" fontId="10" fillId="0" borderId="0" xfId="0" applyFont="1"/>
    <xf numFmtId="0" fontId="11" fillId="2" borderId="0" xfId="0" applyFont="1" applyFill="1"/>
    <xf numFmtId="0" fontId="4" fillId="0" borderId="18" xfId="0" applyFont="1" applyBorder="1"/>
    <xf numFmtId="0" fontId="4" fillId="0" borderId="19" xfId="0" applyFont="1" applyBorder="1"/>
    <xf numFmtId="0" fontId="4" fillId="0" borderId="20" xfId="0" applyFont="1" applyBorder="1"/>
    <xf numFmtId="0" fontId="4" fillId="0" borderId="21" xfId="0" applyFont="1" applyBorder="1"/>
    <xf numFmtId="0" fontId="4" fillId="0" borderId="22" xfId="0" applyFont="1" applyBorder="1"/>
    <xf numFmtId="0" fontId="4" fillId="0" borderId="23" xfId="0" applyFont="1" applyBorder="1"/>
    <xf numFmtId="4" fontId="3" fillId="2" borderId="0" xfId="2" applyNumberFormat="1" applyFont="1" applyFill="1" applyAlignment="1">
      <alignment horizontal="left" vertical="center" wrapText="1"/>
    </xf>
    <xf numFmtId="0" fontId="5" fillId="2" borderId="0" xfId="0" applyFont="1" applyFill="1"/>
    <xf numFmtId="0" fontId="0" fillId="2" borderId="0" xfId="0" applyFill="1" applyAlignment="1">
      <alignment vertical="center"/>
    </xf>
    <xf numFmtId="0" fontId="13" fillId="2" borderId="0" xfId="0" applyFont="1" applyFill="1" applyAlignment="1">
      <alignment vertical="center" wrapText="1"/>
    </xf>
    <xf numFmtId="0" fontId="14" fillId="2" borderId="0" xfId="0" applyFont="1" applyFill="1" applyAlignment="1">
      <alignment vertical="center" wrapText="1"/>
    </xf>
    <xf numFmtId="0" fontId="4" fillId="2" borderId="0" xfId="0" applyFont="1" applyFill="1" applyAlignment="1">
      <alignment vertical="center"/>
    </xf>
    <xf numFmtId="0" fontId="4" fillId="2" borderId="0" xfId="0" applyFont="1" applyFill="1" applyAlignment="1">
      <alignment horizontal="right" vertical="center"/>
    </xf>
    <xf numFmtId="0" fontId="16" fillId="2" borderId="0" xfId="3" applyFont="1" applyFill="1" applyBorder="1" applyAlignment="1" applyProtection="1">
      <alignment horizontal="left" vertical="center" wrapText="1"/>
    </xf>
    <xf numFmtId="0" fontId="15" fillId="2" borderId="0" xfId="0" applyFont="1" applyFill="1" applyAlignment="1">
      <alignment vertical="center" wrapText="1"/>
    </xf>
    <xf numFmtId="0" fontId="17" fillId="2" borderId="0" xfId="0" applyFont="1" applyFill="1" applyAlignment="1">
      <alignment horizontal="left" vertical="center" wrapText="1"/>
    </xf>
    <xf numFmtId="0" fontId="16" fillId="2" borderId="0" xfId="3" applyFont="1" applyFill="1" applyBorder="1" applyAlignment="1" applyProtection="1">
      <alignment vertical="center" wrapText="1"/>
    </xf>
    <xf numFmtId="0" fontId="17" fillId="2" borderId="0" xfId="0" applyFont="1" applyFill="1" applyAlignment="1">
      <alignment vertical="center" wrapText="1"/>
    </xf>
    <xf numFmtId="0" fontId="19" fillId="2" borderId="0" xfId="3" applyFont="1" applyFill="1" applyBorder="1" applyAlignment="1" applyProtection="1">
      <alignment vertical="center"/>
    </xf>
    <xf numFmtId="0" fontId="11" fillId="2" borderId="0" xfId="0" applyFont="1" applyFill="1" applyAlignment="1">
      <alignment vertical="center"/>
    </xf>
    <xf numFmtId="0" fontId="5" fillId="2" borderId="0" xfId="0" applyFont="1" applyFill="1" applyAlignment="1">
      <alignment wrapText="1"/>
    </xf>
    <xf numFmtId="14" fontId="4" fillId="2" borderId="28" xfId="0" applyNumberFormat="1" applyFont="1" applyFill="1" applyBorder="1" applyAlignment="1">
      <alignment horizontal="left" vertical="center"/>
    </xf>
    <xf numFmtId="0" fontId="9" fillId="2" borderId="0" xfId="0" applyFont="1" applyFill="1" applyAlignment="1">
      <alignment vertical="center"/>
    </xf>
    <xf numFmtId="0" fontId="9" fillId="2" borderId="29" xfId="0" applyFont="1" applyFill="1" applyBorder="1" applyAlignment="1">
      <alignment vertical="center"/>
    </xf>
    <xf numFmtId="0" fontId="4" fillId="7" borderId="24" xfId="0" applyFont="1" applyFill="1" applyBorder="1" applyProtection="1">
      <protection locked="0"/>
    </xf>
    <xf numFmtId="0" fontId="4" fillId="7" borderId="24" xfId="0" applyFont="1" applyFill="1" applyBorder="1" applyAlignment="1" applyProtection="1">
      <alignment horizontal="left"/>
      <protection locked="0"/>
    </xf>
    <xf numFmtId="0" fontId="6" fillId="7" borderId="24" xfId="2" applyFont="1" applyFill="1" applyBorder="1" applyAlignment="1" applyProtection="1">
      <alignment horizontal="center" vertical="center" wrapText="1"/>
      <protection locked="0"/>
    </xf>
    <xf numFmtId="4" fontId="6" fillId="7" borderId="24" xfId="2" applyNumberFormat="1" applyFont="1" applyFill="1" applyBorder="1" applyAlignment="1" applyProtection="1">
      <alignment horizontal="center" vertical="center" wrapText="1"/>
      <protection locked="0"/>
    </xf>
    <xf numFmtId="14" fontId="2" fillId="0" borderId="0" xfId="0" applyNumberFormat="1" applyFont="1" applyAlignment="1">
      <alignment wrapText="1"/>
    </xf>
    <xf numFmtId="0" fontId="20" fillId="2" borderId="28" xfId="3" applyFont="1" applyFill="1" applyBorder="1" applyAlignment="1" applyProtection="1">
      <alignment vertical="center"/>
    </xf>
    <xf numFmtId="4" fontId="6" fillId="6" borderId="24" xfId="2" applyNumberFormat="1" applyFont="1" applyFill="1" applyBorder="1" applyAlignment="1">
      <alignment horizontal="center" vertical="center" wrapText="1"/>
    </xf>
    <xf numFmtId="0" fontId="7" fillId="4" borderId="24" xfId="2" applyFont="1" applyFill="1" applyBorder="1" applyAlignment="1">
      <alignment vertical="center" wrapText="1"/>
    </xf>
    <xf numFmtId="49" fontId="7" fillId="4" borderId="24" xfId="2" applyNumberFormat="1" applyFont="1" applyFill="1" applyBorder="1" applyAlignment="1">
      <alignment horizontal="center" vertical="center" wrapText="1"/>
    </xf>
    <xf numFmtId="0" fontId="0" fillId="9" borderId="0" xfId="0" applyFill="1"/>
    <xf numFmtId="0" fontId="0" fillId="9" borderId="29" xfId="0" applyFill="1" applyBorder="1"/>
    <xf numFmtId="0" fontId="0" fillId="2" borderId="31" xfId="0" applyFill="1" applyBorder="1"/>
    <xf numFmtId="0" fontId="0" fillId="2" borderId="32" xfId="0" applyFill="1" applyBorder="1"/>
    <xf numFmtId="0" fontId="24" fillId="3" borderId="24" xfId="3" quotePrefix="1" applyFont="1" applyFill="1" applyBorder="1" applyAlignment="1">
      <alignment horizontal="center"/>
    </xf>
    <xf numFmtId="0" fontId="24" fillId="13" borderId="24" xfId="3" applyFont="1" applyFill="1" applyBorder="1" applyAlignment="1" applyProtection="1">
      <alignment horizontal="center" vertical="center" wrapText="1"/>
    </xf>
    <xf numFmtId="0" fontId="5" fillId="2" borderId="0" xfId="0" applyFont="1" applyFill="1" applyAlignment="1">
      <alignment horizontal="left" wrapText="1"/>
    </xf>
    <xf numFmtId="0" fontId="7" fillId="3" borderId="8" xfId="0" applyFont="1" applyFill="1" applyBorder="1" applyAlignment="1">
      <alignment horizontal="left" vertical="center"/>
    </xf>
    <xf numFmtId="0" fontId="4" fillId="2" borderId="28" xfId="0" applyFont="1" applyFill="1" applyBorder="1" applyAlignment="1">
      <alignment horizontal="left" vertical="top" wrapText="1"/>
    </xf>
    <xf numFmtId="0" fontId="4" fillId="2" borderId="28" xfId="0" applyFont="1" applyFill="1" applyBorder="1" applyAlignment="1">
      <alignment horizontal="left" wrapText="1"/>
    </xf>
    <xf numFmtId="0" fontId="6" fillId="2" borderId="28" xfId="0" applyFont="1" applyFill="1" applyBorder="1" applyAlignment="1">
      <alignment horizontal="left" vertical="top" wrapText="1"/>
    </xf>
    <xf numFmtId="0" fontId="6" fillId="2" borderId="31" xfId="0" applyFont="1" applyFill="1" applyBorder="1" applyAlignment="1">
      <alignment horizontal="left" wrapText="1"/>
    </xf>
    <xf numFmtId="0" fontId="0" fillId="0" borderId="36" xfId="0" applyBorder="1"/>
    <xf numFmtId="0" fontId="0" fillId="0" borderId="44" xfId="0" applyBorder="1"/>
    <xf numFmtId="0" fontId="0" fillId="0" borderId="46" xfId="0" applyBorder="1"/>
    <xf numFmtId="164" fontId="4" fillId="0" borderId="36" xfId="0" applyNumberFormat="1" applyFont="1" applyBorder="1"/>
    <xf numFmtId="0" fontId="4" fillId="0" borderId="36" xfId="0" applyFont="1" applyBorder="1"/>
    <xf numFmtId="0" fontId="0" fillId="0" borderId="49" xfId="0" applyBorder="1"/>
    <xf numFmtId="164" fontId="4" fillId="0" borderId="46" xfId="0" applyNumberFormat="1" applyFont="1" applyBorder="1"/>
    <xf numFmtId="0" fontId="4" fillId="0" borderId="47" xfId="0" applyFont="1" applyBorder="1"/>
    <xf numFmtId="4" fontId="4" fillId="0" borderId="45" xfId="0" applyNumberFormat="1" applyFont="1" applyBorder="1"/>
    <xf numFmtId="0" fontId="4" fillId="0" borderId="45" xfId="0" applyFont="1" applyBorder="1"/>
    <xf numFmtId="164" fontId="4" fillId="0" borderId="41" xfId="0" applyNumberFormat="1" applyFont="1" applyBorder="1"/>
    <xf numFmtId="0" fontId="4" fillId="0" borderId="46" xfId="0" applyFont="1" applyBorder="1"/>
    <xf numFmtId="164" fontId="4" fillId="0" borderId="47" xfId="0" applyNumberFormat="1" applyFont="1" applyBorder="1"/>
    <xf numFmtId="164" fontId="4" fillId="2" borderId="0" xfId="0" applyNumberFormat="1" applyFont="1" applyFill="1"/>
    <xf numFmtId="164" fontId="4" fillId="0" borderId="49" xfId="0" applyNumberFormat="1" applyFont="1" applyBorder="1"/>
    <xf numFmtId="164" fontId="4" fillId="0" borderId="39" xfId="0" applyNumberFormat="1" applyFont="1" applyBorder="1"/>
    <xf numFmtId="0" fontId="4" fillId="0" borderId="49" xfId="0" applyFont="1" applyBorder="1"/>
    <xf numFmtId="0" fontId="4" fillId="2" borderId="37" xfId="0" applyFont="1" applyFill="1" applyBorder="1"/>
    <xf numFmtId="0" fontId="4" fillId="2" borderId="42" xfId="0" applyFont="1" applyFill="1" applyBorder="1"/>
    <xf numFmtId="0" fontId="4" fillId="0" borderId="40" xfId="0" applyFont="1" applyBorder="1"/>
    <xf numFmtId="0" fontId="4" fillId="2" borderId="49" xfId="0" applyFont="1" applyFill="1" applyBorder="1"/>
    <xf numFmtId="0" fontId="4" fillId="0" borderId="44" xfId="0" applyFont="1" applyBorder="1"/>
    <xf numFmtId="0" fontId="5" fillId="0" borderId="58" xfId="0" applyFont="1" applyBorder="1" applyAlignment="1">
      <alignment horizontal="center"/>
    </xf>
    <xf numFmtId="0" fontId="5" fillId="0" borderId="60" xfId="0" applyFont="1" applyBorder="1" applyAlignment="1">
      <alignment horizontal="center"/>
    </xf>
    <xf numFmtId="164" fontId="4" fillId="0" borderId="44" xfId="0" applyNumberFormat="1" applyFont="1" applyBorder="1"/>
    <xf numFmtId="0" fontId="4" fillId="0" borderId="51" xfId="0" applyFont="1" applyBorder="1"/>
    <xf numFmtId="164" fontId="4" fillId="0" borderId="51" xfId="0" applyNumberFormat="1" applyFont="1" applyBorder="1"/>
    <xf numFmtId="0" fontId="4" fillId="10" borderId="51" xfId="0" applyFont="1" applyFill="1" applyBorder="1"/>
    <xf numFmtId="164" fontId="4" fillId="10" borderId="51" xfId="0" applyNumberFormat="1" applyFont="1" applyFill="1" applyBorder="1"/>
    <xf numFmtId="0" fontId="4" fillId="2" borderId="51" xfId="0" applyFont="1" applyFill="1" applyBorder="1"/>
    <xf numFmtId="164" fontId="4" fillId="2" borderId="51" xfId="0" applyNumberFormat="1" applyFont="1" applyFill="1" applyBorder="1"/>
    <xf numFmtId="164" fontId="4" fillId="0" borderId="67" xfId="0" applyNumberFormat="1" applyFont="1" applyBorder="1"/>
    <xf numFmtId="164" fontId="4" fillId="0" borderId="69" xfId="0" applyNumberFormat="1" applyFont="1" applyBorder="1"/>
    <xf numFmtId="0" fontId="4" fillId="7" borderId="70" xfId="0" applyFont="1" applyFill="1" applyBorder="1" applyProtection="1">
      <protection locked="0"/>
    </xf>
    <xf numFmtId="0" fontId="6" fillId="2" borderId="0" xfId="0" applyFont="1" applyFill="1" applyAlignment="1">
      <alignment horizontal="left" vertical="top" wrapText="1"/>
    </xf>
    <xf numFmtId="0" fontId="4" fillId="2" borderId="0" xfId="0" applyFont="1" applyFill="1" applyAlignment="1">
      <alignment horizontal="left" wrapText="1"/>
    </xf>
    <xf numFmtId="0" fontId="4" fillId="2" borderId="0" xfId="0" applyFont="1" applyFill="1" applyAlignment="1">
      <alignment horizontal="left" vertical="top" wrapText="1"/>
    </xf>
    <xf numFmtId="4" fontId="3" fillId="2" borderId="28" xfId="2" applyNumberFormat="1" applyFont="1" applyFill="1" applyBorder="1" applyAlignment="1">
      <alignment horizontal="left" vertical="center" wrapText="1"/>
    </xf>
    <xf numFmtId="0" fontId="5" fillId="2" borderId="28" xfId="0" applyFont="1" applyFill="1" applyBorder="1"/>
    <xf numFmtId="0" fontId="4" fillId="7" borderId="51" xfId="0" applyFont="1" applyFill="1" applyBorder="1" applyProtection="1">
      <protection locked="0"/>
    </xf>
    <xf numFmtId="0" fontId="7" fillId="3" borderId="4" xfId="0" applyFont="1" applyFill="1" applyBorder="1" applyAlignment="1">
      <alignment vertical="center"/>
    </xf>
    <xf numFmtId="166" fontId="4" fillId="6" borderId="5" xfId="4" applyNumberFormat="1" applyFont="1" applyFill="1" applyBorder="1" applyAlignment="1">
      <alignment horizontal="right" vertical="center"/>
    </xf>
    <xf numFmtId="0" fontId="5" fillId="2" borderId="0" xfId="0" applyFont="1" applyFill="1" applyAlignment="1">
      <alignment vertical="center"/>
    </xf>
    <xf numFmtId="0" fontId="7" fillId="3" borderId="8" xfId="0" applyFont="1" applyFill="1" applyBorder="1" applyAlignment="1">
      <alignment vertical="center"/>
    </xf>
    <xf numFmtId="166" fontId="4" fillId="6" borderId="10" xfId="4" applyNumberFormat="1" applyFont="1" applyFill="1" applyBorder="1" applyAlignment="1">
      <alignment horizontal="right" vertical="center"/>
    </xf>
    <xf numFmtId="166" fontId="4" fillId="6" borderId="10" xfId="4" applyNumberFormat="1" applyFont="1" applyFill="1" applyBorder="1" applyAlignment="1">
      <alignment horizontal="center" vertical="center"/>
    </xf>
    <xf numFmtId="0" fontId="22" fillId="3" borderId="8" xfId="0" applyFont="1" applyFill="1" applyBorder="1" applyAlignment="1">
      <alignment vertical="center"/>
    </xf>
    <xf numFmtId="166" fontId="23" fillId="14" borderId="9" xfId="4" applyNumberFormat="1" applyFont="1" applyFill="1" applyBorder="1" applyAlignment="1">
      <alignment vertical="center"/>
    </xf>
    <xf numFmtId="0" fontId="8" fillId="2" borderId="10" xfId="0" applyFont="1" applyFill="1" applyBorder="1" applyAlignment="1">
      <alignment vertical="center"/>
    </xf>
    <xf numFmtId="0" fontId="21" fillId="2" borderId="6" xfId="0" applyFont="1" applyFill="1" applyBorder="1" applyAlignment="1">
      <alignment vertical="center"/>
    </xf>
    <xf numFmtId="0" fontId="21" fillId="2" borderId="0" xfId="0" applyFont="1" applyFill="1" applyAlignment="1">
      <alignment vertical="center"/>
    </xf>
    <xf numFmtId="0" fontId="7" fillId="3" borderId="6" xfId="0" applyFont="1" applyFill="1" applyBorder="1" applyAlignment="1">
      <alignment vertical="center"/>
    </xf>
    <xf numFmtId="0" fontId="7" fillId="3" borderId="7" xfId="0" applyFont="1" applyFill="1" applyBorder="1" applyAlignment="1">
      <alignment vertical="center"/>
    </xf>
    <xf numFmtId="0" fontId="7" fillId="11" borderId="11" xfId="0" applyFont="1" applyFill="1" applyBorder="1" applyAlignment="1">
      <alignment horizontal="center" vertical="center" wrapText="1"/>
    </xf>
    <xf numFmtId="0" fontId="7" fillId="11" borderId="17" xfId="0" applyFont="1" applyFill="1" applyBorder="1" applyAlignment="1">
      <alignment horizontal="center" vertical="center" wrapText="1"/>
    </xf>
    <xf numFmtId="0" fontId="4" fillId="0" borderId="0" xfId="0" applyFont="1" applyAlignment="1">
      <alignment wrapText="1"/>
    </xf>
    <xf numFmtId="0" fontId="4"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0" fillId="0" borderId="49" xfId="0" applyBorder="1" applyAlignment="1">
      <alignment vertical="center"/>
    </xf>
    <xf numFmtId="0" fontId="7" fillId="3" borderId="64" xfId="0" applyFont="1" applyFill="1" applyBorder="1" applyAlignment="1">
      <alignment horizontal="center" vertical="center"/>
    </xf>
    <xf numFmtId="0" fontId="7" fillId="3" borderId="65" xfId="0" applyFont="1" applyFill="1" applyBorder="1" applyAlignment="1">
      <alignment horizontal="center" vertical="center"/>
    </xf>
    <xf numFmtId="0" fontId="4" fillId="0" borderId="47" xfId="0" applyFont="1" applyBorder="1" applyAlignment="1">
      <alignment vertical="center"/>
    </xf>
    <xf numFmtId="0" fontId="0" fillId="0" borderId="36" xfId="0" applyBorder="1" applyAlignment="1">
      <alignment vertical="center"/>
    </xf>
    <xf numFmtId="0" fontId="0" fillId="0" borderId="0" xfId="0" applyAlignment="1">
      <alignment vertical="center"/>
    </xf>
    <xf numFmtId="0" fontId="0" fillId="2" borderId="0" xfId="0" applyFill="1" applyAlignment="1">
      <alignment wrapText="1"/>
    </xf>
    <xf numFmtId="0" fontId="4" fillId="2" borderId="36" xfId="0" applyFont="1" applyFill="1" applyBorder="1"/>
    <xf numFmtId="168" fontId="26" fillId="0" borderId="0" xfId="0" applyNumberFormat="1" applyFont="1"/>
    <xf numFmtId="167" fontId="4" fillId="2" borderId="0" xfId="0" applyNumberFormat="1" applyFont="1" applyFill="1"/>
    <xf numFmtId="164" fontId="4" fillId="0" borderId="43" xfId="0" applyNumberFormat="1" applyFont="1" applyBorder="1"/>
    <xf numFmtId="164" fontId="4" fillId="0" borderId="77" xfId="0" applyNumberFormat="1" applyFont="1" applyBorder="1"/>
    <xf numFmtId="164" fontId="4" fillId="0" borderId="79" xfId="0" applyNumberFormat="1" applyFont="1" applyBorder="1"/>
    <xf numFmtId="164" fontId="4" fillId="0" borderId="81" xfId="0" applyNumberFormat="1" applyFont="1" applyBorder="1"/>
    <xf numFmtId="0" fontId="4" fillId="0" borderId="80" xfId="0" applyFont="1" applyBorder="1"/>
    <xf numFmtId="0" fontId="4" fillId="0" borderId="82" xfId="0" applyFont="1" applyBorder="1"/>
    <xf numFmtId="164" fontId="4" fillId="0" borderId="83" xfId="0" applyNumberFormat="1" applyFont="1" applyBorder="1"/>
    <xf numFmtId="164" fontId="4" fillId="10" borderId="67" xfId="0" applyNumberFormat="1" applyFont="1" applyFill="1" applyBorder="1"/>
    <xf numFmtId="0" fontId="4" fillId="6" borderId="84" xfId="0" applyFont="1" applyFill="1" applyBorder="1" applyAlignment="1">
      <alignment horizontal="left" vertical="center"/>
    </xf>
    <xf numFmtId="0" fontId="4" fillId="6" borderId="85" xfId="0" applyFont="1" applyFill="1" applyBorder="1" applyAlignment="1">
      <alignment horizontal="left" vertical="center"/>
    </xf>
    <xf numFmtId="0" fontId="5" fillId="14" borderId="86" xfId="0" applyFont="1" applyFill="1" applyBorder="1" applyAlignment="1">
      <alignment vertical="center"/>
    </xf>
    <xf numFmtId="4" fontId="4" fillId="0" borderId="0" xfId="0" applyNumberFormat="1" applyFont="1" applyAlignment="1">
      <alignment horizontal="left"/>
    </xf>
    <xf numFmtId="4" fontId="4" fillId="0" borderId="0" xfId="0" applyNumberFormat="1" applyFont="1"/>
    <xf numFmtId="0" fontId="3" fillId="10" borderId="14" xfId="0" applyFont="1" applyFill="1" applyBorder="1" applyAlignment="1">
      <alignment vertical="center" wrapText="1"/>
    </xf>
    <xf numFmtId="0" fontId="3" fillId="10" borderId="0" xfId="0" applyFont="1" applyFill="1" applyAlignment="1">
      <alignment horizontal="center" vertical="center" wrapText="1"/>
    </xf>
    <xf numFmtId="0" fontId="3" fillId="10" borderId="15" xfId="0" applyFont="1" applyFill="1" applyBorder="1" applyAlignment="1">
      <alignment horizontal="center" vertical="center" wrapText="1"/>
    </xf>
    <xf numFmtId="164" fontId="4" fillId="6" borderId="0" xfId="4" applyNumberFormat="1" applyFont="1" applyFill="1" applyBorder="1" applyAlignment="1">
      <alignment horizontal="right"/>
    </xf>
    <xf numFmtId="164" fontId="4" fillId="14" borderId="0" xfId="4" applyNumberFormat="1" applyFont="1" applyFill="1" applyBorder="1" applyAlignment="1">
      <alignment horizontal="right"/>
    </xf>
    <xf numFmtId="164" fontId="4" fillId="14" borderId="15" xfId="4" applyNumberFormat="1" applyFont="1" applyFill="1" applyBorder="1" applyAlignment="1">
      <alignment horizontal="right"/>
    </xf>
    <xf numFmtId="164" fontId="4" fillId="14" borderId="88" xfId="4" applyNumberFormat="1" applyFont="1" applyFill="1" applyBorder="1" applyAlignment="1">
      <alignment horizontal="right"/>
    </xf>
    <xf numFmtId="164" fontId="4" fillId="14" borderId="16" xfId="4" applyNumberFormat="1" applyFont="1" applyFill="1" applyBorder="1" applyAlignment="1">
      <alignment horizontal="right"/>
    </xf>
    <xf numFmtId="165" fontId="4" fillId="6" borderId="15" xfId="1" applyNumberFormat="1" applyFont="1" applyFill="1" applyBorder="1" applyAlignment="1">
      <alignment horizontal="right"/>
    </xf>
    <xf numFmtId="165" fontId="4" fillId="6" borderId="16" xfId="1" applyNumberFormat="1" applyFont="1" applyFill="1" applyBorder="1" applyAlignment="1">
      <alignment horizontal="right"/>
    </xf>
    <xf numFmtId="165" fontId="4" fillId="2" borderId="0" xfId="0" applyNumberFormat="1" applyFont="1" applyFill="1"/>
    <xf numFmtId="0" fontId="5" fillId="10" borderId="0" xfId="0" applyFont="1" applyFill="1" applyAlignment="1">
      <alignment horizontal="center" vertical="center" wrapText="1"/>
    </xf>
    <xf numFmtId="164" fontId="4" fillId="6" borderId="88" xfId="4" applyNumberFormat="1" applyFont="1" applyFill="1" applyBorder="1" applyAlignment="1">
      <alignment horizontal="right"/>
    </xf>
    <xf numFmtId="0" fontId="7" fillId="3" borderId="89" xfId="0" applyFont="1" applyFill="1" applyBorder="1" applyAlignment="1">
      <alignment vertical="center"/>
    </xf>
    <xf numFmtId="0" fontId="7" fillId="3" borderId="9" xfId="0" applyFont="1" applyFill="1" applyBorder="1" applyAlignment="1">
      <alignment vertical="center"/>
    </xf>
    <xf numFmtId="0" fontId="7" fillId="3" borderId="9" xfId="0" applyFont="1" applyFill="1" applyBorder="1" applyAlignment="1">
      <alignment horizontal="left" vertical="center"/>
    </xf>
    <xf numFmtId="0" fontId="22" fillId="3" borderId="9" xfId="0" applyFont="1" applyFill="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0" fillId="2" borderId="49" xfId="0" applyFill="1" applyBorder="1"/>
    <xf numFmtId="4" fontId="4" fillId="2" borderId="0" xfId="0" applyNumberFormat="1" applyFont="1" applyFill="1" applyAlignment="1">
      <alignment horizontal="left"/>
    </xf>
    <xf numFmtId="4" fontId="4" fillId="2" borderId="0" xfId="0" applyNumberFormat="1" applyFont="1" applyFill="1"/>
    <xf numFmtId="0" fontId="4" fillId="2" borderId="47" xfId="0" applyFont="1" applyFill="1" applyBorder="1"/>
    <xf numFmtId="0" fontId="0" fillId="2" borderId="36" xfId="0" applyFill="1" applyBorder="1"/>
    <xf numFmtId="0" fontId="7" fillId="2" borderId="0" xfId="0" applyFont="1" applyFill="1" applyAlignment="1">
      <alignment horizontal="center" vertical="center" wrapText="1"/>
    </xf>
    <xf numFmtId="0" fontId="7" fillId="3" borderId="4" xfId="0" applyFont="1" applyFill="1" applyBorder="1" applyAlignment="1">
      <alignment horizontal="center" vertical="center" wrapText="1"/>
    </xf>
    <xf numFmtId="0" fontId="7" fillId="3" borderId="89" xfId="0" applyFont="1" applyFill="1" applyBorder="1" applyAlignment="1">
      <alignment horizontal="center" vertical="center" wrapText="1"/>
    </xf>
    <xf numFmtId="0" fontId="7" fillId="3" borderId="5" xfId="0" applyFont="1" applyFill="1" applyBorder="1" applyAlignment="1">
      <alignment horizontal="center" vertical="center" wrapText="1"/>
    </xf>
    <xf numFmtId="164" fontId="4" fillId="0" borderId="78" xfId="0" applyNumberFormat="1" applyFont="1" applyBorder="1"/>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164" fontId="4" fillId="6" borderId="14" xfId="4" applyNumberFormat="1" applyFont="1" applyFill="1" applyBorder="1" applyAlignment="1">
      <alignment horizontal="right" vertical="center"/>
    </xf>
    <xf numFmtId="164" fontId="4" fillId="6" borderId="0" xfId="4" applyNumberFormat="1" applyFont="1" applyFill="1" applyBorder="1" applyAlignment="1">
      <alignment horizontal="right" vertical="center"/>
    </xf>
    <xf numFmtId="164" fontId="4" fillId="6" borderId="87" xfId="4" applyNumberFormat="1" applyFont="1" applyFill="1" applyBorder="1" applyAlignment="1">
      <alignment horizontal="right" vertical="center"/>
    </xf>
    <xf numFmtId="164" fontId="4" fillId="6" borderId="88" xfId="4" applyNumberFormat="1" applyFont="1" applyFill="1" applyBorder="1" applyAlignment="1">
      <alignment horizontal="right" vertical="center"/>
    </xf>
    <xf numFmtId="0" fontId="25" fillId="2" borderId="0" xfId="0" applyFont="1" applyFill="1" applyAlignment="1">
      <alignment horizontal="left" vertical="center" wrapText="1"/>
    </xf>
    <xf numFmtId="166" fontId="4" fillId="14" borderId="0" xfId="4" applyNumberFormat="1" applyFont="1" applyFill="1" applyBorder="1" applyAlignment="1">
      <alignment horizontal="right" vertical="center"/>
    </xf>
    <xf numFmtId="166" fontId="4" fillId="14" borderId="15" xfId="4" applyNumberFormat="1" applyFont="1" applyFill="1" applyBorder="1" applyAlignment="1">
      <alignment horizontal="right" vertical="center"/>
    </xf>
    <xf numFmtId="166" fontId="4" fillId="14" borderId="88" xfId="4" applyNumberFormat="1" applyFont="1" applyFill="1" applyBorder="1" applyAlignment="1">
      <alignment horizontal="right" vertical="center"/>
    </xf>
    <xf numFmtId="166" fontId="4" fillId="14" borderId="16" xfId="4" applyNumberFormat="1" applyFont="1" applyFill="1" applyBorder="1" applyAlignment="1">
      <alignment horizontal="right" vertical="center"/>
    </xf>
    <xf numFmtId="10" fontId="4" fillId="6" borderId="10" xfId="1" applyNumberFormat="1" applyFont="1" applyFill="1" applyBorder="1" applyAlignment="1">
      <alignment horizontal="center" vertical="center"/>
    </xf>
    <xf numFmtId="10" fontId="5" fillId="14" borderId="16" xfId="1" applyNumberFormat="1" applyFont="1" applyFill="1" applyBorder="1" applyAlignment="1">
      <alignment horizontal="right"/>
    </xf>
    <xf numFmtId="0" fontId="15" fillId="2" borderId="0" xfId="0" applyFont="1" applyFill="1" applyAlignment="1">
      <alignment vertical="center"/>
    </xf>
    <xf numFmtId="0" fontId="24" fillId="3" borderId="24" xfId="3" quotePrefix="1" applyFont="1" applyFill="1" applyBorder="1" applyAlignment="1" applyProtection="1">
      <alignment horizontal="center" vertical="center" wrapText="1"/>
    </xf>
    <xf numFmtId="0" fontId="4" fillId="0" borderId="0" xfId="0" quotePrefix="1" applyFont="1"/>
    <xf numFmtId="0" fontId="4" fillId="6" borderId="10" xfId="0" applyFont="1" applyFill="1" applyBorder="1" applyAlignment="1">
      <alignment horizontal="center" vertical="center" wrapText="1"/>
    </xf>
    <xf numFmtId="0" fontId="4" fillId="2" borderId="28" xfId="0" applyFont="1" applyFill="1" applyBorder="1"/>
    <xf numFmtId="0" fontId="4" fillId="0" borderId="56" xfId="0" applyFont="1" applyBorder="1"/>
    <xf numFmtId="0" fontId="7" fillId="3" borderId="11" xfId="0" applyFont="1" applyFill="1" applyBorder="1"/>
    <xf numFmtId="0" fontId="7" fillId="3" borderId="12" xfId="0" applyFont="1" applyFill="1" applyBorder="1"/>
    <xf numFmtId="0" fontId="7" fillId="3" borderId="13" xfId="0" applyFont="1" applyFill="1" applyBorder="1"/>
    <xf numFmtId="0" fontId="4" fillId="2" borderId="0" xfId="0" applyFont="1" applyFill="1" applyAlignment="1">
      <alignment wrapText="1"/>
    </xf>
    <xf numFmtId="0" fontId="3" fillId="2" borderId="14" xfId="0" applyFont="1" applyFill="1" applyBorder="1" applyAlignment="1">
      <alignment horizontal="left" vertical="center"/>
    </xf>
    <xf numFmtId="0" fontId="3" fillId="2" borderId="0" xfId="0" applyFont="1" applyFill="1" applyAlignment="1">
      <alignment horizontal="left" vertical="center"/>
    </xf>
    <xf numFmtId="0" fontId="5" fillId="5" borderId="33" xfId="0" applyFont="1" applyFill="1" applyBorder="1" applyAlignment="1">
      <alignment vertical="center"/>
    </xf>
    <xf numFmtId="0" fontId="5" fillId="5" borderId="35" xfId="0" applyFont="1" applyFill="1" applyBorder="1" applyAlignment="1">
      <alignment vertical="center"/>
    </xf>
    <xf numFmtId="0" fontId="5" fillId="5" borderId="34" xfId="0" applyFont="1" applyFill="1" applyBorder="1" applyAlignment="1">
      <alignment vertical="center"/>
    </xf>
    <xf numFmtId="0" fontId="4" fillId="2" borderId="30" xfId="0" applyFont="1" applyFill="1" applyBorder="1" applyAlignment="1">
      <alignment horizontal="left" vertical="center"/>
    </xf>
    <xf numFmtId="0" fontId="4" fillId="2" borderId="31" xfId="0" applyFont="1" applyFill="1" applyBorder="1" applyAlignment="1">
      <alignment horizontal="left" vertical="center"/>
    </xf>
    <xf numFmtId="0" fontId="11" fillId="9" borderId="33" xfId="0" applyFont="1" applyFill="1" applyBorder="1" applyAlignment="1">
      <alignment horizontal="left" vertical="center"/>
    </xf>
    <xf numFmtId="0" fontId="11" fillId="9" borderId="35" xfId="0" applyFont="1" applyFill="1" applyBorder="1" applyAlignment="1">
      <alignment horizontal="left" vertical="center"/>
    </xf>
    <xf numFmtId="0" fontId="11" fillId="9" borderId="34" xfId="0" applyFont="1" applyFill="1" applyBorder="1" applyAlignment="1">
      <alignment horizontal="left" vertical="center"/>
    </xf>
    <xf numFmtId="0" fontId="18" fillId="9" borderId="28" xfId="0" applyFont="1" applyFill="1" applyBorder="1" applyAlignment="1">
      <alignment horizontal="left" vertical="center"/>
    </xf>
    <xf numFmtId="0" fontId="18" fillId="9" borderId="0" xfId="0" applyFont="1" applyFill="1" applyAlignment="1">
      <alignment horizontal="left" vertical="center"/>
    </xf>
    <xf numFmtId="0" fontId="20" fillId="2" borderId="31" xfId="3" applyFont="1" applyFill="1" applyBorder="1" applyAlignment="1">
      <alignment horizontal="left" vertical="center" wrapText="1"/>
    </xf>
    <xf numFmtId="0" fontId="18" fillId="9" borderId="29" xfId="0" applyFont="1" applyFill="1" applyBorder="1" applyAlignment="1">
      <alignment horizontal="left" vertical="center"/>
    </xf>
    <xf numFmtId="0" fontId="4" fillId="8" borderId="28" xfId="0" applyFont="1" applyFill="1" applyBorder="1" applyAlignment="1">
      <alignment horizontal="left" vertical="center" wrapText="1"/>
    </xf>
    <xf numFmtId="0" fontId="4" fillId="8" borderId="0" xfId="0" applyFont="1" applyFill="1" applyAlignment="1">
      <alignment horizontal="left" vertical="center" wrapText="1"/>
    </xf>
    <xf numFmtId="0" fontId="4" fillId="8" borderId="29" xfId="0" applyFont="1" applyFill="1" applyBorder="1" applyAlignment="1">
      <alignment horizontal="left" vertical="center" wrapText="1"/>
    </xf>
    <xf numFmtId="0" fontId="5" fillId="8" borderId="28" xfId="0" applyFont="1" applyFill="1" applyBorder="1" applyAlignment="1">
      <alignment horizontal="left" vertical="center" wrapText="1"/>
    </xf>
    <xf numFmtId="0" fontId="5" fillId="8" borderId="0" xfId="0" applyFont="1" applyFill="1" applyAlignment="1">
      <alignment horizontal="left" vertical="center" wrapText="1"/>
    </xf>
    <xf numFmtId="0" fontId="5" fillId="8" borderId="29" xfId="0" applyFont="1" applyFill="1" applyBorder="1" applyAlignment="1">
      <alignment horizontal="left" vertical="center" wrapText="1"/>
    </xf>
    <xf numFmtId="0" fontId="21" fillId="8" borderId="28" xfId="0" applyFont="1" applyFill="1" applyBorder="1" applyAlignment="1">
      <alignment horizontal="left" vertical="center" wrapText="1"/>
    </xf>
    <xf numFmtId="0" fontId="21" fillId="8" borderId="0" xfId="0" applyFont="1" applyFill="1" applyAlignment="1">
      <alignment horizontal="left" vertical="center" wrapText="1"/>
    </xf>
    <xf numFmtId="0" fontId="21" fillId="8" borderId="29" xfId="0" applyFont="1" applyFill="1" applyBorder="1" applyAlignment="1">
      <alignment horizontal="left" vertical="center" wrapText="1"/>
    </xf>
    <xf numFmtId="0" fontId="4" fillId="2" borderId="28" xfId="0" applyFont="1" applyFill="1" applyBorder="1"/>
    <xf numFmtId="0" fontId="4" fillId="2" borderId="0" xfId="0" applyFont="1" applyFill="1"/>
    <xf numFmtId="0" fontId="22" fillId="9" borderId="28" xfId="0" applyFont="1" applyFill="1" applyBorder="1" applyAlignment="1">
      <alignment horizontal="left" vertical="center"/>
    </xf>
    <xf numFmtId="0" fontId="22" fillId="9" borderId="0" xfId="0" applyFont="1" applyFill="1" applyAlignment="1">
      <alignment horizontal="left" vertical="center"/>
    </xf>
    <xf numFmtId="0" fontId="22" fillId="9" borderId="29" xfId="0" applyFont="1" applyFill="1" applyBorder="1" applyAlignment="1">
      <alignment horizontal="left" vertical="center"/>
    </xf>
    <xf numFmtId="0" fontId="4" fillId="8" borderId="28" xfId="0" quotePrefix="1" applyFont="1" applyFill="1" applyBorder="1" applyAlignment="1">
      <alignment horizontal="left" vertical="center" wrapText="1"/>
    </xf>
    <xf numFmtId="0" fontId="4" fillId="8" borderId="28" xfId="0" quotePrefix="1" applyFont="1" applyFill="1" applyBorder="1" applyAlignment="1">
      <alignment horizontal="left" wrapText="1"/>
    </xf>
    <xf numFmtId="0" fontId="4" fillId="8" borderId="0" xfId="0" quotePrefix="1" applyFont="1" applyFill="1" applyAlignment="1">
      <alignment horizontal="left" wrapText="1"/>
    </xf>
    <xf numFmtId="0" fontId="4" fillId="8" borderId="29" xfId="0" quotePrefix="1" applyFont="1" applyFill="1" applyBorder="1" applyAlignment="1">
      <alignment horizontal="left" wrapText="1"/>
    </xf>
    <xf numFmtId="0" fontId="22" fillId="9" borderId="25" xfId="0" applyFont="1" applyFill="1" applyBorder="1" applyAlignment="1">
      <alignment horizontal="left" vertical="center"/>
    </xf>
    <xf numFmtId="0" fontId="22" fillId="9" borderId="26" xfId="0" applyFont="1" applyFill="1" applyBorder="1" applyAlignment="1">
      <alignment horizontal="left" vertical="center"/>
    </xf>
    <xf numFmtId="0" fontId="22" fillId="9" borderId="27" xfId="0" applyFont="1" applyFill="1" applyBorder="1" applyAlignment="1">
      <alignment horizontal="left" vertical="center"/>
    </xf>
    <xf numFmtId="0" fontId="7" fillId="4" borderId="24" xfId="0" applyFont="1" applyFill="1" applyBorder="1" applyAlignment="1">
      <alignment horizontal="center" vertical="center" wrapText="1"/>
    </xf>
    <xf numFmtId="0" fontId="3" fillId="5" borderId="33" xfId="0" applyFont="1" applyFill="1" applyBorder="1" applyAlignment="1">
      <alignment horizontal="left" vertical="center" wrapText="1"/>
    </xf>
    <xf numFmtId="0" fontId="3" fillId="5" borderId="35" xfId="0" applyFont="1" applyFill="1" applyBorder="1" applyAlignment="1">
      <alignment horizontal="left" vertical="center" wrapText="1"/>
    </xf>
    <xf numFmtId="0" fontId="3" fillId="5" borderId="34" xfId="0" applyFont="1" applyFill="1" applyBorder="1" applyAlignment="1">
      <alignment horizontal="left" vertical="center" wrapText="1"/>
    </xf>
    <xf numFmtId="0" fontId="6" fillId="2" borderId="0" xfId="0" applyFont="1" applyFill="1" applyAlignment="1">
      <alignment horizontal="left" wrapText="1"/>
    </xf>
    <xf numFmtId="0" fontId="4" fillId="8" borderId="30" xfId="0" applyFont="1" applyFill="1" applyBorder="1" applyAlignment="1">
      <alignment horizontal="left" vertical="center" wrapText="1"/>
    </xf>
    <xf numFmtId="0" fontId="4" fillId="8" borderId="31" xfId="0" applyFont="1" applyFill="1" applyBorder="1" applyAlignment="1">
      <alignment horizontal="left" vertical="center" wrapText="1"/>
    </xf>
    <xf numFmtId="0" fontId="4" fillId="8" borderId="32" xfId="0" applyFont="1" applyFill="1" applyBorder="1" applyAlignment="1">
      <alignment horizontal="left" vertical="center" wrapText="1"/>
    </xf>
    <xf numFmtId="0" fontId="11" fillId="12" borderId="25" xfId="0" applyFont="1" applyFill="1" applyBorder="1" applyAlignment="1">
      <alignment horizontal="left" wrapText="1"/>
    </xf>
    <xf numFmtId="0" fontId="11" fillId="12" borderId="26" xfId="0" applyFont="1" applyFill="1" applyBorder="1" applyAlignment="1">
      <alignment horizontal="left" wrapText="1"/>
    </xf>
    <xf numFmtId="0" fontId="11" fillId="12" borderId="27" xfId="0" applyFont="1" applyFill="1" applyBorder="1" applyAlignment="1">
      <alignment horizontal="left" wrapText="1"/>
    </xf>
    <xf numFmtId="0" fontId="11" fillId="9" borderId="33" xfId="0" applyFont="1" applyFill="1" applyBorder="1" applyAlignment="1">
      <alignment vertical="center"/>
    </xf>
    <xf numFmtId="0" fontId="11" fillId="9" borderId="35" xfId="0" applyFont="1" applyFill="1" applyBorder="1" applyAlignment="1">
      <alignment vertical="center"/>
    </xf>
    <xf numFmtId="0" fontId="11" fillId="9" borderId="34" xfId="0" applyFont="1" applyFill="1" applyBorder="1" applyAlignment="1">
      <alignment vertical="center"/>
    </xf>
    <xf numFmtId="0" fontId="7" fillId="4" borderId="24" xfId="2" applyFont="1" applyFill="1" applyBorder="1" applyAlignment="1">
      <alignment horizontal="center" vertical="center" wrapText="1"/>
    </xf>
    <xf numFmtId="0" fontId="11" fillId="9" borderId="24" xfId="0" applyFont="1" applyFill="1" applyBorder="1" applyAlignment="1">
      <alignment horizontal="left" vertical="center"/>
    </xf>
    <xf numFmtId="0" fontId="7" fillId="3" borderId="24" xfId="0" applyFont="1" applyFill="1" applyBorder="1" applyAlignment="1">
      <alignment horizontal="left" vertical="center"/>
    </xf>
    <xf numFmtId="0" fontId="7" fillId="3" borderId="70" xfId="0" applyFont="1" applyFill="1" applyBorder="1" applyAlignment="1">
      <alignment horizontal="left" vertical="center" wrapText="1"/>
    </xf>
    <xf numFmtId="0" fontId="7" fillId="3" borderId="51" xfId="0" applyFont="1" applyFill="1" applyBorder="1" applyAlignment="1">
      <alignment horizontal="left" vertical="center" wrapText="1"/>
    </xf>
    <xf numFmtId="0" fontId="4" fillId="2" borderId="29" xfId="0" applyFont="1" applyFill="1" applyBorder="1" applyAlignment="1">
      <alignment horizontal="center" wrapText="1"/>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6" fillId="2" borderId="0" xfId="0" applyFont="1" applyFill="1" applyAlignment="1">
      <alignment horizontal="left" vertical="center" wrapText="1"/>
    </xf>
    <xf numFmtId="0" fontId="4" fillId="2" borderId="14" xfId="0" applyFont="1" applyFill="1" applyBorder="1" applyAlignment="1">
      <alignment vertical="center" wrapText="1"/>
    </xf>
    <xf numFmtId="0" fontId="4" fillId="2" borderId="0" xfId="0" applyFont="1" applyFill="1" applyAlignment="1">
      <alignment vertical="center" wrapText="1"/>
    </xf>
    <xf numFmtId="0" fontId="27" fillId="16" borderId="0" xfId="0" applyFont="1" applyFill="1" applyAlignment="1">
      <alignment horizontal="left" vertical="center"/>
    </xf>
    <xf numFmtId="0" fontId="4" fillId="2" borderId="6" xfId="0" applyFont="1" applyFill="1" applyBorder="1" applyAlignment="1">
      <alignment vertical="center" wrapText="1"/>
    </xf>
    <xf numFmtId="0" fontId="25" fillId="0" borderId="6" xfId="0" applyFont="1" applyBorder="1" applyAlignment="1">
      <alignment horizontal="left" vertical="center" wrapText="1"/>
    </xf>
    <xf numFmtId="0" fontId="25" fillId="0" borderId="0" xfId="0" applyFont="1" applyAlignment="1">
      <alignment horizontal="left" vertical="center" wrapText="1"/>
    </xf>
    <xf numFmtId="0" fontId="4" fillId="0" borderId="74" xfId="0" applyFont="1" applyBorder="1"/>
    <xf numFmtId="0" fontId="4" fillId="0" borderId="75" xfId="0" applyFont="1" applyBorder="1"/>
    <xf numFmtId="0" fontId="4" fillId="0" borderId="76" xfId="0" applyFont="1" applyBorder="1"/>
    <xf numFmtId="0" fontId="4" fillId="6" borderId="73" xfId="0" applyFont="1" applyFill="1" applyBorder="1" applyAlignment="1">
      <alignment wrapText="1"/>
    </xf>
    <xf numFmtId="0" fontId="4" fillId="6" borderId="16" xfId="0" applyFont="1" applyFill="1" applyBorder="1" applyAlignment="1">
      <alignment wrapText="1"/>
    </xf>
    <xf numFmtId="0" fontId="4" fillId="2" borderId="39" xfId="0" applyFont="1" applyFill="1" applyBorder="1" applyAlignment="1">
      <alignment wrapText="1"/>
    </xf>
    <xf numFmtId="0" fontId="4" fillId="2" borderId="0" xfId="0" applyFont="1" applyFill="1" applyAlignment="1">
      <alignment wrapText="1"/>
    </xf>
    <xf numFmtId="4" fontId="4" fillId="0" borderId="66" xfId="0" applyNumberFormat="1" applyFont="1" applyBorder="1" applyAlignment="1">
      <alignment horizontal="left"/>
    </xf>
    <xf numFmtId="4" fontId="4" fillId="0" borderId="51" xfId="0" applyNumberFormat="1" applyFont="1" applyBorder="1" applyAlignment="1">
      <alignment horizontal="left"/>
    </xf>
    <xf numFmtId="4" fontId="4" fillId="10" borderId="66" xfId="0" applyNumberFormat="1" applyFont="1" applyFill="1" applyBorder="1" applyAlignment="1">
      <alignment horizontal="left"/>
    </xf>
    <xf numFmtId="4" fontId="4" fillId="10" borderId="51" xfId="0" applyNumberFormat="1" applyFont="1" applyFill="1" applyBorder="1" applyAlignment="1">
      <alignment horizontal="left"/>
    </xf>
    <xf numFmtId="0" fontId="4" fillId="10" borderId="66" xfId="0" applyFont="1" applyFill="1" applyBorder="1" applyAlignment="1">
      <alignment horizontal="left"/>
    </xf>
    <xf numFmtId="0" fontId="4" fillId="10" borderId="51" xfId="0" applyFont="1" applyFill="1" applyBorder="1" applyAlignment="1">
      <alignment horizontal="left"/>
    </xf>
    <xf numFmtId="0" fontId="4" fillId="0" borderId="66" xfId="0" applyFont="1" applyBorder="1" applyAlignment="1">
      <alignment horizontal="left"/>
    </xf>
    <xf numFmtId="0" fontId="4" fillId="0" borderId="51" xfId="0" applyFont="1" applyBorder="1" applyAlignment="1">
      <alignment horizontal="left"/>
    </xf>
    <xf numFmtId="0" fontId="7" fillId="3" borderId="14" xfId="0" applyFont="1" applyFill="1" applyBorder="1" applyAlignment="1">
      <alignment vertical="center"/>
    </xf>
    <xf numFmtId="0" fontId="7" fillId="3" borderId="0" xfId="0" applyFont="1" applyFill="1" applyAlignment="1">
      <alignment vertical="center"/>
    </xf>
    <xf numFmtId="4" fontId="4" fillId="0" borderId="68" xfId="0" applyNumberFormat="1" applyFont="1" applyBorder="1" applyAlignment="1">
      <alignment horizontal="left"/>
    </xf>
    <xf numFmtId="4" fontId="4" fillId="0" borderId="69" xfId="0" applyNumberFormat="1" applyFont="1" applyBorder="1" applyAlignment="1">
      <alignment horizontal="left"/>
    </xf>
    <xf numFmtId="0" fontId="7" fillId="3" borderId="12" xfId="0" applyFont="1" applyFill="1" applyBorder="1"/>
    <xf numFmtId="0" fontId="7" fillId="3" borderId="13" xfId="0" applyFont="1" applyFill="1" applyBorder="1"/>
    <xf numFmtId="0" fontId="3" fillId="2" borderId="14" xfId="0" applyFont="1" applyFill="1" applyBorder="1" applyAlignment="1">
      <alignment horizontal="left" vertical="center" wrapText="1"/>
    </xf>
    <xf numFmtId="0" fontId="3" fillId="2" borderId="0" xfId="0" applyFont="1" applyFill="1" applyAlignment="1">
      <alignment horizontal="left" vertical="center" wrapText="1"/>
    </xf>
    <xf numFmtId="0" fontId="7" fillId="3" borderId="11" xfId="0" applyFont="1" applyFill="1" applyBorder="1" applyAlignment="1">
      <alignment horizontal="left" vertical="center"/>
    </xf>
    <xf numFmtId="0" fontId="7" fillId="3" borderId="84" xfId="0" applyFont="1" applyFill="1" applyBorder="1" applyAlignment="1">
      <alignment horizontal="left" vertical="center"/>
    </xf>
    <xf numFmtId="0" fontId="3" fillId="2" borderId="14" xfId="0" applyFont="1" applyFill="1" applyBorder="1" applyAlignment="1">
      <alignment horizontal="left" vertical="center"/>
    </xf>
    <xf numFmtId="0" fontId="3" fillId="2" borderId="87" xfId="0" applyFont="1" applyFill="1" applyBorder="1" applyAlignment="1">
      <alignment horizontal="left" vertical="center"/>
    </xf>
    <xf numFmtId="0" fontId="7" fillId="3" borderId="87" xfId="0" applyFont="1" applyFill="1" applyBorder="1" applyAlignment="1">
      <alignment horizontal="left" vertical="center"/>
    </xf>
    <xf numFmtId="0" fontId="7" fillId="3" borderId="71" xfId="0" applyFont="1" applyFill="1" applyBorder="1" applyAlignment="1">
      <alignment horizontal="center" vertical="center"/>
    </xf>
    <xf numFmtId="0" fontId="7" fillId="3" borderId="72" xfId="0" applyFont="1" applyFill="1" applyBorder="1" applyAlignment="1">
      <alignment horizontal="center" vertical="center"/>
    </xf>
    <xf numFmtId="0" fontId="4" fillId="0" borderId="50" xfId="0" applyFont="1" applyBorder="1" applyAlignment="1">
      <alignment horizontal="left" wrapText="1"/>
    </xf>
    <xf numFmtId="0" fontId="4" fillId="0" borderId="48" xfId="0" applyFont="1" applyBorder="1" applyAlignment="1">
      <alignment horizontal="left" wrapText="1"/>
    </xf>
    <xf numFmtId="0" fontId="4" fillId="0" borderId="56" xfId="0" applyFont="1" applyBorder="1"/>
    <xf numFmtId="0" fontId="4" fillId="0" borderId="37" xfId="0" applyFont="1" applyBorder="1"/>
    <xf numFmtId="0" fontId="4" fillId="0" borderId="38" xfId="0" applyFont="1" applyBorder="1"/>
    <xf numFmtId="164" fontId="4" fillId="0" borderId="38" xfId="0" applyNumberFormat="1" applyFont="1" applyBorder="1" applyAlignment="1">
      <alignment horizontal="center" vertical="top" wrapText="1"/>
    </xf>
    <xf numFmtId="164" fontId="4" fillId="0" borderId="40" xfId="0" applyNumberFormat="1" applyFont="1" applyBorder="1" applyAlignment="1">
      <alignment horizontal="center" vertical="top" wrapText="1"/>
    </xf>
    <xf numFmtId="164" fontId="4" fillId="0" borderId="43" xfId="0" applyNumberFormat="1" applyFont="1" applyBorder="1" applyAlignment="1">
      <alignment horizontal="center" vertical="top" wrapText="1"/>
    </xf>
    <xf numFmtId="0" fontId="4" fillId="6" borderId="0" xfId="0" applyFont="1" applyFill="1"/>
    <xf numFmtId="0" fontId="4" fillId="6" borderId="15" xfId="0" applyFont="1" applyFill="1" applyBorder="1"/>
    <xf numFmtId="0" fontId="4" fillId="6" borderId="39" xfId="0" applyFont="1" applyFill="1" applyBorder="1" applyAlignment="1">
      <alignment wrapText="1"/>
    </xf>
    <xf numFmtId="0" fontId="4" fillId="6" borderId="15" xfId="0" applyFont="1" applyFill="1" applyBorder="1" applyAlignment="1">
      <alignment wrapText="1"/>
    </xf>
    <xf numFmtId="0" fontId="7" fillId="3" borderId="11" xfId="0" applyFont="1" applyFill="1" applyBorder="1"/>
    <xf numFmtId="4" fontId="7" fillId="3" borderId="11" xfId="0" applyNumberFormat="1" applyFont="1" applyFill="1" applyBorder="1"/>
    <xf numFmtId="4" fontId="7" fillId="3" borderId="12" xfId="0" applyNumberFormat="1" applyFont="1" applyFill="1" applyBorder="1"/>
    <xf numFmtId="4" fontId="7" fillId="3" borderId="13" xfId="0" applyNumberFormat="1" applyFont="1" applyFill="1" applyBorder="1"/>
    <xf numFmtId="166" fontId="4" fillId="10" borderId="52" xfId="4" applyNumberFormat="1" applyFont="1" applyFill="1" applyBorder="1" applyAlignment="1"/>
    <xf numFmtId="166" fontId="4" fillId="10" borderId="53" xfId="4" applyNumberFormat="1" applyFont="1" applyFill="1" applyBorder="1" applyAlignment="1"/>
    <xf numFmtId="166" fontId="4" fillId="10" borderId="61" xfId="4" applyNumberFormat="1" applyFont="1" applyFill="1" applyBorder="1" applyAlignment="1"/>
    <xf numFmtId="166" fontId="4" fillId="10" borderId="62" xfId="4" applyNumberFormat="1" applyFont="1" applyFill="1" applyBorder="1" applyAlignment="1"/>
    <xf numFmtId="166" fontId="4" fillId="15" borderId="52" xfId="4" applyNumberFormat="1" applyFont="1" applyFill="1" applyBorder="1" applyAlignment="1"/>
    <xf numFmtId="166" fontId="4" fillId="15" borderId="59" xfId="4" applyNumberFormat="1" applyFont="1" applyFill="1" applyBorder="1" applyAlignment="1"/>
    <xf numFmtId="166" fontId="4" fillId="15" borderId="61" xfId="4" applyNumberFormat="1" applyFont="1" applyFill="1" applyBorder="1" applyAlignment="1"/>
    <xf numFmtId="166" fontId="4" fillId="15" borderId="63" xfId="4" applyNumberFormat="1" applyFont="1" applyFill="1" applyBorder="1" applyAlignment="1"/>
    <xf numFmtId="0" fontId="5" fillId="10" borderId="54" xfId="0" applyFont="1" applyFill="1" applyBorder="1" applyAlignment="1">
      <alignment horizontal="center"/>
    </xf>
    <xf numFmtId="0" fontId="5" fillId="10" borderId="55" xfId="0" applyFont="1" applyFill="1" applyBorder="1" applyAlignment="1">
      <alignment horizontal="center"/>
    </xf>
    <xf numFmtId="0" fontId="5" fillId="15" borderId="54" xfId="0" applyFont="1" applyFill="1" applyBorder="1" applyAlignment="1">
      <alignment horizontal="center"/>
    </xf>
    <xf numFmtId="0" fontId="5" fillId="15" borderId="57" xfId="0" applyFont="1" applyFill="1" applyBorder="1" applyAlignment="1">
      <alignment horizontal="center"/>
    </xf>
    <xf numFmtId="0" fontId="3" fillId="2" borderId="0" xfId="0" applyFont="1" applyFill="1" applyAlignment="1">
      <alignment horizontal="left" vertical="center"/>
    </xf>
    <xf numFmtId="0" fontId="2" fillId="0" borderId="0" xfId="0" applyFont="1" applyAlignment="1">
      <alignment horizontal="center"/>
    </xf>
  </cellXfs>
  <cellStyles count="5">
    <cellStyle name="Comma" xfId="4" builtinId="3"/>
    <cellStyle name="Hyperlink" xfId="3" builtinId="8"/>
    <cellStyle name="Normal" xfId="0" builtinId="0"/>
    <cellStyle name="Normal 3" xfId="2" xr:uid="{C017F818-D411-4109-BFD0-F584E57B5093}"/>
    <cellStyle name="Percent" xfId="1" builtinId="5"/>
  </cellStyles>
  <dxfs count="19">
    <dxf>
      <font>
        <b/>
        <i val="0"/>
        <color theme="0"/>
      </font>
      <fill>
        <patternFill>
          <bgColor rgb="FFFFC000"/>
        </patternFill>
      </fill>
    </dxf>
    <dxf>
      <fill>
        <patternFill>
          <bgColor theme="1"/>
        </patternFill>
      </fill>
    </dxf>
    <dxf>
      <font>
        <color rgb="FF9C0006"/>
      </font>
      <fill>
        <patternFill>
          <bgColor rgb="FFFFC7CE"/>
        </patternFill>
      </fill>
    </dxf>
    <dxf>
      <font>
        <color rgb="FF9C0006"/>
      </font>
      <fill>
        <patternFill>
          <bgColor rgb="FFFFC7CE"/>
        </patternFill>
      </fill>
    </dxf>
    <dxf>
      <font>
        <b/>
        <i val="0"/>
        <color theme="0"/>
      </font>
      <fill>
        <patternFill>
          <bgColor theme="5"/>
        </patternFill>
      </fill>
    </dxf>
    <dxf>
      <fill>
        <patternFill>
          <bgColor rgb="FFFFFF00"/>
        </patternFill>
      </fill>
    </dxf>
    <dxf>
      <font>
        <b/>
        <i val="0"/>
        <color theme="0"/>
      </font>
      <fill>
        <patternFill>
          <bgColor rgb="FFC00000"/>
        </patternFill>
      </fill>
    </dxf>
    <dxf>
      <font>
        <b/>
        <i val="0"/>
      </font>
      <fill>
        <patternFill>
          <bgColor theme="9" tint="0.59996337778862885"/>
        </patternFill>
      </fill>
    </dxf>
    <dxf>
      <font>
        <b/>
        <i val="0"/>
        <color theme="0"/>
      </font>
      <fill>
        <patternFill>
          <bgColor rgb="FFC00000"/>
        </patternFill>
      </fill>
    </dxf>
    <dxf>
      <font>
        <b/>
        <i val="0"/>
        <color theme="0"/>
      </font>
      <fill>
        <patternFill>
          <fgColor auto="1"/>
          <bgColor rgb="FFC00000"/>
        </patternFill>
      </fill>
    </dxf>
    <dxf>
      <font>
        <b/>
        <i val="0"/>
        <color theme="0"/>
      </font>
      <fill>
        <patternFill>
          <fgColor auto="1"/>
          <bgColor rgb="FFC00000"/>
        </patternFill>
      </fill>
    </dxf>
    <dxf>
      <font>
        <b/>
        <i val="0"/>
        <color theme="0"/>
      </font>
      <fill>
        <patternFill>
          <bgColor theme="5"/>
        </patternFill>
      </fill>
    </dxf>
    <dxf>
      <font>
        <color theme="0"/>
      </font>
      <fill>
        <patternFill>
          <bgColor theme="1"/>
        </patternFill>
      </fill>
    </dxf>
    <dxf>
      <font>
        <color theme="0"/>
      </font>
      <fill>
        <patternFill>
          <bgColor theme="1"/>
        </patternFill>
      </fill>
    </dxf>
    <dxf>
      <font>
        <color theme="0"/>
      </font>
      <fill>
        <patternFill>
          <bgColor theme="1"/>
        </patternFill>
      </fill>
    </dxf>
    <dxf>
      <font>
        <b/>
        <i val="0"/>
        <color theme="0"/>
      </font>
      <fill>
        <patternFill>
          <bgColor rgb="FFC00000"/>
        </patternFill>
      </fill>
    </dxf>
    <dxf>
      <font>
        <color theme="0"/>
      </font>
      <fill>
        <patternFill>
          <bgColor theme="1"/>
        </patternFill>
      </fill>
    </dxf>
    <dxf>
      <font>
        <b/>
        <i val="0"/>
        <color theme="0"/>
      </font>
      <fill>
        <patternFill>
          <bgColor rgb="FFC00000"/>
        </patternFill>
      </fill>
    </dxf>
    <dxf>
      <font>
        <b/>
        <i val="0"/>
        <color theme="0"/>
      </font>
      <fill>
        <patternFill>
          <fgColor auto="1"/>
          <bgColor rgb="FFC00000"/>
        </patternFill>
      </fill>
    </dxf>
  </dxfs>
  <tableStyles count="0" defaultTableStyle="TableStyleMedium2" defaultPivotStyle="PivotStyleLight16"/>
  <colors>
    <mruColors>
      <color rgb="FFCEE6FA"/>
      <color rgb="FFCDEFD8"/>
      <color rgb="FFB1E5C2"/>
      <color rgb="FF146CB5"/>
      <color rgb="FF78BAF0"/>
      <color rgb="FFCCECFF"/>
      <color rgb="FFFFE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pa.gov/climate-hfcs-reduction/frequent-questions-phasedown-hydrofluorocarbons" TargetMode="External"/><Relationship Id="rId1" Type="http://schemas.openxmlformats.org/officeDocument/2006/relationships/hyperlink" Target="https://www.ecfr.gov/current/title-40/section-84.1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cfr.gov/current/title-40/part-84"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57769-0806-4FA5-9A1F-DD38DD7B8427}">
  <dimension ref="A1:F35"/>
  <sheetViews>
    <sheetView topLeftCell="A5" zoomScaleNormal="100" workbookViewId="0">
      <selection activeCell="B15" sqref="B15"/>
    </sheetView>
  </sheetViews>
  <sheetFormatPr defaultColWidth="9.1796875" defaultRowHeight="14.5" x14ac:dyDescent="0.35"/>
  <cols>
    <col min="1" max="1" width="4.81640625" style="4" customWidth="1"/>
    <col min="2" max="5" width="35.7265625" style="4" customWidth="1"/>
    <col min="6" max="16384" width="9.1796875" style="4"/>
  </cols>
  <sheetData>
    <row r="1" spans="1:6" x14ac:dyDescent="0.35">
      <c r="A1" s="6"/>
      <c r="B1" s="98" t="s">
        <v>0</v>
      </c>
      <c r="C1" s="22"/>
      <c r="D1" s="22"/>
      <c r="E1" s="23"/>
      <c r="F1" s="6"/>
    </row>
    <row r="2" spans="1:6" x14ac:dyDescent="0.35">
      <c r="A2" s="6"/>
      <c r="B2" s="22"/>
      <c r="C2" s="22"/>
      <c r="D2" s="22"/>
      <c r="E2" s="23"/>
      <c r="F2" s="6"/>
    </row>
    <row r="3" spans="1:6" ht="21" x14ac:dyDescent="0.35">
      <c r="A3" s="6"/>
      <c r="B3" s="182" t="s">
        <v>1</v>
      </c>
      <c r="C3" s="25"/>
      <c r="D3" s="25"/>
      <c r="E3" s="25"/>
      <c r="F3" s="6"/>
    </row>
    <row r="4" spans="1:6" ht="18.5" x14ac:dyDescent="0.35">
      <c r="A4" s="6"/>
      <c r="B4" s="224" t="s">
        <v>2</v>
      </c>
      <c r="C4" s="225"/>
      <c r="D4" s="225"/>
      <c r="E4" s="226"/>
      <c r="F4" s="6"/>
    </row>
    <row r="5" spans="1:6" ht="38.25" customHeight="1" x14ac:dyDescent="0.35">
      <c r="A5" s="6"/>
      <c r="B5" s="220" t="s">
        <v>3</v>
      </c>
      <c r="C5" s="207"/>
      <c r="D5" s="207"/>
      <c r="E5" s="208"/>
      <c r="F5" s="6"/>
    </row>
    <row r="6" spans="1:6" s="122" customFormat="1" ht="67.5" customHeight="1" x14ac:dyDescent="0.35">
      <c r="A6" s="191"/>
      <c r="B6" s="220" t="s">
        <v>4</v>
      </c>
      <c r="C6" s="207"/>
      <c r="D6" s="207"/>
      <c r="E6" s="208"/>
      <c r="F6" s="191"/>
    </row>
    <row r="7" spans="1:6" ht="51.65" customHeight="1" x14ac:dyDescent="0.35">
      <c r="A7" s="6"/>
      <c r="B7" s="212" t="s">
        <v>5</v>
      </c>
      <c r="C7" s="213"/>
      <c r="D7" s="213"/>
      <c r="E7" s="214"/>
      <c r="F7" s="6"/>
    </row>
    <row r="8" spans="1:6" ht="18.5" x14ac:dyDescent="0.35">
      <c r="A8" s="6"/>
      <c r="B8" s="217" t="s">
        <v>6</v>
      </c>
      <c r="C8" s="218"/>
      <c r="D8" s="218"/>
      <c r="E8" s="219"/>
      <c r="F8" s="6"/>
    </row>
    <row r="9" spans="1:6" x14ac:dyDescent="0.35">
      <c r="A9" s="6"/>
      <c r="B9" s="221" t="s">
        <v>7</v>
      </c>
      <c r="C9" s="222"/>
      <c r="D9" s="222"/>
      <c r="E9" s="223"/>
      <c r="F9" s="6"/>
    </row>
    <row r="10" spans="1:6" x14ac:dyDescent="0.35">
      <c r="A10" s="6"/>
      <c r="B10" s="221" t="s">
        <v>8</v>
      </c>
      <c r="C10" s="222"/>
      <c r="D10" s="222"/>
      <c r="E10" s="223"/>
      <c r="F10" s="6"/>
    </row>
    <row r="11" spans="1:6" x14ac:dyDescent="0.35">
      <c r="A11" s="6"/>
      <c r="B11" s="221" t="s">
        <v>9</v>
      </c>
      <c r="C11" s="222"/>
      <c r="D11" s="222"/>
      <c r="E11" s="223"/>
      <c r="F11" s="6"/>
    </row>
    <row r="12" spans="1:6" x14ac:dyDescent="0.35">
      <c r="A12" s="6"/>
      <c r="B12" s="221" t="s">
        <v>10</v>
      </c>
      <c r="C12" s="222"/>
      <c r="D12" s="222"/>
      <c r="E12" s="223"/>
      <c r="F12" s="6"/>
    </row>
    <row r="13" spans="1:6" x14ac:dyDescent="0.35">
      <c r="A13" s="6"/>
      <c r="B13" s="221" t="s">
        <v>11</v>
      </c>
      <c r="C13" s="222"/>
      <c r="D13" s="222"/>
      <c r="E13" s="223"/>
      <c r="F13" s="6"/>
    </row>
    <row r="14" spans="1:6" ht="18.5" x14ac:dyDescent="0.35">
      <c r="A14" s="6"/>
      <c r="B14" s="217" t="s">
        <v>12</v>
      </c>
      <c r="C14" s="218"/>
      <c r="D14" s="218"/>
      <c r="E14" s="219"/>
      <c r="F14" s="6"/>
    </row>
    <row r="15" spans="1:6" ht="18.5" x14ac:dyDescent="0.35">
      <c r="A15" s="6"/>
      <c r="B15" s="32" t="s">
        <v>13</v>
      </c>
      <c r="C15" s="33"/>
      <c r="D15" s="33"/>
      <c r="E15" s="34"/>
      <c r="F15" s="6"/>
    </row>
    <row r="16" spans="1:6" ht="18.5" x14ac:dyDescent="0.35">
      <c r="A16" s="6"/>
      <c r="B16" s="217" t="s">
        <v>14</v>
      </c>
      <c r="C16" s="218"/>
      <c r="D16" s="218"/>
      <c r="E16" s="219"/>
      <c r="F16" s="6"/>
    </row>
    <row r="17" spans="1:6" ht="18.5" x14ac:dyDescent="0.35">
      <c r="A17" s="6"/>
      <c r="B17" s="40" t="s">
        <v>15</v>
      </c>
      <c r="C17" s="29"/>
      <c r="D17" s="29"/>
      <c r="E17" s="34"/>
      <c r="F17" s="6"/>
    </row>
    <row r="18" spans="1:6" ht="18.5" x14ac:dyDescent="0.35">
      <c r="A18" s="6"/>
      <c r="B18" s="40" t="s">
        <v>16</v>
      </c>
      <c r="C18" s="29"/>
      <c r="D18" s="29"/>
      <c r="E18" s="34"/>
      <c r="F18" s="6"/>
    </row>
    <row r="19" spans="1:6" ht="18.5" x14ac:dyDescent="0.35">
      <c r="A19" s="6"/>
      <c r="B19" s="217" t="s">
        <v>17</v>
      </c>
      <c r="C19" s="218"/>
      <c r="D19" s="218"/>
      <c r="E19" s="219"/>
      <c r="F19" s="6"/>
    </row>
    <row r="20" spans="1:6" x14ac:dyDescent="0.35">
      <c r="A20" s="6"/>
      <c r="B20" s="48" t="s">
        <v>18</v>
      </c>
      <c r="C20" s="183" t="s">
        <v>19</v>
      </c>
      <c r="D20" s="49" t="s">
        <v>20</v>
      </c>
      <c r="E20" s="184"/>
      <c r="F20" s="6"/>
    </row>
    <row r="21" spans="1:6" x14ac:dyDescent="0.35">
      <c r="A21" s="6"/>
      <c r="B21" s="24"/>
      <c r="C21" s="24"/>
      <c r="D21" s="24"/>
      <c r="E21" s="26"/>
      <c r="F21" s="6"/>
    </row>
    <row r="22" spans="1:6" x14ac:dyDescent="0.35">
      <c r="A22" s="6"/>
      <c r="B22" s="27"/>
      <c r="C22" s="27"/>
      <c r="D22" s="27"/>
      <c r="E22" s="28"/>
      <c r="F22" s="6"/>
    </row>
    <row r="23" spans="1:6" x14ac:dyDescent="0.35">
      <c r="A23" s="6"/>
      <c r="B23" s="22"/>
      <c r="C23" s="22"/>
      <c r="D23" s="22"/>
      <c r="E23" s="22"/>
      <c r="F23" s="6"/>
    </row>
    <row r="24" spans="1:6" x14ac:dyDescent="0.35">
      <c r="A24" s="6"/>
      <c r="B24" s="22"/>
      <c r="C24" s="22"/>
      <c r="D24" s="22"/>
      <c r="E24" s="22"/>
      <c r="F24" s="6"/>
    </row>
    <row r="25" spans="1:6" x14ac:dyDescent="0.35">
      <c r="B25" s="20"/>
      <c r="C25" s="20"/>
      <c r="D25" s="20"/>
      <c r="E25" s="20"/>
    </row>
    <row r="26" spans="1:6" x14ac:dyDescent="0.35">
      <c r="B26" s="20"/>
      <c r="C26" s="20"/>
      <c r="D26" s="20"/>
      <c r="E26" s="20"/>
    </row>
    <row r="27" spans="1:6" x14ac:dyDescent="0.35">
      <c r="B27" s="19"/>
      <c r="C27" s="19"/>
      <c r="D27" s="19"/>
      <c r="E27" s="19"/>
    </row>
    <row r="28" spans="1:6" ht="15" customHeight="1" x14ac:dyDescent="0.35">
      <c r="B28" s="21"/>
      <c r="C28" s="21"/>
      <c r="D28" s="21"/>
      <c r="E28" s="21"/>
    </row>
    <row r="29" spans="1:6" x14ac:dyDescent="0.35">
      <c r="B29" s="21"/>
      <c r="C29" s="21"/>
      <c r="D29" s="21"/>
      <c r="E29" s="21"/>
    </row>
    <row r="30" spans="1:6" x14ac:dyDescent="0.35">
      <c r="B30" s="21"/>
      <c r="C30" s="21"/>
      <c r="D30" s="21"/>
      <c r="E30" s="21"/>
    </row>
    <row r="31" spans="1:6" x14ac:dyDescent="0.35">
      <c r="B31" s="21"/>
      <c r="C31" s="21"/>
      <c r="D31" s="21"/>
      <c r="E31" s="21"/>
    </row>
    <row r="32" spans="1:6" x14ac:dyDescent="0.35">
      <c r="B32" s="21"/>
      <c r="C32" s="21"/>
      <c r="D32" s="21"/>
      <c r="E32" s="21"/>
    </row>
    <row r="33" spans="2:5" x14ac:dyDescent="0.35">
      <c r="B33" s="21"/>
      <c r="C33" s="21"/>
      <c r="D33" s="21"/>
      <c r="E33" s="21"/>
    </row>
    <row r="34" spans="2:5" x14ac:dyDescent="0.35">
      <c r="B34" s="21"/>
      <c r="C34" s="21"/>
      <c r="D34" s="21"/>
      <c r="E34" s="21"/>
    </row>
    <row r="35" spans="2:5" x14ac:dyDescent="0.35">
      <c r="B35" s="21"/>
      <c r="C35" s="21"/>
      <c r="D35" s="21"/>
      <c r="E35" s="21"/>
    </row>
  </sheetData>
  <sheetProtection algorithmName="SHA-512" hashValue="ACA4CRrx/S3WSVAuuXT/MSN8z+Iq0FTr9mAbBKa+XimvwfCYGf8Io6jKFjoO/7vkiI5Xf8dsa+cIExOr5znjIA==" saltValue="+CbuoUEKKEIhVkhdZqAOTA==" spinCount="100000" sheet="1" objects="1" scenarios="1"/>
  <mergeCells count="13">
    <mergeCell ref="B4:E4"/>
    <mergeCell ref="B5:E5"/>
    <mergeCell ref="B8:E8"/>
    <mergeCell ref="B14:E14"/>
    <mergeCell ref="B16:E16"/>
    <mergeCell ref="B13:E13"/>
    <mergeCell ref="B19:E19"/>
    <mergeCell ref="B6:E6"/>
    <mergeCell ref="B7:E7"/>
    <mergeCell ref="B9:E9"/>
    <mergeCell ref="B10:E10"/>
    <mergeCell ref="B11:E11"/>
    <mergeCell ref="B12:E12"/>
  </mergeCells>
  <hyperlinks>
    <hyperlink ref="B17" r:id="rId1" xr:uid="{99253A34-7075-4659-8BD3-D9335873E3AD}"/>
    <hyperlink ref="B18" r:id="rId2" location="HFC-allocation" xr:uid="{B4BBDEF4-319B-4072-93D8-4D7653AE9235}"/>
    <hyperlink ref="B20" location="'Company &amp; Report Data'!A1" display="Company &amp; Report Data" xr:uid="{F402BD27-A930-4FD0-B387-DDDF341726D4}"/>
    <hyperlink ref="C20" location="'UC &amp; Total Est Purchases'!A1" display="UC &amp; Total Est Purchases" xr:uid="{37FF86CD-A74D-4984-88C4-35CD29A2BF02}"/>
    <hyperlink ref="D20" location="Results!A1" display="Results" xr:uid="{39D47AD9-A928-4FB6-8B19-944987B65EB9}"/>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F830-EAB6-43E0-9968-3E72A6815B5C}">
  <sheetPr codeName="Sheet6">
    <tabColor rgb="FF146CB5"/>
  </sheetPr>
  <dimension ref="A1:J98"/>
  <sheetViews>
    <sheetView topLeftCell="B3" zoomScale="90" zoomScaleNormal="90" workbookViewId="0">
      <selection activeCell="D4" sqref="D4:D7"/>
    </sheetView>
  </sheetViews>
  <sheetFormatPr defaultColWidth="30.26953125" defaultRowHeight="14.5" x14ac:dyDescent="0.35"/>
  <cols>
    <col min="1" max="1" width="10.81640625" style="6" customWidth="1"/>
    <col min="2" max="2" width="15.54296875" style="6" customWidth="1"/>
    <col min="3" max="3" width="35.1796875" style="6" customWidth="1"/>
    <col min="4" max="4" width="31" style="6" customWidth="1"/>
    <col min="5" max="5" width="29.453125" style="6" customWidth="1"/>
    <col min="6" max="6" width="33.453125" style="6" customWidth="1"/>
    <col min="7" max="7" width="31.54296875" style="18" customWidth="1"/>
    <col min="8" max="8" width="82" style="6" customWidth="1"/>
    <col min="9" max="16384" width="30.26953125" style="6"/>
  </cols>
  <sheetData>
    <row r="1" spans="1:10" x14ac:dyDescent="0.35">
      <c r="G1" s="6"/>
    </row>
    <row r="2" spans="1:10" ht="24.75" customHeight="1" x14ac:dyDescent="0.45">
      <c r="B2" s="242" t="s">
        <v>21</v>
      </c>
      <c r="C2" s="242"/>
      <c r="D2" s="242"/>
      <c r="E2" s="10"/>
      <c r="F2" s="10"/>
      <c r="G2" s="6"/>
    </row>
    <row r="3" spans="1:10" ht="15.75" customHeight="1" x14ac:dyDescent="0.35">
      <c r="G3" s="6"/>
    </row>
    <row r="4" spans="1:10" ht="20.149999999999999" customHeight="1" x14ac:dyDescent="0.35">
      <c r="B4" s="243" t="s">
        <v>22</v>
      </c>
      <c r="C4" s="243"/>
      <c r="D4" s="35"/>
      <c r="E4" s="215" t="str" cm="1">
        <f t="array" ref="E4">IF(OR(ISBLANK('Company &amp; Report Data'!D4:D7)),"Please complete all fields in the 'Company Information' section.","")</f>
        <v>Please complete all fields in the 'Company Information' section.</v>
      </c>
      <c r="F4" s="216"/>
      <c r="G4" s="6"/>
    </row>
    <row r="5" spans="1:10" ht="20.149999999999999" customHeight="1" x14ac:dyDescent="0.35">
      <c r="B5" s="243" t="s">
        <v>23</v>
      </c>
      <c r="C5" s="243"/>
      <c r="D5" s="36">
        <v>2027</v>
      </c>
      <c r="G5" s="6"/>
    </row>
    <row r="6" spans="1:10" ht="20.149999999999999" customHeight="1" x14ac:dyDescent="0.35">
      <c r="B6" s="244" t="s">
        <v>24</v>
      </c>
      <c r="C6" s="244"/>
      <c r="D6" s="89" t="s">
        <v>25</v>
      </c>
      <c r="G6" s="6"/>
    </row>
    <row r="7" spans="1:10" ht="20.149999999999999" customHeight="1" x14ac:dyDescent="0.35">
      <c r="B7" s="245" t="str">
        <f>"Did you first begin using HFCs prior to July 1, "&amp;D5-3&amp;"?"</f>
        <v>Did you first begin using HFCs prior to July 1, 2024?</v>
      </c>
      <c r="C7" s="245"/>
      <c r="D7" s="95" t="s">
        <v>26</v>
      </c>
      <c r="E7" s="50"/>
      <c r="F7" s="50"/>
      <c r="G7" s="50"/>
      <c r="H7" s="31"/>
      <c r="I7" s="31"/>
      <c r="J7" s="31"/>
    </row>
    <row r="8" spans="1:10" ht="15" customHeight="1" x14ac:dyDescent="0.35">
      <c r="B8" s="231" t="str">
        <f>IF($D$7="NO",_xlfn._LONGTEXT("ATTENTION: You indicated that your company did not begin using HFCs until Year 2 so Year 1 use has been set as zero. Please confirm this is accurate before proceeding. If this is not correct, please change the above cell to indicate you did use HFCs in Ye","ar 1."),"")</f>
        <v/>
      </c>
      <c r="C8" s="231"/>
      <c r="D8" s="231"/>
      <c r="E8" s="231"/>
      <c r="F8" s="231"/>
      <c r="G8" s="50"/>
    </row>
    <row r="9" spans="1:10" x14ac:dyDescent="0.35">
      <c r="B9" s="231"/>
      <c r="C9" s="231"/>
      <c r="D9" s="231"/>
      <c r="E9" s="231"/>
      <c r="F9" s="231"/>
    </row>
    <row r="10" spans="1:10" x14ac:dyDescent="0.35">
      <c r="B10" s="231"/>
      <c r="C10" s="231"/>
      <c r="D10" s="231"/>
      <c r="E10" s="231"/>
      <c r="F10" s="231"/>
    </row>
    <row r="11" spans="1:10" x14ac:dyDescent="0.35">
      <c r="B11" s="55"/>
      <c r="C11" s="55"/>
      <c r="D11" s="55"/>
      <c r="E11" s="55"/>
      <c r="F11" s="55"/>
    </row>
    <row r="12" spans="1:10" ht="23.25" customHeight="1" x14ac:dyDescent="0.35">
      <c r="A12" s="9"/>
      <c r="B12" s="238" t="str">
        <f>"Step 2. "&amp;D4&amp;"'s Biannual Report Data"</f>
        <v>Step 2. 's Biannual Report Data</v>
      </c>
      <c r="C12" s="239"/>
      <c r="D12" s="239"/>
      <c r="E12" s="239"/>
      <c r="F12" s="239"/>
      <c r="G12" s="240"/>
      <c r="H12" s="186"/>
    </row>
    <row r="14" spans="1:10" ht="18.5" x14ac:dyDescent="0.45">
      <c r="B14" s="235" t="s">
        <v>6</v>
      </c>
      <c r="C14" s="236"/>
      <c r="D14" s="236"/>
      <c r="E14" s="236"/>
      <c r="F14" s="236"/>
      <c r="G14" s="237"/>
      <c r="H14" s="186"/>
    </row>
    <row r="15" spans="1:10" ht="48" customHeight="1" x14ac:dyDescent="0.35">
      <c r="B15" s="232" t="str">
        <f>"Copy and paste Section 2 (columns 1-5) from your 7 most recent Application-Specific Biannual Reports, starting with the "&amp;"Jan 1 - Jun 30, "&amp; (D5-4) &amp;_xlfn._LONGTEXT(" report and ending with your planned current submission for Jan-Jun of this year. You do not need to fill in every row if you purchased or held inventory for fewer than 4 HFCs in a given report period. Include any quantities of HFCs sold, returned, or con","veyed, excluding heels, in your planned current submission for Jan-Jun of this year only.")</f>
        <v>Copy and paste Section 2 (columns 1-5) from your 7 most recent Application-Specific Biannual Reports, starting with the Jan 1 - Jun 30, 2023 report and ending with your planned current submission for Jan-Jun of this year. You do not need to fill in every row if you purchased or held inventory for fewer than 4 HFCs in a given report period. Include any quantities of HFCs sold, returned, or conveyed, excluding heels, in your planned current submission for Jan-Jun of this year only.</v>
      </c>
      <c r="C15" s="233"/>
      <c r="D15" s="233"/>
      <c r="E15" s="233"/>
      <c r="F15" s="233"/>
      <c r="G15" s="234"/>
      <c r="H15" s="186"/>
    </row>
    <row r="17" spans="1:9" ht="24" customHeight="1" x14ac:dyDescent="0.35">
      <c r="B17" s="228" t="str">
        <f>D5-4 &amp; " H1: "&amp;"Jan 1 - Jun 30, "&amp; (D5-4)</f>
        <v>2023 H1: Jan 1 - Jun 30, 2023</v>
      </c>
      <c r="C17" s="229"/>
      <c r="D17" s="229"/>
      <c r="E17" s="229"/>
      <c r="F17" s="229"/>
      <c r="G17" s="230"/>
      <c r="H17" s="186"/>
    </row>
    <row r="18" spans="1:9" ht="15" customHeight="1" x14ac:dyDescent="0.35">
      <c r="B18" s="241" t="s">
        <v>27</v>
      </c>
      <c r="C18" s="227" t="s">
        <v>28</v>
      </c>
      <c r="D18" s="227" t="s">
        <v>29</v>
      </c>
      <c r="E18" s="227" t="s">
        <v>30</v>
      </c>
      <c r="F18" s="227" t="s">
        <v>31</v>
      </c>
      <c r="G18" s="227" t="s">
        <v>32</v>
      </c>
      <c r="H18" s="54" t="str">
        <f>IF($D$5&lt;2030,"Sales, returns, and conveyances not included in calculation for this time period.","")</f>
        <v>Sales, returns, and conveyances not included in calculation for this time period.</v>
      </c>
      <c r="I18" s="90"/>
    </row>
    <row r="19" spans="1:9" x14ac:dyDescent="0.35">
      <c r="B19" s="241"/>
      <c r="C19" s="227"/>
      <c r="D19" s="227"/>
      <c r="E19" s="227"/>
      <c r="F19" s="227"/>
      <c r="G19" s="227"/>
      <c r="H19" s="54" t="str" cm="1">
        <f t="array" ref="H19">IF(NOT(OR(ISBLANK(G23:G26))),"ERROR - Data entered in locked cells","")</f>
        <v/>
      </c>
      <c r="I19" s="90"/>
    </row>
    <row r="20" spans="1:9" x14ac:dyDescent="0.35">
      <c r="B20" s="241"/>
      <c r="C20" s="227"/>
      <c r="D20" s="227"/>
      <c r="E20" s="227"/>
      <c r="F20" s="227"/>
      <c r="G20" s="227"/>
      <c r="H20" s="52"/>
      <c r="I20" s="92"/>
    </row>
    <row r="21" spans="1:9" x14ac:dyDescent="0.35">
      <c r="B21" s="241"/>
      <c r="C21" s="227"/>
      <c r="D21" s="227"/>
      <c r="E21" s="227"/>
      <c r="F21" s="227"/>
      <c r="G21" s="227"/>
      <c r="H21" s="52"/>
      <c r="I21" s="92"/>
    </row>
    <row r="22" spans="1:9" ht="31.5" customHeight="1" x14ac:dyDescent="0.35">
      <c r="B22" s="241"/>
      <c r="C22" s="227"/>
      <c r="D22" s="227"/>
      <c r="E22" s="227"/>
      <c r="F22" s="227"/>
      <c r="G22" s="227"/>
      <c r="H22" s="52" t="str" cm="1">
        <f t="array" ref="H22">IF(AND($D$7="No",OR(NOT(ISBLANK(B23:G26)))),"ERROR - Data entered in blacked out cell(s). Please remove.",IF(AND($D$5&lt;2030,OR(NOT(ISBLANK(G23:G26)))),"ERROR - Data entered in blacked out cells. Please remove.",""))</f>
        <v/>
      </c>
      <c r="I22" s="92"/>
    </row>
    <row r="23" spans="1:9" x14ac:dyDescent="0.35">
      <c r="A23" s="246" t="str" cm="1">
        <f t="array" ref="A23">IF(OR(LEN(H22:H26)&gt;0),"See error message in column H","")</f>
        <v/>
      </c>
      <c r="B23" s="37"/>
      <c r="C23" s="38"/>
      <c r="D23" s="38"/>
      <c r="E23" s="38"/>
      <c r="F23" s="38"/>
      <c r="G23" s="38"/>
      <c r="H23" s="93" t="str" cm="1">
        <f t="array" ref="H23">IF($D$7="No","",IF(NOT(ISBLANK(B23)),IF(AND(OR(NOT(ISBLANK(C23:E23))),NOT(ISBLANK(F23))),"","ERROR - Purchase or Inventory Data Missing. Input data or enter zero."),IF(AND(OR(NOT(ISBLANK(C23:G23))),ISBLANK(B23)),"ERROR - HFC Type Missing. Please specify an HFC for the entered data.","")))</f>
        <v/>
      </c>
      <c r="I23" s="17"/>
    </row>
    <row r="24" spans="1:9" ht="15" customHeight="1" x14ac:dyDescent="0.35">
      <c r="A24" s="246"/>
      <c r="B24" s="37"/>
      <c r="C24" s="38"/>
      <c r="D24" s="38"/>
      <c r="E24" s="38"/>
      <c r="F24" s="38"/>
      <c r="G24" s="38"/>
      <c r="H24" s="93" t="str" cm="1">
        <f t="array" ref="H24">IF($D$7="No","",IF(NOT(ISBLANK(B24)),IF(AND(OR(NOT(ISBLANK(C24:E24))),NOT(ISBLANK(F24))),"","ERROR - Purchase or Inventory Data Missing. Input data or enter zero."),IF(AND(OR(NOT(ISBLANK(C24:G24))),ISBLANK(B24)),"ERROR - HFC Type Missing. Please specify an HFC for the entered data.","")))</f>
        <v/>
      </c>
      <c r="I24" s="17"/>
    </row>
    <row r="25" spans="1:9" ht="15" customHeight="1" x14ac:dyDescent="0.35">
      <c r="A25" s="246"/>
      <c r="B25" s="37"/>
      <c r="C25" s="38"/>
      <c r="D25" s="38"/>
      <c r="E25" s="38"/>
      <c r="F25" s="38"/>
      <c r="G25" s="38"/>
      <c r="H25" s="93" t="str" cm="1">
        <f t="array" ref="H25">IF($D$7="No","",IF(NOT(ISBLANK(B25)),IF(AND(OR(NOT(ISBLANK(C25:E25))),NOT(ISBLANK(F25))),"","ERROR - Purchase or Inventory Data Missing. Input data or enter zero."),IF(AND(OR(NOT(ISBLANK(C25:G25))),ISBLANK(B25)),"ERROR - HFC Type Missing. Please specify an HFC for the entered data.","")))</f>
        <v/>
      </c>
      <c r="I25" s="17"/>
    </row>
    <row r="26" spans="1:9" x14ac:dyDescent="0.35">
      <c r="A26" s="246"/>
      <c r="B26" s="37"/>
      <c r="C26" s="38"/>
      <c r="D26" s="38"/>
      <c r="E26" s="38"/>
      <c r="F26" s="38"/>
      <c r="G26" s="38"/>
      <c r="H26" s="93" t="str" cm="1">
        <f t="array" ref="H26">IF($D$7="No","",IF(NOT(ISBLANK(B26)),IF(AND(OR(NOT(ISBLANK(C26:E26))),NOT(ISBLANK(F26))),"","ERROR - Purchase or Inventory Data Missing. Input data or enter zero."),IF(AND(OR(NOT(ISBLANK(C26:G26))),ISBLANK(B26)),"ERROR - HFC Type Missing. Please specify an HFC for the entered data.","")))</f>
        <v/>
      </c>
      <c r="I26" s="17"/>
    </row>
    <row r="27" spans="1:9" x14ac:dyDescent="0.35">
      <c r="B27" s="7"/>
      <c r="C27" s="7"/>
      <c r="D27" s="7"/>
      <c r="E27" s="7"/>
      <c r="F27" s="7"/>
    </row>
    <row r="28" spans="1:9" x14ac:dyDescent="0.35">
      <c r="B28" s="7"/>
      <c r="C28" s="7"/>
      <c r="D28" s="7"/>
      <c r="E28" s="7"/>
      <c r="F28" s="7"/>
    </row>
    <row r="29" spans="1:9" ht="24" customHeight="1" x14ac:dyDescent="0.35">
      <c r="B29" s="228" t="str">
        <f>D5-4 &amp; " H2: "&amp;"Jul 1 - Dec 31, "&amp; (D5-4)</f>
        <v>2023 H2: Jul 1 - Dec 31, 2023</v>
      </c>
      <c r="C29" s="229"/>
      <c r="D29" s="229"/>
      <c r="E29" s="229"/>
      <c r="F29" s="229"/>
      <c r="G29" s="230"/>
      <c r="H29" s="186"/>
    </row>
    <row r="30" spans="1:9" ht="15" customHeight="1" x14ac:dyDescent="0.35">
      <c r="B30" s="241" t="s">
        <v>27</v>
      </c>
      <c r="C30" s="227" t="s">
        <v>28</v>
      </c>
      <c r="D30" s="227" t="s">
        <v>29</v>
      </c>
      <c r="E30" s="227" t="s">
        <v>30</v>
      </c>
      <c r="F30" s="227" t="s">
        <v>31</v>
      </c>
      <c r="G30" s="227" t="s">
        <v>32</v>
      </c>
      <c r="H30" s="53" t="str">
        <f>IF($D$5&lt;2030,"Sales, returns, and conveyances not included in calculation for this time period.","")</f>
        <v>Sales, returns, and conveyances not included in calculation for this time period.</v>
      </c>
      <c r="I30" s="91"/>
    </row>
    <row r="31" spans="1:9" x14ac:dyDescent="0.35">
      <c r="B31" s="241"/>
      <c r="C31" s="227"/>
      <c r="D31" s="227"/>
      <c r="E31" s="227"/>
      <c r="F31" s="227"/>
      <c r="G31" s="227"/>
      <c r="H31" s="53"/>
      <c r="I31" s="91"/>
    </row>
    <row r="32" spans="1:9" x14ac:dyDescent="0.35">
      <c r="B32" s="241"/>
      <c r="C32" s="227"/>
      <c r="D32" s="227"/>
      <c r="E32" s="227"/>
      <c r="F32" s="227"/>
      <c r="G32" s="227"/>
      <c r="H32" s="186"/>
    </row>
    <row r="33" spans="1:9" x14ac:dyDescent="0.35">
      <c r="B33" s="241"/>
      <c r="C33" s="227"/>
      <c r="D33" s="227"/>
      <c r="E33" s="227"/>
      <c r="F33" s="227"/>
      <c r="G33" s="227"/>
      <c r="H33" s="186"/>
    </row>
    <row r="34" spans="1:9" ht="31.5" customHeight="1" x14ac:dyDescent="0.35">
      <c r="B34" s="241"/>
      <c r="C34" s="227"/>
      <c r="D34" s="227"/>
      <c r="E34" s="227"/>
      <c r="F34" s="227"/>
      <c r="G34" s="227"/>
      <c r="H34" s="186" t="str" cm="1">
        <f t="array" ref="H34">IF(AND($D$7="No",OR(NOT(ISBLANK(B35:G38)))),"ERROR - Data entered in blacked out cell(s). Please remove.",IF(AND($D$5&lt;2030,OR(NOT(ISBLANK(G35:G38)))),"ERROR - Data entered in blacked out cells. Please remove.",""))</f>
        <v/>
      </c>
    </row>
    <row r="35" spans="1:9" x14ac:dyDescent="0.35">
      <c r="A35" s="246" t="str" cm="1">
        <f t="array" ref="A35">IF(OR(LEN(H34:H39)&gt;0),"See error message in column H","")</f>
        <v/>
      </c>
      <c r="B35" s="37"/>
      <c r="C35" s="38"/>
      <c r="D35" s="38"/>
      <c r="E35" s="38"/>
      <c r="F35" s="38"/>
      <c r="G35" s="38"/>
      <c r="H35" s="94" t="str" cm="1">
        <f t="array" ref="H35">IF($D$7="No","",IF(NOT(ISBLANK(B35)),IF(AND(OR(NOT(ISBLANK(C35:E35))),NOT(ISBLANK(F35))),"","ERROR - Purchase or Inventory Data Missing. Input data or enter zero."),IF(AND(OR(NOT(ISBLANK(C35:G35))),ISBLANK(B35)),"ERROR - HFC Type Missing. Please specify an HFC for the entered data.","")))</f>
        <v/>
      </c>
      <c r="I35" s="18"/>
    </row>
    <row r="36" spans="1:9" x14ac:dyDescent="0.35">
      <c r="A36" s="246"/>
      <c r="B36" s="37"/>
      <c r="C36" s="38"/>
      <c r="D36" s="38"/>
      <c r="E36" s="38"/>
      <c r="F36" s="38"/>
      <c r="G36" s="38"/>
      <c r="H36" s="94" t="str" cm="1">
        <f t="array" ref="H36">IF($D$7="No","",IF(NOT(ISBLANK(B36)),IF(AND(OR(NOT(ISBLANK(C36:E36))),NOT(ISBLANK(F36))),"","ERROR - Purchase or Inventory Data Missing. Input data or enter zero."),IF(AND(OR(NOT(ISBLANK(C36:G36))),ISBLANK(B36)),"ERROR - HFC Type Missing. Please specify an HFC for the entered data.","")))</f>
        <v/>
      </c>
      <c r="I36" s="18"/>
    </row>
    <row r="37" spans="1:9" x14ac:dyDescent="0.35">
      <c r="A37" s="246"/>
      <c r="B37" s="37"/>
      <c r="C37" s="38"/>
      <c r="D37" s="38"/>
      <c r="E37" s="38"/>
      <c r="F37" s="38"/>
      <c r="G37" s="38"/>
      <c r="H37" s="94" t="str" cm="1">
        <f t="array" ref="H37">IF($D$7="No","",IF(NOT(ISBLANK(B37)),IF(AND(OR(NOT(ISBLANK(C37:E37))),NOT(ISBLANK(F37))),"","ERROR - Purchase or Inventory Data Missing. Input data or enter zero."),IF(AND(OR(NOT(ISBLANK(C37:G37))),ISBLANK(B37)),"ERROR - HFC Type Missing. Please specify an HFC for the entered data.","")))</f>
        <v/>
      </c>
      <c r="I37" s="18"/>
    </row>
    <row r="38" spans="1:9" x14ac:dyDescent="0.35">
      <c r="A38" s="246"/>
      <c r="B38" s="37"/>
      <c r="C38" s="38"/>
      <c r="D38" s="38"/>
      <c r="E38" s="38"/>
      <c r="F38" s="38"/>
      <c r="G38" s="38"/>
      <c r="H38" s="94" t="str" cm="1">
        <f t="array" ref="H38">IF($D$7="No","",IF(NOT(ISBLANK(B38)),IF(AND(OR(NOT(ISBLANK(C38:E38))),NOT(ISBLANK(F38))),"","ERROR - Purchase or Inventory Data Missing. Input data or enter zero."),IF(AND(OR(NOT(ISBLANK(C38:G38))),ISBLANK(B38)),"ERROR - HFC Type Missing. Please specify an HFC for the entered data.","")))</f>
        <v/>
      </c>
      <c r="I38" s="18"/>
    </row>
    <row r="39" spans="1:9" x14ac:dyDescent="0.35">
      <c r="B39" s="7"/>
      <c r="C39" s="7"/>
      <c r="D39" s="7"/>
      <c r="E39" s="7"/>
      <c r="F39" s="7"/>
    </row>
    <row r="41" spans="1:9" ht="24" customHeight="1" x14ac:dyDescent="0.35">
      <c r="B41" s="228" t="str">
        <f>D5-3&amp; " H1: "&amp;"Jan 1 - June 30, "&amp; D5-3</f>
        <v>2024 H1: Jan 1 - June 30, 2024</v>
      </c>
      <c r="C41" s="229"/>
      <c r="D41" s="229"/>
      <c r="E41" s="229"/>
      <c r="F41" s="229"/>
      <c r="G41" s="230"/>
      <c r="H41" s="186"/>
    </row>
    <row r="42" spans="1:9" ht="15" customHeight="1" x14ac:dyDescent="0.35">
      <c r="B42" s="241" t="s">
        <v>27</v>
      </c>
      <c r="C42" s="227" t="s">
        <v>28</v>
      </c>
      <c r="D42" s="227" t="s">
        <v>29</v>
      </c>
      <c r="E42" s="227" t="s">
        <v>30</v>
      </c>
      <c r="F42" s="227" t="s">
        <v>31</v>
      </c>
      <c r="G42" s="227" t="s">
        <v>32</v>
      </c>
      <c r="H42" s="53" t="str">
        <f>IF($D$5&lt;2029,"Sales, returns, and conveyances not included in calculation for this time period.","")</f>
        <v>Sales, returns, and conveyances not included in calculation for this time period.</v>
      </c>
      <c r="I42" s="91"/>
    </row>
    <row r="43" spans="1:9" ht="15" customHeight="1" x14ac:dyDescent="0.35">
      <c r="B43" s="241"/>
      <c r="C43" s="227"/>
      <c r="D43" s="227"/>
      <c r="E43" s="227"/>
      <c r="F43" s="227"/>
      <c r="G43" s="227"/>
      <c r="H43" s="53"/>
      <c r="I43" s="91"/>
    </row>
    <row r="44" spans="1:9" x14ac:dyDescent="0.35">
      <c r="B44" s="241"/>
      <c r="C44" s="227"/>
      <c r="D44" s="227"/>
      <c r="E44" s="227"/>
      <c r="F44" s="227"/>
      <c r="G44" s="227"/>
      <c r="H44" s="186"/>
    </row>
    <row r="45" spans="1:9" x14ac:dyDescent="0.35">
      <c r="B45" s="241"/>
      <c r="C45" s="227"/>
      <c r="D45" s="227"/>
      <c r="E45" s="227"/>
      <c r="F45" s="227"/>
      <c r="G45" s="227"/>
      <c r="H45" s="186"/>
    </row>
    <row r="46" spans="1:9" ht="31.5" customHeight="1" x14ac:dyDescent="0.35">
      <c r="B46" s="241"/>
      <c r="C46" s="227"/>
      <c r="D46" s="227"/>
      <c r="E46" s="227"/>
      <c r="F46" s="227"/>
      <c r="G46" s="227"/>
      <c r="H46" s="186" t="str" cm="1">
        <f t="array" ref="H46">IF(AND($D$7="No",OR(NOT(ISBLANK(B47:G50)))),"ERROR - Data entered in blacked out cell(s). Please remove.",IF(AND($D$5&lt;2029,OR(NOT(ISBLANK(G47:G50)))),"ERROR - Data entered in blacked out cells. Please remove.",""))</f>
        <v/>
      </c>
    </row>
    <row r="47" spans="1:9" x14ac:dyDescent="0.35">
      <c r="A47" s="246" t="str" cm="1">
        <f t="array" ref="A47">IF(OR(LEN(H46:H50)&gt;0),"See error message in column H","")</f>
        <v/>
      </c>
      <c r="B47" s="37"/>
      <c r="C47" s="38"/>
      <c r="D47" s="38"/>
      <c r="E47" s="38"/>
      <c r="F47" s="38"/>
      <c r="G47" s="38"/>
      <c r="H47" s="94" t="str" cm="1">
        <f t="array" ref="H47">IF($D$7="No","",IF(NOT(ISBLANK(B47)),IF(AND(OR(NOT(ISBLANK(C47:E47))),NOT(ISBLANK(F47))),"","ERROR - Purchase or Inventory Data Missing. Input data or enter zero."),IF(AND(OR(NOT(ISBLANK(C47:G47))),ISBLANK(B47)),"ERROR - HFC Type Missing. Please specify an HFC for the entered data.","")))</f>
        <v/>
      </c>
      <c r="I47" s="18"/>
    </row>
    <row r="48" spans="1:9" x14ac:dyDescent="0.35">
      <c r="A48" s="246"/>
      <c r="B48" s="37"/>
      <c r="C48" s="38"/>
      <c r="D48" s="38"/>
      <c r="E48" s="38"/>
      <c r="F48" s="38"/>
      <c r="G48" s="38"/>
      <c r="H48" s="94" t="str" cm="1">
        <f t="array" ref="H48">IF($D$7="No","",IF(NOT(ISBLANK(B48)),IF(AND(OR(NOT(ISBLANK(C48:E48))),NOT(ISBLANK(F48))),"","ERROR - Purchase or Inventory Data Missing. Input data or enter zero."),IF(AND(OR(NOT(ISBLANK(C48:G48))),ISBLANK(B48)),"ERROR - HFC Type Missing. Please specify an HFC for the entered data.","")))</f>
        <v/>
      </c>
      <c r="I48" s="18"/>
    </row>
    <row r="49" spans="1:9" x14ac:dyDescent="0.35">
      <c r="A49" s="246"/>
      <c r="B49" s="37"/>
      <c r="C49" s="38"/>
      <c r="D49" s="38"/>
      <c r="E49" s="38"/>
      <c r="F49" s="38"/>
      <c r="G49" s="38"/>
      <c r="H49" s="94" t="str" cm="1">
        <f t="array" ref="H49">IF($D$7="No","",IF(NOT(ISBLANK(B49)),IF(AND(OR(NOT(ISBLANK(C49:E49))),NOT(ISBLANK(F49))),"","ERROR - Purchase or Inventory Data Missing. Input data or enter zero."),IF(AND(OR(NOT(ISBLANK(C49:G49))),ISBLANK(B49)),"ERROR - HFC Type Missing. Please specify an HFC for the entered data.","")))</f>
        <v/>
      </c>
      <c r="I49" s="18"/>
    </row>
    <row r="50" spans="1:9" x14ac:dyDescent="0.35">
      <c r="A50" s="246"/>
      <c r="B50" s="37"/>
      <c r="C50" s="38"/>
      <c r="D50" s="38"/>
      <c r="E50" s="38"/>
      <c r="F50" s="38"/>
      <c r="G50" s="38"/>
      <c r="H50" s="94" t="str" cm="1">
        <f t="array" ref="H50">IF($D$7="No","",IF(NOT(ISBLANK(B50)),IF(AND(OR(NOT(ISBLANK(C50:E50))),NOT(ISBLANK(F50))),"","ERROR - Purchase or Inventory Data Missing. Input data or enter zero."),IF(AND(OR(NOT(ISBLANK(C50:G50))),ISBLANK(B50)),"ERROR - HFC Type Missing. Please specify an HFC for the entered data.","")))</f>
        <v/>
      </c>
      <c r="I50" s="18"/>
    </row>
    <row r="51" spans="1:9" x14ac:dyDescent="0.35">
      <c r="B51" s="7"/>
      <c r="C51" s="7"/>
      <c r="D51" s="7"/>
      <c r="E51" s="7"/>
      <c r="F51" s="7"/>
    </row>
    <row r="53" spans="1:9" ht="26.25" customHeight="1" x14ac:dyDescent="0.35">
      <c r="B53" s="228" t="str">
        <f>D5-3 &amp; " H2: "&amp;"Jul 1 - Dec 31, "&amp; (D5-3)</f>
        <v>2024 H2: Jul 1 - Dec 31, 2024</v>
      </c>
      <c r="C53" s="229"/>
      <c r="D53" s="229"/>
      <c r="E53" s="229"/>
      <c r="F53" s="229"/>
      <c r="G53" s="230"/>
      <c r="H53" s="186"/>
    </row>
    <row r="54" spans="1:9" ht="15" customHeight="1" x14ac:dyDescent="0.35">
      <c r="B54" s="241" t="s">
        <v>27</v>
      </c>
      <c r="C54" s="227" t="s">
        <v>28</v>
      </c>
      <c r="D54" s="227" t="s">
        <v>29</v>
      </c>
      <c r="E54" s="227" t="s">
        <v>30</v>
      </c>
      <c r="F54" s="227" t="s">
        <v>31</v>
      </c>
      <c r="G54" s="227" t="s">
        <v>32</v>
      </c>
      <c r="H54" s="53" t="str">
        <f>IF($D$5&lt;2029,"Sales, returns, and conveyances not included in calculation for this time period.","")</f>
        <v>Sales, returns, and conveyances not included in calculation for this time period.</v>
      </c>
      <c r="I54" s="91"/>
    </row>
    <row r="55" spans="1:9" x14ac:dyDescent="0.35">
      <c r="B55" s="241"/>
      <c r="C55" s="227"/>
      <c r="D55" s="227"/>
      <c r="E55" s="227"/>
      <c r="F55" s="227"/>
      <c r="G55" s="227"/>
      <c r="H55" s="53"/>
      <c r="I55" s="91"/>
    </row>
    <row r="56" spans="1:9" x14ac:dyDescent="0.35">
      <c r="B56" s="241"/>
      <c r="C56" s="227"/>
      <c r="D56" s="227"/>
      <c r="E56" s="227"/>
      <c r="F56" s="227"/>
      <c r="G56" s="227"/>
      <c r="H56" s="186"/>
    </row>
    <row r="57" spans="1:9" x14ac:dyDescent="0.35">
      <c r="B57" s="241"/>
      <c r="C57" s="227"/>
      <c r="D57" s="227"/>
      <c r="E57" s="227"/>
      <c r="F57" s="227"/>
      <c r="G57" s="227"/>
      <c r="H57" s="186"/>
    </row>
    <row r="58" spans="1:9" ht="31.5" customHeight="1" x14ac:dyDescent="0.35">
      <c r="B58" s="241"/>
      <c r="C58" s="227"/>
      <c r="D58" s="227"/>
      <c r="E58" s="227"/>
      <c r="F58" s="227"/>
      <c r="G58" s="227"/>
      <c r="H58" s="186" t="str" cm="1">
        <f t="array" ref="H58">IF(AND($D$5&lt;2029,OR(NOT(ISBLANK(G59:G62)))),"ERROR - Data entered in blacked out cells. Please remove.","")</f>
        <v/>
      </c>
    </row>
    <row r="59" spans="1:9" x14ac:dyDescent="0.35">
      <c r="A59" s="246" t="str" cm="1">
        <f t="array" ref="A59">IF(OR(LEN(H58:H65)&gt;0),"See error message in column H","")</f>
        <v/>
      </c>
      <c r="B59" s="37"/>
      <c r="C59" s="38"/>
      <c r="D59" s="38"/>
      <c r="E59" s="38"/>
      <c r="F59" s="38"/>
      <c r="G59" s="38"/>
      <c r="H59" s="94" t="str" cm="1">
        <f t="array" ref="H59">IF(NOT(ISBLANK(B59)),IF(AND(OR(NOT(ISBLANK(C59:E59))),NOT(ISBLANK(F59))),"","ERROR - Purchase or Inventory Data Missing. Input data or enter zero."),IF(AND(OR(NOT(ISBLANK(C59:G59))),ISBLANK(B59)),"ERROR - HFC Type Missing. Please specify an HFC for the entered data.",""))</f>
        <v/>
      </c>
      <c r="I59" s="18"/>
    </row>
    <row r="60" spans="1:9" x14ac:dyDescent="0.35">
      <c r="A60" s="246"/>
      <c r="B60" s="37"/>
      <c r="C60" s="38"/>
      <c r="D60" s="38"/>
      <c r="E60" s="38"/>
      <c r="F60" s="38"/>
      <c r="G60" s="38"/>
      <c r="H60" s="94" t="str" cm="1">
        <f t="array" ref="H60">IF(NOT(ISBLANK(B60)),IF(AND(OR(NOT(ISBLANK(C60:E60))),NOT(ISBLANK(F60))),"","ERROR - Purchase or Inventory Data Missing. Input data or enter zero."),IF(AND(OR(NOT(ISBLANK(C60:G60))),ISBLANK(B60)),"ERROR - HFC Type Missing. Please specify an HFC for the entered data.",""))</f>
        <v/>
      </c>
      <c r="I60" s="18"/>
    </row>
    <row r="61" spans="1:9" x14ac:dyDescent="0.35">
      <c r="A61" s="246"/>
      <c r="B61" s="37"/>
      <c r="C61" s="38"/>
      <c r="D61" s="38"/>
      <c r="E61" s="38"/>
      <c r="F61" s="38"/>
      <c r="G61" s="38"/>
      <c r="H61" s="94" t="str" cm="1">
        <f t="array" ref="H61">IF(NOT(ISBLANK(B61)),IF(AND(OR(NOT(ISBLANK(C61:E61))),NOT(ISBLANK(F61))),"","ERROR - Purchase or Inventory Data Missing. Input data or enter zero."),IF(AND(OR(NOT(ISBLANK(C61:G61))),ISBLANK(B61)),"ERROR - HFC Type Missing. Please specify an HFC for the entered data.",""))</f>
        <v/>
      </c>
      <c r="I61" s="18"/>
    </row>
    <row r="62" spans="1:9" x14ac:dyDescent="0.35">
      <c r="A62" s="246"/>
      <c r="B62" s="37"/>
      <c r="C62" s="38"/>
      <c r="D62" s="38"/>
      <c r="E62" s="38"/>
      <c r="F62" s="38"/>
      <c r="G62" s="38"/>
      <c r="H62" s="94" t="str" cm="1">
        <f t="array" ref="H62">IF(NOT(ISBLANK(B62)),IF(AND(OR(NOT(ISBLANK(C62:E62))),NOT(ISBLANK(F62))),"","ERROR - Purchase or Inventory Data Missing. Input data or enter zero."),IF(AND(OR(NOT(ISBLANK(C62:G62))),ISBLANK(B62)),"ERROR - HFC Type Missing. Please specify an HFC for the entered data.",""))</f>
        <v/>
      </c>
      <c r="I62" s="18"/>
    </row>
    <row r="63" spans="1:9" x14ac:dyDescent="0.35">
      <c r="B63" s="7"/>
      <c r="C63" s="7"/>
      <c r="D63" s="7"/>
      <c r="E63" s="7"/>
      <c r="F63" s="7"/>
    </row>
    <row r="65" spans="1:9" ht="24" customHeight="1" x14ac:dyDescent="0.35">
      <c r="B65" s="228" t="str">
        <f>D5-2 &amp;" H1: "&amp;"Jan 1 - June 30, "&amp; D5-2</f>
        <v>2025 H1: Jan 1 - June 30, 2025</v>
      </c>
      <c r="C65" s="229"/>
      <c r="D65" s="229"/>
      <c r="E65" s="229"/>
      <c r="F65" s="229"/>
      <c r="G65" s="230"/>
      <c r="H65" s="186"/>
    </row>
    <row r="66" spans="1:9" ht="15" customHeight="1" x14ac:dyDescent="0.35">
      <c r="B66" s="241" t="s">
        <v>27</v>
      </c>
      <c r="C66" s="227" t="s">
        <v>28</v>
      </c>
      <c r="D66" s="227" t="s">
        <v>29</v>
      </c>
      <c r="E66" s="227" t="s">
        <v>30</v>
      </c>
      <c r="F66" s="227" t="s">
        <v>31</v>
      </c>
      <c r="G66" s="227" t="s">
        <v>32</v>
      </c>
      <c r="H66" s="53" t="str">
        <f>IF($D$5&lt;2028,"Sales, returns, and conveyances not included in calculation for this time period.","")</f>
        <v>Sales, returns, and conveyances not included in calculation for this time period.</v>
      </c>
      <c r="I66" s="91"/>
    </row>
    <row r="67" spans="1:9" x14ac:dyDescent="0.35">
      <c r="B67" s="241"/>
      <c r="C67" s="227"/>
      <c r="D67" s="227"/>
      <c r="E67" s="227"/>
      <c r="F67" s="227"/>
      <c r="G67" s="227"/>
      <c r="H67" s="53"/>
      <c r="I67" s="91"/>
    </row>
    <row r="68" spans="1:9" x14ac:dyDescent="0.35">
      <c r="B68" s="241"/>
      <c r="C68" s="227"/>
      <c r="D68" s="227"/>
      <c r="E68" s="227"/>
      <c r="F68" s="227"/>
      <c r="G68" s="227"/>
      <c r="H68" s="186"/>
    </row>
    <row r="69" spans="1:9" x14ac:dyDescent="0.35">
      <c r="B69" s="241"/>
      <c r="C69" s="227"/>
      <c r="D69" s="227"/>
      <c r="E69" s="227"/>
      <c r="F69" s="227"/>
      <c r="G69" s="227"/>
      <c r="H69" s="186"/>
    </row>
    <row r="70" spans="1:9" ht="31.5" customHeight="1" x14ac:dyDescent="0.35">
      <c r="B70" s="241"/>
      <c r="C70" s="227"/>
      <c r="D70" s="227"/>
      <c r="E70" s="227"/>
      <c r="F70" s="227"/>
      <c r="G70" s="227"/>
      <c r="H70" s="186" t="str" cm="1">
        <f t="array" ref="H70">IF(AND($D$5&lt;2028,OR(NOT(ISBLANK(G71:G74)))),"ERROR - Data entered in blacked out cells. Please remove.","")</f>
        <v/>
      </c>
    </row>
    <row r="71" spans="1:9" x14ac:dyDescent="0.35">
      <c r="A71" s="246" t="str" cm="1">
        <f t="array" ref="A71">IF(OR(LEN(H70:H74)&gt;0),"See error message in column H","")</f>
        <v/>
      </c>
      <c r="B71" s="37"/>
      <c r="C71" s="38"/>
      <c r="D71" s="38"/>
      <c r="E71" s="38"/>
      <c r="F71" s="38"/>
      <c r="G71" s="38"/>
      <c r="H71" s="94" t="str" cm="1">
        <f t="array" ref="H71">IF(NOT(ISBLANK(B71)),IF(AND(OR(NOT(ISBLANK(C71:E71))),NOT(ISBLANK(F71))),"","ERROR - Purchase or Inventory Data Missing. Input data or enter zero."),IF(AND(OR(NOT(ISBLANK(C71:G71))),ISBLANK(B71)),"ERROR - HFC Type Missing. Please specify an HFC for the entered data.",""))</f>
        <v/>
      </c>
      <c r="I71" s="18"/>
    </row>
    <row r="72" spans="1:9" x14ac:dyDescent="0.35">
      <c r="A72" s="246"/>
      <c r="B72" s="37"/>
      <c r="C72" s="38"/>
      <c r="D72" s="38"/>
      <c r="E72" s="38"/>
      <c r="F72" s="38"/>
      <c r="G72" s="38"/>
      <c r="H72" s="94" t="str" cm="1">
        <f t="array" ref="H72">IF(NOT(ISBLANK(B72)),IF(AND(OR(NOT(ISBLANK(C72:E72))),NOT(ISBLANK(F72))),"","ERROR - Purchase or Inventory Data Missing. Input data or enter zero."),IF(AND(OR(NOT(ISBLANK(C72:G72))),ISBLANK(B72)),"ERROR - HFC Type Missing. Please specify an HFC for the entered data.",""))</f>
        <v/>
      </c>
      <c r="I72" s="18"/>
    </row>
    <row r="73" spans="1:9" x14ac:dyDescent="0.35">
      <c r="A73" s="246"/>
      <c r="B73" s="37"/>
      <c r="C73" s="38"/>
      <c r="D73" s="38"/>
      <c r="E73" s="38"/>
      <c r="F73" s="38"/>
      <c r="G73" s="38"/>
      <c r="H73" s="94" t="str" cm="1">
        <f t="array" ref="H73">IF(NOT(ISBLANK(B73)),IF(AND(OR(NOT(ISBLANK(C73:E73))),NOT(ISBLANK(F73))),"","ERROR - Purchase or Inventory Data Missing. Input data or enter zero."),IF(AND(OR(NOT(ISBLANK(C73:G73))),ISBLANK(B73)),"ERROR - HFC Type Missing. Please specify an HFC for the entered data.",""))</f>
        <v/>
      </c>
      <c r="I73" s="18"/>
    </row>
    <row r="74" spans="1:9" x14ac:dyDescent="0.35">
      <c r="A74" s="246"/>
      <c r="B74" s="37"/>
      <c r="C74" s="38"/>
      <c r="D74" s="38"/>
      <c r="E74" s="38"/>
      <c r="F74" s="38"/>
      <c r="G74" s="38"/>
      <c r="H74" s="94" t="str" cm="1">
        <f t="array" ref="H74">IF(NOT(ISBLANK(B74)),IF(AND(OR(NOT(ISBLANK(C74:E74))),NOT(ISBLANK(F74))),"","ERROR - Purchase or Inventory Data Missing. Input data or enter zero."),IF(AND(OR(NOT(ISBLANK(C74:G74))),ISBLANK(B74)),"ERROR - HFC Type Missing. Please specify an HFC for the entered data.",""))</f>
        <v/>
      </c>
      <c r="I74" s="18"/>
    </row>
    <row r="75" spans="1:9" x14ac:dyDescent="0.35">
      <c r="B75" s="7"/>
      <c r="C75" s="7"/>
      <c r="D75" s="7"/>
      <c r="E75" s="7"/>
      <c r="F75" s="7"/>
    </row>
    <row r="77" spans="1:9" ht="24" customHeight="1" x14ac:dyDescent="0.35">
      <c r="B77" s="228" t="str">
        <f>D5-2 &amp;" H2: "&amp;"Jul 1 - Dec 31, "&amp; (D5-2)</f>
        <v>2025 H2: Jul 1 - Dec 31, 2025</v>
      </c>
      <c r="C77" s="229"/>
      <c r="D77" s="229"/>
      <c r="E77" s="229"/>
      <c r="F77" s="229"/>
      <c r="G77" s="230"/>
      <c r="H77" s="186"/>
    </row>
    <row r="78" spans="1:9" ht="15" customHeight="1" x14ac:dyDescent="0.35">
      <c r="B78" s="241" t="s">
        <v>27</v>
      </c>
      <c r="C78" s="227" t="s">
        <v>28</v>
      </c>
      <c r="D78" s="227" t="s">
        <v>29</v>
      </c>
      <c r="E78" s="227" t="s">
        <v>30</v>
      </c>
      <c r="F78" s="227" t="s">
        <v>31</v>
      </c>
      <c r="G78" s="227" t="s">
        <v>32</v>
      </c>
      <c r="H78" s="53" t="str">
        <f>IF($D$5&lt;2028,"Sales, returns, and conveyances not included in calculation for this time period.","")</f>
        <v>Sales, returns, and conveyances not included in calculation for this time period.</v>
      </c>
      <c r="I78" s="91"/>
    </row>
    <row r="79" spans="1:9" x14ac:dyDescent="0.35">
      <c r="B79" s="241"/>
      <c r="C79" s="227"/>
      <c r="D79" s="227"/>
      <c r="E79" s="227"/>
      <c r="F79" s="227"/>
      <c r="G79" s="227"/>
      <c r="H79" s="53"/>
      <c r="I79" s="91"/>
    </row>
    <row r="80" spans="1:9" x14ac:dyDescent="0.35">
      <c r="B80" s="241"/>
      <c r="C80" s="227"/>
      <c r="D80" s="227"/>
      <c r="E80" s="227"/>
      <c r="F80" s="227"/>
      <c r="G80" s="227"/>
      <c r="H80" s="186"/>
    </row>
    <row r="81" spans="1:9" x14ac:dyDescent="0.35">
      <c r="B81" s="241"/>
      <c r="C81" s="227"/>
      <c r="D81" s="227"/>
      <c r="E81" s="227"/>
      <c r="F81" s="227"/>
      <c r="G81" s="227"/>
      <c r="H81" s="186"/>
    </row>
    <row r="82" spans="1:9" ht="31.5" customHeight="1" x14ac:dyDescent="0.35">
      <c r="B82" s="241"/>
      <c r="C82" s="227"/>
      <c r="D82" s="227"/>
      <c r="E82" s="227"/>
      <c r="F82" s="227"/>
      <c r="G82" s="227"/>
      <c r="H82" s="186" t="str" cm="1">
        <f t="array" ref="H82">IF(AND($D$5&lt;2028,OR(NOT(ISBLANK(G83:G86)))),"ERROR - Data entered in blacked out cells. Please remove.","")</f>
        <v/>
      </c>
    </row>
    <row r="83" spans="1:9" x14ac:dyDescent="0.35">
      <c r="A83" s="246" t="str" cm="1">
        <f t="array" ref="A83">IF(OR(LEN(H82:H86)&gt;0),"See error message in column H","")</f>
        <v/>
      </c>
      <c r="B83" s="37"/>
      <c r="C83" s="38"/>
      <c r="D83" s="38"/>
      <c r="E83" s="38"/>
      <c r="F83" s="38"/>
      <c r="G83" s="38"/>
      <c r="H83" s="94" t="str" cm="1">
        <f t="array" ref="H83">IF(NOT(ISBLANK(B83)),IF(AND(OR(NOT(ISBLANK(C83:E83))),NOT(ISBLANK(F83))),"","ERROR - Purchase or Inventory Data Missing. Input data or enter zero."),IF(AND(OR(NOT(ISBLANK(C83:G83))),ISBLANK(B83)),"ERROR - HFC Type Missing. Please specify an HFC for the entered data.",""))</f>
        <v/>
      </c>
      <c r="I83" s="18"/>
    </row>
    <row r="84" spans="1:9" x14ac:dyDescent="0.35">
      <c r="A84" s="246"/>
      <c r="B84" s="37"/>
      <c r="C84" s="38"/>
      <c r="D84" s="38"/>
      <c r="E84" s="38"/>
      <c r="F84" s="38"/>
      <c r="G84" s="38"/>
      <c r="H84" s="94" t="str" cm="1">
        <f t="array" ref="H84">IF(NOT(ISBLANK(B84)),IF(AND(OR(NOT(ISBLANK(C84:E84))),NOT(ISBLANK(F84))),"","ERROR - Purchase or Inventory Data Missing. Input data or enter zero."),IF(AND(OR(NOT(ISBLANK(C84:G84))),ISBLANK(B84)),"ERROR - HFC Type Missing. Please specify an HFC for the entered data.",""))</f>
        <v/>
      </c>
      <c r="I84" s="18"/>
    </row>
    <row r="85" spans="1:9" x14ac:dyDescent="0.35">
      <c r="A85" s="246"/>
      <c r="B85" s="37"/>
      <c r="C85" s="38"/>
      <c r="D85" s="38"/>
      <c r="E85" s="38"/>
      <c r="F85" s="38"/>
      <c r="G85" s="38"/>
      <c r="H85" s="94" t="str" cm="1">
        <f t="array" ref="H85">IF(NOT(ISBLANK(B85)),IF(AND(OR(NOT(ISBLANK(C85:E85))),NOT(ISBLANK(F85))),"","ERROR - Purchase or Inventory Data Missing. Input data or enter zero."),IF(AND(OR(NOT(ISBLANK(C85:G85))),ISBLANK(B85)),"ERROR - HFC Type Missing. Please specify an HFC for the entered data.",""))</f>
        <v/>
      </c>
      <c r="I85" s="18"/>
    </row>
    <row r="86" spans="1:9" x14ac:dyDescent="0.35">
      <c r="A86" s="246"/>
      <c r="B86" s="37"/>
      <c r="C86" s="38"/>
      <c r="D86" s="38"/>
      <c r="E86" s="38"/>
      <c r="F86" s="38"/>
      <c r="G86" s="38"/>
      <c r="H86" s="94" t="str" cm="1">
        <f t="array" ref="H86">IF(NOT(ISBLANK(B86)),IF(AND(OR(NOT(ISBLANK(C86:E86))),NOT(ISBLANK(F86))),"","ERROR - Purchase or Inventory Data Missing. Input data or enter zero."),IF(AND(OR(NOT(ISBLANK(C86:G86))),ISBLANK(B86)),"ERROR - HFC Type Missing. Please specify an HFC for the entered data.",""))</f>
        <v/>
      </c>
      <c r="I86" s="18"/>
    </row>
    <row r="87" spans="1:9" x14ac:dyDescent="0.35">
      <c r="B87" s="7"/>
      <c r="C87" s="7"/>
      <c r="D87" s="7"/>
      <c r="E87" s="7"/>
      <c r="F87" s="7"/>
    </row>
    <row r="89" spans="1:9" ht="24" customHeight="1" x14ac:dyDescent="0.35">
      <c r="B89" s="228" t="str">
        <f>D5-1 &amp;" H1: "&amp;"Jan 1 - June 30, "&amp;D5-1</f>
        <v>2026 H1: Jan 1 - June 30, 2026</v>
      </c>
      <c r="C89" s="229"/>
      <c r="D89" s="229"/>
      <c r="E89" s="229"/>
      <c r="F89" s="229"/>
      <c r="G89" s="230"/>
      <c r="H89" s="186"/>
    </row>
    <row r="90" spans="1:9" ht="15" customHeight="1" x14ac:dyDescent="0.35">
      <c r="B90" s="241" t="s">
        <v>27</v>
      </c>
      <c r="C90" s="227" t="s">
        <v>28</v>
      </c>
      <c r="D90" s="227" t="s">
        <v>29</v>
      </c>
      <c r="E90" s="227" t="s">
        <v>30</v>
      </c>
      <c r="F90" s="227" t="s">
        <v>31</v>
      </c>
      <c r="G90" s="227" t="s">
        <v>32</v>
      </c>
      <c r="H90" s="186"/>
    </row>
    <row r="91" spans="1:9" x14ac:dyDescent="0.35">
      <c r="B91" s="241"/>
      <c r="C91" s="227"/>
      <c r="D91" s="227"/>
      <c r="E91" s="227"/>
      <c r="F91" s="227"/>
      <c r="G91" s="227"/>
      <c r="H91" s="186"/>
    </row>
    <row r="92" spans="1:9" x14ac:dyDescent="0.35">
      <c r="B92" s="241"/>
      <c r="C92" s="227"/>
      <c r="D92" s="227"/>
      <c r="E92" s="227"/>
      <c r="F92" s="227"/>
      <c r="G92" s="227"/>
      <c r="H92" s="186"/>
    </row>
    <row r="93" spans="1:9" x14ac:dyDescent="0.35">
      <c r="B93" s="241"/>
      <c r="C93" s="227"/>
      <c r="D93" s="227"/>
      <c r="E93" s="227"/>
      <c r="F93" s="227"/>
      <c r="G93" s="227"/>
      <c r="H93" s="186"/>
    </row>
    <row r="94" spans="1:9" ht="31.5" customHeight="1" x14ac:dyDescent="0.35">
      <c r="B94" s="241"/>
      <c r="C94" s="227"/>
      <c r="D94" s="227"/>
      <c r="E94" s="227"/>
      <c r="F94" s="227"/>
      <c r="G94" s="227"/>
      <c r="H94" s="186"/>
    </row>
    <row r="95" spans="1:9" x14ac:dyDescent="0.35">
      <c r="A95" s="246" t="str" cm="1">
        <f t="array" ref="A95">IF(OR(LEN(H94:H98)&gt;0),"See error message in column H","")</f>
        <v/>
      </c>
      <c r="B95" s="37"/>
      <c r="C95" s="38"/>
      <c r="D95" s="38"/>
      <c r="E95" s="38"/>
      <c r="F95" s="38"/>
      <c r="G95" s="38"/>
      <c r="H95" s="94" t="str" cm="1">
        <f t="array" ref="H95">IF(NOT(ISBLANK(B95)),IF(AND(OR(NOT(ISBLANK(C95:E95))),NOT(ISBLANK(F95))),"","ERROR - Purchase or Inventory Data Missing. Input data or enter zero."),IF(AND(OR(NOT(ISBLANK(C95:G95))),ISBLANK(B95)),"ERROR - HFC Type Missing. Please specify an HFC for the entered data.",""))</f>
        <v/>
      </c>
      <c r="I95" s="18"/>
    </row>
    <row r="96" spans="1:9" x14ac:dyDescent="0.35">
      <c r="A96" s="246"/>
      <c r="B96" s="37"/>
      <c r="C96" s="38"/>
      <c r="D96" s="38"/>
      <c r="E96" s="38"/>
      <c r="F96" s="38"/>
      <c r="G96" s="38"/>
      <c r="H96" s="94" t="str" cm="1">
        <f t="array" ref="H96">IF(NOT(ISBLANK(B96)),IF(AND(OR(NOT(ISBLANK(C96:E96))),NOT(ISBLANK(F96))),"","ERROR - Purchase or Inventory Data Missing. Input data or enter zero."),IF(AND(OR(NOT(ISBLANK(C96:G96))),ISBLANK(B96)),"ERROR - HFC Type Missing. Please specify an HFC for the entered data.",""))</f>
        <v/>
      </c>
      <c r="I96" s="18"/>
    </row>
    <row r="97" spans="1:9" x14ac:dyDescent="0.35">
      <c r="A97" s="246"/>
      <c r="B97" s="37"/>
      <c r="C97" s="38"/>
      <c r="D97" s="38"/>
      <c r="E97" s="38"/>
      <c r="F97" s="38"/>
      <c r="G97" s="38"/>
      <c r="H97" s="94" t="str" cm="1">
        <f t="array" ref="H97">IF(NOT(ISBLANK(B97)),IF(AND(OR(NOT(ISBLANK(C97:E97))),NOT(ISBLANK(F97))),"","ERROR - Purchase or Inventory Data Missing. Input data or enter zero."),IF(AND(OR(NOT(ISBLANK(C97:G97))),ISBLANK(B97)),"ERROR - HFC Type Missing. Please specify an HFC for the entered data.",""))</f>
        <v/>
      </c>
      <c r="I97" s="18"/>
    </row>
    <row r="98" spans="1:9" x14ac:dyDescent="0.35">
      <c r="A98" s="246"/>
      <c r="B98" s="37"/>
      <c r="C98" s="38"/>
      <c r="D98" s="38"/>
      <c r="E98" s="38"/>
      <c r="F98" s="38"/>
      <c r="G98" s="38"/>
      <c r="H98" s="94" t="str" cm="1">
        <f t="array" ref="H98">IF(NOT(ISBLANK(B98)),IF(AND(OR(NOT(ISBLANK(C98:E98))),NOT(ISBLANK(F98))),"","ERROR - Purchase or Inventory Data Missing. Input data or enter zero."),IF(AND(OR(NOT(ISBLANK(C98:G98))),ISBLANK(B98)),"ERROR - HFC Type Missing. Please specify an HFC for the entered data.",""))</f>
        <v/>
      </c>
      <c r="I98" s="18"/>
    </row>
  </sheetData>
  <sheetProtection algorithmName="SHA-512" hashValue="7hVfLC+bsquXZTFg6TfLljvoDkJL5HqzE4fWNowNyBjrPjR5wnHBj4xbM58xJVTf15RpTxlazjEC9dp2ZK3Dbg==" saltValue="dD1gUrc9j4Kl/kAlVoRm4Q==" spinCount="100000" sheet="1" objects="1" scenarios="1"/>
  <protectedRanges>
    <protectedRange sqref="D4:D7" name="Company Info"/>
    <protectedRange sqref="B23:G26 B35:G38 B47:G50 B59:G62 B71:G74 B83:G86 B95:G98" name="Biannual Report Data"/>
  </protectedRanges>
  <mergeCells count="66">
    <mergeCell ref="A23:A26"/>
    <mergeCell ref="A95:A98"/>
    <mergeCell ref="A83:A86"/>
    <mergeCell ref="A71:A74"/>
    <mergeCell ref="A59:A62"/>
    <mergeCell ref="A47:A50"/>
    <mergeCell ref="A35:A38"/>
    <mergeCell ref="G90:G94"/>
    <mergeCell ref="B89:G89"/>
    <mergeCell ref="B77:G77"/>
    <mergeCell ref="B65:G65"/>
    <mergeCell ref="B78:B82"/>
    <mergeCell ref="C78:C82"/>
    <mergeCell ref="D78:D82"/>
    <mergeCell ref="E78:E82"/>
    <mergeCell ref="F78:F82"/>
    <mergeCell ref="B90:B94"/>
    <mergeCell ref="C90:C94"/>
    <mergeCell ref="D90:D94"/>
    <mergeCell ref="E90:E94"/>
    <mergeCell ref="F90:F94"/>
    <mergeCell ref="G66:G70"/>
    <mergeCell ref="B66:B70"/>
    <mergeCell ref="G78:G82"/>
    <mergeCell ref="B53:G53"/>
    <mergeCell ref="C66:C70"/>
    <mergeCell ref="D66:D70"/>
    <mergeCell ref="E66:E70"/>
    <mergeCell ref="F66:F70"/>
    <mergeCell ref="B54:B58"/>
    <mergeCell ref="C54:C58"/>
    <mergeCell ref="D54:D58"/>
    <mergeCell ref="E54:E58"/>
    <mergeCell ref="F54:F58"/>
    <mergeCell ref="G54:G58"/>
    <mergeCell ref="B2:D2"/>
    <mergeCell ref="F30:F34"/>
    <mergeCell ref="B42:B46"/>
    <mergeCell ref="C42:C46"/>
    <mergeCell ref="D42:D46"/>
    <mergeCell ref="B18:B22"/>
    <mergeCell ref="C18:C22"/>
    <mergeCell ref="D18:D22"/>
    <mergeCell ref="E18:E22"/>
    <mergeCell ref="F18:F22"/>
    <mergeCell ref="E30:E34"/>
    <mergeCell ref="B4:C4"/>
    <mergeCell ref="B5:C5"/>
    <mergeCell ref="B6:C6"/>
    <mergeCell ref="B7:C7"/>
    <mergeCell ref="E4:F4"/>
    <mergeCell ref="G30:G34"/>
    <mergeCell ref="G42:G46"/>
    <mergeCell ref="B41:G41"/>
    <mergeCell ref="B29:G29"/>
    <mergeCell ref="B8:F10"/>
    <mergeCell ref="B15:G15"/>
    <mergeCell ref="B14:G14"/>
    <mergeCell ref="B12:G12"/>
    <mergeCell ref="G18:G22"/>
    <mergeCell ref="B17:G17"/>
    <mergeCell ref="E42:E46"/>
    <mergeCell ref="F42:F46"/>
    <mergeCell ref="B30:B34"/>
    <mergeCell ref="C30:C34"/>
    <mergeCell ref="D30:D34"/>
  </mergeCells>
  <conditionalFormatting sqref="A1:A100 H22:H26">
    <cfRule type="containsText" dxfId="18" priority="15" operator="containsText" text="ERROR">
      <formula>NOT(ISERROR(SEARCH("ERROR",A1)))</formula>
    </cfRule>
  </conditionalFormatting>
  <conditionalFormatting sqref="B8">
    <cfRule type="containsText" dxfId="17" priority="14" operator="containsText" text="ATTENTION">
      <formula>NOT(ISERROR(SEARCH("ATTENTION",B8)))</formula>
    </cfRule>
  </conditionalFormatting>
  <conditionalFormatting sqref="B23:G26 B35:G38 B47:G50">
    <cfRule type="expression" dxfId="16" priority="2">
      <formula>$D$7="No"</formula>
    </cfRule>
  </conditionalFormatting>
  <conditionalFormatting sqref="E4">
    <cfRule type="containsText" dxfId="15" priority="1" operator="containsText" text="Please">
      <formula>NOT(ISERROR(SEARCH("Please",E4)))</formula>
    </cfRule>
  </conditionalFormatting>
  <conditionalFormatting sqref="G23:G26 G35:G38">
    <cfRule type="expression" dxfId="14" priority="7">
      <formula>$D$5&lt;2030</formula>
    </cfRule>
  </conditionalFormatting>
  <conditionalFormatting sqref="G47:G50 G59:G62">
    <cfRule type="expression" dxfId="13" priority="6">
      <formula>$D$5&lt;2029</formula>
    </cfRule>
  </conditionalFormatting>
  <conditionalFormatting sqref="G71:G74 G83:G86">
    <cfRule type="expression" dxfId="12" priority="3">
      <formula>$D$5&lt;2028</formula>
    </cfRule>
  </conditionalFormatting>
  <conditionalFormatting sqref="H18 H30 H42 H54 H66 H78">
    <cfRule type="containsText" dxfId="11" priority="9" operator="containsText" text="Sales">
      <formula>NOT(ISERROR(SEARCH("Sales",H18)))</formula>
    </cfRule>
  </conditionalFormatting>
  <conditionalFormatting sqref="H34:H38 H46:H50 H58:H62">
    <cfRule type="containsText" dxfId="10" priority="21" operator="containsText" text="ERROR">
      <formula>NOT(ISERROR(SEARCH("ERROR",H34)))</formula>
    </cfRule>
  </conditionalFormatting>
  <conditionalFormatting sqref="H70:H74 H82:H86 H94:H98">
    <cfRule type="containsText" dxfId="9" priority="18" operator="containsText" text="ERROR">
      <formula>NOT(ISERROR(SEARCH("ERROR",H70)))</formula>
    </cfRule>
  </conditionalFormatting>
  <dataValidations count="7">
    <dataValidation type="decimal" operator="greaterThanOrEqual" allowBlank="1" showInputMessage="1" showErrorMessage="1" error="Quantity Held in Inventory by the Reporting Company or Held under Contract by Another Company for the Reporting Company’s Use must be greater than or equal to 0." sqref="F47:F51 F59:F63 F71:F75 F35:F39 F83:F87 F95:F98 F23:F28" xr:uid="{7249765A-CE59-4740-8738-703434DDC488}">
      <formula1>0</formula1>
    </dataValidation>
    <dataValidation type="decimal" operator="greaterThanOrEqual" allowBlank="1" showInputMessage="1" showErrorMessage="1" error="Quantity of HFCs Purchased for Application-Specific Use without Expending or Conferring Your Allowances must be greater than or equal to 0." sqref="E47:E51 E59:E63 E71:E75 E35:E39 E95:E98 E23:E28 E86:E87" xr:uid="{A9970ED5-2308-4C0C-AFAD-991CB9B42D17}">
      <formula1>0</formula1>
    </dataValidation>
    <dataValidation type="decimal" operator="greaterThanOrEqual" allowBlank="1" showInputMessage="1" showErrorMessage="1" error="Quantity of HFCs Imported Using Your Allowances must be greater than or equal to 0." sqref="D47:D51 D59:D63 D71:D75 D35:D39 D83:D87 D23:D28 B28 B27:C27 D95:D98 C95:C97 C83:C85 E83:E85" xr:uid="{D776941B-AD47-480B-B529-709145B71113}">
      <formula1>0</formula1>
    </dataValidation>
    <dataValidation type="decimal" operator="greaterThanOrEqual" allowBlank="1" showInputMessage="1" showErrorMessage="1" error="Quantity Acquired through Conferring Allowances must be greater than or equal to 0." sqref="C23:C26 C47:C51 B39 C35:C39 B63 B75 B87 B51 C28 C98 C71:C75 C59:C63 C86:C87" xr:uid="{7E5E8F98-1339-4941-926F-3073FA5670F4}">
      <formula1>0</formula1>
    </dataValidation>
    <dataValidation type="list" allowBlank="1" showInputMessage="1" showErrorMessage="1" sqref="D7" xr:uid="{CD522E4C-6803-4F4A-81D2-A808D0DE0CAA}">
      <formula1>"Yes,No"</formula1>
    </dataValidation>
    <dataValidation type="decimal" operator="greaterThanOrEqual" allowBlank="1" showInputMessage="1" showErrorMessage="1" error="Quantity Sold, Returned, or Conveyed must be greater than or equal to 0." sqref="G35:G38 G71:G74 G95:G98 G47:G50 G23:G26 G83:G86 G59:G62" xr:uid="{3DA333C9-3416-4EE8-8675-2C27E71A2425}">
      <formula1>0</formula1>
    </dataValidation>
    <dataValidation type="list" allowBlank="1" showInputMessage="1" showErrorMessage="1" sqref="D6" xr:uid="{6E3FD3FA-D9C1-4094-B080-39AABAAE0BD7}">
      <formula1>"No,Yes"</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B066AD6E-19F3-4EEF-A8DE-E3AC33638858}">
          <x14:formula1>
            <xm:f>Lists!$E$3:$E$6</xm:f>
          </x14:formula1>
          <xm:sqref>D5</xm:sqref>
        </x14:dataValidation>
        <x14:dataValidation type="list" allowBlank="1" showInputMessage="1" showErrorMessage="1" xr:uid="{04CDF22E-BF62-4446-A574-12E64FEEDC38}">
          <x14:formula1>
            <xm:f>Lists!$B$3:$B$10</xm:f>
          </x14:formula1>
          <xm:sqref>B47:B50 B35:B38 B23:B26 B83:B86 B71:B74 B59:B62 B95:B98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61478-20EB-4E70-AEA9-BD3EB985E5E7}">
  <sheetPr codeName="Sheet7">
    <tabColor rgb="FF146CB5"/>
  </sheetPr>
  <dimension ref="B2:L24"/>
  <sheetViews>
    <sheetView tabSelected="1" topLeftCell="A5" zoomScale="101" workbookViewId="0">
      <selection activeCell="B14" sqref="B14:C17"/>
    </sheetView>
  </sheetViews>
  <sheetFormatPr defaultColWidth="9.1796875" defaultRowHeight="14.5" x14ac:dyDescent="0.35"/>
  <cols>
    <col min="1" max="1" width="5.7265625" style="6" customWidth="1"/>
    <col min="2" max="2" width="18.7265625" style="6" customWidth="1"/>
    <col min="3" max="3" width="15.453125" style="6" customWidth="1"/>
    <col min="4" max="4" width="16.1796875" style="6" customWidth="1"/>
    <col min="5" max="5" width="12.453125" style="6" customWidth="1"/>
    <col min="6" max="7" width="9.1796875" style="6"/>
    <col min="8" max="8" width="10.453125" style="6" customWidth="1"/>
    <col min="9" max="16384" width="9.1796875" style="6"/>
  </cols>
  <sheetData>
    <row r="2" spans="2:12" ht="28.5" customHeight="1" x14ac:dyDescent="0.35">
      <c r="B2" s="199" t="s">
        <v>33</v>
      </c>
      <c r="C2" s="200"/>
      <c r="D2" s="200"/>
      <c r="E2" s="200"/>
      <c r="F2" s="200"/>
      <c r="G2" s="200"/>
      <c r="H2" s="200"/>
      <c r="I2" s="200"/>
      <c r="J2" s="200"/>
      <c r="K2" s="200"/>
      <c r="L2" s="201"/>
    </row>
    <row r="3" spans="2:12" ht="18.5" x14ac:dyDescent="0.45">
      <c r="B3" s="30"/>
      <c r="C3" s="30"/>
      <c r="D3" s="30"/>
      <c r="E3" s="30"/>
      <c r="F3" s="30"/>
      <c r="G3" s="30"/>
      <c r="H3" s="30"/>
      <c r="I3" s="10"/>
      <c r="J3" s="10"/>
    </row>
    <row r="4" spans="2:12" s="4" customFormat="1" ht="18.5" x14ac:dyDescent="0.35">
      <c r="B4" s="202" t="s">
        <v>6</v>
      </c>
      <c r="C4" s="203"/>
      <c r="D4" s="203"/>
      <c r="E4" s="203"/>
      <c r="F4" s="203"/>
      <c r="G4" s="203"/>
      <c r="H4" s="203"/>
      <c r="I4" s="203"/>
      <c r="J4" s="203"/>
      <c r="K4" s="203"/>
      <c r="L4" s="205"/>
    </row>
    <row r="5" spans="2:12" ht="46.5" customHeight="1" x14ac:dyDescent="0.35">
      <c r="B5" s="206" t="s">
        <v>34</v>
      </c>
      <c r="C5" s="207"/>
      <c r="D5" s="207"/>
      <c r="E5" s="207"/>
      <c r="F5" s="207"/>
      <c r="G5" s="207"/>
      <c r="H5" s="207"/>
      <c r="I5" s="207"/>
      <c r="J5" s="207"/>
      <c r="K5" s="207"/>
      <c r="L5" s="208"/>
    </row>
    <row r="6" spans="2:12" ht="36" customHeight="1" x14ac:dyDescent="0.35">
      <c r="B6" s="206" t="s">
        <v>35</v>
      </c>
      <c r="C6" s="207"/>
      <c r="D6" s="207"/>
      <c r="E6" s="207"/>
      <c r="F6" s="207"/>
      <c r="G6" s="207"/>
      <c r="H6" s="207"/>
      <c r="I6" s="207"/>
      <c r="J6" s="207"/>
      <c r="K6" s="207"/>
      <c r="L6" s="208"/>
    </row>
    <row r="7" spans="2:12" ht="36" customHeight="1" x14ac:dyDescent="0.35">
      <c r="B7" s="209" t="s">
        <v>36</v>
      </c>
      <c r="C7" s="210"/>
      <c r="D7" s="210"/>
      <c r="E7" s="210"/>
      <c r="F7" s="210"/>
      <c r="G7" s="210"/>
      <c r="H7" s="210"/>
      <c r="I7" s="210"/>
      <c r="J7" s="210"/>
      <c r="K7" s="210"/>
      <c r="L7" s="211"/>
    </row>
    <row r="8" spans="2:12" ht="41.5" customHeight="1" x14ac:dyDescent="0.35">
      <c r="B8" s="212" t="s">
        <v>37</v>
      </c>
      <c r="C8" s="213"/>
      <c r="D8" s="213"/>
      <c r="E8" s="213"/>
      <c r="F8" s="213"/>
      <c r="G8" s="213"/>
      <c r="H8" s="213"/>
      <c r="I8" s="213"/>
      <c r="J8" s="213"/>
      <c r="K8" s="213"/>
      <c r="L8" s="214"/>
    </row>
    <row r="9" spans="2:12" s="4" customFormat="1" ht="18.5" x14ac:dyDescent="0.35">
      <c r="B9" s="202" t="s">
        <v>38</v>
      </c>
      <c r="C9" s="203"/>
      <c r="D9" s="203"/>
      <c r="E9" s="203"/>
      <c r="F9" s="203"/>
      <c r="G9" s="203"/>
      <c r="H9" s="203"/>
      <c r="I9" s="44"/>
      <c r="J9" s="44"/>
      <c r="K9" s="44"/>
      <c r="L9" s="45"/>
    </row>
    <row r="10" spans="2:12" s="4" customFormat="1" ht="24" customHeight="1" x14ac:dyDescent="0.35">
      <c r="B10" s="197" t="s">
        <v>39</v>
      </c>
      <c r="C10" s="198"/>
      <c r="D10" s="198"/>
      <c r="E10" s="198"/>
      <c r="F10" s="204" t="s">
        <v>40</v>
      </c>
      <c r="G10" s="204"/>
      <c r="H10" s="204"/>
      <c r="I10" s="46"/>
      <c r="J10" s="46"/>
      <c r="K10" s="46"/>
      <c r="L10" s="47"/>
    </row>
    <row r="12" spans="2:12" ht="21" customHeight="1" x14ac:dyDescent="0.35">
      <c r="B12" s="194" t="s">
        <v>41</v>
      </c>
      <c r="C12" s="195"/>
      <c r="D12" s="196"/>
    </row>
    <row r="13" spans="2:12" ht="15" customHeight="1" x14ac:dyDescent="0.35">
      <c r="B13" s="42" t="s">
        <v>27</v>
      </c>
      <c r="C13" s="43" t="s">
        <v>42</v>
      </c>
      <c r="D13" s="43" t="s">
        <v>43</v>
      </c>
    </row>
    <row r="14" spans="2:12" x14ac:dyDescent="0.35">
      <c r="B14" s="37"/>
      <c r="C14" s="38"/>
      <c r="D14" s="41" t="str">
        <f>IF(ISBLANK(B14),"",C14*_xlfn.XLOOKUP(B14,Lists!$B$3:$B$10,Lists!$C$3:$C$10,0)/1000)</f>
        <v/>
      </c>
    </row>
    <row r="15" spans="2:12" x14ac:dyDescent="0.35">
      <c r="B15" s="37"/>
      <c r="C15" s="38"/>
      <c r="D15" s="41" t="str">
        <f>IF(ISBLANK(B15),"",C15*_xlfn.XLOOKUP(B15,Lists!$B$3:$B$10,Lists!$C$3:$C$10,0)/1000)</f>
        <v/>
      </c>
    </row>
    <row r="16" spans="2:12" x14ac:dyDescent="0.35">
      <c r="B16" s="37"/>
      <c r="C16" s="38"/>
      <c r="D16" s="41" t="str">
        <f>IF(ISBLANK(B16),"",C16*_xlfn.XLOOKUP(B16,Lists!$B$3:$B$10,Lists!$C$3:$C$10,0)/1000)</f>
        <v/>
      </c>
    </row>
    <row r="17" spans="2:11" x14ac:dyDescent="0.35">
      <c r="B17" s="37"/>
      <c r="C17" s="38" t="s">
        <v>44</v>
      </c>
      <c r="D17" s="41" t="str">
        <f>IF(ISBLANK(B17),"",C17*_xlfn.XLOOKUP(B17,Lists!$B$3:$B$10,Lists!$C$3:$C$10,0)/1000)</f>
        <v/>
      </c>
    </row>
    <row r="19" spans="2:11" ht="22.5" customHeight="1" x14ac:dyDescent="0.35">
      <c r="B19" s="194" t="s">
        <v>45</v>
      </c>
      <c r="C19" s="195"/>
      <c r="D19" s="196"/>
      <c r="E19" s="215" t="str">
        <f>IF(SUM($D$21:$D$24)&lt;=0,"ERROR - Total Expected Purchases required. Please enter data.","")</f>
        <v>ERROR - Total Expected Purchases required. Please enter data.</v>
      </c>
      <c r="F19" s="216"/>
      <c r="G19" s="216"/>
      <c r="H19" s="216"/>
      <c r="I19" s="216"/>
      <c r="J19" s="216"/>
      <c r="K19" s="216"/>
    </row>
    <row r="20" spans="2:11" x14ac:dyDescent="0.35">
      <c r="B20" s="42" t="s">
        <v>27</v>
      </c>
      <c r="C20" s="43" t="s">
        <v>42</v>
      </c>
      <c r="D20" s="43" t="s">
        <v>43</v>
      </c>
    </row>
    <row r="21" spans="2:11" x14ac:dyDescent="0.35">
      <c r="B21" s="37"/>
      <c r="C21" s="38"/>
      <c r="D21" s="41" t="str">
        <f>IF(ISBLANK(B21),"",C21*_xlfn.XLOOKUP(B21,Lists!$B$3:$B$10,Lists!$C$3:$C$10,0)/1000)</f>
        <v/>
      </c>
    </row>
    <row r="22" spans="2:11" x14ac:dyDescent="0.35">
      <c r="B22" s="37"/>
      <c r="C22" s="38"/>
      <c r="D22" s="41" t="str">
        <f>IF(ISBLANK(B22),"",C22*_xlfn.XLOOKUP(B22,Lists!$B$3:$B$10,Lists!$C$3:$C$10,0)/1000)</f>
        <v/>
      </c>
    </row>
    <row r="23" spans="2:11" x14ac:dyDescent="0.35">
      <c r="B23" s="37"/>
      <c r="C23" s="38"/>
      <c r="D23" s="41" t="str">
        <f>IF(ISBLANK(B23),"",C23*_xlfn.XLOOKUP(B23,Lists!$B$3:$B$10,Lists!$C$3:$C$10,0)/1000)</f>
        <v/>
      </c>
    </row>
    <row r="24" spans="2:11" x14ac:dyDescent="0.35">
      <c r="B24" s="37"/>
      <c r="C24" s="38" t="s">
        <v>44</v>
      </c>
      <c r="D24" s="41" t="str">
        <f>IF(ISBLANK(B24),"",C24*_xlfn.XLOOKUP(B24,Lists!$B$3:$B$10,Lists!$C$3:$C$10,0)/1000)</f>
        <v/>
      </c>
    </row>
  </sheetData>
  <sheetProtection algorithmName="SHA-512" hashValue="epwnVaDhttCbvFL/J6LdgzS99EenFDSwEFz7XKB1l+aX3qkUfk8A/1p/P6sOL27TXmwfCNfaNA92ADyoLtZhCQ==" saltValue="S19c9zbATWR4ZHPmHSxIcA==" spinCount="100000" sheet="1" objects="1" scenarios="1"/>
  <protectedRanges>
    <protectedRange sqref="B14:C17" name="UC"/>
    <protectedRange sqref="B21:C24" name="TR"/>
  </protectedRanges>
  <mergeCells count="12">
    <mergeCell ref="B19:D19"/>
    <mergeCell ref="B12:D12"/>
    <mergeCell ref="B10:E10"/>
    <mergeCell ref="B2:L2"/>
    <mergeCell ref="B9:H9"/>
    <mergeCell ref="F10:H10"/>
    <mergeCell ref="B4:L4"/>
    <mergeCell ref="B5:L5"/>
    <mergeCell ref="B6:L6"/>
    <mergeCell ref="B7:L7"/>
    <mergeCell ref="B8:L8"/>
    <mergeCell ref="E19:K19"/>
  </mergeCells>
  <conditionalFormatting sqref="E19">
    <cfRule type="containsText" dxfId="8" priority="1" operator="containsText" text="ERROR">
      <formula>NOT(ISERROR(SEARCH("ERROR",E19)))</formula>
    </cfRule>
  </conditionalFormatting>
  <dataValidations count="3">
    <dataValidation allowBlank="1" showInputMessage="1" showErrorMessage="1" prompt="This cell will autocalculate." sqref="D21:D24 D14:D17" xr:uid="{8CD86712-17EE-49B8-A70E-EFE90E95C234}"/>
    <dataValidation allowBlank="1" showInputMessage="1" showErrorMessage="1" prompt="This should match Section 6 Column 2 in your current Biannual Report." sqref="C14:C17" xr:uid="{6C177653-7BEE-448D-9D66-3E558348A633}"/>
    <dataValidation allowBlank="1" showInputMessage="1" showErrorMessage="1" prompt="This should match Section 7 Column 2 of your current Biannual Report." sqref="C21:C24" xr:uid="{5F77CDDC-2D72-414B-9D66-FD746766D26C}"/>
  </dataValidations>
  <hyperlinks>
    <hyperlink ref="F10:H10" r:id="rId1" location="p-84.13(b)(1)" display="40 CFR 84.13(b)(1)" xr:uid="{07A64A34-6341-4C4C-81EA-AA99FD67D8F3}"/>
  </hyperlinks>
  <pageMargins left="0.7" right="0.7" top="0.75" bottom="0.75" header="0.3" footer="0.3"/>
  <pageSetup orientation="portrait" horizontalDpi="1200" verticalDpi="1200" r:id="rId2"/>
  <extLst>
    <ext xmlns:x14="http://schemas.microsoft.com/office/spreadsheetml/2009/9/main" uri="{CCE6A557-97BC-4b89-ADB6-D9C93CAAB3DF}">
      <x14:dataValidations xmlns:xm="http://schemas.microsoft.com/office/excel/2006/main" count="1">
        <x14:dataValidation type="list" allowBlank="1" showInputMessage="1" showErrorMessage="1" xr:uid="{8C1C0CEA-4B7C-476F-A19D-293CA4120A30}">
          <x14:formula1>
            <xm:f>Lists!$B$3:$B$10</xm:f>
          </x14:formula1>
          <xm:sqref>B14:B17 B21:B24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505C-E947-4125-952A-6D9EEB2AF4AF}">
  <sheetPr codeName="Sheet9">
    <tabColor theme="9" tint="-0.249977111117893"/>
  </sheetPr>
  <dimension ref="B1:S21"/>
  <sheetViews>
    <sheetView topLeftCell="F4" zoomScaleNormal="100" workbookViewId="0">
      <selection activeCell="K5" sqref="K5:S5"/>
    </sheetView>
  </sheetViews>
  <sheetFormatPr defaultColWidth="9.1796875" defaultRowHeight="14.5" x14ac:dyDescent="0.35"/>
  <cols>
    <col min="1" max="1" width="4.81640625" style="6" customWidth="1"/>
    <col min="2" max="2" width="31.7265625" style="6" customWidth="1"/>
    <col min="3" max="10" width="15.54296875" style="6" customWidth="1"/>
    <col min="11" max="11" width="11.7265625" style="6" customWidth="1"/>
    <col min="12" max="12" width="11.26953125" style="6" bestFit="1" customWidth="1"/>
    <col min="13" max="16384" width="9.1796875" style="6"/>
  </cols>
  <sheetData>
    <row r="1" spans="2:19" ht="30" customHeight="1" x14ac:dyDescent="0.35"/>
    <row r="2" spans="2:19" ht="30" customHeight="1" x14ac:dyDescent="0.35">
      <c r="B2" s="242" t="str">
        <f>"Estimated Allocation Results Summary for "&amp;'Company &amp; Report Data'!D4&amp;" for Calendar Year "&amp;'Company &amp; Report Data'!D5</f>
        <v>Estimated Allocation Results Summary for  for Calendar Year 2027</v>
      </c>
      <c r="C2" s="242"/>
      <c r="D2" s="242"/>
      <c r="E2" s="242"/>
      <c r="F2" s="242"/>
      <c r="G2" s="242"/>
    </row>
    <row r="3" spans="2:19" ht="30" customHeight="1" thickBot="1" x14ac:dyDescent="0.4"/>
    <row r="4" spans="2:19" s="163" customFormat="1" ht="58" customHeight="1" x14ac:dyDescent="0.35">
      <c r="B4" s="164" t="s">
        <v>46</v>
      </c>
      <c r="C4" s="168" t="s">
        <v>47</v>
      </c>
      <c r="D4" s="169" t="s">
        <v>48</v>
      </c>
      <c r="E4" s="169" t="s">
        <v>49</v>
      </c>
      <c r="F4" s="169" t="s">
        <v>50</v>
      </c>
      <c r="G4" s="169" t="s">
        <v>51</v>
      </c>
      <c r="H4" s="170" t="s">
        <v>52</v>
      </c>
      <c r="I4" s="165" t="s">
        <v>53</v>
      </c>
      <c r="J4" s="166" t="s">
        <v>54</v>
      </c>
      <c r="K4" s="247" t="str" cm="1">
        <f t="array" ref="K4">IF(OR(J5:J7="ERROR"),"",IF(AND('backend calcs'!F48="No",SUM('UC &amp; Total Est Purchases'!D14:D17)&lt;=0),"Zero use has been calculated across all 3 years. You may want to consider a UC request.",""))</f>
        <v>Zero use has been calculated across all 3 years. You may want to consider a UC request.</v>
      </c>
      <c r="L4" s="248"/>
      <c r="M4" s="248"/>
      <c r="N4" s="248"/>
      <c r="O4" s="248"/>
      <c r="P4" s="248"/>
      <c r="Q4" s="248"/>
      <c r="R4" s="248"/>
      <c r="S4" s="248"/>
    </row>
    <row r="5" spans="2:19" s="22" customFormat="1" ht="30" customHeight="1" x14ac:dyDescent="0.35">
      <c r="B5" s="107" t="str">
        <f>"Year 1 ("&amp;"Jul 1, "&amp;'Company &amp; Report Data'!D5-4&amp;" - Jun 30, "&amp;'Company &amp; Report Data'!D5-3&amp;")"</f>
        <v>Year 1 (Jul 1, 2023 - Jun 30, 2024)</v>
      </c>
      <c r="C5" s="171">
        <f>'backend calcs'!C33</f>
        <v>0</v>
      </c>
      <c r="D5" s="172">
        <f>'backend calcs'!D33</f>
        <v>0</v>
      </c>
      <c r="E5" s="172">
        <f>'backend calcs'!E33</f>
        <v>0</v>
      </c>
      <c r="F5" s="172">
        <f>'backend calcs'!F33</f>
        <v>0</v>
      </c>
      <c r="G5" s="172">
        <f>'backend calcs'!G33</f>
        <v>0</v>
      </c>
      <c r="H5" s="172">
        <f>'backend calcs'!H33</f>
        <v>0</v>
      </c>
      <c r="I5" s="176" cm="1">
        <f t="array" ref="I5">IF(OR(LEN('Company &amp; Report Data'!$A23:$A50)&gt;0),"ERROR",C5-E5-G5)</f>
        <v>0</v>
      </c>
      <c r="J5" s="177" cm="1">
        <f t="array" ref="J5">IF(OR(LEN('Company &amp; Report Data'!$A23:$A50)&gt;0),"ERROR",D5-F5-H5)</f>
        <v>0</v>
      </c>
      <c r="K5" s="250" t="str">
        <f>IF(I5="ERROR","ERROR - Data missing or invalid entry on 'Company and Report Data' tab for this period.",IF(I5&lt;0, "ERROR - Negative use calculated. Please confirm the accuracy of the data for this period. Inventory should not increase more than the quantity acquired in the same reporting period.",""))</f>
        <v/>
      </c>
      <c r="L5" s="251"/>
      <c r="M5" s="251"/>
      <c r="N5" s="251"/>
      <c r="O5" s="251"/>
      <c r="P5" s="251"/>
      <c r="Q5" s="251"/>
      <c r="R5" s="251"/>
      <c r="S5" s="251"/>
    </row>
    <row r="6" spans="2:19" s="22" customFormat="1" ht="30" customHeight="1" x14ac:dyDescent="0.35">
      <c r="B6" s="107" t="str">
        <f>"Year 2 ("&amp;"Jul 1, "&amp;'Company &amp; Report Data'!D5-3&amp;" - Jun 30, "&amp;'Company &amp; Report Data'!D5-2&amp;")"</f>
        <v>Year 2 (Jul 1, 2024 - Jun 30, 2025)</v>
      </c>
      <c r="C6" s="171">
        <f>'backend calcs'!C34</f>
        <v>0</v>
      </c>
      <c r="D6" s="172">
        <f>'backend calcs'!D34</f>
        <v>0</v>
      </c>
      <c r="E6" s="172">
        <f>'backend calcs'!E34</f>
        <v>0</v>
      </c>
      <c r="F6" s="172">
        <f>'backend calcs'!F34</f>
        <v>0</v>
      </c>
      <c r="G6" s="172">
        <f>'backend calcs'!G34</f>
        <v>0</v>
      </c>
      <c r="H6" s="172">
        <f>'backend calcs'!H34</f>
        <v>0</v>
      </c>
      <c r="I6" s="176" cm="1">
        <f t="array" ref="I6">IF(OR(LEN('Company &amp; Report Data'!$A59:$A74)&gt;0),"ERROR",C6-E6-G6)</f>
        <v>0</v>
      </c>
      <c r="J6" s="177" cm="1">
        <f t="array" ref="J6">IF(OR(LEN('Company &amp; Report Data'!$A59:$A74)&gt;0),"ERROR",D6-F6-H6)</f>
        <v>0</v>
      </c>
      <c r="K6" s="250" t="str">
        <f>IF(I6="ERROR","ERROR - Data missing or invalid entry on 'Company and Report Data' tab for this period.",IF(I6&lt;0, "ERROR - Negative use calculated. Please confirm the accuracy of the data for this period. Inventory should not increase more than the quantity acquired in the same reporting period.",""))</f>
        <v/>
      </c>
      <c r="L6" s="251"/>
      <c r="M6" s="251"/>
      <c r="N6" s="251"/>
      <c r="O6" s="251"/>
      <c r="P6" s="251"/>
      <c r="Q6" s="251"/>
      <c r="R6" s="251"/>
      <c r="S6" s="251"/>
    </row>
    <row r="7" spans="2:19" s="22" customFormat="1" ht="30" customHeight="1" thickBot="1" x14ac:dyDescent="0.4">
      <c r="B7" s="108" t="str">
        <f>"Year 3 ("&amp;"Jul 1, "&amp;'Company &amp; Report Data'!D5-2&amp;" - Jun 30, "&amp;'Company &amp; Report Data'!D5-1&amp;")"</f>
        <v>Year 3 (Jul 1, 2025 - Jun 30, 2026)</v>
      </c>
      <c r="C7" s="173">
        <f>'backend calcs'!C35</f>
        <v>0</v>
      </c>
      <c r="D7" s="174">
        <f>'backend calcs'!D35</f>
        <v>0</v>
      </c>
      <c r="E7" s="174">
        <f>'backend calcs'!E35</f>
        <v>0</v>
      </c>
      <c r="F7" s="174">
        <f>'backend calcs'!F35</f>
        <v>0</v>
      </c>
      <c r="G7" s="174">
        <f>'backend calcs'!G35</f>
        <v>0</v>
      </c>
      <c r="H7" s="174">
        <f>'backend calcs'!H35</f>
        <v>0</v>
      </c>
      <c r="I7" s="178" cm="1">
        <f t="array" ref="I7">IF(OR(LEN('Company &amp; Report Data'!$A83:$A98)&gt;0),"ERROR",C7-E7-G7)</f>
        <v>0</v>
      </c>
      <c r="J7" s="179" cm="1">
        <f t="array" ref="J7">IF(OR(LEN('Company &amp; Report Data'!$A83:$A98)&gt;0),"ERROR",D7-F7-H7)</f>
        <v>0</v>
      </c>
      <c r="K7" s="250" t="str">
        <f>IF(I7="ERROR","ERROR - Data missing or invalid entry on 'Company and Report Data' tab for this period.",IF(I7&lt;0, "ERROR - Negative use calculated. Please confirm the accuracy of the data for this period. Inventory should not increase more than the quantity acquired in the same reporting period.",""))</f>
        <v/>
      </c>
      <c r="L7" s="251"/>
      <c r="M7" s="251"/>
      <c r="N7" s="251"/>
      <c r="O7" s="251"/>
      <c r="P7" s="251"/>
      <c r="Q7" s="251"/>
      <c r="R7" s="251"/>
      <c r="S7" s="251"/>
    </row>
    <row r="8" spans="2:19" ht="30" customHeight="1" thickBot="1" x14ac:dyDescent="0.4"/>
    <row r="9" spans="2:19" s="22" customFormat="1" ht="30" customHeight="1" thickBot="1" x14ac:dyDescent="0.4">
      <c r="B9" s="99" t="s">
        <v>55</v>
      </c>
      <c r="C9" s="153"/>
      <c r="D9" s="180" t="str">
        <f>IFERROR(IF(D11="Regular User",AVERAGE(((I6-I5)/I5),((I7-I6)/I6)),"N/A"),"N/A")</f>
        <v>N/A</v>
      </c>
    </row>
    <row r="10" spans="2:19" ht="30" customHeight="1" thickBot="1" x14ac:dyDescent="0.4"/>
    <row r="11" spans="2:19" s="22" customFormat="1" ht="30" customHeight="1" thickBot="1" x14ac:dyDescent="0.4">
      <c r="B11" s="99" t="s">
        <v>56</v>
      </c>
      <c r="C11" s="153"/>
      <c r="D11" s="185" t="str">
        <f>'backend calcs'!F50</f>
        <v>Zero Use</v>
      </c>
    </row>
    <row r="12" spans="2:19" ht="30" customHeight="1" thickBot="1" x14ac:dyDescent="0.4">
      <c r="F12" s="18"/>
      <c r="G12" s="18"/>
      <c r="H12" s="18"/>
    </row>
    <row r="13" spans="2:19" s="22" customFormat="1" ht="30" customHeight="1" thickBot="1" x14ac:dyDescent="0.4">
      <c r="B13" s="96" t="s">
        <v>57</v>
      </c>
      <c r="C13" s="152"/>
      <c r="D13" s="97" t="str">
        <f>IF(AND('backend calcs'!$E$59="OK",'backend calcs'!$E$60="OK"),IF(D11="Regular User",J7*(1+D9),IF(D11="Irregular or Small User",MAX(J5:J7),IF(D11="New User (Year 3 Use)",J7*(1),IF(D11="Zero Use",0,"ERROR")))),"ERROR")</f>
        <v>ERROR</v>
      </c>
      <c r="E13" s="253" t="str" cm="1">
        <f t="array" ref="E13">IF(D13="ERROR",IF(OR(I5:I7&lt;0), "ERROR - Negative use calculated. Please see above message.","ERROR - Data missing or invalid entry on 'Company and Report Data' tab."),IF(OR(D11="Regular User",D11="New User (Year 3 Use)"),"This estimate does not account for the application-wide AAGR which could result in a higher base allocation.",""))</f>
        <v>ERROR - Data missing or invalid entry on 'Company and Report Data' tab.</v>
      </c>
      <c r="F13" s="251"/>
      <c r="G13" s="251"/>
      <c r="H13" s="251"/>
      <c r="I13" s="251"/>
    </row>
    <row r="14" spans="2:19" s="22" customFormat="1" ht="30" customHeight="1" thickBot="1" x14ac:dyDescent="0.4">
      <c r="B14" s="99" t="s">
        <v>58</v>
      </c>
      <c r="C14" s="153"/>
      <c r="D14" s="100">
        <f>IF(SUM('UC &amp; Total Est Purchases'!$D$14:$D$17)=0,0,SUM('UC &amp; Total Est Purchases'!$D$14:$D$17))</f>
        <v>0</v>
      </c>
      <c r="E14" s="253" t="str">
        <f>IF(D14=0,"No unique circumstance request, eligible allocation estimate based on base allocation.","")</f>
        <v>No unique circumstance request, eligible allocation estimate based on base allocation.</v>
      </c>
      <c r="F14" s="251"/>
      <c r="G14" s="251"/>
      <c r="H14" s="251"/>
      <c r="I14" s="251"/>
    </row>
    <row r="15" spans="2:19" s="22" customFormat="1" ht="30" customHeight="1" thickBot="1" x14ac:dyDescent="0.4">
      <c r="B15" s="51" t="s">
        <v>59</v>
      </c>
      <c r="C15" s="154"/>
      <c r="D15" s="100" t="str">
        <f>IFERROR(IF('Company &amp; Report Data'!$D$6="Yes",($D$13+D14)*1.1,($D$13+D14)),"ERROR")</f>
        <v>ERROR</v>
      </c>
      <c r="E15" s="254" t="str">
        <f>IF('Company &amp; Report Data'!$D$6="Yes","Note: Because you indicated your company is in the semiconductor application, a 10% multiplier has been added to your total eligible allocation estimate.","")</f>
        <v/>
      </c>
      <c r="F15" s="255"/>
      <c r="G15" s="255"/>
      <c r="H15" s="255"/>
      <c r="I15" s="255"/>
      <c r="J15" s="175"/>
    </row>
    <row r="16" spans="2:19" ht="30" customHeight="1" thickBot="1" x14ac:dyDescent="0.4">
      <c r="F16" s="18"/>
      <c r="G16" s="18"/>
      <c r="H16" s="18"/>
    </row>
    <row r="17" spans="2:10" s="22" customFormat="1" ht="30" customHeight="1" x14ac:dyDescent="0.35">
      <c r="B17" s="99" t="s">
        <v>60</v>
      </c>
      <c r="C17" s="153"/>
      <c r="D17" s="101" t="str">
        <f>IF(SUM('UC &amp; Total Est Purchases'!$D$21:$D$24)&lt;=0,"ERROR",SUM('UC &amp; Total Est Purchases'!$D$21:$D$24))</f>
        <v>ERROR</v>
      </c>
      <c r="E17" s="253" t="str">
        <f>IF(D17="ERROR","ERROR - Total Expected Purchases required. Data missing on 'UC &amp; Total Est Purchases' tab.","")</f>
        <v>ERROR - Total Expected Purchases required. Data missing on 'UC &amp; Total Est Purchases' tab.</v>
      </c>
      <c r="F17" s="251"/>
      <c r="G17" s="251"/>
      <c r="H17" s="251"/>
      <c r="I17" s="251"/>
    </row>
    <row r="18" spans="2:10" ht="30" customHeight="1" x14ac:dyDescent="0.35">
      <c r="F18" s="18"/>
      <c r="G18" s="18"/>
      <c r="H18" s="18"/>
    </row>
    <row r="19" spans="2:10" s="22" customFormat="1" ht="30" customHeight="1" thickBot="1" x14ac:dyDescent="0.4">
      <c r="B19" s="102" t="s">
        <v>61</v>
      </c>
      <c r="C19" s="155"/>
      <c r="D19" s="103" t="str">
        <f>IF(OR(D15="ERROR",D17="ERROR"),"ERROR",MIN(D15,D17))</f>
        <v>ERROR</v>
      </c>
      <c r="E19" s="104" t="s">
        <v>62</v>
      </c>
      <c r="F19" s="105"/>
      <c r="G19" s="106"/>
      <c r="H19" s="98"/>
    </row>
    <row r="20" spans="2:10" ht="30" customHeight="1" x14ac:dyDescent="0.35">
      <c r="B20" s="249" t="str">
        <f>IF(D19="ERROR","Allocation cannot be estimated. Please address error messages.",IF(D17&lt;D15,"Total Expected Purchases &lt; Eligible Allocation Estimate. Estimated allocation based on Total Expected Purchases.","Total Expected Purchases &gt;= Eligible Allocation Estimate. Estimated allocation based on Eligible Allocation Estimate."))</f>
        <v>Allocation cannot be estimated. Please address error messages.</v>
      </c>
      <c r="C20" s="249"/>
      <c r="D20" s="249"/>
      <c r="E20" s="249"/>
      <c r="F20" s="249"/>
      <c r="G20" s="249"/>
    </row>
    <row r="21" spans="2:10" ht="30" customHeight="1" x14ac:dyDescent="0.35">
      <c r="B21" s="252" t="s">
        <v>63</v>
      </c>
      <c r="C21" s="252"/>
      <c r="D21" s="252"/>
      <c r="E21" s="252"/>
      <c r="F21" s="252"/>
      <c r="G21" s="252"/>
      <c r="H21" s="252"/>
      <c r="I21" s="252"/>
      <c r="J21" s="252"/>
    </row>
  </sheetData>
  <sheetProtection algorithmName="SHA-512" hashValue="UKuucTBRvz4pnOQtj8s8Scex63D6DyDHkkuZMDc5EbjTUptXkeKw1GUGVnhaFwr+LbiarBZHEddqp3s309UExw==" saltValue="Be78eBtXKaMlFSbGzLGDxA==" spinCount="100000" sheet="1" objects="1" scenarios="1"/>
  <mergeCells count="11">
    <mergeCell ref="B21:J21"/>
    <mergeCell ref="B2:G2"/>
    <mergeCell ref="E17:I17"/>
    <mergeCell ref="E13:I13"/>
    <mergeCell ref="E14:I14"/>
    <mergeCell ref="E15:I15"/>
    <mergeCell ref="K4:S4"/>
    <mergeCell ref="B20:G20"/>
    <mergeCell ref="K5:S5"/>
    <mergeCell ref="K6:S6"/>
    <mergeCell ref="K7:S7"/>
  </mergeCells>
  <conditionalFormatting sqref="B20:G20">
    <cfRule type="containsText" dxfId="7" priority="2" operator="containsText" text="Total">
      <formula>NOT(ISERROR(SEARCH("Total",B20)))</formula>
    </cfRule>
  </conditionalFormatting>
  <conditionalFormatting sqref="E13 B20:C20 K5:S7 E17">
    <cfRule type="containsText" dxfId="6" priority="9" operator="containsText" text="error">
      <formula>NOT(ISERROR(SEARCH("error",B5)))</formula>
    </cfRule>
  </conditionalFormatting>
  <conditionalFormatting sqref="E13:E15">
    <cfRule type="containsText" dxfId="5" priority="4" operator="containsText" text="allocation">
      <formula>NOT(ISERROR(SEARCH("allocation",E13)))</formula>
    </cfRule>
  </conditionalFormatting>
  <conditionalFormatting sqref="K4">
    <cfRule type="containsText" dxfId="4" priority="1" operator="containsText" text="Zero">
      <formula>NOT(ISERROR(SEARCH("Zero",K4)))</formula>
    </cfRule>
  </conditionalFormatting>
  <dataValidations count="2">
    <dataValidation allowBlank="1" showInputMessage="1" showErrorMessage="1" sqref="B15:C15 D9 D13:D14 D17" xr:uid="{FAD6B490-2240-4CA4-8A8F-721EF4D98444}"/>
    <dataValidation allowBlank="1" showInputMessage="1" showErrorMessage="1" prompt="Base Allocation Estimate + UC Request (if applicable)" sqref="D15" xr:uid="{180EBCFA-4B16-44CE-BE86-3F416A3BA9C6}"/>
  </dataValidation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60349-CE0B-45A5-B299-F1471D5DEB4A}">
  <sheetPr codeName="Sheet10">
    <tabColor theme="9" tint="0.79998168889431442"/>
  </sheetPr>
  <dimension ref="A1:L71"/>
  <sheetViews>
    <sheetView topLeftCell="C33" zoomScaleNormal="100" workbookViewId="0">
      <selection activeCell="E54" sqref="E54:F54"/>
    </sheetView>
  </sheetViews>
  <sheetFormatPr defaultRowHeight="14.5" x14ac:dyDescent="0.35"/>
  <cols>
    <col min="2" max="2" width="32.26953125" style="5" customWidth="1"/>
    <col min="3" max="3" width="11.1796875" style="5" customWidth="1"/>
    <col min="4" max="4" width="14.54296875" style="5" customWidth="1"/>
    <col min="5" max="5" width="27.453125" style="5" customWidth="1"/>
    <col min="6" max="6" width="27.81640625" style="5" customWidth="1"/>
    <col min="7" max="7" width="17.26953125" style="5" bestFit="1" customWidth="1"/>
    <col min="8" max="8" width="25.1796875" style="5" bestFit="1" customWidth="1"/>
    <col min="9" max="9" width="27.7265625" style="5" customWidth="1"/>
    <col min="10" max="10" width="32.7265625" style="5" customWidth="1"/>
    <col min="11" max="11" width="9.1796875" style="5"/>
  </cols>
  <sheetData>
    <row r="1" spans="1:12" s="121" customFormat="1" ht="30" customHeight="1" x14ac:dyDescent="0.35">
      <c r="A1" s="116"/>
      <c r="B1" s="284" t="s">
        <v>64</v>
      </c>
      <c r="C1" s="285"/>
      <c r="D1" s="117" t="s">
        <v>27</v>
      </c>
      <c r="E1" s="117" t="s">
        <v>65</v>
      </c>
      <c r="F1" s="117" t="s">
        <v>66</v>
      </c>
      <c r="G1" s="117" t="s">
        <v>67</v>
      </c>
      <c r="H1" s="117" t="s">
        <v>68</v>
      </c>
      <c r="I1" s="117" t="s">
        <v>69</v>
      </c>
      <c r="J1" s="118" t="s">
        <v>70</v>
      </c>
      <c r="K1" s="119"/>
      <c r="L1" s="120"/>
    </row>
    <row r="2" spans="1:12" x14ac:dyDescent="0.35">
      <c r="A2" s="61"/>
      <c r="B2" s="269" t="str">
        <f>'Company &amp; Report Data'!$B$17</f>
        <v>2023 H1: Jan 1 - Jun 30, 2023</v>
      </c>
      <c r="C2" s="270"/>
      <c r="D2" s="81">
        <f>'Company &amp; Report Data'!B23</f>
        <v>0</v>
      </c>
      <c r="E2" s="82">
        <f>SUM('Company &amp; Report Data'!C23:'Company &amp; Report Data'!E23)</f>
        <v>0</v>
      </c>
      <c r="F2" s="82">
        <f>E2*_xlfn.XLOOKUP(D2,Lists!$B$3:$B$10,Lists!$C$3:$C$10,0)/1000</f>
        <v>0</v>
      </c>
      <c r="G2" s="82">
        <f>'Company &amp; Report Data'!F23</f>
        <v>0</v>
      </c>
      <c r="H2" s="82">
        <f>G2*_xlfn.XLOOKUP(D2,Lists!$B$3:$B$10,Lists!$C$3:$C$10,0)/1000</f>
        <v>0</v>
      </c>
      <c r="I2" s="82">
        <f>'Company &amp; Report Data'!G23</f>
        <v>0</v>
      </c>
      <c r="J2" s="87">
        <f>I2*_xlfn.XLOOKUP(D2,Lists!$B$3:$B$10,Lists!$C$3:$C$10,0)/1000</f>
        <v>0</v>
      </c>
      <c r="K2" s="63"/>
      <c r="L2" s="56"/>
    </row>
    <row r="3" spans="1:12" x14ac:dyDescent="0.35">
      <c r="A3" s="61"/>
      <c r="B3" s="269" t="str">
        <f>'Company &amp; Report Data'!$B$17</f>
        <v>2023 H1: Jan 1 - Jun 30, 2023</v>
      </c>
      <c r="C3" s="270"/>
      <c r="D3" s="81">
        <f>'Company &amp; Report Data'!B24</f>
        <v>0</v>
      </c>
      <c r="E3" s="82">
        <f>SUM('Company &amp; Report Data'!C24:'Company &amp; Report Data'!E24)</f>
        <v>0</v>
      </c>
      <c r="F3" s="82">
        <f>E3*_xlfn.XLOOKUP(D3,Lists!$B$3:$B$10,Lists!$C$3:$C$10,0)/1000</f>
        <v>0</v>
      </c>
      <c r="G3" s="82">
        <f>'Company &amp; Report Data'!F24</f>
        <v>0</v>
      </c>
      <c r="H3" s="82">
        <f>G3*_xlfn.XLOOKUP(D3,Lists!$B$3:$B$10,Lists!$C$3:$C$10,0)/1000</f>
        <v>0</v>
      </c>
      <c r="I3" s="82">
        <f>'Company &amp; Report Data'!G24</f>
        <v>0</v>
      </c>
      <c r="J3" s="87">
        <f>I3*_xlfn.XLOOKUP(D3,Lists!$B$3:$B$10,Lists!$C$3:$C$10,0)/1000</f>
        <v>0</v>
      </c>
      <c r="K3" s="63"/>
      <c r="L3" s="56"/>
    </row>
    <row r="4" spans="1:12" x14ac:dyDescent="0.35">
      <c r="A4" s="61"/>
      <c r="B4" s="269" t="str">
        <f>'Company &amp; Report Data'!$B$17</f>
        <v>2023 H1: Jan 1 - Jun 30, 2023</v>
      </c>
      <c r="C4" s="270"/>
      <c r="D4" s="81">
        <f>'Company &amp; Report Data'!B25</f>
        <v>0</v>
      </c>
      <c r="E4" s="82">
        <f>SUM('Company &amp; Report Data'!C25:'Company &amp; Report Data'!E25)</f>
        <v>0</v>
      </c>
      <c r="F4" s="82">
        <f>E4*_xlfn.XLOOKUP(D4,Lists!$B$3:$B$10,Lists!$C$3:$C$10,0)/1000</f>
        <v>0</v>
      </c>
      <c r="G4" s="82">
        <f>'Company &amp; Report Data'!F25</f>
        <v>0</v>
      </c>
      <c r="H4" s="82">
        <f>G4*_xlfn.XLOOKUP(D4,Lists!$B$3:$B$10,Lists!$C$3:$C$10,0)/1000</f>
        <v>0</v>
      </c>
      <c r="I4" s="82">
        <f>'Company &amp; Report Data'!G25</f>
        <v>0</v>
      </c>
      <c r="J4" s="87">
        <f>I4*_xlfn.XLOOKUP(D4,Lists!$B$3:$B$10,Lists!$C$3:$C$10,0)/1000</f>
        <v>0</v>
      </c>
      <c r="K4" s="63"/>
      <c r="L4" s="56"/>
    </row>
    <row r="5" spans="1:12" x14ac:dyDescent="0.35">
      <c r="A5" s="61"/>
      <c r="B5" s="269" t="str">
        <f>'Company &amp; Report Data'!$B$17</f>
        <v>2023 H1: Jan 1 - Jun 30, 2023</v>
      </c>
      <c r="C5" s="270"/>
      <c r="D5" s="81">
        <f>'Company &amp; Report Data'!B26</f>
        <v>0</v>
      </c>
      <c r="E5" s="82">
        <f>SUM('Company &amp; Report Data'!C26:'Company &amp; Report Data'!E26)</f>
        <v>0</v>
      </c>
      <c r="F5" s="82">
        <f>E5*_xlfn.XLOOKUP(D5,Lists!$B$3:$B$10,Lists!$C$3:$C$10,0)/1000</f>
        <v>0</v>
      </c>
      <c r="G5" s="82">
        <f>'Company &amp; Report Data'!F26</f>
        <v>0</v>
      </c>
      <c r="H5" s="82">
        <f>G5*_xlfn.XLOOKUP(D5,Lists!$B$3:$B$10,Lists!$C$3:$C$10,0)/1000</f>
        <v>0</v>
      </c>
      <c r="I5" s="82">
        <f>'Company &amp; Report Data'!G26</f>
        <v>0</v>
      </c>
      <c r="J5" s="87">
        <f>I5*_xlfn.XLOOKUP(D5,Lists!$B$3:$B$10,Lists!$C$3:$C$10,0)/1000</f>
        <v>0</v>
      </c>
      <c r="K5" s="63"/>
      <c r="L5" s="56"/>
    </row>
    <row r="6" spans="1:12" x14ac:dyDescent="0.35">
      <c r="A6" s="61"/>
      <c r="B6" s="267" t="str">
        <f>'Company &amp; Report Data'!$B$29</f>
        <v>2023 H2: Jul 1 - Dec 31, 2023</v>
      </c>
      <c r="C6" s="268"/>
      <c r="D6" s="83">
        <f>'Company &amp; Report Data'!B35</f>
        <v>0</v>
      </c>
      <c r="E6" s="84">
        <f>SUM('Company &amp; Report Data'!C35:'Company &amp; Report Data'!E35)</f>
        <v>0</v>
      </c>
      <c r="F6" s="84">
        <f>E6*_xlfn.XLOOKUP(D6,Lists!$B$3:$B$10,Lists!$C$3:$C$10,0)/1000</f>
        <v>0</v>
      </c>
      <c r="G6" s="84">
        <f>'Company &amp; Report Data'!F35</f>
        <v>0</v>
      </c>
      <c r="H6" s="84">
        <f>G6*_xlfn.XLOOKUP(D6,Lists!$B$3:$B$10,Lists!$C$3:$C$10,0)/1000</f>
        <v>0</v>
      </c>
      <c r="I6" s="84">
        <f>'Company &amp; Report Data'!G35</f>
        <v>0</v>
      </c>
      <c r="J6" s="133">
        <f>I6*_xlfn.XLOOKUP(D6,Lists!$B$3:$B$10,Lists!$C$3:$C$10,0)/1000</f>
        <v>0</v>
      </c>
      <c r="K6" s="63"/>
      <c r="L6" s="56"/>
    </row>
    <row r="7" spans="1:12" x14ac:dyDescent="0.35">
      <c r="A7" s="61"/>
      <c r="B7" s="267" t="str">
        <f>'Company &amp; Report Data'!$B$29</f>
        <v>2023 H2: Jul 1 - Dec 31, 2023</v>
      </c>
      <c r="C7" s="268"/>
      <c r="D7" s="83">
        <f>'Company &amp; Report Data'!B36</f>
        <v>0</v>
      </c>
      <c r="E7" s="84">
        <f>SUM('Company &amp; Report Data'!C36:'Company &amp; Report Data'!E36)</f>
        <v>0</v>
      </c>
      <c r="F7" s="84">
        <f>E7*_xlfn.XLOOKUP(D7,Lists!$B$3:$B$10,Lists!$C$3:$C$10,0)/1000</f>
        <v>0</v>
      </c>
      <c r="G7" s="84">
        <f>'Company &amp; Report Data'!F36</f>
        <v>0</v>
      </c>
      <c r="H7" s="84">
        <f>G7*_xlfn.XLOOKUP(D7,Lists!$B$3:$B$10,Lists!$C$3:$C$10,0)/1000</f>
        <v>0</v>
      </c>
      <c r="I7" s="84">
        <f>'Company &amp; Report Data'!G36</f>
        <v>0</v>
      </c>
      <c r="J7" s="133">
        <f>I7*_xlfn.XLOOKUP(D7,Lists!$B$3:$B$10,Lists!$C$3:$C$10,0)/1000</f>
        <v>0</v>
      </c>
      <c r="K7" s="63"/>
      <c r="L7" s="56"/>
    </row>
    <row r="8" spans="1:12" x14ac:dyDescent="0.35">
      <c r="A8" s="61"/>
      <c r="B8" s="267" t="str">
        <f>'Company &amp; Report Data'!$B$29</f>
        <v>2023 H2: Jul 1 - Dec 31, 2023</v>
      </c>
      <c r="C8" s="268"/>
      <c r="D8" s="83">
        <f>'Company &amp; Report Data'!B37</f>
        <v>0</v>
      </c>
      <c r="E8" s="84">
        <f>SUM('Company &amp; Report Data'!C37:'Company &amp; Report Data'!E37)</f>
        <v>0</v>
      </c>
      <c r="F8" s="84">
        <f>E8*_xlfn.XLOOKUP(D8,Lists!$B$3:$B$10,Lists!$C$3:$C$10,0)/1000</f>
        <v>0</v>
      </c>
      <c r="G8" s="84">
        <f>'Company &amp; Report Data'!F37</f>
        <v>0</v>
      </c>
      <c r="H8" s="84">
        <f>G8*_xlfn.XLOOKUP(D8,Lists!$B$3:$B$10,Lists!$C$3:$C$10,0)/1000</f>
        <v>0</v>
      </c>
      <c r="I8" s="84">
        <f>'Company &amp; Report Data'!G37</f>
        <v>0</v>
      </c>
      <c r="J8" s="133">
        <f>I8*_xlfn.XLOOKUP(D8,Lists!$B$3:$B$10,Lists!$C$3:$C$10,0)/1000</f>
        <v>0</v>
      </c>
      <c r="K8" s="63"/>
      <c r="L8" s="56"/>
    </row>
    <row r="9" spans="1:12" x14ac:dyDescent="0.35">
      <c r="A9" s="61"/>
      <c r="B9" s="267" t="str">
        <f>'Company &amp; Report Data'!$B$29</f>
        <v>2023 H2: Jul 1 - Dec 31, 2023</v>
      </c>
      <c r="C9" s="268"/>
      <c r="D9" s="83">
        <f>'Company &amp; Report Data'!B38</f>
        <v>0</v>
      </c>
      <c r="E9" s="84">
        <f>SUM('Company &amp; Report Data'!C38:'Company &amp; Report Data'!E38)</f>
        <v>0</v>
      </c>
      <c r="F9" s="84">
        <f>E9*_xlfn.XLOOKUP(D9,Lists!$B$3:$B$10,Lists!$C$3:$C$10,0)/1000</f>
        <v>0</v>
      </c>
      <c r="G9" s="84">
        <f>'Company &amp; Report Data'!F38</f>
        <v>0</v>
      </c>
      <c r="H9" s="84">
        <f>G9*_xlfn.XLOOKUP(D9,Lists!$B$3:$B$10,Lists!$C$3:$C$10,0)/1000</f>
        <v>0</v>
      </c>
      <c r="I9" s="84">
        <f>'Company &amp; Report Data'!G38</f>
        <v>0</v>
      </c>
      <c r="J9" s="133">
        <f>I9*_xlfn.XLOOKUP(D9,Lists!$B$3:$B$10,Lists!$C$3:$C$10,0)/1000</f>
        <v>0</v>
      </c>
      <c r="K9" s="63"/>
      <c r="L9" s="56"/>
    </row>
    <row r="10" spans="1:12" x14ac:dyDescent="0.35">
      <c r="A10" s="61"/>
      <c r="B10" s="263" t="str">
        <f>'Company &amp; Report Data'!$B$41</f>
        <v>2024 H1: Jan 1 - June 30, 2024</v>
      </c>
      <c r="C10" s="264"/>
      <c r="D10" s="85">
        <f>'Company &amp; Report Data'!B47</f>
        <v>0</v>
      </c>
      <c r="E10" s="86">
        <f>SUM('Company &amp; Report Data'!C47:'Company &amp; Report Data'!E47)</f>
        <v>0</v>
      </c>
      <c r="F10" s="82">
        <f>E10*_xlfn.XLOOKUP(D10,Lists!$B$3:$B$10,Lists!$C$3:$C$10,0)/1000</f>
        <v>0</v>
      </c>
      <c r="G10" s="82">
        <f>'Company &amp; Report Data'!F47</f>
        <v>0</v>
      </c>
      <c r="H10" s="82">
        <f>G10*_xlfn.XLOOKUP(D10,Lists!$B$3:$B$10,Lists!$C$3:$C$10,0)/1000</f>
        <v>0</v>
      </c>
      <c r="I10" s="82">
        <f>'Company &amp; Report Data'!G47</f>
        <v>0</v>
      </c>
      <c r="J10" s="87">
        <f>I10*_xlfn.XLOOKUP(D10,Lists!$B$3:$B$10,Lists!$C$3:$C$10,0)/1000</f>
        <v>0</v>
      </c>
      <c r="K10" s="63"/>
      <c r="L10" s="56"/>
    </row>
    <row r="11" spans="1:12" x14ac:dyDescent="0.35">
      <c r="A11" s="61"/>
      <c r="B11" s="263" t="str">
        <f>'Company &amp; Report Data'!$B$41</f>
        <v>2024 H1: Jan 1 - June 30, 2024</v>
      </c>
      <c r="C11" s="264"/>
      <c r="D11" s="85">
        <f>'Company &amp; Report Data'!B48</f>
        <v>0</v>
      </c>
      <c r="E11" s="86">
        <f>SUM('Company &amp; Report Data'!C48:'Company &amp; Report Data'!E48)</f>
        <v>0</v>
      </c>
      <c r="F11" s="82">
        <f>E11*_xlfn.XLOOKUP(D11,Lists!$B$3:$B$10,Lists!$C$3:$C$10,0)/1000</f>
        <v>0</v>
      </c>
      <c r="G11" s="82">
        <f>'Company &amp; Report Data'!F48</f>
        <v>0</v>
      </c>
      <c r="H11" s="82">
        <f>G11*_xlfn.XLOOKUP(D11,Lists!$B$3:$B$10,Lists!$C$3:$C$10,0)/1000</f>
        <v>0</v>
      </c>
      <c r="I11" s="82">
        <f>'Company &amp; Report Data'!G48</f>
        <v>0</v>
      </c>
      <c r="J11" s="87">
        <f>I11*_xlfn.XLOOKUP(D11,Lists!$B$3:$B$10,Lists!$C$3:$C$10,0)/1000</f>
        <v>0</v>
      </c>
      <c r="K11" s="63"/>
      <c r="L11" s="56"/>
    </row>
    <row r="12" spans="1:12" x14ac:dyDescent="0.35">
      <c r="A12" s="61"/>
      <c r="B12" s="263" t="str">
        <f>'Company &amp; Report Data'!$B$41</f>
        <v>2024 H1: Jan 1 - June 30, 2024</v>
      </c>
      <c r="C12" s="264"/>
      <c r="D12" s="85">
        <f>'Company &amp; Report Data'!B49</f>
        <v>0</v>
      </c>
      <c r="E12" s="86">
        <f>SUM('Company &amp; Report Data'!C49:'Company &amp; Report Data'!E49)</f>
        <v>0</v>
      </c>
      <c r="F12" s="82">
        <f>E12*_xlfn.XLOOKUP(D12,Lists!$B$3:$B$10,Lists!$C$3:$C$10,0)/1000</f>
        <v>0</v>
      </c>
      <c r="G12" s="82">
        <f>'Company &amp; Report Data'!F49</f>
        <v>0</v>
      </c>
      <c r="H12" s="82">
        <f>G12*_xlfn.XLOOKUP(D12,Lists!$B$3:$B$10,Lists!$C$3:$C$10,0)/1000</f>
        <v>0</v>
      </c>
      <c r="I12" s="82">
        <f>'Company &amp; Report Data'!G49</f>
        <v>0</v>
      </c>
      <c r="J12" s="87">
        <f>I12*_xlfn.XLOOKUP(D12,Lists!$B$3:$B$10,Lists!$C$3:$C$10,0)/1000</f>
        <v>0</v>
      </c>
      <c r="K12" s="63"/>
      <c r="L12" s="56"/>
    </row>
    <row r="13" spans="1:12" x14ac:dyDescent="0.35">
      <c r="A13" s="61"/>
      <c r="B13" s="263" t="str">
        <f>'Company &amp; Report Data'!$B$41</f>
        <v>2024 H1: Jan 1 - June 30, 2024</v>
      </c>
      <c r="C13" s="264"/>
      <c r="D13" s="85">
        <f>'Company &amp; Report Data'!B50</f>
        <v>0</v>
      </c>
      <c r="E13" s="86">
        <f>SUM('Company &amp; Report Data'!C50:'Company &amp; Report Data'!E50)</f>
        <v>0</v>
      </c>
      <c r="F13" s="82">
        <f>E13*_xlfn.XLOOKUP(D13,Lists!$B$3:$B$10,Lists!$C$3:$C$10,0)/1000</f>
        <v>0</v>
      </c>
      <c r="G13" s="82">
        <f>'Company &amp; Report Data'!F50</f>
        <v>0</v>
      </c>
      <c r="H13" s="82">
        <f>G13*_xlfn.XLOOKUP(D13,Lists!$B$3:$B$10,Lists!$C$3:$C$10,0)/1000</f>
        <v>0</v>
      </c>
      <c r="I13" s="82">
        <f>'Company &amp; Report Data'!G50</f>
        <v>0</v>
      </c>
      <c r="J13" s="87">
        <f>I13*_xlfn.XLOOKUP(D13,Lists!$B$3:$B$10,Lists!$C$3:$C$10,0)/1000</f>
        <v>0</v>
      </c>
      <c r="K13" s="63"/>
      <c r="L13" s="56"/>
    </row>
    <row r="14" spans="1:12" x14ac:dyDescent="0.35">
      <c r="A14" s="61"/>
      <c r="B14" s="265" t="str">
        <f>'Company &amp; Report Data'!$B$53</f>
        <v>2024 H2: Jul 1 - Dec 31, 2024</v>
      </c>
      <c r="C14" s="266"/>
      <c r="D14" s="83">
        <f>'Company &amp; Report Data'!B59</f>
        <v>0</v>
      </c>
      <c r="E14" s="84">
        <f>SUM('Company &amp; Report Data'!C59:'Company &amp; Report Data'!E59)</f>
        <v>0</v>
      </c>
      <c r="F14" s="84">
        <f>E14*_xlfn.XLOOKUP(D14,Lists!$B$3:$B$10,Lists!$C$3:$C$10,0)/1000</f>
        <v>0</v>
      </c>
      <c r="G14" s="84">
        <f>'Company &amp; Report Data'!F59</f>
        <v>0</v>
      </c>
      <c r="H14" s="84">
        <f>G14*_xlfn.XLOOKUP(D14,Lists!$B$3:$B$10,Lists!$C$3:$C$10,0)/1000</f>
        <v>0</v>
      </c>
      <c r="I14" s="84">
        <f>'Company &amp; Report Data'!G59</f>
        <v>0</v>
      </c>
      <c r="J14" s="133">
        <f>I14*_xlfn.XLOOKUP(D14,Lists!$B$3:$B$10,Lists!$C$3:$C$10,0)/1000</f>
        <v>0</v>
      </c>
      <c r="K14" s="63"/>
      <c r="L14" s="56"/>
    </row>
    <row r="15" spans="1:12" x14ac:dyDescent="0.35">
      <c r="A15" s="61"/>
      <c r="B15" s="265" t="str">
        <f>'Company &amp; Report Data'!$B$53</f>
        <v>2024 H2: Jul 1 - Dec 31, 2024</v>
      </c>
      <c r="C15" s="266"/>
      <c r="D15" s="83">
        <f>'Company &amp; Report Data'!B60</f>
        <v>0</v>
      </c>
      <c r="E15" s="84">
        <f>SUM('Company &amp; Report Data'!C60:'Company &amp; Report Data'!E60)</f>
        <v>0</v>
      </c>
      <c r="F15" s="84">
        <f>E15*_xlfn.XLOOKUP(D15,Lists!$B$3:$B$10,Lists!$C$3:$C$10,0)/1000</f>
        <v>0</v>
      </c>
      <c r="G15" s="84">
        <f>'Company &amp; Report Data'!F60</f>
        <v>0</v>
      </c>
      <c r="H15" s="84">
        <f>G15*_xlfn.XLOOKUP(D15,Lists!$B$3:$B$10,Lists!$C$3:$C$10,0)/1000</f>
        <v>0</v>
      </c>
      <c r="I15" s="84">
        <f>'Company &amp; Report Data'!G60</f>
        <v>0</v>
      </c>
      <c r="J15" s="133">
        <f>I15*_xlfn.XLOOKUP(D15,Lists!$B$3:$B$10,Lists!$C$3:$C$10,0)/1000</f>
        <v>0</v>
      </c>
      <c r="K15" s="63"/>
      <c r="L15" s="56"/>
    </row>
    <row r="16" spans="1:12" x14ac:dyDescent="0.35">
      <c r="A16" s="61"/>
      <c r="B16" s="265" t="str">
        <f>'Company &amp; Report Data'!$B$53</f>
        <v>2024 H2: Jul 1 - Dec 31, 2024</v>
      </c>
      <c r="C16" s="266"/>
      <c r="D16" s="83">
        <f>'Company &amp; Report Data'!B61</f>
        <v>0</v>
      </c>
      <c r="E16" s="84">
        <f>SUM('Company &amp; Report Data'!C61:'Company &amp; Report Data'!E61)</f>
        <v>0</v>
      </c>
      <c r="F16" s="84">
        <f>E16*_xlfn.XLOOKUP(D16,Lists!$B$3:$B$10,Lists!$C$3:$C$10,0)/1000</f>
        <v>0</v>
      </c>
      <c r="G16" s="84">
        <f>'Company &amp; Report Data'!F61</f>
        <v>0</v>
      </c>
      <c r="H16" s="84">
        <f>G16*_xlfn.XLOOKUP(D16,Lists!$B$3:$B$10,Lists!$C$3:$C$10,0)/1000</f>
        <v>0</v>
      </c>
      <c r="I16" s="84">
        <f>'Company &amp; Report Data'!G61</f>
        <v>0</v>
      </c>
      <c r="J16" s="133">
        <f>I16*_xlfn.XLOOKUP(D16,Lists!$B$3:$B$10,Lists!$C$3:$C$10,0)/1000</f>
        <v>0</v>
      </c>
      <c r="K16" s="63"/>
      <c r="L16" s="56"/>
    </row>
    <row r="17" spans="1:12" x14ac:dyDescent="0.35">
      <c r="A17" s="61"/>
      <c r="B17" s="265" t="str">
        <f>'Company &amp; Report Data'!$B$53</f>
        <v>2024 H2: Jul 1 - Dec 31, 2024</v>
      </c>
      <c r="C17" s="266"/>
      <c r="D17" s="83">
        <f>'Company &amp; Report Data'!B62</f>
        <v>0</v>
      </c>
      <c r="E17" s="84">
        <f>SUM('Company &amp; Report Data'!C62:'Company &amp; Report Data'!E62)</f>
        <v>0</v>
      </c>
      <c r="F17" s="84">
        <f>E17*_xlfn.XLOOKUP(D17,Lists!$B$3:$B$10,Lists!$C$3:$C$10,0)/1000</f>
        <v>0</v>
      </c>
      <c r="G17" s="84">
        <f>'Company &amp; Report Data'!F62</f>
        <v>0</v>
      </c>
      <c r="H17" s="84">
        <f>G17*_xlfn.XLOOKUP(D17,Lists!$B$3:$B$10,Lists!$C$3:$C$10,0)/1000</f>
        <v>0</v>
      </c>
      <c r="I17" s="84">
        <f>'Company &amp; Report Data'!G62</f>
        <v>0</v>
      </c>
      <c r="J17" s="133">
        <f>I17*_xlfn.XLOOKUP(D17,Lists!$B$3:$B$10,Lists!$C$3:$C$10,0)/1000</f>
        <v>0</v>
      </c>
      <c r="K17" s="63"/>
      <c r="L17" s="56"/>
    </row>
    <row r="18" spans="1:12" x14ac:dyDescent="0.35">
      <c r="A18" s="61"/>
      <c r="B18" s="263" t="str">
        <f>'Company &amp; Report Data'!$B$65</f>
        <v>2025 H1: Jan 1 - June 30, 2025</v>
      </c>
      <c r="C18" s="264"/>
      <c r="D18" s="81">
        <f>'Company &amp; Report Data'!B71</f>
        <v>0</v>
      </c>
      <c r="E18" s="82">
        <f>SUM('Company &amp; Report Data'!C71:'Company &amp; Report Data'!E71)</f>
        <v>0</v>
      </c>
      <c r="F18" s="82">
        <f>E18*_xlfn.XLOOKUP(D18,Lists!$B$3:$B$10,Lists!$C$3:$C$10,0)/1000</f>
        <v>0</v>
      </c>
      <c r="G18" s="82">
        <f>'Company &amp; Report Data'!F71</f>
        <v>0</v>
      </c>
      <c r="H18" s="82">
        <f>G18*_xlfn.XLOOKUP(D18,Lists!$B$3:$B$10,Lists!$C$3:$C$10,0)/1000</f>
        <v>0</v>
      </c>
      <c r="I18" s="82">
        <f>'Company &amp; Report Data'!G71</f>
        <v>0</v>
      </c>
      <c r="J18" s="87">
        <f>I18*_xlfn.XLOOKUP(D18,Lists!$B$3:$B$10,Lists!$C$3:$C$10,0)/1000</f>
        <v>0</v>
      </c>
      <c r="K18" s="63"/>
      <c r="L18" s="56"/>
    </row>
    <row r="19" spans="1:12" x14ac:dyDescent="0.35">
      <c r="A19" s="61"/>
      <c r="B19" s="263" t="str">
        <f>'Company &amp; Report Data'!$B$65</f>
        <v>2025 H1: Jan 1 - June 30, 2025</v>
      </c>
      <c r="C19" s="264"/>
      <c r="D19" s="81">
        <f>'Company &amp; Report Data'!B72</f>
        <v>0</v>
      </c>
      <c r="E19" s="82">
        <f>SUM('Company &amp; Report Data'!C72:'Company &amp; Report Data'!E72)</f>
        <v>0</v>
      </c>
      <c r="F19" s="82">
        <f>E19*_xlfn.XLOOKUP(D19,Lists!$B$3:$B$10,Lists!$C$3:$C$10,0)/1000</f>
        <v>0</v>
      </c>
      <c r="G19" s="82">
        <f>'Company &amp; Report Data'!F72</f>
        <v>0</v>
      </c>
      <c r="H19" s="82">
        <f>G19*_xlfn.XLOOKUP(D19,Lists!$B$3:$B$10,Lists!$C$3:$C$10,0)/1000</f>
        <v>0</v>
      </c>
      <c r="I19" s="82">
        <f>'Company &amp; Report Data'!G72</f>
        <v>0</v>
      </c>
      <c r="J19" s="87">
        <f>I19*_xlfn.XLOOKUP(D19,Lists!$B$3:$B$10,Lists!$C$3:$C$10,0)/1000</f>
        <v>0</v>
      </c>
      <c r="K19" s="63"/>
      <c r="L19" s="56"/>
    </row>
    <row r="20" spans="1:12" x14ac:dyDescent="0.35">
      <c r="A20" s="61"/>
      <c r="B20" s="263" t="str">
        <f>'Company &amp; Report Data'!$B$65</f>
        <v>2025 H1: Jan 1 - June 30, 2025</v>
      </c>
      <c r="C20" s="264"/>
      <c r="D20" s="81">
        <f>'Company &amp; Report Data'!B73</f>
        <v>0</v>
      </c>
      <c r="E20" s="82">
        <f>SUM('Company &amp; Report Data'!C73:'Company &amp; Report Data'!E73)</f>
        <v>0</v>
      </c>
      <c r="F20" s="82">
        <f>E20*_xlfn.XLOOKUP(D20,Lists!$B$3:$B$10,Lists!$C$3:$C$10,0)/1000</f>
        <v>0</v>
      </c>
      <c r="G20" s="82">
        <f>'Company &amp; Report Data'!F73</f>
        <v>0</v>
      </c>
      <c r="H20" s="82">
        <f>G20*_xlfn.XLOOKUP(D20,Lists!$B$3:$B$10,Lists!$C$3:$C$10,0)/1000</f>
        <v>0</v>
      </c>
      <c r="I20" s="82">
        <f>'Company &amp; Report Data'!G73</f>
        <v>0</v>
      </c>
      <c r="J20" s="87">
        <f>I20*_xlfn.XLOOKUP(D20,Lists!$B$3:$B$10,Lists!$C$3:$C$10,0)/1000</f>
        <v>0</v>
      </c>
      <c r="K20" s="63"/>
      <c r="L20" s="56"/>
    </row>
    <row r="21" spans="1:12" x14ac:dyDescent="0.35">
      <c r="A21" s="61"/>
      <c r="B21" s="263" t="str">
        <f>'Company &amp; Report Data'!$B$65</f>
        <v>2025 H1: Jan 1 - June 30, 2025</v>
      </c>
      <c r="C21" s="264"/>
      <c r="D21" s="81">
        <f>'Company &amp; Report Data'!B74</f>
        <v>0</v>
      </c>
      <c r="E21" s="82">
        <f>SUM('Company &amp; Report Data'!C74:'Company &amp; Report Data'!E74)</f>
        <v>0</v>
      </c>
      <c r="F21" s="82">
        <f>E21*_xlfn.XLOOKUP(D21,Lists!$B$3:$B$10,Lists!$C$3:$C$10,0)/1000</f>
        <v>0</v>
      </c>
      <c r="G21" s="82">
        <f>'Company &amp; Report Data'!F74</f>
        <v>0</v>
      </c>
      <c r="H21" s="82">
        <f>G21*_xlfn.XLOOKUP(D21,Lists!$B$3:$B$10,Lists!$C$3:$C$10,0)/1000</f>
        <v>0</v>
      </c>
      <c r="I21" s="82">
        <f>'Company &amp; Report Data'!G74</f>
        <v>0</v>
      </c>
      <c r="J21" s="87">
        <f>I21*_xlfn.XLOOKUP(D21,Lists!$B$3:$B$10,Lists!$C$3:$C$10,0)/1000</f>
        <v>0</v>
      </c>
      <c r="K21" s="63"/>
      <c r="L21" s="56"/>
    </row>
    <row r="22" spans="1:12" x14ac:dyDescent="0.35">
      <c r="A22" s="61"/>
      <c r="B22" s="265" t="str">
        <f>'Company &amp; Report Data'!$B$77</f>
        <v>2025 H2: Jul 1 - Dec 31, 2025</v>
      </c>
      <c r="C22" s="266"/>
      <c r="D22" s="83">
        <f>'Company &amp; Report Data'!B83</f>
        <v>0</v>
      </c>
      <c r="E22" s="84">
        <f>SUM('Company &amp; Report Data'!C83:'Company &amp; Report Data'!E83)</f>
        <v>0</v>
      </c>
      <c r="F22" s="84">
        <f>E22*_xlfn.XLOOKUP(D22,Lists!$B$3:$B$10,Lists!$C$3:$C$10,0)/1000</f>
        <v>0</v>
      </c>
      <c r="G22" s="84">
        <f>'Company &amp; Report Data'!F83</f>
        <v>0</v>
      </c>
      <c r="H22" s="84">
        <f>G22*_xlfn.XLOOKUP(D22,Lists!$B$3:$B$10,Lists!$C$3:$C$10,0)/1000</f>
        <v>0</v>
      </c>
      <c r="I22" s="84">
        <f>'Company &amp; Report Data'!G83</f>
        <v>0</v>
      </c>
      <c r="J22" s="133">
        <f>I22*_xlfn.XLOOKUP(D22,Lists!$B$3:$B$10,Lists!$C$3:$C$10,0)/1000</f>
        <v>0</v>
      </c>
      <c r="K22" s="63"/>
      <c r="L22" s="56"/>
    </row>
    <row r="23" spans="1:12" x14ac:dyDescent="0.35">
      <c r="A23" s="61"/>
      <c r="B23" s="265" t="str">
        <f>'Company &amp; Report Data'!$B$77</f>
        <v>2025 H2: Jul 1 - Dec 31, 2025</v>
      </c>
      <c r="C23" s="266"/>
      <c r="D23" s="83">
        <f>'Company &amp; Report Data'!B84</f>
        <v>0</v>
      </c>
      <c r="E23" s="84">
        <f>SUM('Company &amp; Report Data'!C84:'Company &amp; Report Data'!E84)</f>
        <v>0</v>
      </c>
      <c r="F23" s="84">
        <f>E23*_xlfn.XLOOKUP(D23,Lists!$B$3:$B$10,Lists!$C$3:$C$10,0)/1000</f>
        <v>0</v>
      </c>
      <c r="G23" s="84">
        <f>'Company &amp; Report Data'!F84</f>
        <v>0</v>
      </c>
      <c r="H23" s="84">
        <f>G23*_xlfn.XLOOKUP(D23,Lists!$B$3:$B$10,Lists!$C$3:$C$10,0)/1000</f>
        <v>0</v>
      </c>
      <c r="I23" s="84">
        <f>'Company &amp; Report Data'!G84</f>
        <v>0</v>
      </c>
      <c r="J23" s="133">
        <f>I23*_xlfn.XLOOKUP(D23,Lists!$B$3:$B$10,Lists!$C$3:$C$10,0)/1000</f>
        <v>0</v>
      </c>
      <c r="K23" s="63"/>
      <c r="L23" s="56"/>
    </row>
    <row r="24" spans="1:12" x14ac:dyDescent="0.35">
      <c r="A24" s="61"/>
      <c r="B24" s="265" t="str">
        <f>'Company &amp; Report Data'!$B$77</f>
        <v>2025 H2: Jul 1 - Dec 31, 2025</v>
      </c>
      <c r="C24" s="266"/>
      <c r="D24" s="83">
        <f>'Company &amp; Report Data'!B85</f>
        <v>0</v>
      </c>
      <c r="E24" s="84">
        <f>SUM('Company &amp; Report Data'!C85:'Company &amp; Report Data'!E85)</f>
        <v>0</v>
      </c>
      <c r="F24" s="84">
        <f>E24*_xlfn.XLOOKUP(D24,Lists!$B$3:$B$10,Lists!$C$3:$C$10,0)/1000</f>
        <v>0</v>
      </c>
      <c r="G24" s="84">
        <f>'Company &amp; Report Data'!F85</f>
        <v>0</v>
      </c>
      <c r="H24" s="84">
        <f>G24*_xlfn.XLOOKUP(D24,Lists!$B$3:$B$10,Lists!$C$3:$C$10,0)/1000</f>
        <v>0</v>
      </c>
      <c r="I24" s="84">
        <f>'Company &amp; Report Data'!G85</f>
        <v>0</v>
      </c>
      <c r="J24" s="133">
        <f>I24*_xlfn.XLOOKUP(D24,Lists!$B$3:$B$10,Lists!$C$3:$C$10,0)/1000</f>
        <v>0</v>
      </c>
      <c r="K24" s="63"/>
      <c r="L24" s="56"/>
    </row>
    <row r="25" spans="1:12" x14ac:dyDescent="0.35">
      <c r="A25" s="61"/>
      <c r="B25" s="265" t="str">
        <f>'Company &amp; Report Data'!$B$77</f>
        <v>2025 H2: Jul 1 - Dec 31, 2025</v>
      </c>
      <c r="C25" s="266"/>
      <c r="D25" s="83">
        <f>'Company &amp; Report Data'!B86</f>
        <v>0</v>
      </c>
      <c r="E25" s="84">
        <f>SUM('Company &amp; Report Data'!C86:'Company &amp; Report Data'!E86)</f>
        <v>0</v>
      </c>
      <c r="F25" s="84">
        <f>E25*_xlfn.XLOOKUP(D25,Lists!$B$3:$B$10,Lists!$C$3:$C$10,0)/1000</f>
        <v>0</v>
      </c>
      <c r="G25" s="84">
        <f>'Company &amp; Report Data'!F86</f>
        <v>0</v>
      </c>
      <c r="H25" s="84">
        <f>G25*_xlfn.XLOOKUP(D25,Lists!$B$3:$B$10,Lists!$C$3:$C$10,0)/1000</f>
        <v>0</v>
      </c>
      <c r="I25" s="84">
        <f>'Company &amp; Report Data'!G86</f>
        <v>0</v>
      </c>
      <c r="J25" s="133">
        <f>I25*_xlfn.XLOOKUP(D25,Lists!$B$3:$B$10,Lists!$C$3:$C$10,0)/1000</f>
        <v>0</v>
      </c>
      <c r="K25" s="63"/>
      <c r="L25" s="56"/>
    </row>
    <row r="26" spans="1:12" x14ac:dyDescent="0.35">
      <c r="A26" s="61"/>
      <c r="B26" s="263" t="str">
        <f>'Company &amp; Report Data'!$B$89</f>
        <v>2026 H1: Jan 1 - June 30, 2026</v>
      </c>
      <c r="C26" s="264"/>
      <c r="D26" s="81">
        <f>'Company &amp; Report Data'!B95</f>
        <v>0</v>
      </c>
      <c r="E26" s="82">
        <f>SUM('Company &amp; Report Data'!C95:'Company &amp; Report Data'!E95)</f>
        <v>0</v>
      </c>
      <c r="F26" s="82">
        <f>E26*_xlfn.XLOOKUP(D26,Lists!$B$3:$B$10,Lists!$C$3:$C$10,0)/1000</f>
        <v>0</v>
      </c>
      <c r="G26" s="82">
        <f>'Company &amp; Report Data'!F95</f>
        <v>0</v>
      </c>
      <c r="H26" s="82">
        <f>G26*_xlfn.XLOOKUP(D26,Lists!$B$3:$B$10,Lists!$C$3:$C$10,0)/1000</f>
        <v>0</v>
      </c>
      <c r="I26" s="82">
        <f>'Company &amp; Report Data'!G95</f>
        <v>0</v>
      </c>
      <c r="J26" s="87">
        <f>I26*_xlfn.XLOOKUP(D26,Lists!$B$3:$B$10,Lists!$C$3:$C$10,0)/1000</f>
        <v>0</v>
      </c>
      <c r="K26" s="63"/>
      <c r="L26" s="56"/>
    </row>
    <row r="27" spans="1:12" x14ac:dyDescent="0.35">
      <c r="A27" s="61"/>
      <c r="B27" s="263" t="str">
        <f>'Company &amp; Report Data'!$B$89</f>
        <v>2026 H1: Jan 1 - June 30, 2026</v>
      </c>
      <c r="C27" s="264"/>
      <c r="D27" s="81">
        <f>'Company &amp; Report Data'!B96</f>
        <v>0</v>
      </c>
      <c r="E27" s="82">
        <f>SUM('Company &amp; Report Data'!C96:'Company &amp; Report Data'!E96)</f>
        <v>0</v>
      </c>
      <c r="F27" s="82">
        <f>E27*_xlfn.XLOOKUP(D27,Lists!$B$3:$B$10,Lists!$C$3:$C$10,0)/1000</f>
        <v>0</v>
      </c>
      <c r="G27" s="82">
        <f>'Company &amp; Report Data'!F96</f>
        <v>0</v>
      </c>
      <c r="H27" s="82">
        <f>G27*_xlfn.XLOOKUP(D27,Lists!$B$3:$B$10,Lists!$C$3:$C$10,0)/1000</f>
        <v>0</v>
      </c>
      <c r="I27" s="82">
        <f>'Company &amp; Report Data'!G96</f>
        <v>0</v>
      </c>
      <c r="J27" s="87">
        <f>I27*_xlfn.XLOOKUP(D27,Lists!$B$3:$B$10,Lists!$C$3:$C$10,0)/1000</f>
        <v>0</v>
      </c>
      <c r="K27" s="63"/>
      <c r="L27" s="56"/>
    </row>
    <row r="28" spans="1:12" x14ac:dyDescent="0.35">
      <c r="A28" s="61"/>
      <c r="B28" s="263" t="str">
        <f>'Company &amp; Report Data'!$B$89</f>
        <v>2026 H1: Jan 1 - June 30, 2026</v>
      </c>
      <c r="C28" s="264"/>
      <c r="D28" s="130">
        <f>'Company &amp; Report Data'!B97</f>
        <v>0</v>
      </c>
      <c r="E28" s="82">
        <f>SUM('Company &amp; Report Data'!C97:'Company &amp; Report Data'!E97)</f>
        <v>0</v>
      </c>
      <c r="F28" s="82">
        <f>E28*_xlfn.XLOOKUP(D28,Lists!$B$3:$B$10,Lists!$C$3:$C$10,0)/1000</f>
        <v>0</v>
      </c>
      <c r="G28" s="82">
        <f>'Company &amp; Report Data'!F97</f>
        <v>0</v>
      </c>
      <c r="H28" s="82">
        <f>G28*_xlfn.XLOOKUP(D28,Lists!$B$3:$B$10,Lists!$C$3:$C$10,0)/1000</f>
        <v>0</v>
      </c>
      <c r="I28" s="82">
        <f>'Company &amp; Report Data'!G97</f>
        <v>0</v>
      </c>
      <c r="J28" s="87">
        <f>I28*_xlfn.XLOOKUP(D28,Lists!$B$3:$B$10,Lists!$C$3:$C$10,0)/1000</f>
        <v>0</v>
      </c>
      <c r="K28" s="63"/>
      <c r="L28" s="56"/>
    </row>
    <row r="29" spans="1:12" ht="15" thickBot="1" x14ac:dyDescent="0.4">
      <c r="A29" s="61"/>
      <c r="B29" s="273" t="str">
        <f>'Company &amp; Report Data'!$B$89</f>
        <v>2026 H1: Jan 1 - June 30, 2026</v>
      </c>
      <c r="C29" s="274"/>
      <c r="D29" s="131">
        <f>'Company &amp; Report Data'!B98</f>
        <v>0</v>
      </c>
      <c r="E29" s="167">
        <f>SUM('Company &amp; Report Data'!C98:'Company &amp; Report Data'!E98)</f>
        <v>0</v>
      </c>
      <c r="F29" s="132">
        <f>E29*_xlfn.XLOOKUP(D29,Lists!$B$3:$B$10,Lists!$C$3:$C$10,0)/1000</f>
        <v>0</v>
      </c>
      <c r="G29" s="128">
        <f>'Company &amp; Report Data'!F98</f>
        <v>0</v>
      </c>
      <c r="H29" s="88">
        <f>G29*_xlfn.XLOOKUP(D29,Lists!$B$3:$B$10,Lists!$C$3:$C$10,0)/1000</f>
        <v>0</v>
      </c>
      <c r="I29" s="88">
        <f>'Company &amp; Report Data'!G98</f>
        <v>0</v>
      </c>
      <c r="J29" s="129">
        <f>I29*_xlfn.XLOOKUP(D29,Lists!$B$3:$B$10,Lists!$C$3:$C$10,0)/1000</f>
        <v>0</v>
      </c>
      <c r="K29" s="63"/>
      <c r="L29" s="56"/>
    </row>
    <row r="30" spans="1:12" ht="15" thickBot="1" x14ac:dyDescent="0.4">
      <c r="A30" s="61"/>
      <c r="B30" s="137"/>
      <c r="C30" s="137"/>
      <c r="E30" s="138"/>
      <c r="F30" s="8"/>
      <c r="G30" s="8"/>
      <c r="H30" s="8"/>
      <c r="I30" s="8"/>
      <c r="J30" s="8"/>
      <c r="K30" s="63"/>
      <c r="L30" s="56"/>
    </row>
    <row r="31" spans="1:12" x14ac:dyDescent="0.35">
      <c r="A31" s="61"/>
      <c r="B31" s="188" t="s">
        <v>71</v>
      </c>
      <c r="C31" s="189"/>
      <c r="D31" s="189"/>
      <c r="E31" s="189"/>
      <c r="F31" s="189"/>
      <c r="G31" s="189"/>
      <c r="H31" s="189"/>
      <c r="I31" s="189"/>
      <c r="J31" s="190"/>
      <c r="K31" s="63"/>
      <c r="L31" s="56"/>
    </row>
    <row r="32" spans="1:12" ht="43.5" x14ac:dyDescent="0.35">
      <c r="A32" s="61"/>
      <c r="B32" s="139" t="s">
        <v>46</v>
      </c>
      <c r="C32" s="150" t="s">
        <v>47</v>
      </c>
      <c r="D32" s="140" t="s">
        <v>48</v>
      </c>
      <c r="E32" s="140" t="s">
        <v>49</v>
      </c>
      <c r="F32" s="140" t="s">
        <v>50</v>
      </c>
      <c r="G32" s="140" t="s">
        <v>72</v>
      </c>
      <c r="H32" s="140" t="s">
        <v>73</v>
      </c>
      <c r="I32" s="140" t="s">
        <v>74</v>
      </c>
      <c r="J32" s="141" t="s">
        <v>75</v>
      </c>
      <c r="K32" s="63"/>
      <c r="L32" s="56"/>
    </row>
    <row r="33" spans="1:12" x14ac:dyDescent="0.35">
      <c r="A33" s="61"/>
      <c r="B33" s="156" t="str">
        <f>"Year 1 ("&amp;"Jul 1, "&amp;'Company &amp; Report Data'!D5-4&amp;" - Jun 30, "&amp;'Company &amp; Report Data'!D5-3&amp;")"</f>
        <v>Year 1 (Jul 1, 2023 - Jun 30, 2024)</v>
      </c>
      <c r="C33" s="142">
        <f>SUM(E6:E13)</f>
        <v>0</v>
      </c>
      <c r="D33" s="142">
        <f>SUM(F6:F13)</f>
        <v>0</v>
      </c>
      <c r="E33" s="142">
        <f>SUM(G10:G13)-SUM(G2:G5)</f>
        <v>0</v>
      </c>
      <c r="F33" s="142">
        <f>SUM(H10:H13)-SUM(H2:H5)</f>
        <v>0</v>
      </c>
      <c r="G33" s="142">
        <f>SUM(I6:I13)</f>
        <v>0</v>
      </c>
      <c r="H33" s="142">
        <f>SUM(J6:J13)</f>
        <v>0</v>
      </c>
      <c r="I33" s="143">
        <f t="shared" ref="I33:J35" si="0">C33-E33-G33</f>
        <v>0</v>
      </c>
      <c r="J33" s="144">
        <f t="shared" si="0"/>
        <v>0</v>
      </c>
      <c r="K33" s="63"/>
      <c r="L33" s="56"/>
    </row>
    <row r="34" spans="1:12" x14ac:dyDescent="0.35">
      <c r="A34" s="61"/>
      <c r="B34" s="156" t="str">
        <f>"Year 2 ("&amp;"Jul 1, "&amp;'Company &amp; Report Data'!D5-3&amp;" - Jun 30, "&amp;'Company &amp; Report Data'!D5-2&amp;")"</f>
        <v>Year 2 (Jul 1, 2024 - Jun 30, 2025)</v>
      </c>
      <c r="C34" s="142">
        <f>SUM(E14:E21)</f>
        <v>0</v>
      </c>
      <c r="D34" s="142">
        <f>SUM(F14:F21)</f>
        <v>0</v>
      </c>
      <c r="E34" s="142">
        <f>SUM(G18:G21)-SUM(G10:G13)</f>
        <v>0</v>
      </c>
      <c r="F34" s="142">
        <f>SUM(H18:H21)-SUM(H10:H13)</f>
        <v>0</v>
      </c>
      <c r="G34" s="142">
        <f>SUM(I14:I21)</f>
        <v>0</v>
      </c>
      <c r="H34" s="142">
        <f>SUM(J14:J21)</f>
        <v>0</v>
      </c>
      <c r="I34" s="143">
        <f t="shared" si="0"/>
        <v>0</v>
      </c>
      <c r="J34" s="144">
        <f t="shared" si="0"/>
        <v>0</v>
      </c>
      <c r="K34" s="63"/>
      <c r="L34" s="56"/>
    </row>
    <row r="35" spans="1:12" ht="15" thickBot="1" x14ac:dyDescent="0.4">
      <c r="A35" s="61"/>
      <c r="B35" s="157" t="str">
        <f>"Year 3 ("&amp;"Jul 1, "&amp;'Company &amp; Report Data'!D5-2&amp;" - Jun 30, "&amp;'Company &amp; Report Data'!D5-1&amp;")"</f>
        <v>Year 3 (Jul 1, 2025 - Jun 30, 2026)</v>
      </c>
      <c r="C35" s="151">
        <f>SUM(E22:E29)</f>
        <v>0</v>
      </c>
      <c r="D35" s="151">
        <f>SUM(F22:F29)</f>
        <v>0</v>
      </c>
      <c r="E35" s="151">
        <f>SUM(G26:G29)-SUM(G18:G21)</f>
        <v>0</v>
      </c>
      <c r="F35" s="151">
        <f>SUM(H26:H29)-SUM(H18:H21)</f>
        <v>0</v>
      </c>
      <c r="G35" s="151">
        <f>SUM(I22:I29)</f>
        <v>0</v>
      </c>
      <c r="H35" s="151">
        <f>SUM(J22:J29)</f>
        <v>0</v>
      </c>
      <c r="I35" s="145">
        <f t="shared" si="0"/>
        <v>0</v>
      </c>
      <c r="J35" s="146">
        <f t="shared" si="0"/>
        <v>0</v>
      </c>
      <c r="K35" s="63"/>
      <c r="L35" s="56"/>
    </row>
    <row r="36" spans="1:12" ht="15" thickBot="1" x14ac:dyDescent="0.4">
      <c r="A36" s="61"/>
      <c r="B36" s="6"/>
      <c r="C36" s="6"/>
      <c r="D36" s="6"/>
      <c r="E36" s="6"/>
      <c r="F36" s="6"/>
      <c r="G36" s="6"/>
      <c r="H36" s="6"/>
      <c r="I36" s="4"/>
      <c r="J36" s="4"/>
      <c r="K36" s="63"/>
      <c r="L36" s="56"/>
    </row>
    <row r="37" spans="1:12" x14ac:dyDescent="0.35">
      <c r="A37" s="61"/>
      <c r="B37" s="279" t="s">
        <v>76</v>
      </c>
      <c r="C37" s="279"/>
      <c r="D37" s="280"/>
      <c r="E37" s="6"/>
      <c r="F37" s="6"/>
      <c r="G37" s="6"/>
      <c r="H37" s="6"/>
      <c r="I37" s="6"/>
      <c r="J37" s="4"/>
      <c r="K37" s="63"/>
      <c r="L37" s="56"/>
    </row>
    <row r="38" spans="1:12" x14ac:dyDescent="0.35">
      <c r="A38" s="61"/>
      <c r="B38" s="281" t="s">
        <v>77</v>
      </c>
      <c r="C38" s="281"/>
      <c r="D38" s="147" t="e">
        <f>($I34-$I33)/$I33</f>
        <v>#DIV/0!</v>
      </c>
      <c r="E38" s="6"/>
      <c r="F38" s="6"/>
      <c r="G38" s="6"/>
      <c r="H38" s="6"/>
      <c r="I38" s="6"/>
      <c r="J38" s="4"/>
      <c r="K38" s="63"/>
      <c r="L38" s="56"/>
    </row>
    <row r="39" spans="1:12" ht="15" thickBot="1" x14ac:dyDescent="0.4">
      <c r="A39" s="61"/>
      <c r="B39" s="282" t="s">
        <v>78</v>
      </c>
      <c r="C39" s="282"/>
      <c r="D39" s="148" t="e">
        <f>($I35-$I34)/$I34</f>
        <v>#DIV/0!</v>
      </c>
      <c r="E39" s="149"/>
      <c r="F39" s="149"/>
      <c r="G39" s="6"/>
      <c r="H39" s="6"/>
      <c r="I39" s="6"/>
      <c r="J39" s="4"/>
      <c r="K39" s="63"/>
      <c r="L39" s="56"/>
    </row>
    <row r="40" spans="1:12" ht="15" thickBot="1" x14ac:dyDescent="0.4">
      <c r="A40" s="61"/>
      <c r="B40" s="283" t="s">
        <v>55</v>
      </c>
      <c r="C40" s="283"/>
      <c r="D40" s="181" t="str">
        <f>IFERROR(AVERAGE(D38:D39),"Not applicable")</f>
        <v>Not applicable</v>
      </c>
      <c r="E40" s="6"/>
      <c r="F40" s="6"/>
      <c r="G40" s="6"/>
      <c r="H40" s="6"/>
      <c r="I40" s="6"/>
      <c r="J40" s="4"/>
      <c r="K40" s="63"/>
      <c r="L40" s="56"/>
    </row>
    <row r="41" spans="1:12" s="4" customFormat="1" ht="15" thickBot="1" x14ac:dyDescent="0.4">
      <c r="A41" s="158"/>
      <c r="B41" s="159"/>
      <c r="C41" s="159"/>
      <c r="D41" s="6"/>
      <c r="E41" s="160"/>
      <c r="F41" s="69"/>
      <c r="G41" s="69"/>
      <c r="H41" s="69"/>
      <c r="I41" s="69"/>
      <c r="J41" s="69"/>
      <c r="K41" s="161"/>
      <c r="L41" s="162"/>
    </row>
    <row r="42" spans="1:12" ht="15" thickBot="1" x14ac:dyDescent="0.4">
      <c r="A42" s="61"/>
      <c r="B42" s="188" t="s">
        <v>79</v>
      </c>
      <c r="C42" s="189"/>
      <c r="D42" s="275"/>
      <c r="E42" s="275"/>
      <c r="F42" s="276"/>
      <c r="G42" s="8"/>
      <c r="H42" s="127"/>
      <c r="I42" s="126"/>
      <c r="J42" s="66"/>
      <c r="K42" s="67"/>
      <c r="L42" s="58"/>
    </row>
    <row r="43" spans="1:12" ht="15" customHeight="1" x14ac:dyDescent="0.35">
      <c r="A43" s="61"/>
      <c r="B43" s="277" t="s">
        <v>80</v>
      </c>
      <c r="C43" s="278"/>
      <c r="D43" s="278"/>
      <c r="E43" s="278"/>
      <c r="F43" s="134" t="str" cm="1">
        <f t="array" ref="F43">IFERROR(IF(OR(C33:C35=0,I33:I35=0),"Yes","No"),"ERROR")</f>
        <v>Yes</v>
      </c>
      <c r="G43" s="68"/>
      <c r="H43" s="124"/>
      <c r="I43" s="59"/>
      <c r="J43" s="70"/>
      <c r="K43" s="60"/>
      <c r="L43" s="56"/>
    </row>
    <row r="44" spans="1:12" ht="15" customHeight="1" x14ac:dyDescent="0.35">
      <c r="A44" s="61"/>
      <c r="B44" s="277" t="s">
        <v>81</v>
      </c>
      <c r="C44" s="278"/>
      <c r="D44" s="278"/>
      <c r="E44" s="278"/>
      <c r="F44" s="135" t="str" cm="1">
        <f t="array" ref="F44">IFERROR(IF(AND(D40&gt;=2,OR(C33:C35&lt;=100)),"Yes","No"),"ERROR")</f>
        <v>Yes</v>
      </c>
      <c r="G44" s="291" t="str">
        <f>IF('Company &amp; Report Data'!D7="No","Not applicable as entity is a new user","")</f>
        <v/>
      </c>
      <c r="H44" s="125"/>
      <c r="I44" s="59"/>
      <c r="J44" s="70"/>
      <c r="K44" s="60"/>
      <c r="L44" s="56"/>
    </row>
    <row r="45" spans="1:12" ht="15" customHeight="1" x14ac:dyDescent="0.35">
      <c r="A45" s="61"/>
      <c r="B45" s="277" t="s">
        <v>82</v>
      </c>
      <c r="C45" s="278"/>
      <c r="D45" s="278"/>
      <c r="E45" s="278"/>
      <c r="F45" s="135" t="str">
        <f>IFERROR(IF(I35&lt;=(0.33*I34),"Yes","No"),"ERROR")</f>
        <v>Yes</v>
      </c>
      <c r="G45" s="292"/>
      <c r="H45" s="125"/>
      <c r="I45" s="59"/>
      <c r="J45" s="70"/>
      <c r="K45" s="60"/>
      <c r="L45" s="56"/>
    </row>
    <row r="46" spans="1:12" x14ac:dyDescent="0.35">
      <c r="A46" s="61"/>
      <c r="B46" s="277" t="s">
        <v>83</v>
      </c>
      <c r="C46" s="278"/>
      <c r="D46" s="278"/>
      <c r="E46" s="278"/>
      <c r="F46" s="135" t="str">
        <f>IFERROR(IF(AND(SUM(E$6:E$13)&lt;=100,SUM(E$14:E$21)&lt;=100,SUM(E$22:E$29)&lt;=100),"Yes","No"),"ERROR")</f>
        <v>Yes</v>
      </c>
      <c r="G46" s="293"/>
      <c r="H46" s="69"/>
      <c r="I46" s="59"/>
      <c r="J46" s="70"/>
      <c r="K46" s="60"/>
      <c r="L46" s="56"/>
    </row>
    <row r="47" spans="1:12" x14ac:dyDescent="0.35">
      <c r="A47" s="61"/>
      <c r="B47" s="281" t="s">
        <v>84</v>
      </c>
      <c r="C47" s="314"/>
      <c r="D47" s="314"/>
      <c r="E47" s="314"/>
      <c r="F47" s="135" t="str">
        <f>IF('Company &amp; Report Data'!$D$7="No","Yes","No")</f>
        <v>No</v>
      </c>
      <c r="G47" s="68"/>
      <c r="H47" s="69"/>
      <c r="I47" s="59"/>
      <c r="J47" s="70"/>
      <c r="K47" s="60"/>
      <c r="L47" s="56"/>
    </row>
    <row r="48" spans="1:12" x14ac:dyDescent="0.35">
      <c r="A48" s="61"/>
      <c r="B48" s="192" t="s">
        <v>85</v>
      </c>
      <c r="C48" s="193"/>
      <c r="D48" s="193"/>
      <c r="E48" s="193"/>
      <c r="F48" s="135" t="str" cm="1">
        <f t="array" ref="F48">IFERROR(IF(OR(I33:I35&gt;0),"Yes","No"),"ERROR")</f>
        <v>No</v>
      </c>
      <c r="G48" s="68"/>
      <c r="H48" s="69"/>
      <c r="I48" s="59"/>
      <c r="J48" s="70"/>
      <c r="K48" s="60"/>
      <c r="L48" s="56"/>
    </row>
    <row r="49" spans="1:12" ht="15" customHeight="1" x14ac:dyDescent="0.35">
      <c r="A49" s="61"/>
      <c r="B49" s="281" t="s">
        <v>86</v>
      </c>
      <c r="C49" s="314"/>
      <c r="D49" s="314"/>
      <c r="E49" s="314"/>
      <c r="F49" s="135" t="str">
        <f>IFERROR(IF(I35&gt;0,"Yes","No"),"ERROR")</f>
        <v>No</v>
      </c>
      <c r="G49" s="68"/>
      <c r="H49" s="69"/>
      <c r="I49" s="59"/>
      <c r="J49" s="70"/>
      <c r="K49" s="60"/>
      <c r="L49" s="56"/>
    </row>
    <row r="50" spans="1:12" x14ac:dyDescent="0.35">
      <c r="A50" s="61"/>
      <c r="B50" s="271" t="s">
        <v>87</v>
      </c>
      <c r="C50" s="272"/>
      <c r="D50" s="272"/>
      <c r="E50" s="272"/>
      <c r="F50" s="136" t="str">
        <f>IF(F48="No","Zero Use",(IF(F47="Yes",IF(F49="Yes","New User (Year 3 Use)","Irregular or Small User"),(IF(OR(F43="Yes",F44="Yes",F45="Yes",F46="Yes"),"Irregular or Small User","Regular User")))))</f>
        <v>Zero Use</v>
      </c>
      <c r="G50" s="68"/>
      <c r="H50" s="69"/>
      <c r="I50" s="59"/>
      <c r="J50" s="70"/>
      <c r="K50" s="60"/>
      <c r="L50" s="56"/>
    </row>
    <row r="51" spans="1:12" x14ac:dyDescent="0.35">
      <c r="A51" s="56"/>
      <c r="B51" s="64"/>
      <c r="C51" s="65"/>
      <c r="D51" s="65"/>
      <c r="E51" s="64"/>
      <c r="F51" s="71"/>
      <c r="G51" s="59"/>
      <c r="H51" s="69"/>
      <c r="I51" s="59"/>
      <c r="J51" s="70"/>
      <c r="K51" s="60"/>
      <c r="L51" s="56"/>
    </row>
    <row r="52" spans="1:12" x14ac:dyDescent="0.35">
      <c r="A52" s="61"/>
      <c r="B52" s="299" t="s">
        <v>88</v>
      </c>
      <c r="C52" s="300"/>
      <c r="D52" s="300"/>
      <c r="E52" s="300"/>
      <c r="F52" s="301"/>
      <c r="G52" s="68"/>
      <c r="H52" s="69"/>
      <c r="I52" s="59"/>
      <c r="J52" s="70"/>
      <c r="K52" s="60"/>
      <c r="L52" s="56"/>
    </row>
    <row r="53" spans="1:12" x14ac:dyDescent="0.35">
      <c r="A53" s="61"/>
      <c r="B53" s="187"/>
      <c r="C53" s="310" t="s">
        <v>89</v>
      </c>
      <c r="D53" s="311"/>
      <c r="E53" s="312" t="s">
        <v>90</v>
      </c>
      <c r="F53" s="313"/>
      <c r="G53" s="63"/>
      <c r="H53" s="6"/>
      <c r="I53" s="60"/>
      <c r="J53" s="72"/>
      <c r="K53" s="60"/>
      <c r="L53" s="56"/>
    </row>
    <row r="54" spans="1:12" x14ac:dyDescent="0.35">
      <c r="A54" s="61"/>
      <c r="B54" s="78" t="s">
        <v>91</v>
      </c>
      <c r="C54" s="302" t="str">
        <f>IF(AND($E$59="OK",$E$60="OK"),IF($F$50="Regular User",J35*(1+D40),IF($F$50="Irregular or Small User",MAX(J33:J35),IF($F$50="New User (Year 3 Use)",J35*(1),IF($F$50="Zero Use",0,"ERROR")))),"ERROR")</f>
        <v>ERROR</v>
      </c>
      <c r="D54" s="303"/>
      <c r="E54" s="306" t="str">
        <f>IFERROR(IF('Company &amp; Report Data'!D6="Yes",C54*1.1,C54),"ERROR")</f>
        <v>ERROR</v>
      </c>
      <c r="F54" s="307"/>
      <c r="G54" s="63"/>
      <c r="H54" s="6"/>
      <c r="I54" s="60"/>
      <c r="J54" s="72"/>
      <c r="K54" s="60"/>
      <c r="L54" s="56"/>
    </row>
    <row r="55" spans="1:12" ht="15" thickBot="1" x14ac:dyDescent="0.4">
      <c r="A55" s="61"/>
      <c r="B55" s="79" t="s">
        <v>92</v>
      </c>
      <c r="C55" s="304" t="str">
        <f>IF(AND($E$59="OK",$E$60="OK"),C54+Results!D14,"ERROR")</f>
        <v>ERROR</v>
      </c>
      <c r="D55" s="305"/>
      <c r="E55" s="308" t="str">
        <f>IFERROR(IF('Company &amp; Report Data'!D6="Yes",C55*1.1,C55),"ERROR")</f>
        <v>ERROR</v>
      </c>
      <c r="F55" s="309"/>
      <c r="G55" s="63"/>
      <c r="H55" s="6"/>
      <c r="I55" s="60"/>
      <c r="J55" s="72"/>
      <c r="K55" s="60"/>
      <c r="L55" s="56"/>
    </row>
    <row r="56" spans="1:12" x14ac:dyDescent="0.35">
      <c r="A56" s="56"/>
      <c r="B56" s="62"/>
      <c r="C56" s="67"/>
      <c r="D56" s="67"/>
      <c r="E56" s="62"/>
      <c r="F56" s="67"/>
      <c r="G56" s="60"/>
      <c r="H56" s="6"/>
      <c r="I56" s="60"/>
      <c r="J56" s="72"/>
      <c r="K56" s="60"/>
      <c r="L56" s="56"/>
    </row>
    <row r="57" spans="1:12" ht="15" thickBot="1" x14ac:dyDescent="0.4">
      <c r="A57" s="56"/>
      <c r="B57" s="77"/>
      <c r="C57" s="77"/>
      <c r="D57" s="77"/>
      <c r="E57" s="80"/>
      <c r="F57" s="77"/>
      <c r="G57" s="60"/>
      <c r="H57" s="6"/>
      <c r="I57" s="60"/>
      <c r="J57" s="72"/>
      <c r="K57" s="60"/>
      <c r="L57" s="56"/>
    </row>
    <row r="58" spans="1:12" x14ac:dyDescent="0.35">
      <c r="A58" s="61"/>
      <c r="B58" s="298" t="s">
        <v>93</v>
      </c>
      <c r="C58" s="275"/>
      <c r="D58" s="275"/>
      <c r="E58" s="275"/>
      <c r="F58" s="276"/>
      <c r="G58" s="63"/>
      <c r="H58" s="6"/>
      <c r="I58" s="60"/>
      <c r="J58" s="72"/>
      <c r="K58" s="60"/>
      <c r="L58" s="56"/>
    </row>
    <row r="59" spans="1:12" ht="31.5" customHeight="1" x14ac:dyDescent="0.35">
      <c r="A59" s="61"/>
      <c r="B59" s="286" t="s">
        <v>94</v>
      </c>
      <c r="C59" s="287"/>
      <c r="D59" s="287"/>
      <c r="E59" s="294" t="str" cm="1">
        <f t="array" ref="E59">IF(OR(ISBLANK('Company &amp; Report Data'!D4:D7)),"ERROR - Data Missing. Please complete all fields in the 'Company Info' section of the 'Company &amp; Report Data' tab.","OK")</f>
        <v>ERROR - Data Missing. Please complete all fields in the 'Company Info' section of the 'Company &amp; Report Data' tab.</v>
      </c>
      <c r="F59" s="295"/>
      <c r="G59" s="63"/>
      <c r="H59" s="6"/>
      <c r="I59" s="60"/>
      <c r="J59" s="72"/>
      <c r="K59" s="60"/>
      <c r="L59" s="56"/>
    </row>
    <row r="60" spans="1:12" ht="28.5" customHeight="1" x14ac:dyDescent="0.35">
      <c r="A60" s="61"/>
      <c r="B60" s="288" t="s">
        <v>95</v>
      </c>
      <c r="C60" s="289"/>
      <c r="D60" s="290"/>
      <c r="E60" s="296" t="str" cm="1">
        <f t="array" ref="E60">IF(OR(LEN('Company &amp; Report Data'!A1:A100)&gt;0),"ERROR - Data missing or invalid entry on 'Company &amp; Report Data' tab.",IF(OR(LEN(Results!K5:K7)&gt;0),"ERROR - Negative use calculated.", "OK"))</f>
        <v>OK</v>
      </c>
      <c r="F60" s="297"/>
      <c r="G60" s="63"/>
      <c r="H60" s="73"/>
      <c r="I60" s="60"/>
      <c r="J60" s="72"/>
      <c r="K60" s="60"/>
      <c r="L60" s="56"/>
    </row>
    <row r="61" spans="1:12" ht="30" customHeight="1" thickBot="1" x14ac:dyDescent="0.4">
      <c r="A61" s="56"/>
      <c r="B61" s="256" t="s">
        <v>96</v>
      </c>
      <c r="C61" s="257"/>
      <c r="D61" s="258"/>
      <c r="E61" s="259" t="str">
        <f>IF(LEN('UC &amp; Total Est Purchases'!E19)&gt;0,"ERROR - Data missing on 'UC &amp; Total Est Purchases' tab","OK")</f>
        <v>ERROR - Data missing on 'UC &amp; Total Est Purchases' tab</v>
      </c>
      <c r="F61" s="260"/>
      <c r="G61" s="60"/>
      <c r="H61" s="74"/>
      <c r="I61" s="60"/>
      <c r="J61" s="72"/>
      <c r="K61" s="60"/>
      <c r="L61" s="56"/>
    </row>
    <row r="62" spans="1:12" x14ac:dyDescent="0.35">
      <c r="A62" s="56"/>
      <c r="B62" s="60"/>
      <c r="C62" s="60"/>
      <c r="D62" s="123"/>
      <c r="E62" s="261"/>
      <c r="F62" s="262"/>
      <c r="G62" s="60"/>
      <c r="H62" s="73"/>
      <c r="I62" s="60"/>
      <c r="J62" s="72"/>
      <c r="K62" s="60"/>
      <c r="L62" s="56"/>
    </row>
    <row r="63" spans="1:12" x14ac:dyDescent="0.35">
      <c r="A63" s="56"/>
      <c r="B63" s="60"/>
      <c r="C63" s="60"/>
      <c r="D63" s="60"/>
      <c r="E63" s="67"/>
      <c r="F63" s="67"/>
      <c r="G63" s="63"/>
      <c r="H63" s="73"/>
      <c r="I63" s="60"/>
      <c r="J63" s="72"/>
      <c r="K63" s="60"/>
      <c r="L63" s="56"/>
    </row>
    <row r="64" spans="1:12" x14ac:dyDescent="0.35">
      <c r="A64" s="57"/>
      <c r="B64" s="75"/>
      <c r="C64" s="75"/>
      <c r="D64" s="65"/>
      <c r="E64" s="60"/>
      <c r="F64" s="65"/>
      <c r="G64" s="75"/>
      <c r="H64" s="6"/>
      <c r="I64" s="60"/>
      <c r="J64" s="72"/>
      <c r="K64" s="60"/>
      <c r="L64" s="56"/>
    </row>
    <row r="65" spans="1:12" x14ac:dyDescent="0.35">
      <c r="A65" s="56"/>
      <c r="B65" s="60"/>
      <c r="C65" s="60"/>
      <c r="D65" s="60"/>
      <c r="E65" s="60"/>
      <c r="F65" s="60"/>
      <c r="G65" s="60"/>
      <c r="H65" s="76"/>
      <c r="I65" s="60"/>
      <c r="J65" s="72"/>
      <c r="K65" s="60"/>
      <c r="L65" s="56"/>
    </row>
    <row r="66" spans="1:12" x14ac:dyDescent="0.35">
      <c r="A66" s="56"/>
      <c r="B66" s="60"/>
      <c r="C66" s="60"/>
      <c r="D66" s="60"/>
      <c r="E66" s="60"/>
      <c r="F66" s="60"/>
      <c r="G66" s="60"/>
      <c r="H66" s="76"/>
      <c r="I66" s="60"/>
      <c r="J66" s="72"/>
      <c r="K66" s="60"/>
      <c r="L66" s="56"/>
    </row>
    <row r="67" spans="1:12" x14ac:dyDescent="0.35">
      <c r="A67" s="56"/>
      <c r="B67" s="60"/>
      <c r="C67" s="60"/>
      <c r="D67" s="60"/>
      <c r="E67" s="60"/>
      <c r="F67" s="60"/>
      <c r="G67" s="60"/>
      <c r="H67" s="76"/>
      <c r="I67" s="60"/>
      <c r="J67" s="72"/>
      <c r="K67" s="60"/>
      <c r="L67" s="56"/>
    </row>
    <row r="68" spans="1:12" x14ac:dyDescent="0.35">
      <c r="A68" s="56"/>
      <c r="B68" s="60"/>
      <c r="C68" s="60"/>
      <c r="D68" s="60"/>
      <c r="E68" s="60"/>
      <c r="F68" s="60"/>
      <c r="G68" s="60"/>
      <c r="H68" s="76"/>
      <c r="I68" s="60"/>
      <c r="J68" s="72"/>
      <c r="K68" s="60"/>
      <c r="L68" s="56"/>
    </row>
    <row r="69" spans="1:12" x14ac:dyDescent="0.35">
      <c r="A69" s="56"/>
      <c r="B69" s="60"/>
      <c r="C69" s="60"/>
      <c r="D69" s="60"/>
      <c r="E69" s="60"/>
      <c r="F69" s="60"/>
      <c r="G69" s="60"/>
      <c r="H69" s="72"/>
      <c r="I69" s="60"/>
      <c r="J69" s="72"/>
      <c r="K69" s="60"/>
      <c r="L69" s="56"/>
    </row>
    <row r="70" spans="1:12" x14ac:dyDescent="0.35">
      <c r="A70" s="56"/>
      <c r="B70" s="60"/>
      <c r="C70" s="60"/>
      <c r="D70" s="60"/>
      <c r="E70" s="60"/>
      <c r="F70" s="60"/>
      <c r="G70" s="60"/>
      <c r="H70" s="72"/>
      <c r="I70" s="60"/>
      <c r="J70" s="72"/>
      <c r="K70" s="60"/>
      <c r="L70" s="56"/>
    </row>
    <row r="71" spans="1:12" x14ac:dyDescent="0.35">
      <c r="K71" s="60"/>
      <c r="L71" s="56"/>
    </row>
  </sheetData>
  <mergeCells count="57">
    <mergeCell ref="B1:C1"/>
    <mergeCell ref="B59:D59"/>
    <mergeCell ref="B60:D60"/>
    <mergeCell ref="G44:G46"/>
    <mergeCell ref="E59:F59"/>
    <mergeCell ref="E60:F60"/>
    <mergeCell ref="B58:F58"/>
    <mergeCell ref="B52:F52"/>
    <mergeCell ref="C54:D54"/>
    <mergeCell ref="C55:D55"/>
    <mergeCell ref="E54:F54"/>
    <mergeCell ref="E55:F55"/>
    <mergeCell ref="C53:D53"/>
    <mergeCell ref="E53:F53"/>
    <mergeCell ref="B47:E47"/>
    <mergeCell ref="B49:E49"/>
    <mergeCell ref="B25:C25"/>
    <mergeCell ref="B26:C26"/>
    <mergeCell ref="B50:E50"/>
    <mergeCell ref="B27:C27"/>
    <mergeCell ref="B28:C28"/>
    <mergeCell ref="B29:C29"/>
    <mergeCell ref="D42:F42"/>
    <mergeCell ref="B43:E43"/>
    <mergeCell ref="B44:E44"/>
    <mergeCell ref="B45:E45"/>
    <mergeCell ref="B46:E46"/>
    <mergeCell ref="B37:D37"/>
    <mergeCell ref="B38:C38"/>
    <mergeCell ref="B39:C39"/>
    <mergeCell ref="B40:C40"/>
    <mergeCell ref="B2:C2"/>
    <mergeCell ref="B3:C3"/>
    <mergeCell ref="B4:C4"/>
    <mergeCell ref="B5:C5"/>
    <mergeCell ref="B6:C6"/>
    <mergeCell ref="B7:C7"/>
    <mergeCell ref="B8:C8"/>
    <mergeCell ref="B9:C9"/>
    <mergeCell ref="B10:C10"/>
    <mergeCell ref="B11:C11"/>
    <mergeCell ref="B61:D61"/>
    <mergeCell ref="E61:F61"/>
    <mergeCell ref="E62:F62"/>
    <mergeCell ref="B12:C12"/>
    <mergeCell ref="B13:C13"/>
    <mergeCell ref="B14:C14"/>
    <mergeCell ref="B15:C15"/>
    <mergeCell ref="B16:C16"/>
    <mergeCell ref="B17:C17"/>
    <mergeCell ref="B18:C18"/>
    <mergeCell ref="B19:C19"/>
    <mergeCell ref="B20:C20"/>
    <mergeCell ref="B21:C21"/>
    <mergeCell ref="B22:C22"/>
    <mergeCell ref="B23:C23"/>
    <mergeCell ref="B24:C24"/>
  </mergeCells>
  <conditionalFormatting sqref="E57">
    <cfRule type="cellIs" dxfId="3" priority="3" operator="lessThan">
      <formula>0</formula>
    </cfRule>
    <cfRule type="cellIs" dxfId="2" priority="4" operator="greaterThan">
      <formula>0</formula>
    </cfRule>
  </conditionalFormatting>
  <conditionalFormatting sqref="G44">
    <cfRule type="containsText" dxfId="0" priority="1" operator="containsText" text="new">
      <formula>NOT(ISERROR(SEARCH("new",G44)))</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28DE3CF5-AE1A-4725-A56E-A86283D55051}">
            <xm:f>'Company &amp; Report Data'!$D$7="No"</xm:f>
            <x14:dxf>
              <fill>
                <patternFill>
                  <bgColor theme="1"/>
                </patternFill>
              </fill>
            </x14:dxf>
          </x14:cfRule>
          <xm:sqref>F44:F46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15433-8948-48EA-8830-6299A00E969E}">
  <sheetPr codeName="Sheet3">
    <tabColor theme="9" tint="0.79998168889431442"/>
  </sheetPr>
  <dimension ref="A1:F55"/>
  <sheetViews>
    <sheetView workbookViewId="0">
      <selection activeCell="E13" sqref="E13"/>
    </sheetView>
  </sheetViews>
  <sheetFormatPr defaultColWidth="9.26953125" defaultRowHeight="13" x14ac:dyDescent="0.3"/>
  <cols>
    <col min="1" max="1" width="4.453125" style="1" customWidth="1"/>
    <col min="2" max="2" width="17.54296875" style="1" customWidth="1"/>
    <col min="3" max="3" width="18.54296875" style="1" customWidth="1"/>
    <col min="4" max="4" width="4.453125" style="1" customWidth="1"/>
    <col min="5" max="5" width="17" style="1" bestFit="1" customWidth="1"/>
    <col min="6" max="6" width="10.453125" style="1" bestFit="1" customWidth="1"/>
    <col min="7" max="16384" width="9.26953125" style="1"/>
  </cols>
  <sheetData>
    <row r="1" spans="2:6" ht="13.5" thickBot="1" x14ac:dyDescent="0.35">
      <c r="E1" s="315"/>
      <c r="F1" s="315"/>
    </row>
    <row r="2" spans="2:6" s="3" customFormat="1" ht="14.5" x14ac:dyDescent="0.35">
      <c r="B2" s="109" t="s">
        <v>97</v>
      </c>
      <c r="C2" s="110" t="s">
        <v>98</v>
      </c>
      <c r="D2" s="111"/>
      <c r="E2" s="109" t="s">
        <v>23</v>
      </c>
      <c r="F2" s="39"/>
    </row>
    <row r="3" spans="2:6" s="2" customFormat="1" ht="13.15" customHeight="1" x14ac:dyDescent="0.35">
      <c r="B3" s="11" t="s">
        <v>99</v>
      </c>
      <c r="C3" s="12">
        <v>3500</v>
      </c>
      <c r="D3" s="112"/>
      <c r="E3" s="113">
        <v>2027</v>
      </c>
    </row>
    <row r="4" spans="2:6" s="2" customFormat="1" ht="13.15" customHeight="1" x14ac:dyDescent="0.35">
      <c r="B4" s="13" t="s">
        <v>100</v>
      </c>
      <c r="C4" s="14">
        <v>1430</v>
      </c>
      <c r="D4" s="112"/>
      <c r="E4" s="114">
        <v>2028</v>
      </c>
    </row>
    <row r="5" spans="2:6" s="2" customFormat="1" ht="13.15" customHeight="1" x14ac:dyDescent="0.35">
      <c r="B5" s="13" t="s">
        <v>101</v>
      </c>
      <c r="C5" s="14">
        <v>124</v>
      </c>
      <c r="D5" s="112"/>
      <c r="E5" s="114">
        <v>2029</v>
      </c>
    </row>
    <row r="6" spans="2:6" s="2" customFormat="1" ht="13.15" customHeight="1" thickBot="1" x14ac:dyDescent="0.4">
      <c r="B6" s="13" t="s">
        <v>102</v>
      </c>
      <c r="C6" s="14">
        <v>3220</v>
      </c>
      <c r="D6" s="112"/>
      <c r="E6" s="115">
        <v>2030</v>
      </c>
    </row>
    <row r="7" spans="2:6" s="2" customFormat="1" ht="13.15" customHeight="1" x14ac:dyDescent="0.35">
      <c r="B7" s="13" t="s">
        <v>103</v>
      </c>
      <c r="C7" s="14">
        <v>14800</v>
      </c>
      <c r="D7" s="112"/>
      <c r="E7" s="112"/>
    </row>
    <row r="8" spans="2:6" s="2" customFormat="1" ht="14.5" x14ac:dyDescent="0.35">
      <c r="B8" s="13" t="s">
        <v>104</v>
      </c>
      <c r="C8" s="14">
        <v>9810</v>
      </c>
      <c r="D8" s="112"/>
      <c r="E8" s="112"/>
    </row>
    <row r="9" spans="2:6" s="2" customFormat="1" ht="13.15" customHeight="1" x14ac:dyDescent="0.35">
      <c r="B9" s="13" t="s">
        <v>105</v>
      </c>
      <c r="C9" s="14">
        <v>675</v>
      </c>
      <c r="D9" s="112"/>
      <c r="E9" s="112"/>
    </row>
    <row r="10" spans="2:6" s="2" customFormat="1" ht="13.15" customHeight="1" thickBot="1" x14ac:dyDescent="0.4">
      <c r="B10" s="15" t="s">
        <v>106</v>
      </c>
      <c r="C10" s="16">
        <v>92</v>
      </c>
      <c r="D10" s="112"/>
      <c r="E10" s="112"/>
    </row>
    <row r="11" spans="2:6" s="2" customFormat="1" ht="13.15" customHeight="1" x14ac:dyDescent="0.3">
      <c r="B11" s="1"/>
      <c r="C11" s="1"/>
    </row>
    <row r="12" spans="2:6" s="2" customFormat="1" ht="13.15" customHeight="1" x14ac:dyDescent="0.3">
      <c r="B12" s="1"/>
      <c r="C12" s="1"/>
    </row>
    <row r="13" spans="2:6" s="2" customFormat="1" ht="13.15" customHeight="1" x14ac:dyDescent="0.3">
      <c r="B13" s="1"/>
      <c r="C13" s="1"/>
    </row>
    <row r="14" spans="2:6" s="2" customFormat="1" ht="13.15" customHeight="1" x14ac:dyDescent="0.3">
      <c r="B14" s="1"/>
      <c r="C14" s="1"/>
    </row>
    <row r="15" spans="2:6" s="2" customFormat="1" ht="13.15" customHeight="1" x14ac:dyDescent="0.3">
      <c r="B15" s="1"/>
      <c r="C15" s="1"/>
    </row>
    <row r="16" spans="2:6" s="2" customFormat="1" ht="13.15" customHeight="1" x14ac:dyDescent="0.3">
      <c r="B16" s="1"/>
      <c r="C16" s="1"/>
    </row>
    <row r="17" spans="1:4" s="2" customFormat="1" ht="13.15" customHeight="1" x14ac:dyDescent="0.3">
      <c r="B17" s="1"/>
      <c r="C17" s="1"/>
    </row>
    <row r="18" spans="1:4" s="2" customFormat="1" ht="13.15" customHeight="1" x14ac:dyDescent="0.3">
      <c r="A18" s="1"/>
      <c r="B18" s="1"/>
      <c r="C18" s="1"/>
      <c r="D18" s="1"/>
    </row>
    <row r="19" spans="1:4" s="2" customFormat="1" ht="13.15" customHeight="1" x14ac:dyDescent="0.3">
      <c r="A19" s="1"/>
      <c r="B19" s="1"/>
      <c r="C19" s="1"/>
      <c r="D19" s="1"/>
    </row>
    <row r="20" spans="1:4" ht="13.15" customHeight="1" x14ac:dyDescent="0.3"/>
    <row r="21" spans="1:4" ht="13.15" customHeight="1" x14ac:dyDescent="0.3"/>
    <row r="22" spans="1:4" ht="13.15" customHeight="1" x14ac:dyDescent="0.3"/>
    <row r="23" spans="1:4" ht="13.15" customHeight="1" x14ac:dyDescent="0.3"/>
    <row r="24" spans="1:4" ht="13.15" customHeight="1" x14ac:dyDescent="0.3"/>
    <row r="25" spans="1:4" ht="13.15" customHeight="1" x14ac:dyDescent="0.3"/>
    <row r="26" spans="1:4" ht="13.15" customHeight="1" x14ac:dyDescent="0.3"/>
    <row r="27" spans="1:4" ht="13.15" customHeight="1" x14ac:dyDescent="0.3"/>
    <row r="28" spans="1:4" ht="13.15" customHeight="1" x14ac:dyDescent="0.3"/>
    <row r="29" spans="1:4" ht="13.15" customHeight="1" x14ac:dyDescent="0.3"/>
    <row r="30" spans="1:4" ht="13.15" customHeight="1" x14ac:dyDescent="0.3"/>
    <row r="31" spans="1:4" ht="13.15" customHeight="1" x14ac:dyDescent="0.3"/>
    <row r="32" spans="1:4" ht="13.15" customHeight="1" x14ac:dyDescent="0.3"/>
    <row r="33" ht="13.15" customHeight="1" x14ac:dyDescent="0.3"/>
    <row r="34" ht="13.15" customHeight="1" x14ac:dyDescent="0.3"/>
    <row r="35" ht="13.15" customHeight="1" x14ac:dyDescent="0.3"/>
    <row r="36" ht="13.15" customHeight="1" x14ac:dyDescent="0.3"/>
    <row r="37" ht="13.15" customHeight="1" x14ac:dyDescent="0.3"/>
    <row r="38" ht="13.15" customHeight="1" x14ac:dyDescent="0.3"/>
    <row r="39" ht="13.15" customHeight="1" x14ac:dyDescent="0.3"/>
    <row r="40" ht="13.15" customHeight="1" x14ac:dyDescent="0.3"/>
    <row r="41" ht="13.15" customHeight="1" x14ac:dyDescent="0.3"/>
    <row r="42" ht="13.15" customHeight="1" x14ac:dyDescent="0.3"/>
    <row r="43" ht="13.15" customHeight="1" x14ac:dyDescent="0.3"/>
    <row r="44" ht="13.15" customHeight="1" x14ac:dyDescent="0.3"/>
    <row r="45" ht="13.15" customHeight="1" x14ac:dyDescent="0.3"/>
    <row r="46" ht="13.15" customHeight="1" x14ac:dyDescent="0.3"/>
    <row r="48" ht="13.15" customHeight="1" x14ac:dyDescent="0.3"/>
    <row r="49" ht="13.15" customHeight="1" x14ac:dyDescent="0.3"/>
    <row r="52" ht="13.15" customHeight="1" x14ac:dyDescent="0.3"/>
    <row r="53" ht="13.15" customHeight="1" x14ac:dyDescent="0.3"/>
    <row r="54" ht="14.65" customHeight="1" x14ac:dyDescent="0.3"/>
    <row r="55" ht="15" customHeight="1" x14ac:dyDescent="0.3"/>
  </sheetData>
  <mergeCells count="1">
    <mergeCell ref="E1:F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TaxCatchAll xmlns="4ffa91fb-a0ff-4ac5-b2db-65c790d184a4" xsi:nil="true"/>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2026-05-26T20:55:23+00:00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lcf76f155ced4ddcb4097134ff3c332f xmlns="0f2490e0-3350-4394-afae-b994523dc56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2635E44ABBB6B4BA9D60079C75CBFE1" ma:contentTypeVersion="18" ma:contentTypeDescription="Create a new document." ma:contentTypeScope="" ma:versionID="586956af195a8e2e9bde3d475c90fb7f">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0f2490e0-3350-4394-afae-b994523dc560" xmlns:ns6="3af91f5a-d674-4397-8f7d-e281f5709861" targetNamespace="http://schemas.microsoft.com/office/2006/metadata/properties" ma:root="true" ma:fieldsID="69a9966d39a5fc7fcabc02e7e8154842" ns1:_="" ns2:_="" ns3:_="" ns4:_="" ns5:_="" ns6:_="">
    <xsd:import namespace="http://schemas.microsoft.com/sharepoint/v3"/>
    <xsd:import namespace="4ffa91fb-a0ff-4ac5-b2db-65c790d184a4"/>
    <xsd:import namespace="http://schemas.microsoft.com/sharepoint.v3"/>
    <xsd:import namespace="http://schemas.microsoft.com/sharepoint/v3/fields"/>
    <xsd:import namespace="0f2490e0-3350-4394-afae-b994523dc560"/>
    <xsd:import namespace="3af91f5a-d674-4397-8f7d-e281f5709861"/>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DateTaken" minOccurs="0"/>
                <xsd:element ref="ns5:MediaServiceAutoTags" minOccurs="0"/>
                <xsd:element ref="ns5:MediaServiceOCR" minOccurs="0"/>
                <xsd:element ref="ns5:MediaServiceGenerationTime" minOccurs="0"/>
                <xsd:element ref="ns5:MediaServiceEventHashCode" minOccurs="0"/>
                <xsd:element ref="ns5:MediaLengthInSeconds" minOccurs="0"/>
                <xsd:element ref="ns1:_ip_UnifiedCompliancePolicyProperties" minOccurs="0"/>
                <xsd:element ref="ns1:_ip_UnifiedCompliancePolicyUIAction" minOccurs="0"/>
                <xsd:element ref="ns5:lcf76f155ced4ddcb4097134ff3c332f"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8" nillable="true" ma:displayName="Unified Compliance Policy Properties" ma:hidden="true" ma:internalName="_ip_UnifiedCompliancePolicyProperties">
      <xsd:simpleType>
        <xsd:restriction base="dms:Note"/>
      </xsd:simpleType>
    </xsd:element>
    <xsd:element name="_ip_UnifiedCompliancePolicyUIAction" ma:index="3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75e401ea-b8cc-4221-b7d6-85d1f1144699}" ma:internalName="TaxCatchAllLabel" ma:readOnly="true" ma:showField="CatchAllDataLabel" ma:web="3af91f5a-d674-4397-8f7d-e281f5709861">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75e401ea-b8cc-4221-b7d6-85d1f1144699}" ma:internalName="TaxCatchAll" ma:showField="CatchAllData" ma:web="3af91f5a-d674-4397-8f7d-e281f57098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2490e0-3350-4394-afae-b994523dc560"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element name="lcf76f155ced4ddcb4097134ff3c332f" ma:index="41"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2" nillable="true" ma:displayName="MediaServiceObjectDetectorVersions" ma:hidden="true" ma:indexed="true" ma:internalName="MediaServiceObjectDetectorVersions" ma:readOnly="true">
      <xsd:simpleType>
        <xsd:restriction base="dms:Text"/>
      </xsd:simpleType>
    </xsd:element>
    <xsd:element name="MediaServiceSearchProperties" ma:index="4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f91f5a-d674-4397-8f7d-e281f5709861"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123BAC-0268-4545-9B90-23D1B0577481}">
  <ds:schemaRefs>
    <ds:schemaRef ds:uri="Microsoft.SharePoint.Taxonomy.ContentTypeSync"/>
  </ds:schemaRefs>
</ds:datastoreItem>
</file>

<file path=customXml/itemProps2.xml><?xml version="1.0" encoding="utf-8"?>
<ds:datastoreItem xmlns:ds="http://schemas.openxmlformats.org/officeDocument/2006/customXml" ds:itemID="{3625FEC1-27B9-4C99-8D91-3C645FA055C7}">
  <ds:schemaRefs>
    <ds:schemaRef ds:uri="http://schemas.microsoft.com/office/2006/metadata/properties"/>
    <ds:schemaRef ds:uri="http://schemas.microsoft.com/office/infopath/2007/PartnerControls"/>
    <ds:schemaRef ds:uri="4ffa91fb-a0ff-4ac5-b2db-65c790d184a4"/>
    <ds:schemaRef ds:uri="http://schemas.microsoft.com/sharepoint/v3/fields"/>
    <ds:schemaRef ds:uri="http://schemas.microsoft.com/sharepoint/v3"/>
    <ds:schemaRef ds:uri="http://schemas.microsoft.com/sharepoint.v3"/>
    <ds:schemaRef ds:uri="0f2490e0-3350-4394-afae-b994523dc560"/>
  </ds:schemaRefs>
</ds:datastoreItem>
</file>

<file path=customXml/itemProps3.xml><?xml version="1.0" encoding="utf-8"?>
<ds:datastoreItem xmlns:ds="http://schemas.openxmlformats.org/officeDocument/2006/customXml" ds:itemID="{94FD55F1-05B0-4C07-BF4B-2554ADDC54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0f2490e0-3350-4394-afae-b994523dc560"/>
    <ds:schemaRef ds:uri="3af91f5a-d674-4397-8f7d-e281f57098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9A7C44A-1465-4F27-ACBA-227345FDD546}">
  <ds:schemaRefs>
    <ds:schemaRef ds:uri="http://schemas.microsoft.com/sharepoint/v3/contenttype/forms"/>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Company &amp; Report Data</vt:lpstr>
      <vt:lpstr>UC &amp; Total Est Purchases</vt:lpstr>
      <vt:lpstr>Results</vt:lpstr>
      <vt:lpstr>backend calcs</vt:lpstr>
      <vt:lpstr>Lists</vt:lpstr>
    </vt:vector>
  </TitlesOfParts>
  <Manager/>
  <Company>ICF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Krauss, Hannah</dc:creator>
  <cp:keywords/>
  <dc:description/>
  <cp:lastModifiedBy>Muller, Layne</cp:lastModifiedBy>
  <cp:revision/>
  <dcterms:created xsi:type="dcterms:W3CDTF">2023-03-16T19:38:33Z</dcterms:created>
  <dcterms:modified xsi:type="dcterms:W3CDTF">2026-07-22T14:00:37Z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0x01010072635E44ABBB6B4BA9D60079C75CBFE1</vt:lpwstr>
  </property>
  <property fmtid="{D5CDD505-2E9C-101B-9397-08002B2CF9AE}" pid="3" name="MediaServiceImageTags">
    <vt:lpwstr/>
  </property>
  <property fmtid="{D5CDD505-2E9C-101B-9397-08002B2CF9AE}" pid="4" name="TaxKeyword">
    <vt:lpwstr/>
  </property>
  <property fmtid="{D5CDD505-2E9C-101B-9397-08002B2CF9AE}" pid="5" name="Document Type">
    <vt:lpwstr/>
  </property>
  <property fmtid="{D5CDD505-2E9C-101B-9397-08002B2CF9AE}" pid="6" name="e3f09c3df709400db2417a7161762d62">
    <vt:lpwstr/>
  </property>
  <property fmtid="{D5CDD505-2E9C-101B-9397-08002B2CF9AE}" pid="7" name="EPA_x0020_Subject">
    <vt:lpwstr/>
  </property>
  <property fmtid="{D5CDD505-2E9C-101B-9397-08002B2CF9AE}" pid="8" name="EPA Subject">
    <vt:lpwstr/>
  </property>
  <property fmtid="{D5CDD505-2E9C-101B-9397-08002B2CF9AE}" pid="9" name="Document_x0020_Type">
    <vt:lpwstr/>
  </property>
</Properties>
</file>