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epa-my.sharepoint.com/personal/young_nichole_epa_gov/Documents/Documents/NM0031236/"/>
    </mc:Choice>
  </mc:AlternateContent>
  <xr:revisionPtr revIDLastSave="0" documentId="8_{36136AA4-4DDF-4F97-94F9-236FB98AC125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heet1" sheetId="2" r:id="rId1"/>
    <sheet name="A" sheetId="1" r:id="rId2"/>
    <sheet name="ESRI_MAPINFO_SHEET" sheetId="3" state="veryHidden" r:id="rId3"/>
  </sheets>
  <definedNames>
    <definedName name="_xlnm.Print_Area" localSheetId="1">A!$A$1:$R$417</definedName>
    <definedName name="_xlnm.Print_Area">A!$A$331:$N$423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4" i="1" l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2" i="1"/>
  <c r="G231" i="1"/>
  <c r="G230" i="1"/>
  <c r="J397" i="1" s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3" i="1"/>
  <c r="G192" i="1"/>
  <c r="G191" i="1"/>
  <c r="G190" i="1"/>
  <c r="G185" i="1"/>
  <c r="G184" i="1"/>
  <c r="G183" i="1"/>
  <c r="G182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5" i="1"/>
  <c r="G154" i="1"/>
  <c r="G152" i="1"/>
  <c r="G150" i="1"/>
  <c r="G149" i="1"/>
  <c r="G148" i="1"/>
  <c r="G146" i="1"/>
  <c r="G145" i="1"/>
  <c r="G144" i="1"/>
  <c r="G143" i="1"/>
  <c r="G137" i="1"/>
  <c r="G134" i="1"/>
  <c r="G133" i="1"/>
  <c r="G132" i="1"/>
  <c r="G131" i="1"/>
  <c r="G130" i="1"/>
  <c r="G128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397" i="1"/>
  <c r="F397" i="1"/>
  <c r="R230" i="1"/>
  <c r="I5" i="1"/>
  <c r="G5" i="1"/>
  <c r="I45" i="1"/>
  <c r="I22" i="1"/>
  <c r="I230" i="1" s="1"/>
  <c r="J230" i="1" l="1"/>
  <c r="I397" i="1" s="1"/>
  <c r="K397" i="1"/>
  <c r="K230" i="1"/>
  <c r="L397" i="1" s="1"/>
  <c r="L86" i="1"/>
  <c r="P113" i="1" s="1"/>
  <c r="L85" i="1"/>
  <c r="O113" i="1" s="1"/>
  <c r="L104" i="1"/>
  <c r="L103" i="1"/>
  <c r="L88" i="1"/>
  <c r="L87" i="1"/>
  <c r="R319" i="1"/>
  <c r="M397" i="1" l="1"/>
  <c r="N397" i="1" s="1"/>
  <c r="P397" i="1" s="1"/>
  <c r="R397" i="1" s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399" i="1"/>
  <c r="J398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7" i="1"/>
  <c r="J356" i="1"/>
  <c r="J355" i="1"/>
  <c r="J354" i="1"/>
  <c r="J353" i="1"/>
  <c r="J352" i="1"/>
  <c r="J351" i="1"/>
  <c r="J350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6" i="1"/>
  <c r="J325" i="1"/>
  <c r="J324" i="1"/>
  <c r="J323" i="1"/>
  <c r="J322" i="1"/>
  <c r="J320" i="1"/>
  <c r="J318" i="1"/>
  <c r="J316" i="1"/>
  <c r="J314" i="1"/>
  <c r="J313" i="1"/>
  <c r="J312" i="1"/>
  <c r="J310" i="1"/>
  <c r="J309" i="1"/>
  <c r="J303" i="1"/>
  <c r="J302" i="1"/>
  <c r="J297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R232" i="1"/>
  <c r="Q231" i="1"/>
  <c r="R231" i="1" s="1"/>
  <c r="Q229" i="1"/>
  <c r="R229" i="1" s="1"/>
  <c r="Q228" i="1"/>
  <c r="L228" i="1"/>
  <c r="R228" i="1" s="1"/>
  <c r="Q227" i="1"/>
  <c r="L227" i="1"/>
  <c r="R227" i="1" s="1"/>
  <c r="Q226" i="1"/>
  <c r="R226" i="1" s="1"/>
  <c r="Q225" i="1"/>
  <c r="R225" i="1" s="1"/>
  <c r="Q224" i="1"/>
  <c r="R224" i="1" s="1"/>
  <c r="Q223" i="1"/>
  <c r="R223" i="1" s="1"/>
  <c r="R222" i="1"/>
  <c r="Q221" i="1"/>
  <c r="R221" i="1" s="1"/>
  <c r="Q220" i="1"/>
  <c r="R220" i="1" s="1"/>
  <c r="Q219" i="1"/>
  <c r="R219" i="1" s="1"/>
  <c r="Q218" i="1"/>
  <c r="R218" i="1" s="1"/>
  <c r="Q217" i="1"/>
  <c r="R217" i="1" s="1"/>
  <c r="Q216" i="1"/>
  <c r="L216" i="1"/>
  <c r="Q215" i="1"/>
  <c r="R215" i="1" s="1"/>
  <c r="R214" i="1"/>
  <c r="Q214" i="1"/>
  <c r="Q213" i="1"/>
  <c r="R213" i="1" s="1"/>
  <c r="R212" i="1"/>
  <c r="R211" i="1"/>
  <c r="Q210" i="1"/>
  <c r="R210" i="1" s="1"/>
  <c r="R209" i="1"/>
  <c r="Q208" i="1"/>
  <c r="R208" i="1" s="1"/>
  <c r="Q207" i="1"/>
  <c r="R207" i="1" s="1"/>
  <c r="Q206" i="1"/>
  <c r="R206" i="1" s="1"/>
  <c r="Q205" i="1"/>
  <c r="R205" i="1" s="1"/>
  <c r="Q204" i="1"/>
  <c r="R204" i="1" s="1"/>
  <c r="Q203" i="1"/>
  <c r="L203" i="1"/>
  <c r="Q202" i="1"/>
  <c r="L202" i="1"/>
  <c r="R202" i="1" s="1"/>
  <c r="Q201" i="1"/>
  <c r="R201" i="1" s="1"/>
  <c r="Q200" i="1"/>
  <c r="R200" i="1" s="1"/>
  <c r="Q199" i="1"/>
  <c r="R199" i="1" s="1"/>
  <c r="Q198" i="1"/>
  <c r="R198" i="1" s="1"/>
  <c r="Q197" i="1"/>
  <c r="R197" i="1" s="1"/>
  <c r="Q196" i="1"/>
  <c r="R196" i="1" s="1"/>
  <c r="R195" i="1"/>
  <c r="Q195" i="1"/>
  <c r="Q193" i="1"/>
  <c r="R193" i="1" s="1"/>
  <c r="R192" i="1"/>
  <c r="Q191" i="1"/>
  <c r="R191" i="1" s="1"/>
  <c r="Q190" i="1"/>
  <c r="R190" i="1" s="1"/>
  <c r="O397" i="1" l="1"/>
  <c r="Q397" i="1" s="1"/>
  <c r="R216" i="1"/>
  <c r="R203" i="1"/>
  <c r="R249" i="1"/>
  <c r="R245" i="1"/>
  <c r="R241" i="1"/>
  <c r="R180" i="1"/>
  <c r="R177" i="1"/>
  <c r="R176" i="1"/>
  <c r="R175" i="1"/>
  <c r="R170" i="1"/>
  <c r="R169" i="1"/>
  <c r="R167" i="1"/>
  <c r="R162" i="1"/>
  <c r="R157" i="1"/>
  <c r="R154" i="1"/>
  <c r="R152" i="1"/>
  <c r="R150" i="1"/>
  <c r="R146" i="1"/>
  <c r="R145" i="1"/>
  <c r="R134" i="1"/>
  <c r="R133" i="1"/>
  <c r="R125" i="1"/>
  <c r="R124" i="1"/>
  <c r="R122" i="1"/>
  <c r="R121" i="1"/>
  <c r="R120" i="1"/>
  <c r="R119" i="1"/>
  <c r="R118" i="1"/>
  <c r="R117" i="1"/>
  <c r="R116" i="1"/>
  <c r="R115" i="1"/>
  <c r="R114" i="1"/>
  <c r="R113" i="1"/>
  <c r="L102" i="1" l="1"/>
  <c r="O151" i="1" s="1"/>
  <c r="L101" i="1"/>
  <c r="P147" i="1" s="1"/>
  <c r="L100" i="1"/>
  <c r="O147" i="1" s="1"/>
  <c r="L96" i="1"/>
  <c r="L95" i="1"/>
  <c r="P135" i="1" s="1"/>
  <c r="L94" i="1"/>
  <c r="O135" i="1" s="1"/>
  <c r="L93" i="1"/>
  <c r="P132" i="1" s="1"/>
  <c r="L92" i="1"/>
  <c r="F303" i="1"/>
  <c r="F408" i="1"/>
  <c r="F345" i="1"/>
  <c r="F318" i="1"/>
  <c r="F309" i="1"/>
  <c r="F310" i="1"/>
  <c r="F306" i="1"/>
  <c r="F301" i="1"/>
  <c r="F302" i="1"/>
  <c r="L98" i="1"/>
  <c r="O137" i="1" s="1"/>
  <c r="L99" i="1"/>
  <c r="P137" i="1" s="1"/>
  <c r="L128" i="1"/>
  <c r="L129" i="1"/>
  <c r="F79" i="1"/>
  <c r="G79" i="1" s="1"/>
  <c r="I79" i="1" s="1"/>
  <c r="F151" i="1" s="1"/>
  <c r="G151" i="1" s="1"/>
  <c r="N79" i="1"/>
  <c r="O79" i="1" s="1"/>
  <c r="P79" i="1" s="1"/>
  <c r="F417" i="1"/>
  <c r="Q254" i="1"/>
  <c r="R254" i="1" s="1"/>
  <c r="I253" i="1"/>
  <c r="F416" i="1"/>
  <c r="Q253" i="1"/>
  <c r="R253" i="1" s="1"/>
  <c r="F415" i="1"/>
  <c r="Q252" i="1"/>
  <c r="R252" i="1" s="1"/>
  <c r="F414" i="1"/>
  <c r="Q251" i="1"/>
  <c r="R251" i="1" s="1"/>
  <c r="I250" i="1"/>
  <c r="F413" i="1"/>
  <c r="K250" i="1"/>
  <c r="Q250" i="1"/>
  <c r="R250" i="1" s="1"/>
  <c r="I249" i="1"/>
  <c r="F412" i="1"/>
  <c r="K249" i="1"/>
  <c r="I248" i="1"/>
  <c r="L248" i="1"/>
  <c r="F411" i="1"/>
  <c r="J248" i="1"/>
  <c r="I411" i="1" s="1"/>
  <c r="K248" i="1"/>
  <c r="L411" i="1" s="1"/>
  <c r="Q248" i="1"/>
  <c r="I247" i="1"/>
  <c r="L247" i="1"/>
  <c r="F410" i="1"/>
  <c r="J247" i="1"/>
  <c r="I410" i="1" s="1"/>
  <c r="K247" i="1"/>
  <c r="Q247" i="1"/>
  <c r="L246" i="1"/>
  <c r="F409" i="1"/>
  <c r="J246" i="1"/>
  <c r="G409" i="1" s="1"/>
  <c r="K246" i="1"/>
  <c r="Q246" i="1"/>
  <c r="I244" i="1"/>
  <c r="F407" i="1"/>
  <c r="J244" i="1"/>
  <c r="I407" i="1" s="1"/>
  <c r="K244" i="1"/>
  <c r="L407" i="1" s="1"/>
  <c r="Q244" i="1"/>
  <c r="R244" i="1" s="1"/>
  <c r="I243" i="1"/>
  <c r="F406" i="1"/>
  <c r="J243" i="1"/>
  <c r="G406" i="1" s="1"/>
  <c r="K243" i="1"/>
  <c r="Q243" i="1"/>
  <c r="R243" i="1" s="1"/>
  <c r="I242" i="1"/>
  <c r="F405" i="1"/>
  <c r="J242" i="1"/>
  <c r="I405" i="1" s="1"/>
  <c r="K242" i="1"/>
  <c r="Q242" i="1"/>
  <c r="R242" i="1" s="1"/>
  <c r="I241" i="1"/>
  <c r="F404" i="1"/>
  <c r="J241" i="1"/>
  <c r="I404" i="1" s="1"/>
  <c r="K241" i="1"/>
  <c r="L404" i="1" s="1"/>
  <c r="I240" i="1"/>
  <c r="F403" i="1"/>
  <c r="J240" i="1"/>
  <c r="I403" i="1" s="1"/>
  <c r="K240" i="1"/>
  <c r="Q240" i="1"/>
  <c r="R240" i="1" s="1"/>
  <c r="I239" i="1"/>
  <c r="F402" i="1"/>
  <c r="J239" i="1"/>
  <c r="I402" i="1" s="1"/>
  <c r="K239" i="1"/>
  <c r="L402" i="1" s="1"/>
  <c r="Q239" i="1"/>
  <c r="R239" i="1" s="1"/>
  <c r="I238" i="1"/>
  <c r="F401" i="1"/>
  <c r="J238" i="1"/>
  <c r="I401" i="1" s="1"/>
  <c r="K238" i="1"/>
  <c r="Q238" i="1"/>
  <c r="R238" i="1" s="1"/>
  <c r="I232" i="1"/>
  <c r="F399" i="1"/>
  <c r="J232" i="1"/>
  <c r="I399" i="1" s="1"/>
  <c r="I231" i="1"/>
  <c r="F398" i="1"/>
  <c r="J231" i="1"/>
  <c r="I398" i="1" s="1"/>
  <c r="I229" i="1"/>
  <c r="F396" i="1"/>
  <c r="J229" i="1"/>
  <c r="G396" i="1" s="1"/>
  <c r="I228" i="1"/>
  <c r="F395" i="1"/>
  <c r="J228" i="1"/>
  <c r="I395" i="1" s="1"/>
  <c r="I227" i="1"/>
  <c r="F394" i="1"/>
  <c r="J227" i="1"/>
  <c r="I394" i="1" s="1"/>
  <c r="I226" i="1"/>
  <c r="F393" i="1"/>
  <c r="J226" i="1"/>
  <c r="I393" i="1" s="1"/>
  <c r="I225" i="1"/>
  <c r="F392" i="1"/>
  <c r="J225" i="1"/>
  <c r="I392" i="1" s="1"/>
  <c r="I224" i="1"/>
  <c r="F391" i="1"/>
  <c r="J224" i="1"/>
  <c r="G391" i="1" s="1"/>
  <c r="I223" i="1"/>
  <c r="F390" i="1"/>
  <c r="J223" i="1"/>
  <c r="G390" i="1" s="1"/>
  <c r="I222" i="1"/>
  <c r="F389" i="1"/>
  <c r="J222" i="1"/>
  <c r="K389" i="1" s="1"/>
  <c r="I221" i="1"/>
  <c r="F388" i="1"/>
  <c r="J221" i="1"/>
  <c r="I388" i="1" s="1"/>
  <c r="I220" i="1"/>
  <c r="F387" i="1"/>
  <c r="J220" i="1"/>
  <c r="I387" i="1" s="1"/>
  <c r="I219" i="1"/>
  <c r="F386" i="1"/>
  <c r="J219" i="1"/>
  <c r="I386" i="1" s="1"/>
  <c r="I218" i="1"/>
  <c r="F385" i="1"/>
  <c r="J218" i="1"/>
  <c r="I385" i="1" s="1"/>
  <c r="I217" i="1"/>
  <c r="F384" i="1"/>
  <c r="J217" i="1"/>
  <c r="I384" i="1" s="1"/>
  <c r="I216" i="1"/>
  <c r="F383" i="1"/>
  <c r="J216" i="1"/>
  <c r="K383" i="1" s="1"/>
  <c r="I215" i="1"/>
  <c r="F382" i="1"/>
  <c r="J215" i="1"/>
  <c r="G382" i="1" s="1"/>
  <c r="I214" i="1"/>
  <c r="F381" i="1"/>
  <c r="J214" i="1"/>
  <c r="K381" i="1" s="1"/>
  <c r="I213" i="1"/>
  <c r="F380" i="1"/>
  <c r="J213" i="1"/>
  <c r="I380" i="1" s="1"/>
  <c r="I212" i="1"/>
  <c r="F379" i="1"/>
  <c r="J212" i="1"/>
  <c r="G379" i="1" s="1"/>
  <c r="I211" i="1"/>
  <c r="F378" i="1"/>
  <c r="J211" i="1"/>
  <c r="I378" i="1" s="1"/>
  <c r="I210" i="1"/>
  <c r="F377" i="1"/>
  <c r="J210" i="1"/>
  <c r="I377" i="1" s="1"/>
  <c r="I209" i="1"/>
  <c r="F373" i="1"/>
  <c r="J209" i="1"/>
  <c r="I373" i="1" s="1"/>
  <c r="I208" i="1"/>
  <c r="F372" i="1"/>
  <c r="J208" i="1"/>
  <c r="I372" i="1" s="1"/>
  <c r="I207" i="1"/>
  <c r="F371" i="1"/>
  <c r="J207" i="1"/>
  <c r="I371" i="1" s="1"/>
  <c r="I206" i="1"/>
  <c r="F370" i="1"/>
  <c r="J206" i="1"/>
  <c r="I370" i="1" s="1"/>
  <c r="I205" i="1"/>
  <c r="F369" i="1"/>
  <c r="J205" i="1"/>
  <c r="G369" i="1" s="1"/>
  <c r="I204" i="1"/>
  <c r="F368" i="1"/>
  <c r="J204" i="1"/>
  <c r="I368" i="1" s="1"/>
  <c r="I203" i="1"/>
  <c r="F367" i="1"/>
  <c r="J203" i="1"/>
  <c r="I367" i="1" s="1"/>
  <c r="I202" i="1"/>
  <c r="F366" i="1"/>
  <c r="J202" i="1"/>
  <c r="I366" i="1" s="1"/>
  <c r="I201" i="1"/>
  <c r="F365" i="1"/>
  <c r="J201" i="1"/>
  <c r="G365" i="1" s="1"/>
  <c r="I200" i="1"/>
  <c r="F364" i="1"/>
  <c r="J200" i="1"/>
  <c r="I364" i="1" s="1"/>
  <c r="I199" i="1"/>
  <c r="F363" i="1"/>
  <c r="J199" i="1"/>
  <c r="G363" i="1" s="1"/>
  <c r="I198" i="1"/>
  <c r="F362" i="1"/>
  <c r="J198" i="1"/>
  <c r="I362" i="1" s="1"/>
  <c r="I197" i="1"/>
  <c r="F361" i="1"/>
  <c r="J197" i="1"/>
  <c r="I361" i="1" s="1"/>
  <c r="I196" i="1"/>
  <c r="F360" i="1"/>
  <c r="J196" i="1"/>
  <c r="I360" i="1" s="1"/>
  <c r="I195" i="1"/>
  <c r="F359" i="1"/>
  <c r="J195" i="1"/>
  <c r="I359" i="1" s="1"/>
  <c r="I193" i="1"/>
  <c r="F357" i="1"/>
  <c r="J193" i="1"/>
  <c r="I357" i="1" s="1"/>
  <c r="I192" i="1"/>
  <c r="F356" i="1"/>
  <c r="J192" i="1"/>
  <c r="I356" i="1" s="1"/>
  <c r="I191" i="1"/>
  <c r="F355" i="1"/>
  <c r="J191" i="1"/>
  <c r="I355" i="1" s="1"/>
  <c r="I190" i="1"/>
  <c r="F354" i="1"/>
  <c r="J190" i="1"/>
  <c r="G354" i="1" s="1"/>
  <c r="I185" i="1"/>
  <c r="F353" i="1"/>
  <c r="J185" i="1"/>
  <c r="I353" i="1" s="1"/>
  <c r="K185" i="1"/>
  <c r="Q185" i="1"/>
  <c r="R185" i="1" s="1"/>
  <c r="I184" i="1"/>
  <c r="F352" i="1"/>
  <c r="J184" i="1"/>
  <c r="G352" i="1" s="1"/>
  <c r="K184" i="1"/>
  <c r="Q184" i="1"/>
  <c r="R184" i="1" s="1"/>
  <c r="I183" i="1"/>
  <c r="F351" i="1"/>
  <c r="J183" i="1"/>
  <c r="I351" i="1" s="1"/>
  <c r="K183" i="1"/>
  <c r="Q183" i="1"/>
  <c r="R183" i="1" s="1"/>
  <c r="I182" i="1"/>
  <c r="F350" i="1"/>
  <c r="J182" i="1"/>
  <c r="G350" i="1" s="1"/>
  <c r="K182" i="1"/>
  <c r="Q182" i="1"/>
  <c r="R182" i="1" s="1"/>
  <c r="I180" i="1"/>
  <c r="F348" i="1"/>
  <c r="J180" i="1"/>
  <c r="I348" i="1" s="1"/>
  <c r="K180" i="1"/>
  <c r="L348" i="1" s="1"/>
  <c r="I179" i="1"/>
  <c r="F347" i="1"/>
  <c r="J179" i="1"/>
  <c r="G347" i="1" s="1"/>
  <c r="K179" i="1"/>
  <c r="Q179" i="1"/>
  <c r="R179" i="1" s="1"/>
  <c r="I178" i="1"/>
  <c r="F346" i="1"/>
  <c r="J178" i="1"/>
  <c r="I346" i="1" s="1"/>
  <c r="K178" i="1"/>
  <c r="L346" i="1" s="1"/>
  <c r="Q178" i="1"/>
  <c r="R178" i="1" s="1"/>
  <c r="I176" i="1"/>
  <c r="F344" i="1"/>
  <c r="J176" i="1"/>
  <c r="G344" i="1" s="1"/>
  <c r="K176" i="1"/>
  <c r="L344" i="1" s="1"/>
  <c r="I175" i="1"/>
  <c r="F343" i="1"/>
  <c r="J175" i="1"/>
  <c r="I343" i="1" s="1"/>
  <c r="K175" i="1"/>
  <c r="L343" i="1" s="1"/>
  <c r="I174" i="1"/>
  <c r="F342" i="1"/>
  <c r="J174" i="1"/>
  <c r="I342" i="1" s="1"/>
  <c r="K174" i="1"/>
  <c r="Q174" i="1"/>
  <c r="R174" i="1" s="1"/>
  <c r="I173" i="1"/>
  <c r="F341" i="1"/>
  <c r="J173" i="1"/>
  <c r="G341" i="1" s="1"/>
  <c r="K173" i="1"/>
  <c r="L341" i="1" s="1"/>
  <c r="Q173" i="1"/>
  <c r="R173" i="1" s="1"/>
  <c r="I172" i="1"/>
  <c r="F340" i="1"/>
  <c r="J172" i="1"/>
  <c r="K340" i="1" s="1"/>
  <c r="K172" i="1"/>
  <c r="Q172" i="1"/>
  <c r="R172" i="1" s="1"/>
  <c r="I171" i="1"/>
  <c r="F339" i="1"/>
  <c r="J171" i="1"/>
  <c r="K339" i="1" s="1"/>
  <c r="K171" i="1"/>
  <c r="Q171" i="1"/>
  <c r="R171" i="1" s="1"/>
  <c r="I170" i="1"/>
  <c r="F338" i="1"/>
  <c r="J170" i="1"/>
  <c r="I338" i="1" s="1"/>
  <c r="K170" i="1"/>
  <c r="L338" i="1" s="1"/>
  <c r="I169" i="1"/>
  <c r="F337" i="1"/>
  <c r="J169" i="1"/>
  <c r="I337" i="1" s="1"/>
  <c r="K169" i="1"/>
  <c r="L337" i="1" s="1"/>
  <c r="I168" i="1"/>
  <c r="L168" i="1"/>
  <c r="F336" i="1"/>
  <c r="J168" i="1"/>
  <c r="G336" i="1" s="1"/>
  <c r="K168" i="1"/>
  <c r="L336" i="1" s="1"/>
  <c r="Q168" i="1"/>
  <c r="I167" i="1"/>
  <c r="F335" i="1"/>
  <c r="J167" i="1"/>
  <c r="I335" i="1" s="1"/>
  <c r="K167" i="1"/>
  <c r="L335" i="1" s="1"/>
  <c r="I166" i="1"/>
  <c r="F334" i="1"/>
  <c r="J166" i="1"/>
  <c r="G334" i="1" s="1"/>
  <c r="K166" i="1"/>
  <c r="Q166" i="1"/>
  <c r="R166" i="1" s="1"/>
  <c r="I165" i="1"/>
  <c r="F333" i="1"/>
  <c r="J165" i="1"/>
  <c r="I333" i="1" s="1"/>
  <c r="K165" i="1"/>
  <c r="Q165" i="1"/>
  <c r="R165" i="1" s="1"/>
  <c r="I164" i="1"/>
  <c r="L164" i="1"/>
  <c r="F332" i="1"/>
  <c r="J164" i="1"/>
  <c r="G332" i="1" s="1"/>
  <c r="K164" i="1"/>
  <c r="Q164" i="1"/>
  <c r="I163" i="1"/>
  <c r="F331" i="1"/>
  <c r="J163" i="1"/>
  <c r="I331" i="1" s="1"/>
  <c r="K163" i="1"/>
  <c r="Q163" i="1"/>
  <c r="R163" i="1" s="1"/>
  <c r="I162" i="1"/>
  <c r="F330" i="1"/>
  <c r="J162" i="1"/>
  <c r="G330" i="1" s="1"/>
  <c r="K162" i="1"/>
  <c r="L330" i="1" s="1"/>
  <c r="I161" i="1"/>
  <c r="F326" i="1"/>
  <c r="J161" i="1"/>
  <c r="I326" i="1" s="1"/>
  <c r="K161" i="1"/>
  <c r="Q161" i="1"/>
  <c r="R161" i="1" s="1"/>
  <c r="I160" i="1"/>
  <c r="F325" i="1"/>
  <c r="J160" i="1"/>
  <c r="G325" i="1" s="1"/>
  <c r="K160" i="1"/>
  <c r="Q160" i="1"/>
  <c r="R160" i="1" s="1"/>
  <c r="I159" i="1"/>
  <c r="F324" i="1"/>
  <c r="J159" i="1"/>
  <c r="I324" i="1" s="1"/>
  <c r="K159" i="1"/>
  <c r="L324" i="1" s="1"/>
  <c r="Q159" i="1"/>
  <c r="R159" i="1" s="1"/>
  <c r="I158" i="1"/>
  <c r="F323" i="1"/>
  <c r="J158" i="1"/>
  <c r="G323" i="1" s="1"/>
  <c r="K158" i="1"/>
  <c r="Q158" i="1"/>
  <c r="R158" i="1" s="1"/>
  <c r="I157" i="1"/>
  <c r="F322" i="1"/>
  <c r="J157" i="1"/>
  <c r="I322" i="1" s="1"/>
  <c r="K157" i="1"/>
  <c r="L322" i="1" s="1"/>
  <c r="I155" i="1"/>
  <c r="F320" i="1"/>
  <c r="J155" i="1"/>
  <c r="G320" i="1" s="1"/>
  <c r="K155" i="1"/>
  <c r="Q155" i="1"/>
  <c r="R155" i="1" s="1"/>
  <c r="D80" i="1"/>
  <c r="F80" i="1" s="1"/>
  <c r="G80" i="1" s="1"/>
  <c r="I80" i="1" s="1"/>
  <c r="G153" i="1" s="1"/>
  <c r="F317" i="1"/>
  <c r="O153" i="1"/>
  <c r="P153" i="1"/>
  <c r="Q153" i="1"/>
  <c r="F316" i="1"/>
  <c r="J152" i="1"/>
  <c r="I316" i="1" s="1"/>
  <c r="K152" i="1"/>
  <c r="L316" i="1" s="1"/>
  <c r="F315" i="1"/>
  <c r="I150" i="1"/>
  <c r="F314" i="1"/>
  <c r="J150" i="1"/>
  <c r="I314" i="1" s="1"/>
  <c r="K150" i="1"/>
  <c r="L314" i="1" s="1"/>
  <c r="I149" i="1"/>
  <c r="F313" i="1"/>
  <c r="J149" i="1"/>
  <c r="G313" i="1" s="1"/>
  <c r="K149" i="1"/>
  <c r="Q149" i="1"/>
  <c r="R149" i="1" s="1"/>
  <c r="I148" i="1"/>
  <c r="F312" i="1"/>
  <c r="J148" i="1"/>
  <c r="G312" i="1" s="1"/>
  <c r="K148" i="1"/>
  <c r="Q148" i="1"/>
  <c r="R148" i="1" s="1"/>
  <c r="D78" i="1"/>
  <c r="F78" i="1" s="1"/>
  <c r="G78" i="1" s="1"/>
  <c r="I78" i="1" s="1"/>
  <c r="F147" i="1" s="1"/>
  <c r="G147" i="1" s="1"/>
  <c r="F311" i="1"/>
  <c r="I144" i="1"/>
  <c r="F308" i="1"/>
  <c r="J144" i="1"/>
  <c r="I308" i="1" s="1"/>
  <c r="O144" i="1"/>
  <c r="P144" i="1"/>
  <c r="K144" i="1"/>
  <c r="L308" i="1" s="1"/>
  <c r="I143" i="1"/>
  <c r="F307" i="1"/>
  <c r="J143" i="1"/>
  <c r="N143" i="1"/>
  <c r="O143" i="1"/>
  <c r="J307" i="1" s="1"/>
  <c r="P143" i="1"/>
  <c r="K143" i="1"/>
  <c r="L307" i="1" s="1"/>
  <c r="D77" i="1"/>
  <c r="F77" i="1" s="1"/>
  <c r="G77" i="1" s="1"/>
  <c r="I77" i="1" s="1"/>
  <c r="G136" i="1" s="1"/>
  <c r="F305" i="1"/>
  <c r="O136" i="1"/>
  <c r="L97" i="1"/>
  <c r="P136" i="1" s="1"/>
  <c r="D76" i="1"/>
  <c r="F76" i="1" s="1"/>
  <c r="G76" i="1" s="1"/>
  <c r="I76" i="1" s="1"/>
  <c r="G135" i="1" s="1"/>
  <c r="L135" i="1"/>
  <c r="F304" i="1"/>
  <c r="D75" i="1"/>
  <c r="F75" i="1" s="1"/>
  <c r="G75" i="1" s="1"/>
  <c r="I75" i="1" s="1"/>
  <c r="O132" i="1"/>
  <c r="I131" i="1"/>
  <c r="F300" i="1"/>
  <c r="J131" i="1"/>
  <c r="I300" i="1" s="1"/>
  <c r="O131" i="1"/>
  <c r="P131" i="1"/>
  <c r="I130" i="1"/>
  <c r="F299" i="1"/>
  <c r="J130" i="1"/>
  <c r="G299" i="1"/>
  <c r="O130" i="1"/>
  <c r="P130" i="1"/>
  <c r="K130" i="1"/>
  <c r="L299" i="1" s="1"/>
  <c r="D74" i="1"/>
  <c r="F74" i="1" s="1"/>
  <c r="G74" i="1" s="1"/>
  <c r="I74" i="1" s="1"/>
  <c r="F298" i="1"/>
  <c r="N129" i="1"/>
  <c r="Q129" i="1"/>
  <c r="I128" i="1"/>
  <c r="F297" i="1"/>
  <c r="J128" i="1"/>
  <c r="I297" i="1" s="1"/>
  <c r="K128" i="1"/>
  <c r="Q128" i="1"/>
  <c r="I126" i="1"/>
  <c r="F295" i="1"/>
  <c r="J126" i="1"/>
  <c r="N126" i="1"/>
  <c r="R126" i="1" s="1"/>
  <c r="K126" i="1"/>
  <c r="L295" i="1" s="1"/>
  <c r="I125" i="1"/>
  <c r="F294" i="1"/>
  <c r="J125" i="1"/>
  <c r="G294" i="1" s="1"/>
  <c r="K125" i="1"/>
  <c r="L294" i="1" s="1"/>
  <c r="I124" i="1"/>
  <c r="F293" i="1"/>
  <c r="J124" i="1"/>
  <c r="I293" i="1" s="1"/>
  <c r="K124" i="1"/>
  <c r="L293" i="1" s="1"/>
  <c r="I123" i="1"/>
  <c r="L123" i="1"/>
  <c r="R123" i="1" s="1"/>
  <c r="F292" i="1"/>
  <c r="J123" i="1"/>
  <c r="K292" i="1" s="1"/>
  <c r="K123" i="1"/>
  <c r="L292" i="1" s="1"/>
  <c r="I122" i="1"/>
  <c r="F291" i="1"/>
  <c r="J122" i="1"/>
  <c r="G291" i="1" s="1"/>
  <c r="K122" i="1"/>
  <c r="L291" i="1" s="1"/>
  <c r="I121" i="1"/>
  <c r="F290" i="1"/>
  <c r="J121" i="1"/>
  <c r="K290" i="1" s="1"/>
  <c r="K121" i="1"/>
  <c r="L290" i="1" s="1"/>
  <c r="I120" i="1"/>
  <c r="F289" i="1"/>
  <c r="J120" i="1"/>
  <c r="K289" i="1" s="1"/>
  <c r="K120" i="1"/>
  <c r="L289" i="1" s="1"/>
  <c r="I119" i="1"/>
  <c r="F288" i="1"/>
  <c r="J119" i="1"/>
  <c r="G288" i="1" s="1"/>
  <c r="K119" i="1"/>
  <c r="L288" i="1" s="1"/>
  <c r="I118" i="1"/>
  <c r="F287" i="1"/>
  <c r="J118" i="1"/>
  <c r="G287" i="1" s="1"/>
  <c r="K118" i="1"/>
  <c r="L287" i="1" s="1"/>
  <c r="I117" i="1"/>
  <c r="F286" i="1"/>
  <c r="J117" i="1"/>
  <c r="G286" i="1" s="1"/>
  <c r="K117" i="1"/>
  <c r="L286" i="1" s="1"/>
  <c r="I116" i="1"/>
  <c r="F285" i="1"/>
  <c r="J116" i="1"/>
  <c r="G285" i="1" s="1"/>
  <c r="K116" i="1"/>
  <c r="L285" i="1" s="1"/>
  <c r="I115" i="1"/>
  <c r="F284" i="1"/>
  <c r="J115" i="1"/>
  <c r="K284" i="1" s="1"/>
  <c r="K115" i="1"/>
  <c r="L284" i="1" s="1"/>
  <c r="I114" i="1"/>
  <c r="F283" i="1"/>
  <c r="J114" i="1"/>
  <c r="G283" i="1" s="1"/>
  <c r="K114" i="1"/>
  <c r="L283" i="1" s="1"/>
  <c r="I113" i="1"/>
  <c r="F282" i="1"/>
  <c r="J113" i="1"/>
  <c r="I282" i="1" s="1"/>
  <c r="K113" i="1"/>
  <c r="L282" i="1" s="1"/>
  <c r="L80" i="1"/>
  <c r="N80" i="1" s="1"/>
  <c r="O80" i="1" s="1"/>
  <c r="P80" i="1" s="1"/>
  <c r="L78" i="1"/>
  <c r="N78" i="1" s="1"/>
  <c r="O78" i="1" s="1"/>
  <c r="P78" i="1" s="1"/>
  <c r="L77" i="1"/>
  <c r="N77" i="1" s="1"/>
  <c r="O77" i="1" s="1"/>
  <c r="P77" i="1" s="1"/>
  <c r="L76" i="1"/>
  <c r="N76" i="1" s="1"/>
  <c r="O76" i="1" s="1"/>
  <c r="P76" i="1" s="1"/>
  <c r="L75" i="1"/>
  <c r="N75" i="1" s="1"/>
  <c r="O75" i="1" s="1"/>
  <c r="P75" i="1" s="1"/>
  <c r="L74" i="1"/>
  <c r="N74" i="1" s="1"/>
  <c r="O74" i="1" s="1"/>
  <c r="P74" i="1" s="1"/>
  <c r="I245" i="1"/>
  <c r="I177" i="1"/>
  <c r="J245" i="1"/>
  <c r="I408" i="1" s="1"/>
  <c r="J177" i="1"/>
  <c r="I345" i="1" s="1"/>
  <c r="K245" i="1"/>
  <c r="L408" i="1" s="1"/>
  <c r="K177" i="1"/>
  <c r="L345" i="1" s="1"/>
  <c r="K131" i="1"/>
  <c r="L300" i="1" s="1"/>
  <c r="K146" i="1"/>
  <c r="L310" i="1" s="1"/>
  <c r="K145" i="1"/>
  <c r="L309" i="1" s="1"/>
  <c r="K251" i="1"/>
  <c r="L414" i="1" s="1"/>
  <c r="I251" i="1"/>
  <c r="J254" i="1"/>
  <c r="K417" i="1" s="1"/>
  <c r="I146" i="1"/>
  <c r="I145" i="1"/>
  <c r="J146" i="1"/>
  <c r="I310" i="1" s="1"/>
  <c r="K388" i="1"/>
  <c r="K361" i="1"/>
  <c r="G361" i="1"/>
  <c r="K409" i="1"/>
  <c r="K369" i="1"/>
  <c r="G300" i="1"/>
  <c r="K396" i="1"/>
  <c r="G364" i="1"/>
  <c r="G377" i="1"/>
  <c r="I369" i="1"/>
  <c r="G297" i="1"/>
  <c r="G403" i="1"/>
  <c r="I406" i="1"/>
  <c r="G385" i="1"/>
  <c r="K392" i="1"/>
  <c r="G399" i="1"/>
  <c r="K404" i="1"/>
  <c r="L412" i="1"/>
  <c r="I350" i="1"/>
  <c r="G366" i="1"/>
  <c r="G372" i="1"/>
  <c r="G388" i="1"/>
  <c r="G393" i="1"/>
  <c r="I396" i="1"/>
  <c r="J250" i="1"/>
  <c r="G413" i="1" s="1"/>
  <c r="K252" i="1"/>
  <c r="L415" i="1" s="1"/>
  <c r="I252" i="1"/>
  <c r="K254" i="1"/>
  <c r="L417" i="1" s="1"/>
  <c r="G293" i="1"/>
  <c r="J251" i="1"/>
  <c r="I414" i="1" s="1"/>
  <c r="J253" i="1"/>
  <c r="G416" i="1" s="1"/>
  <c r="K316" i="1"/>
  <c r="I288" i="1"/>
  <c r="K373" i="1"/>
  <c r="I152" i="1"/>
  <c r="G307" i="1"/>
  <c r="G360" i="1"/>
  <c r="G368" i="1"/>
  <c r="G373" i="1"/>
  <c r="G384" i="1"/>
  <c r="G387" i="1"/>
  <c r="G392" i="1"/>
  <c r="G395" i="1"/>
  <c r="G402" i="1"/>
  <c r="G405" i="1"/>
  <c r="G411" i="1"/>
  <c r="G414" i="1"/>
  <c r="K154" i="1"/>
  <c r="L318" i="1" s="1"/>
  <c r="G314" i="1"/>
  <c r="I330" i="1"/>
  <c r="G359" i="1"/>
  <c r="G362" i="1"/>
  <c r="G367" i="1"/>
  <c r="G370" i="1"/>
  <c r="G378" i="1"/>
  <c r="G381" i="1"/>
  <c r="G386" i="1"/>
  <c r="G389" i="1"/>
  <c r="G394" i="1"/>
  <c r="G398" i="1"/>
  <c r="G404" i="1"/>
  <c r="G407" i="1"/>
  <c r="J154" i="1"/>
  <c r="I318" i="1" s="1"/>
  <c r="G316" i="1"/>
  <c r="K387" i="1"/>
  <c r="K395" i="1"/>
  <c r="G401" i="1"/>
  <c r="G410" i="1"/>
  <c r="J249" i="1"/>
  <c r="I412" i="1" s="1"/>
  <c r="I154" i="1"/>
  <c r="G289" i="1"/>
  <c r="K283" i="1"/>
  <c r="K286" i="1"/>
  <c r="G295" i="1"/>
  <c r="G417" i="1"/>
  <c r="G282" i="1"/>
  <c r="G322" i="1"/>
  <c r="G324" i="1"/>
  <c r="G326" i="1"/>
  <c r="G331" i="1"/>
  <c r="G333" i="1"/>
  <c r="G335" i="1"/>
  <c r="G337" i="1"/>
  <c r="G339" i="1"/>
  <c r="K343" i="1"/>
  <c r="G343" i="1"/>
  <c r="G346" i="1"/>
  <c r="G348" i="1"/>
  <c r="G351" i="1"/>
  <c r="G353" i="1"/>
  <c r="K355" i="1"/>
  <c r="G355" i="1"/>
  <c r="J252" i="1"/>
  <c r="G415" i="1" s="1"/>
  <c r="K253" i="1"/>
  <c r="L416" i="1" s="1"/>
  <c r="K350" i="1"/>
  <c r="I133" i="1"/>
  <c r="J133" i="1"/>
  <c r="G302" i="1" s="1"/>
  <c r="K133" i="1"/>
  <c r="L302" i="1" s="1"/>
  <c r="J132" i="1"/>
  <c r="K132" i="1"/>
  <c r="L301" i="1" s="1"/>
  <c r="I132" i="1"/>
  <c r="I254" i="1"/>
  <c r="J145" i="1"/>
  <c r="I309" i="1" s="1"/>
  <c r="K310" i="1"/>
  <c r="K338" i="1"/>
  <c r="G357" i="1"/>
  <c r="G290" i="1"/>
  <c r="K365" i="1"/>
  <c r="G383" i="1"/>
  <c r="G338" i="1"/>
  <c r="G340" i="1"/>
  <c r="G342" i="1"/>
  <c r="G356" i="1"/>
  <c r="I365" i="1"/>
  <c r="G371" i="1"/>
  <c r="I379" i="1"/>
  <c r="G380" i="1"/>
  <c r="G310" i="1"/>
  <c r="G309" i="1"/>
  <c r="G345" i="1"/>
  <c r="K380" i="1"/>
  <c r="K356" i="1"/>
  <c r="G284" i="1"/>
  <c r="L350" i="1"/>
  <c r="G292" i="1"/>
  <c r="I409" i="1" l="1"/>
  <c r="L351" i="1"/>
  <c r="I307" i="1"/>
  <c r="L320" i="1"/>
  <c r="K299" i="1"/>
  <c r="F129" i="1"/>
  <c r="K129" i="1" s="1"/>
  <c r="L298" i="1" s="1"/>
  <c r="I295" i="1"/>
  <c r="M295" i="1" s="1"/>
  <c r="L405" i="1"/>
  <c r="L312" i="1"/>
  <c r="K413" i="1"/>
  <c r="K399" i="1"/>
  <c r="L332" i="1"/>
  <c r="L403" i="1"/>
  <c r="K348" i="1"/>
  <c r="K379" i="1"/>
  <c r="K372" i="1"/>
  <c r="I299" i="1"/>
  <c r="K368" i="1"/>
  <c r="K403" i="1"/>
  <c r="I391" i="1"/>
  <c r="K366" i="1"/>
  <c r="M366" i="1" s="1"/>
  <c r="N366" i="1" s="1"/>
  <c r="K401" i="1"/>
  <c r="I383" i="1"/>
  <c r="K391" i="1"/>
  <c r="K342" i="1"/>
  <c r="K416" i="1"/>
  <c r="I287" i="1"/>
  <c r="K334" i="1"/>
  <c r="K318" i="1"/>
  <c r="K394" i="1"/>
  <c r="K390" i="1"/>
  <c r="I341" i="1"/>
  <c r="M341" i="1" s="1"/>
  <c r="N341" i="1" s="1"/>
  <c r="K402" i="1"/>
  <c r="M402" i="1" s="1"/>
  <c r="N402" i="1" s="1"/>
  <c r="K320" i="1"/>
  <c r="M320" i="1" s="1"/>
  <c r="N320" i="1" s="1"/>
  <c r="K287" i="1"/>
  <c r="M287" i="1" s="1"/>
  <c r="K360" i="1"/>
  <c r="M360" i="1" s="1"/>
  <c r="K359" i="1"/>
  <c r="I390" i="1"/>
  <c r="K357" i="1"/>
  <c r="I339" i="1"/>
  <c r="K371" i="1"/>
  <c r="K337" i="1"/>
  <c r="M337" i="1" s="1"/>
  <c r="N337" i="1" s="1"/>
  <c r="I340" i="1"/>
  <c r="M340" i="1" s="1"/>
  <c r="N340" i="1" s="1"/>
  <c r="I332" i="1"/>
  <c r="K411" i="1"/>
  <c r="M411" i="1" s="1"/>
  <c r="I289" i="1"/>
  <c r="M289" i="1" s="1"/>
  <c r="I292" i="1"/>
  <c r="M292" i="1" s="1"/>
  <c r="I290" i="1"/>
  <c r="M290" i="1" s="1"/>
  <c r="K291" i="1"/>
  <c r="K294" i="1"/>
  <c r="K347" i="1"/>
  <c r="K393" i="1"/>
  <c r="I389" i="1"/>
  <c r="K344" i="1"/>
  <c r="I347" i="1"/>
  <c r="M347" i="1" s="1"/>
  <c r="N347" i="1" s="1"/>
  <c r="I336" i="1"/>
  <c r="M336" i="1" s="1"/>
  <c r="N336" i="1" s="1"/>
  <c r="K385" i="1"/>
  <c r="K353" i="1"/>
  <c r="K335" i="1"/>
  <c r="M335" i="1" s="1"/>
  <c r="N335" i="1" s="1"/>
  <c r="P335" i="1" s="1"/>
  <c r="R335" i="1" s="1"/>
  <c r="K362" i="1"/>
  <c r="M362" i="1" s="1"/>
  <c r="N362" i="1" s="1"/>
  <c r="I323" i="1"/>
  <c r="K370" i="1"/>
  <c r="I381" i="1"/>
  <c r="K351" i="1"/>
  <c r="K336" i="1"/>
  <c r="K295" i="1"/>
  <c r="K332" i="1"/>
  <c r="K331" i="1"/>
  <c r="K407" i="1"/>
  <c r="M407" i="1" s="1"/>
  <c r="N407" i="1" s="1"/>
  <c r="K377" i="1"/>
  <c r="K324" i="1"/>
  <c r="M324" i="1" s="1"/>
  <c r="N324" i="1" s="1"/>
  <c r="K308" i="1"/>
  <c r="M308" i="1" s="1"/>
  <c r="N308" i="1" s="1"/>
  <c r="K406" i="1"/>
  <c r="K323" i="1"/>
  <c r="K398" i="1"/>
  <c r="K341" i="1"/>
  <c r="J299" i="1"/>
  <c r="R130" i="1"/>
  <c r="R246" i="1"/>
  <c r="R128" i="1"/>
  <c r="J308" i="1"/>
  <c r="R144" i="1"/>
  <c r="L325" i="1"/>
  <c r="L342" i="1"/>
  <c r="M342" i="1" s="1"/>
  <c r="N342" i="1" s="1"/>
  <c r="L409" i="1"/>
  <c r="R247" i="1"/>
  <c r="K414" i="1"/>
  <c r="L326" i="1"/>
  <c r="L333" i="1"/>
  <c r="L339" i="1"/>
  <c r="R143" i="1"/>
  <c r="L313" i="1"/>
  <c r="L323" i="1"/>
  <c r="L331" i="1"/>
  <c r="M331" i="1" s="1"/>
  <c r="N331" i="1" s="1"/>
  <c r="R164" i="1"/>
  <c r="L334" i="1"/>
  <c r="R168" i="1"/>
  <c r="L340" i="1"/>
  <c r="L347" i="1"/>
  <c r="L401" i="1"/>
  <c r="L406" i="1"/>
  <c r="R248" i="1"/>
  <c r="R129" i="1"/>
  <c r="K288" i="1"/>
  <c r="M288" i="1" s="1"/>
  <c r="K367" i="1"/>
  <c r="K314" i="1"/>
  <c r="M314" i="1" s="1"/>
  <c r="N314" i="1" s="1"/>
  <c r="I294" i="1"/>
  <c r="M294" i="1" s="1"/>
  <c r="K410" i="1"/>
  <c r="K382" i="1"/>
  <c r="I382" i="1"/>
  <c r="K352" i="1"/>
  <c r="K330" i="1"/>
  <c r="M330" i="1" s="1"/>
  <c r="N330" i="1" s="1"/>
  <c r="K333" i="1"/>
  <c r="M333" i="1" s="1"/>
  <c r="N333" i="1" s="1"/>
  <c r="K326" i="1"/>
  <c r="K322" i="1"/>
  <c r="M322" i="1" s="1"/>
  <c r="I352" i="1"/>
  <c r="K386" i="1"/>
  <c r="I354" i="1"/>
  <c r="K378" i="1"/>
  <c r="K354" i="1"/>
  <c r="K346" i="1"/>
  <c r="K405" i="1"/>
  <c r="I320" i="1"/>
  <c r="I363" i="1"/>
  <c r="K363" i="1"/>
  <c r="I313" i="1"/>
  <c r="K313" i="1"/>
  <c r="K307" i="1"/>
  <c r="M307" i="1" s="1"/>
  <c r="N307" i="1" s="1"/>
  <c r="K325" i="1"/>
  <c r="K300" i="1"/>
  <c r="K312" i="1"/>
  <c r="K364" i="1"/>
  <c r="M364" i="1" s="1"/>
  <c r="N364" i="1" s="1"/>
  <c r="I312" i="1"/>
  <c r="I344" i="1"/>
  <c r="I284" i="1"/>
  <c r="I285" i="1"/>
  <c r="K282" i="1"/>
  <c r="M282" i="1" s="1"/>
  <c r="K285" i="1"/>
  <c r="I415" i="1"/>
  <c r="M415" i="1" s="1"/>
  <c r="N415" i="1" s="1"/>
  <c r="K301" i="1"/>
  <c r="I246" i="1"/>
  <c r="K229" i="1"/>
  <c r="L396" i="1" s="1"/>
  <c r="M396" i="1" s="1"/>
  <c r="N396" i="1" s="1"/>
  <c r="K228" i="1"/>
  <c r="L395" i="1" s="1"/>
  <c r="M395" i="1" s="1"/>
  <c r="N395" i="1" s="1"/>
  <c r="K227" i="1"/>
  <c r="L394" i="1" s="1"/>
  <c r="M394" i="1" s="1"/>
  <c r="N394" i="1" s="1"/>
  <c r="K224" i="1"/>
  <c r="L391" i="1" s="1"/>
  <c r="K222" i="1"/>
  <c r="L389" i="1" s="1"/>
  <c r="K219" i="1"/>
  <c r="L386" i="1" s="1"/>
  <c r="K216" i="1"/>
  <c r="L383" i="1" s="1"/>
  <c r="K209" i="1"/>
  <c r="L373" i="1" s="1"/>
  <c r="M373" i="1" s="1"/>
  <c r="N373" i="1" s="1"/>
  <c r="K204" i="1"/>
  <c r="L368" i="1" s="1"/>
  <c r="M368" i="1" s="1"/>
  <c r="N368" i="1" s="1"/>
  <c r="K198" i="1"/>
  <c r="L362" i="1" s="1"/>
  <c r="K195" i="1"/>
  <c r="L359" i="1" s="1"/>
  <c r="M359" i="1" s="1"/>
  <c r="N359" i="1" s="1"/>
  <c r="K208" i="1"/>
  <c r="L372" i="1" s="1"/>
  <c r="M372" i="1" s="1"/>
  <c r="N372" i="1" s="1"/>
  <c r="K205" i="1"/>
  <c r="L369" i="1" s="1"/>
  <c r="M369" i="1" s="1"/>
  <c r="N369" i="1" s="1"/>
  <c r="K199" i="1"/>
  <c r="L363" i="1" s="1"/>
  <c r="K217" i="1"/>
  <c r="L384" i="1" s="1"/>
  <c r="K212" i="1"/>
  <c r="L379" i="1" s="1"/>
  <c r="K207" i="1"/>
  <c r="L371" i="1" s="1"/>
  <c r="K196" i="1"/>
  <c r="L360" i="1" s="1"/>
  <c r="K232" i="1"/>
  <c r="L399" i="1" s="1"/>
  <c r="K226" i="1"/>
  <c r="L393" i="1" s="1"/>
  <c r="M393" i="1" s="1"/>
  <c r="N393" i="1" s="1"/>
  <c r="K221" i="1"/>
  <c r="L388" i="1" s="1"/>
  <c r="M388" i="1" s="1"/>
  <c r="N388" i="1" s="1"/>
  <c r="K213" i="1"/>
  <c r="L380" i="1" s="1"/>
  <c r="M380" i="1" s="1"/>
  <c r="N380" i="1" s="1"/>
  <c r="K211" i="1"/>
  <c r="L378" i="1" s="1"/>
  <c r="K206" i="1"/>
  <c r="L370" i="1" s="1"/>
  <c r="K203" i="1"/>
  <c r="L367" i="1" s="1"/>
  <c r="M367" i="1" s="1"/>
  <c r="N367" i="1" s="1"/>
  <c r="K200" i="1"/>
  <c r="L364" i="1" s="1"/>
  <c r="K197" i="1"/>
  <c r="L361" i="1" s="1"/>
  <c r="M361" i="1" s="1"/>
  <c r="N361" i="1" s="1"/>
  <c r="K193" i="1"/>
  <c r="L357" i="1" s="1"/>
  <c r="K191" i="1"/>
  <c r="L355" i="1" s="1"/>
  <c r="M355" i="1" s="1"/>
  <c r="N355" i="1" s="1"/>
  <c r="K223" i="1"/>
  <c r="L390" i="1" s="1"/>
  <c r="K218" i="1"/>
  <c r="L385" i="1" s="1"/>
  <c r="K215" i="1"/>
  <c r="L382" i="1" s="1"/>
  <c r="K210" i="1"/>
  <c r="L377" i="1" s="1"/>
  <c r="K202" i="1"/>
  <c r="L366" i="1" s="1"/>
  <c r="K190" i="1"/>
  <c r="L354" i="1" s="1"/>
  <c r="K220" i="1"/>
  <c r="L387" i="1" s="1"/>
  <c r="M387" i="1" s="1"/>
  <c r="K214" i="1"/>
  <c r="L381" i="1" s="1"/>
  <c r="M381" i="1" s="1"/>
  <c r="N381" i="1" s="1"/>
  <c r="K201" i="1"/>
  <c r="L365" i="1" s="1"/>
  <c r="M365" i="1" s="1"/>
  <c r="N365" i="1" s="1"/>
  <c r="K192" i="1"/>
  <c r="L356" i="1" s="1"/>
  <c r="M356" i="1" s="1"/>
  <c r="N356" i="1" s="1"/>
  <c r="K231" i="1"/>
  <c r="L398" i="1" s="1"/>
  <c r="K225" i="1"/>
  <c r="L392" i="1" s="1"/>
  <c r="K302" i="1"/>
  <c r="K309" i="1"/>
  <c r="M309" i="1" s="1"/>
  <c r="N309" i="1" s="1"/>
  <c r="K415" i="1"/>
  <c r="J305" i="1"/>
  <c r="R136" i="1"/>
  <c r="J315" i="1"/>
  <c r="R151" i="1"/>
  <c r="M338" i="1"/>
  <c r="J300" i="1"/>
  <c r="R131" i="1"/>
  <c r="J301" i="1"/>
  <c r="R132" i="1"/>
  <c r="J317" i="1"/>
  <c r="R153" i="1"/>
  <c r="G318" i="1"/>
  <c r="M318" i="1" s="1"/>
  <c r="I413" i="1"/>
  <c r="I283" i="1"/>
  <c r="M283" i="1" s="1"/>
  <c r="I291" i="1"/>
  <c r="I417" i="1"/>
  <c r="M417" i="1" s="1"/>
  <c r="N417" i="1" s="1"/>
  <c r="I334" i="1"/>
  <c r="G308" i="1"/>
  <c r="K297" i="1"/>
  <c r="K293" i="1"/>
  <c r="M293" i="1" s="1"/>
  <c r="K384" i="1"/>
  <c r="J304" i="1"/>
  <c r="R135" i="1"/>
  <c r="J311" i="1"/>
  <c r="R147" i="1"/>
  <c r="J306" i="1"/>
  <c r="R137" i="1"/>
  <c r="M310" i="1"/>
  <c r="N310" i="1" s="1"/>
  <c r="K345" i="1"/>
  <c r="M345" i="1" s="1"/>
  <c r="N345" i="1" s="1"/>
  <c r="I416" i="1"/>
  <c r="I286" i="1"/>
  <c r="M286" i="1" s="1"/>
  <c r="I325" i="1"/>
  <c r="L297" i="1"/>
  <c r="M284" i="1"/>
  <c r="O284" i="1" s="1"/>
  <c r="Q284" i="1" s="1"/>
  <c r="L413" i="1"/>
  <c r="K412" i="1"/>
  <c r="M414" i="1"/>
  <c r="N414" i="1" s="1"/>
  <c r="M348" i="1"/>
  <c r="N348" i="1" s="1"/>
  <c r="M350" i="1"/>
  <c r="N350" i="1" s="1"/>
  <c r="M339" i="1"/>
  <c r="N339" i="1" s="1"/>
  <c r="M403" i="1"/>
  <c r="N403" i="1" s="1"/>
  <c r="M343" i="1"/>
  <c r="N343" i="1" s="1"/>
  <c r="M392" i="1"/>
  <c r="N392" i="1" s="1"/>
  <c r="I302" i="1"/>
  <c r="M302" i="1" s="1"/>
  <c r="L410" i="1"/>
  <c r="M299" i="1"/>
  <c r="M346" i="1"/>
  <c r="N346" i="1" s="1"/>
  <c r="M351" i="1"/>
  <c r="N351" i="1" s="1"/>
  <c r="L352" i="1"/>
  <c r="L353" i="1"/>
  <c r="M316" i="1"/>
  <c r="N316" i="1" s="1"/>
  <c r="M357" i="1"/>
  <c r="N357" i="1" s="1"/>
  <c r="M409" i="1"/>
  <c r="N409" i="1" s="1"/>
  <c r="J135" i="1"/>
  <c r="K135" i="1"/>
  <c r="L304" i="1" s="1"/>
  <c r="I135" i="1"/>
  <c r="K147" i="1"/>
  <c r="L311" i="1" s="1"/>
  <c r="J147" i="1"/>
  <c r="I147" i="1"/>
  <c r="I151" i="1"/>
  <c r="J151" i="1"/>
  <c r="K151" i="1"/>
  <c r="L315" i="1" s="1"/>
  <c r="I134" i="1"/>
  <c r="K134" i="1"/>
  <c r="L303" i="1" s="1"/>
  <c r="J134" i="1"/>
  <c r="M379" i="1"/>
  <c r="N379" i="1" s="1"/>
  <c r="K153" i="1"/>
  <c r="L317" i="1" s="1"/>
  <c r="J153" i="1"/>
  <c r="I153" i="1"/>
  <c r="M404" i="1"/>
  <c r="N404" i="1" s="1"/>
  <c r="I301" i="1"/>
  <c r="G301" i="1"/>
  <c r="G412" i="1"/>
  <c r="K408" i="1"/>
  <c r="G408" i="1"/>
  <c r="M300" i="1" l="1"/>
  <c r="O300" i="1" s="1"/>
  <c r="Q300" i="1" s="1"/>
  <c r="M334" i="1"/>
  <c r="N334" i="1" s="1"/>
  <c r="M332" i="1"/>
  <c r="N332" i="1" s="1"/>
  <c r="M390" i="1"/>
  <c r="N390" i="1" s="1"/>
  <c r="I129" i="1"/>
  <c r="M401" i="1"/>
  <c r="N401" i="1" s="1"/>
  <c r="J129" i="1"/>
  <c r="I298" i="1" s="1"/>
  <c r="G129" i="1"/>
  <c r="J298" i="1" s="1"/>
  <c r="M399" i="1"/>
  <c r="O399" i="1" s="1"/>
  <c r="Q399" i="1" s="1"/>
  <c r="M383" i="1"/>
  <c r="N383" i="1" s="1"/>
  <c r="P383" i="1" s="1"/>
  <c r="R383" i="1" s="1"/>
  <c r="M371" i="1"/>
  <c r="N371" i="1" s="1"/>
  <c r="P371" i="1" s="1"/>
  <c r="R371" i="1" s="1"/>
  <c r="M344" i="1"/>
  <c r="N344" i="1" s="1"/>
  <c r="P344" i="1" s="1"/>
  <c r="R344" i="1" s="1"/>
  <c r="M405" i="1"/>
  <c r="N405" i="1" s="1"/>
  <c r="P405" i="1" s="1"/>
  <c r="R405" i="1" s="1"/>
  <c r="M370" i="1"/>
  <c r="N370" i="1" s="1"/>
  <c r="P370" i="1" s="1"/>
  <c r="R370" i="1" s="1"/>
  <c r="M416" i="1"/>
  <c r="O416" i="1" s="1"/>
  <c r="Q416" i="1" s="1"/>
  <c r="M398" i="1"/>
  <c r="N398" i="1" s="1"/>
  <c r="P398" i="1" s="1"/>
  <c r="R398" i="1" s="1"/>
  <c r="M391" i="1"/>
  <c r="N391" i="1" s="1"/>
  <c r="M312" i="1"/>
  <c r="N312" i="1" s="1"/>
  <c r="M406" i="1"/>
  <c r="N406" i="1" s="1"/>
  <c r="M323" i="1"/>
  <c r="N323" i="1" s="1"/>
  <c r="P323" i="1" s="1"/>
  <c r="R323" i="1" s="1"/>
  <c r="M389" i="1"/>
  <c r="O389" i="1" s="1"/>
  <c r="Q389" i="1" s="1"/>
  <c r="M291" i="1"/>
  <c r="N291" i="1" s="1"/>
  <c r="P291" i="1" s="1"/>
  <c r="R291" i="1" s="1"/>
  <c r="M378" i="1"/>
  <c r="N378" i="1" s="1"/>
  <c r="P378" i="1" s="1"/>
  <c r="R378" i="1" s="1"/>
  <c r="M353" i="1"/>
  <c r="N353" i="1" s="1"/>
  <c r="P353" i="1" s="1"/>
  <c r="R353" i="1" s="1"/>
  <c r="M385" i="1"/>
  <c r="N385" i="1" s="1"/>
  <c r="P385" i="1" s="1"/>
  <c r="R385" i="1" s="1"/>
  <c r="M363" i="1"/>
  <c r="N363" i="1" s="1"/>
  <c r="P363" i="1" s="1"/>
  <c r="R363" i="1" s="1"/>
  <c r="M325" i="1"/>
  <c r="N325" i="1" s="1"/>
  <c r="P325" i="1" s="1"/>
  <c r="R325" i="1" s="1"/>
  <c r="M377" i="1"/>
  <c r="N377" i="1" s="1"/>
  <c r="P377" i="1" s="1"/>
  <c r="R377" i="1" s="1"/>
  <c r="M352" i="1"/>
  <c r="N352" i="1" s="1"/>
  <c r="M410" i="1"/>
  <c r="N410" i="1" s="1"/>
  <c r="P410" i="1" s="1"/>
  <c r="R410" i="1" s="1"/>
  <c r="M285" i="1"/>
  <c r="O285" i="1" s="1"/>
  <c r="Q285" i="1" s="1"/>
  <c r="M313" i="1"/>
  <c r="N313" i="1" s="1"/>
  <c r="P313" i="1" s="1"/>
  <c r="R313" i="1" s="1"/>
  <c r="M326" i="1"/>
  <c r="O326" i="1" s="1"/>
  <c r="Q326" i="1" s="1"/>
  <c r="M386" i="1"/>
  <c r="N386" i="1" s="1"/>
  <c r="P386" i="1" s="1"/>
  <c r="R386" i="1" s="1"/>
  <c r="M412" i="1"/>
  <c r="N412" i="1" s="1"/>
  <c r="P412" i="1" s="1"/>
  <c r="R412" i="1" s="1"/>
  <c r="M384" i="1"/>
  <c r="O384" i="1" s="1"/>
  <c r="Q384" i="1" s="1"/>
  <c r="M382" i="1"/>
  <c r="N382" i="1" s="1"/>
  <c r="P382" i="1" s="1"/>
  <c r="R382" i="1" s="1"/>
  <c r="O318" i="1"/>
  <c r="Q318" i="1" s="1"/>
  <c r="N318" i="1"/>
  <c r="P318" i="1" s="1"/>
  <c r="R318" i="1" s="1"/>
  <c r="M354" i="1"/>
  <c r="N354" i="1" s="1"/>
  <c r="P354" i="1" s="1"/>
  <c r="R354" i="1" s="1"/>
  <c r="M297" i="1"/>
  <c r="N297" i="1" s="1"/>
  <c r="P297" i="1" s="1"/>
  <c r="R297" i="1" s="1"/>
  <c r="O335" i="1"/>
  <c r="Q335" i="1" s="1"/>
  <c r="O360" i="1"/>
  <c r="Q360" i="1" s="1"/>
  <c r="N360" i="1"/>
  <c r="P360" i="1" s="1"/>
  <c r="R360" i="1" s="1"/>
  <c r="O322" i="1"/>
  <c r="Q322" i="1" s="1"/>
  <c r="N322" i="1"/>
  <c r="P322" i="1" s="1"/>
  <c r="R322" i="1" s="1"/>
  <c r="O387" i="1"/>
  <c r="Q387" i="1" s="1"/>
  <c r="N387" i="1"/>
  <c r="P387" i="1" s="1"/>
  <c r="R387" i="1" s="1"/>
  <c r="O411" i="1"/>
  <c r="Q411" i="1" s="1"/>
  <c r="N411" i="1"/>
  <c r="P411" i="1" s="1"/>
  <c r="R411" i="1" s="1"/>
  <c r="O338" i="1"/>
  <c r="Q338" i="1" s="1"/>
  <c r="N338" i="1"/>
  <c r="P338" i="1" s="1"/>
  <c r="R338" i="1" s="1"/>
  <c r="M413" i="1"/>
  <c r="N413" i="1" s="1"/>
  <c r="P413" i="1" s="1"/>
  <c r="R413" i="1" s="1"/>
  <c r="N284" i="1"/>
  <c r="P284" i="1" s="1"/>
  <c r="R284" i="1" s="1"/>
  <c r="M301" i="1"/>
  <c r="O301" i="1" s="1"/>
  <c r="Q301" i="1" s="1"/>
  <c r="P368" i="1"/>
  <c r="R368" i="1" s="1"/>
  <c r="O368" i="1"/>
  <c r="Q368" i="1" s="1"/>
  <c r="P352" i="1"/>
  <c r="R352" i="1" s="1"/>
  <c r="P393" i="1"/>
  <c r="R393" i="1" s="1"/>
  <c r="O393" i="1"/>
  <c r="Q393" i="1" s="1"/>
  <c r="P324" i="1"/>
  <c r="R324" i="1" s="1"/>
  <c r="O324" i="1"/>
  <c r="Q324" i="1" s="1"/>
  <c r="P379" i="1"/>
  <c r="R379" i="1" s="1"/>
  <c r="O379" i="1"/>
  <c r="Q379" i="1" s="1"/>
  <c r="N294" i="1"/>
  <c r="P294" i="1" s="1"/>
  <c r="R294" i="1" s="1"/>
  <c r="O294" i="1"/>
  <c r="Q294" i="1" s="1"/>
  <c r="P357" i="1"/>
  <c r="R357" i="1" s="1"/>
  <c r="O357" i="1"/>
  <c r="Q357" i="1" s="1"/>
  <c r="N287" i="1"/>
  <c r="P287" i="1" s="1"/>
  <c r="R287" i="1" s="1"/>
  <c r="O287" i="1"/>
  <c r="Q287" i="1" s="1"/>
  <c r="P394" i="1"/>
  <c r="R394" i="1" s="1"/>
  <c r="O394" i="1"/>
  <c r="Q394" i="1" s="1"/>
  <c r="P351" i="1"/>
  <c r="R351" i="1" s="1"/>
  <c r="O351" i="1"/>
  <c r="Q351" i="1" s="1"/>
  <c r="P388" i="1"/>
  <c r="R388" i="1" s="1"/>
  <c r="O388" i="1"/>
  <c r="Q388" i="1" s="1"/>
  <c r="N283" i="1"/>
  <c r="P283" i="1" s="1"/>
  <c r="R283" i="1" s="1"/>
  <c r="O283" i="1"/>
  <c r="Q283" i="1" s="1"/>
  <c r="N295" i="1"/>
  <c r="P295" i="1" s="1"/>
  <c r="R295" i="1" s="1"/>
  <c r="O295" i="1"/>
  <c r="Q295" i="1" s="1"/>
  <c r="P392" i="1"/>
  <c r="R392" i="1" s="1"/>
  <c r="O392" i="1"/>
  <c r="Q392" i="1" s="1"/>
  <c r="P347" i="1"/>
  <c r="R347" i="1" s="1"/>
  <c r="O347" i="1"/>
  <c r="Q347" i="1" s="1"/>
  <c r="P403" i="1"/>
  <c r="R403" i="1" s="1"/>
  <c r="O403" i="1"/>
  <c r="Q403" i="1" s="1"/>
  <c r="P401" i="1"/>
  <c r="R401" i="1" s="1"/>
  <c r="O401" i="1"/>
  <c r="Q401" i="1" s="1"/>
  <c r="P345" i="1"/>
  <c r="R345" i="1" s="1"/>
  <c r="O345" i="1"/>
  <c r="Q345" i="1" s="1"/>
  <c r="P390" i="1"/>
  <c r="R390" i="1" s="1"/>
  <c r="O390" i="1"/>
  <c r="Q390" i="1" s="1"/>
  <c r="P415" i="1"/>
  <c r="R415" i="1" s="1"/>
  <c r="O415" i="1"/>
  <c r="Q415" i="1" s="1"/>
  <c r="N288" i="1"/>
  <c r="P288" i="1" s="1"/>
  <c r="R288" i="1" s="1"/>
  <c r="O288" i="1"/>
  <c r="Q288" i="1" s="1"/>
  <c r="P362" i="1"/>
  <c r="R362" i="1" s="1"/>
  <c r="O362" i="1"/>
  <c r="Q362" i="1" s="1"/>
  <c r="P310" i="1"/>
  <c r="R310" i="1" s="1"/>
  <c r="O310" i="1"/>
  <c r="Q310" i="1" s="1"/>
  <c r="P342" i="1"/>
  <c r="R342" i="1" s="1"/>
  <c r="O342" i="1"/>
  <c r="Q342" i="1" s="1"/>
  <c r="P331" i="1"/>
  <c r="R331" i="1" s="1"/>
  <c r="O331" i="1"/>
  <c r="Q331" i="1" s="1"/>
  <c r="P334" i="1"/>
  <c r="R334" i="1" s="1"/>
  <c r="O334" i="1"/>
  <c r="Q334" i="1" s="1"/>
  <c r="P409" i="1"/>
  <c r="R409" i="1" s="1"/>
  <c r="O409" i="1"/>
  <c r="Q409" i="1" s="1"/>
  <c r="P359" i="1"/>
  <c r="R359" i="1" s="1"/>
  <c r="O359" i="1"/>
  <c r="Q359" i="1" s="1"/>
  <c r="N293" i="1"/>
  <c r="P293" i="1" s="1"/>
  <c r="R293" i="1" s="1"/>
  <c r="O293" i="1"/>
  <c r="Q293" i="1" s="1"/>
  <c r="P407" i="1"/>
  <c r="R407" i="1" s="1"/>
  <c r="O407" i="1"/>
  <c r="Q407" i="1" s="1"/>
  <c r="P369" i="1"/>
  <c r="R369" i="1" s="1"/>
  <c r="O369" i="1"/>
  <c r="Q369" i="1" s="1"/>
  <c r="N299" i="1"/>
  <c r="P299" i="1" s="1"/>
  <c r="R299" i="1" s="1"/>
  <c r="O299" i="1"/>
  <c r="Q299" i="1" s="1"/>
  <c r="P332" i="1"/>
  <c r="R332" i="1" s="1"/>
  <c r="O332" i="1"/>
  <c r="Q332" i="1" s="1"/>
  <c r="P308" i="1"/>
  <c r="R308" i="1" s="1"/>
  <c r="O308" i="1"/>
  <c r="Q308" i="1" s="1"/>
  <c r="N289" i="1"/>
  <c r="P289" i="1" s="1"/>
  <c r="R289" i="1" s="1"/>
  <c r="O289" i="1"/>
  <c r="Q289" i="1" s="1"/>
  <c r="P336" i="1"/>
  <c r="R336" i="1" s="1"/>
  <c r="O336" i="1"/>
  <c r="Q336" i="1" s="1"/>
  <c r="P314" i="1"/>
  <c r="R314" i="1" s="1"/>
  <c r="O314" i="1"/>
  <c r="Q314" i="1" s="1"/>
  <c r="P350" i="1"/>
  <c r="R350" i="1" s="1"/>
  <c r="O350" i="1"/>
  <c r="Q350" i="1" s="1"/>
  <c r="P340" i="1"/>
  <c r="R340" i="1" s="1"/>
  <c r="O340" i="1"/>
  <c r="Q340" i="1" s="1"/>
  <c r="P364" i="1"/>
  <c r="R364" i="1" s="1"/>
  <c r="O364" i="1"/>
  <c r="Q364" i="1" s="1"/>
  <c r="N292" i="1"/>
  <c r="P292" i="1" s="1"/>
  <c r="R292" i="1" s="1"/>
  <c r="O292" i="1"/>
  <c r="Q292" i="1" s="1"/>
  <c r="P404" i="1"/>
  <c r="R404" i="1" s="1"/>
  <c r="O404" i="1"/>
  <c r="Q404" i="1" s="1"/>
  <c r="P395" i="1"/>
  <c r="R395" i="1" s="1"/>
  <c r="O395" i="1"/>
  <c r="Q395" i="1" s="1"/>
  <c r="P367" i="1"/>
  <c r="R367" i="1" s="1"/>
  <c r="O367" i="1"/>
  <c r="Q367" i="1" s="1"/>
  <c r="P341" i="1"/>
  <c r="R341" i="1" s="1"/>
  <c r="O341" i="1"/>
  <c r="Q341" i="1" s="1"/>
  <c r="P361" i="1"/>
  <c r="R361" i="1" s="1"/>
  <c r="O361" i="1"/>
  <c r="Q361" i="1" s="1"/>
  <c r="P320" i="1"/>
  <c r="R320" i="1" s="1"/>
  <c r="O320" i="1"/>
  <c r="Q320" i="1" s="1"/>
  <c r="P406" i="1"/>
  <c r="R406" i="1" s="1"/>
  <c r="N282" i="1"/>
  <c r="P282" i="1" s="1"/>
  <c r="R282" i="1" s="1"/>
  <c r="O282" i="1"/>
  <c r="Q282" i="1" s="1"/>
  <c r="P355" i="1"/>
  <c r="R355" i="1" s="1"/>
  <c r="O355" i="1"/>
  <c r="Q355" i="1" s="1"/>
  <c r="P309" i="1"/>
  <c r="R309" i="1" s="1"/>
  <c r="O309" i="1"/>
  <c r="Q309" i="1" s="1"/>
  <c r="P339" i="1"/>
  <c r="R339" i="1" s="1"/>
  <c r="O339" i="1"/>
  <c r="Q339" i="1" s="1"/>
  <c r="P337" i="1"/>
  <c r="R337" i="1" s="1"/>
  <c r="O337" i="1"/>
  <c r="Q337" i="1" s="1"/>
  <c r="P402" i="1"/>
  <c r="R402" i="1" s="1"/>
  <c r="O402" i="1"/>
  <c r="Q402" i="1" s="1"/>
  <c r="P381" i="1"/>
  <c r="R381" i="1" s="1"/>
  <c r="O381" i="1"/>
  <c r="Q381" i="1" s="1"/>
  <c r="P366" i="1"/>
  <c r="R366" i="1" s="1"/>
  <c r="O366" i="1"/>
  <c r="Q366" i="1" s="1"/>
  <c r="P417" i="1"/>
  <c r="R417" i="1" s="1"/>
  <c r="O417" i="1"/>
  <c r="Q417" i="1" s="1"/>
  <c r="N290" i="1"/>
  <c r="P290" i="1" s="1"/>
  <c r="R290" i="1" s="1"/>
  <c r="O290" i="1"/>
  <c r="Q290" i="1" s="1"/>
  <c r="P380" i="1"/>
  <c r="R380" i="1" s="1"/>
  <c r="O380" i="1"/>
  <c r="Q380" i="1" s="1"/>
  <c r="P365" i="1"/>
  <c r="R365" i="1" s="1"/>
  <c r="O365" i="1"/>
  <c r="Q365" i="1" s="1"/>
  <c r="P312" i="1"/>
  <c r="R312" i="1" s="1"/>
  <c r="O312" i="1"/>
  <c r="Q312" i="1" s="1"/>
  <c r="N302" i="1"/>
  <c r="P302" i="1" s="1"/>
  <c r="R302" i="1" s="1"/>
  <c r="O302" i="1"/>
  <c r="Q302" i="1" s="1"/>
  <c r="P396" i="1"/>
  <c r="R396" i="1" s="1"/>
  <c r="O396" i="1"/>
  <c r="Q396" i="1" s="1"/>
  <c r="O370" i="1"/>
  <c r="Q370" i="1" s="1"/>
  <c r="P316" i="1"/>
  <c r="R316" i="1" s="1"/>
  <c r="O316" i="1"/>
  <c r="Q316" i="1" s="1"/>
  <c r="P391" i="1"/>
  <c r="R391" i="1" s="1"/>
  <c r="O391" i="1"/>
  <c r="Q391" i="1" s="1"/>
  <c r="P346" i="1"/>
  <c r="R346" i="1" s="1"/>
  <c r="O346" i="1"/>
  <c r="Q346" i="1" s="1"/>
  <c r="P372" i="1"/>
  <c r="R372" i="1" s="1"/>
  <c r="O372" i="1"/>
  <c r="Q372" i="1" s="1"/>
  <c r="P330" i="1"/>
  <c r="R330" i="1" s="1"/>
  <c r="O330" i="1"/>
  <c r="Q330" i="1" s="1"/>
  <c r="N286" i="1"/>
  <c r="P286" i="1" s="1"/>
  <c r="R286" i="1" s="1"/>
  <c r="O286" i="1"/>
  <c r="Q286" i="1" s="1"/>
  <c r="P333" i="1"/>
  <c r="R333" i="1" s="1"/>
  <c r="O333" i="1"/>
  <c r="Q333" i="1" s="1"/>
  <c r="P356" i="1"/>
  <c r="R356" i="1" s="1"/>
  <c r="O356" i="1"/>
  <c r="Q356" i="1" s="1"/>
  <c r="P343" i="1"/>
  <c r="R343" i="1" s="1"/>
  <c r="O343" i="1"/>
  <c r="Q343" i="1" s="1"/>
  <c r="P348" i="1"/>
  <c r="R348" i="1" s="1"/>
  <c r="O348" i="1"/>
  <c r="Q348" i="1" s="1"/>
  <c r="P307" i="1"/>
  <c r="R307" i="1" s="1"/>
  <c r="O307" i="1"/>
  <c r="Q307" i="1" s="1"/>
  <c r="P373" i="1"/>
  <c r="R373" i="1" s="1"/>
  <c r="O373" i="1"/>
  <c r="Q373" i="1" s="1"/>
  <c r="P414" i="1"/>
  <c r="R414" i="1" s="1"/>
  <c r="O414" i="1"/>
  <c r="Q414" i="1" s="1"/>
  <c r="M408" i="1"/>
  <c r="N408" i="1" s="1"/>
  <c r="I137" i="1"/>
  <c r="K137" i="1"/>
  <c r="L306" i="1" s="1"/>
  <c r="J137" i="1"/>
  <c r="I317" i="1"/>
  <c r="K317" i="1"/>
  <c r="G317" i="1"/>
  <c r="J136" i="1"/>
  <c r="K136" i="1"/>
  <c r="L305" i="1" s="1"/>
  <c r="I136" i="1"/>
  <c r="G298" i="1"/>
  <c r="I303" i="1"/>
  <c r="K303" i="1"/>
  <c r="G303" i="1"/>
  <c r="K315" i="1"/>
  <c r="I315" i="1"/>
  <c r="G315" i="1"/>
  <c r="G311" i="1"/>
  <c r="I311" i="1"/>
  <c r="K311" i="1"/>
  <c r="G304" i="1"/>
  <c r="K304" i="1"/>
  <c r="I304" i="1"/>
  <c r="K298" i="1" l="1"/>
  <c r="N300" i="1"/>
  <c r="P300" i="1" s="1"/>
  <c r="R300" i="1" s="1"/>
  <c r="O344" i="1"/>
  <c r="Q344" i="1" s="1"/>
  <c r="O385" i="1"/>
  <c r="Q385" i="1" s="1"/>
  <c r="O323" i="1"/>
  <c r="Q323" i="1" s="1"/>
  <c r="O383" i="1"/>
  <c r="Q383" i="1" s="1"/>
  <c r="N416" i="1"/>
  <c r="P416" i="1" s="1"/>
  <c r="R416" i="1" s="1"/>
  <c r="O363" i="1"/>
  <c r="Q363" i="1" s="1"/>
  <c r="O353" i="1"/>
  <c r="Q353" i="1" s="1"/>
  <c r="N399" i="1"/>
  <c r="P399" i="1" s="1"/>
  <c r="R399" i="1" s="1"/>
  <c r="N389" i="1"/>
  <c r="P389" i="1" s="1"/>
  <c r="R389" i="1" s="1"/>
  <c r="O405" i="1"/>
  <c r="Q405" i="1" s="1"/>
  <c r="O406" i="1"/>
  <c r="Q406" i="1" s="1"/>
  <c r="O371" i="1"/>
  <c r="Q371" i="1" s="1"/>
  <c r="O291" i="1"/>
  <c r="Q291" i="1" s="1"/>
  <c r="O378" i="1"/>
  <c r="Q378" i="1" s="1"/>
  <c r="O398" i="1"/>
  <c r="Q398" i="1" s="1"/>
  <c r="O410" i="1"/>
  <c r="Q410" i="1" s="1"/>
  <c r="O297" i="1"/>
  <c r="Q297" i="1" s="1"/>
  <c r="O382" i="1"/>
  <c r="Q382" i="1" s="1"/>
  <c r="O377" i="1"/>
  <c r="Q377" i="1" s="1"/>
  <c r="N285" i="1"/>
  <c r="P285" i="1" s="1"/>
  <c r="R285" i="1" s="1"/>
  <c r="N326" i="1"/>
  <c r="P326" i="1" s="1"/>
  <c r="R326" i="1" s="1"/>
  <c r="O313" i="1"/>
  <c r="Q313" i="1" s="1"/>
  <c r="O386" i="1"/>
  <c r="Q386" i="1" s="1"/>
  <c r="O325" i="1"/>
  <c r="Q325" i="1" s="1"/>
  <c r="O352" i="1"/>
  <c r="Q352" i="1" s="1"/>
  <c r="N384" i="1"/>
  <c r="P384" i="1" s="1"/>
  <c r="R384" i="1" s="1"/>
  <c r="O354" i="1"/>
  <c r="Q354" i="1" s="1"/>
  <c r="O412" i="1"/>
  <c r="Q412" i="1" s="1"/>
  <c r="M317" i="1"/>
  <c r="O413" i="1"/>
  <c r="Q413" i="1" s="1"/>
  <c r="N301" i="1"/>
  <c r="P301" i="1" s="1"/>
  <c r="R301" i="1" s="1"/>
  <c r="M298" i="1"/>
  <c r="O298" i="1" s="1"/>
  <c r="Q298" i="1" s="1"/>
  <c r="P408" i="1"/>
  <c r="R408" i="1" s="1"/>
  <c r="O408" i="1"/>
  <c r="Q408" i="1" s="1"/>
  <c r="M311" i="1"/>
  <c r="M304" i="1"/>
  <c r="O304" i="1" s="1"/>
  <c r="Q304" i="1" s="1"/>
  <c r="M315" i="1"/>
  <c r="N315" i="1" s="1"/>
  <c r="M303" i="1"/>
  <c r="G305" i="1"/>
  <c r="K305" i="1"/>
  <c r="I305" i="1"/>
  <c r="G306" i="1"/>
  <c r="I306" i="1"/>
  <c r="K306" i="1"/>
  <c r="M306" i="1" l="1"/>
  <c r="N317" i="1"/>
  <c r="P317" i="1" s="1"/>
  <c r="R317" i="1" s="1"/>
  <c r="O317" i="1"/>
  <c r="Q317" i="1" s="1"/>
  <c r="N298" i="1"/>
  <c r="P298" i="1" s="1"/>
  <c r="R298" i="1" s="1"/>
  <c r="O311" i="1"/>
  <c r="Q311" i="1" s="1"/>
  <c r="N311" i="1"/>
  <c r="P311" i="1" s="1"/>
  <c r="R311" i="1" s="1"/>
  <c r="M305" i="1"/>
  <c r="O305" i="1" s="1"/>
  <c r="Q305" i="1" s="1"/>
  <c r="N303" i="1"/>
  <c r="P303" i="1" s="1"/>
  <c r="R303" i="1" s="1"/>
  <c r="O303" i="1"/>
  <c r="Q303" i="1" s="1"/>
  <c r="P315" i="1"/>
  <c r="R315" i="1" s="1"/>
  <c r="O315" i="1"/>
  <c r="Q315" i="1" s="1"/>
  <c r="N304" i="1"/>
  <c r="P304" i="1" s="1"/>
  <c r="R304" i="1" s="1"/>
  <c r="N305" i="1" l="1"/>
  <c r="P305" i="1" s="1"/>
  <c r="R305" i="1" s="1"/>
  <c r="N306" i="1"/>
  <c r="P306" i="1" s="1"/>
  <c r="R306" i="1" s="1"/>
  <c r="O306" i="1"/>
  <c r="Q306" i="1" s="1"/>
</calcChain>
</file>

<file path=xl/sharedStrings.xml><?xml version="1.0" encoding="utf-8"?>
<sst xmlns="http://schemas.openxmlformats.org/spreadsheetml/2006/main" count="1094" uniqueCount="597">
  <si>
    <t>CALCULATIONS OF NEW MEXICO WATER QUALITY-BASED EFFLUENT LIMITATIONS</t>
  </si>
  <si>
    <t>NMAC 20.6.4.</t>
  </si>
  <si>
    <t>NMWQS as of January 14, 2011</t>
  </si>
  <si>
    <t>(EPA approved site-specific criteria for aluminum, cadmium, and zinc on April 30, 2012)</t>
  </si>
  <si>
    <t>Calculations Specifications:</t>
  </si>
  <si>
    <t>Excel</t>
  </si>
  <si>
    <t>Revised as of July 10, 2012</t>
  </si>
  <si>
    <t>Prepared By:</t>
  </si>
  <si>
    <t>STEP 1:</t>
  </si>
  <si>
    <t>REFERENCE IMPLEMENTATION PROCEDURES</t>
  </si>
  <si>
    <t xml:space="preserve">APPENDIX </t>
  </si>
  <si>
    <t>A</t>
  </si>
  <si>
    <t>INPUT FACILITY AND RECEIVING STREAM DATA</t>
  </si>
  <si>
    <t>of FACT SHEET</t>
  </si>
  <si>
    <t>LIST SOURCE OF DATA INPUT</t>
  </si>
  <si>
    <t>IMPLEMENTATION PROCEDURES</t>
  </si>
  <si>
    <t xml:space="preserve">The State of New Mexico Standards for Interstate and Intrastate Surface Waters are implemented in this spread sheet </t>
  </si>
  <si>
    <t xml:space="preserve">by using procedures established in the current "Procedures for Implementing NPDES Permits in New Mexico" </t>
  </si>
  <si>
    <t>FACILTY</t>
  </si>
  <si>
    <t>DATA INPUT</t>
  </si>
  <si>
    <t>Permittee</t>
  </si>
  <si>
    <t>Jim Crow</t>
  </si>
  <si>
    <t>NPDES Permit No.</t>
  </si>
  <si>
    <t>NM0031236</t>
  </si>
  <si>
    <t>Outfall No.(s)</t>
  </si>
  <si>
    <t>Plant Effluent Flow (MGD)</t>
  </si>
  <si>
    <t xml:space="preserve"> For industrial and federal facility, use the highest monthly average flow  </t>
  </si>
  <si>
    <t>Plant Effluent Flow (cfs)</t>
  </si>
  <si>
    <t>for the past 24 months.  For POTWs, use the design flow.</t>
  </si>
  <si>
    <t>RECEIVING STREAM</t>
  </si>
  <si>
    <t>Receiving Stream Name</t>
  </si>
  <si>
    <t>Carlisle Creek</t>
  </si>
  <si>
    <t>Basin Name</t>
  </si>
  <si>
    <t>Gila Mangas Basin</t>
  </si>
  <si>
    <t>Waterbody Segment Code No.</t>
  </si>
  <si>
    <t>20.6.4.98</t>
  </si>
  <si>
    <t>Is a publicly owned lake or reservoir (enter "1" if it's a lake, "0" if not)</t>
  </si>
  <si>
    <t>Are acute aquatic life criteria considered (1= yes, 0= no)</t>
  </si>
  <si>
    <t>(MUST enter "1" for 2005 Standards)</t>
  </si>
  <si>
    <t>Are chronic aquatic life criteria considered (1= yes, 0=no)</t>
  </si>
  <si>
    <t>Are domestic water supply criteria considered (1= yes, 0=no)</t>
  </si>
  <si>
    <t>Are irrigation water supply criteria considered (1= yes, 0=no)</t>
  </si>
  <si>
    <t>Livestock watering and wildlife habitat criteria applied to all streams</t>
  </si>
  <si>
    <t>USGS Flow Station</t>
  </si>
  <si>
    <t>USGS</t>
  </si>
  <si>
    <t>WQ Monitoring Station No.</t>
  </si>
  <si>
    <t>SJR</t>
  </si>
  <si>
    <t>Receiving Stream TSS (mg/l)</t>
  </si>
  <si>
    <t xml:space="preserve">MQL Lab </t>
  </si>
  <si>
    <t>For intermittent stream, enter effluent TSS</t>
  </si>
  <si>
    <t>Receiving Stream Hardness (mg/l as CaCOs)</t>
  </si>
  <si>
    <t>RANGE: 0 - 400</t>
  </si>
  <si>
    <t xml:space="preserve">Lab Results </t>
  </si>
  <si>
    <t>For intermittent stream, enter effluent Hardness (If no data, 20 mg/l is used)</t>
  </si>
  <si>
    <t>Receiving Stream Critical Low Flow (4Q3) (cfs)</t>
  </si>
  <si>
    <t>Enter "0" for intermittent stream and lake.</t>
  </si>
  <si>
    <t>Receiving Stream Harmonic Mean Flow (cfs)</t>
  </si>
  <si>
    <t>Enter harmonic mean or modified harmonic mean flow data or 0.001 if no data is available</t>
  </si>
  <si>
    <t>Avg. Receiving Water Temperature (C)</t>
  </si>
  <si>
    <t>pH (Avg), Receiving Stream</t>
  </si>
  <si>
    <t>Fraction of stream allowed for mixing (F)</t>
  </si>
  <si>
    <t>Enter 1, if stream morphology data is not available or for intermittent streams.</t>
  </si>
  <si>
    <t>Fraction of Critical Low Flow</t>
  </si>
  <si>
    <t>STEP 2:</t>
  </si>
  <si>
    <t>INPUT AMBIENT AND EFFLUENT DATA</t>
  </si>
  <si>
    <t>CALCULATE IN-STREAM WASTE CONCENTRATIONS</t>
  </si>
  <si>
    <t xml:space="preserve"> DATA INPUT</t>
  </si>
  <si>
    <t>Input pollutant geometric mean concentration as micro-gram per liter (ug/l or ppb)</t>
  </si>
  <si>
    <t xml:space="preserve">unless other unit is specified for the parameter. </t>
  </si>
  <si>
    <t>Effluent value reported as "&lt; detection level" (DL) but the DL is greater than MQL, input "1/2 DL" for calculation.</t>
  </si>
  <si>
    <t>Effluent value reported as "&lt; detection level" (DL) and the DL is smaller than MQL, no data is inputted.</t>
  </si>
  <si>
    <t>If a less than MQL vakue is reported, input either the reported value or "0" for calculation.</t>
  </si>
  <si>
    <t>The following formular is used to calculate the Instream Waste Concentration (Cd)</t>
  </si>
  <si>
    <t xml:space="preserve">See the current "Procedures for Implementing NPDES Permits in New Mexico" </t>
  </si>
  <si>
    <t>Cd = [(F*Qa*Ca) + (Qe*2.13*Ce)] / (F*Qa + Qe)</t>
  </si>
  <si>
    <t>Where:</t>
  </si>
  <si>
    <t>Cd = Instream Waste Concentration</t>
  </si>
  <si>
    <t>F    = Fraction of stream allowed for mixing (see "Procedures for Implementing NPDES Permits in New Mexico")</t>
  </si>
  <si>
    <t>Ce = Reported concentration in effluent</t>
  </si>
  <si>
    <t>Ca = Ambient stream concentration upstream of discharge</t>
  </si>
  <si>
    <t>Qe = Plant effluent flow</t>
  </si>
  <si>
    <t>Qa = Critical low flow of stream at discharge point expressed as the 4Q3 or harmonic mean flow for human health criteria</t>
  </si>
  <si>
    <t xml:space="preserve">The following formular convert metals reported in total form to dissolved form if criteria are in dissolved form </t>
  </si>
  <si>
    <t>See the current "Procedures for Implementing NPDES Permits in New Mexico"</t>
  </si>
  <si>
    <t>Kp = Kpo * (TSS**a)</t>
  </si>
  <si>
    <t>Kp = Linear partition coefficient; Kpo and a can be found in table below</t>
  </si>
  <si>
    <t>C/Ct = 1/ (1 + Kp*TSS* 10^-6)</t>
  </si>
  <si>
    <t>TSS = Total suspended solids concentration found in receiving stream (or in effluent for intermittent stream)</t>
  </si>
  <si>
    <t xml:space="preserve">Total Metal Criteria (Ct) = Cr  / (C/Ct)  </t>
  </si>
  <si>
    <t>C/Ct = Fraction of metal dissolved; and Cr = Dissolved criteria value</t>
  </si>
  <si>
    <t>Stream Linear Partition Coefficient</t>
  </si>
  <si>
    <t>Lake Linear Partition Coefficient</t>
  </si>
  <si>
    <t>Total Metals</t>
  </si>
  <si>
    <t>Total Value</t>
  </si>
  <si>
    <t>Kpo</t>
  </si>
  <si>
    <t>alpha (a)</t>
  </si>
  <si>
    <t>Kp</t>
  </si>
  <si>
    <t>C/Ct</t>
  </si>
  <si>
    <t>Dissolved Value in Stream</t>
  </si>
  <si>
    <t xml:space="preserve">Kp </t>
  </si>
  <si>
    <t>Dissolved Value in Lake</t>
  </si>
  <si>
    <t>Arsenic</t>
  </si>
  <si>
    <t>Chromium III</t>
  </si>
  <si>
    <t>Copper</t>
  </si>
  <si>
    <t>Lead</t>
  </si>
  <si>
    <t>Nickel</t>
  </si>
  <si>
    <t>Silver</t>
  </si>
  <si>
    <t>Zinc</t>
  </si>
  <si>
    <t>The following formular is used to calculate hardness dependent criteria</t>
  </si>
  <si>
    <t>Dissolved</t>
  </si>
  <si>
    <t>(Please refer to State Water Quality Standards for details)</t>
  </si>
  <si>
    <t>WQC (ug/l)</t>
  </si>
  <si>
    <t>Aluminum (T)</t>
  </si>
  <si>
    <t>Acute</t>
  </si>
  <si>
    <t>e(1.3695[ln(hardness)]+1.8308)</t>
  </si>
  <si>
    <t>If Stream pH &lt; 6.5, enter 750 in cell O113</t>
  </si>
  <si>
    <t>Chronic</t>
  </si>
  <si>
    <t>e(1.3695[ln(hardness)]+0.9161)</t>
  </si>
  <si>
    <t>If Stream pH &lt; 6.5, enter 87 in cell P113</t>
  </si>
  <si>
    <t>Cadmium (D)</t>
  </si>
  <si>
    <t>e(0.8968[ln(hardness)]-3.5699)*CF1</t>
  </si>
  <si>
    <t>CF1 = 1.136672 - 0.041838*ln(hardness)</t>
  </si>
  <si>
    <t>e(0.7647[ln(hardness)]-4.2180)*CF2</t>
  </si>
  <si>
    <t>CF2 = 1.101672 - 0.041838*ln(hardness)</t>
  </si>
  <si>
    <t>Chromium III (D)</t>
  </si>
  <si>
    <t>0.316 e(0.819[ln(hardness)]+3.7256)</t>
  </si>
  <si>
    <t>0.860 e(0.819[ln(hardness)]+0.6848)</t>
  </si>
  <si>
    <t>Copper (D)</t>
  </si>
  <si>
    <t>0.960 e(0.9422[ln(hardness)]-1.700)</t>
  </si>
  <si>
    <t>0.960 e(0.8545[ln(hardness)]-1.702)</t>
  </si>
  <si>
    <t>Lead (D)</t>
  </si>
  <si>
    <t>e(1.273[ln(hardness)]-1.46)*CF3</t>
  </si>
  <si>
    <t>CF3 = 1.46203 - 0.145712*ln(hardness)</t>
  </si>
  <si>
    <t>e(1.273[ln(hardness)]-4.705)*CF4</t>
  </si>
  <si>
    <t>CF4 = 1.46203 - 0.145712*ln(hardness)</t>
  </si>
  <si>
    <t>Manganese (D)</t>
  </si>
  <si>
    <t>e(0.3331[ln(hardness)]+6.4676)</t>
  </si>
  <si>
    <t>e(0.3331[ln(hardness)]+5.8743)</t>
  </si>
  <si>
    <t>Nickel (D)</t>
  </si>
  <si>
    <t>0.998 e(0.846[ln(hardness)]+2.255)</t>
  </si>
  <si>
    <t>0.997 e(0.846[ln(hardness)]+0.0584)</t>
  </si>
  <si>
    <t>Silver (D)</t>
  </si>
  <si>
    <t>0.85 e(1.72[ln(hardness)]-6.59)</t>
  </si>
  <si>
    <t>Zinc (D)</t>
  </si>
  <si>
    <t>0.978 e(0.9094[ln(hardness)]+0.9095)</t>
  </si>
  <si>
    <t>0.986 e(0.90947[ln(hardness)]+0.6235)</t>
  </si>
  <si>
    <t>Instream Waste Concentration</t>
  </si>
  <si>
    <t>Livestock&amp;</t>
  </si>
  <si>
    <t xml:space="preserve">Acute </t>
  </si>
  <si>
    <t xml:space="preserve">Chronic </t>
  </si>
  <si>
    <t xml:space="preserve">Human </t>
  </si>
  <si>
    <t>Need</t>
  </si>
  <si>
    <t>POLLUTANTS</t>
  </si>
  <si>
    <t xml:space="preserve">Ambient </t>
  </si>
  <si>
    <t xml:space="preserve">Effluent </t>
  </si>
  <si>
    <t xml:space="preserve">Domestic </t>
  </si>
  <si>
    <t>Domestic</t>
  </si>
  <si>
    <t>Irrigation</t>
  </si>
  <si>
    <t xml:space="preserve">Wildlife </t>
  </si>
  <si>
    <t>Aquatic</t>
  </si>
  <si>
    <t>Health</t>
  </si>
  <si>
    <t>TMDL</t>
  </si>
  <si>
    <t>Conc.</t>
  </si>
  <si>
    <t>Supply</t>
  </si>
  <si>
    <t>Criteria</t>
  </si>
  <si>
    <t>CAS No.</t>
  </si>
  <si>
    <t xml:space="preserve">    MQL</t>
  </si>
  <si>
    <t>Ca (ug/l)</t>
  </si>
  <si>
    <t>Ce (ug/l)</t>
  </si>
  <si>
    <t>2.13*Ce</t>
  </si>
  <si>
    <t>Cd,dom (ug/l)</t>
  </si>
  <si>
    <t>Cd (ug/l)</t>
  </si>
  <si>
    <t>Cd,hh (ug/l)</t>
  </si>
  <si>
    <t>ug/l</t>
  </si>
  <si>
    <t>Radioactivity, Nutrients, and Chlorine</t>
  </si>
  <si>
    <t>Aluminum, total</t>
  </si>
  <si>
    <t>7429-90-5</t>
  </si>
  <si>
    <t>Barium, dissolved</t>
  </si>
  <si>
    <t>7440-39-3</t>
  </si>
  <si>
    <t>Boron, dissolved</t>
  </si>
  <si>
    <t>7440-42-8</t>
  </si>
  <si>
    <t>Cobalt, dissolved</t>
  </si>
  <si>
    <t>7440-48-4</t>
  </si>
  <si>
    <t>Uranium, dissolved</t>
  </si>
  <si>
    <t>7440-61-1</t>
  </si>
  <si>
    <t>Vanadium, dissolved</t>
  </si>
  <si>
    <t>7440-62-2</t>
  </si>
  <si>
    <t>Ra-226 and Ra-228 (pCi/l)</t>
  </si>
  <si>
    <t>Strontium (pCi/l)</t>
  </si>
  <si>
    <t>Tritium (pCi/l)</t>
  </si>
  <si>
    <t>Gross Alpha (pCi/l)</t>
  </si>
  <si>
    <t>Asbestos (fibers/l)</t>
  </si>
  <si>
    <t xml:space="preserve">Total Residual Chlorine </t>
  </si>
  <si>
    <t>7782-50-5</t>
  </si>
  <si>
    <t>Nitrate as N (mg/l)</t>
  </si>
  <si>
    <t>Nitrite + Nitrate (mg/l)</t>
  </si>
  <si>
    <t>METALS AND CYANIDE</t>
  </si>
  <si>
    <t>Antimony, dissolved (P)</t>
  </si>
  <si>
    <t>7440-36-0</t>
  </si>
  <si>
    <t>Arsenic, dissolved (P)</t>
  </si>
  <si>
    <t>7440-38-2</t>
  </si>
  <si>
    <t>Beryllium, dissolved</t>
  </si>
  <si>
    <t>7440-41-7</t>
  </si>
  <si>
    <t>Cadmium, dissolved</t>
  </si>
  <si>
    <t>7440-43-9</t>
  </si>
  <si>
    <t>Chromium (III), dissolved</t>
  </si>
  <si>
    <t>16065-83-1</t>
  </si>
  <si>
    <t>Chromium (VI), dissolved</t>
  </si>
  <si>
    <t>18540-29-9</t>
  </si>
  <si>
    <t>Chromium, dissolved</t>
  </si>
  <si>
    <t>7440-47-3</t>
  </si>
  <si>
    <t>Copper, dissolved</t>
  </si>
  <si>
    <t>7440-50-8</t>
  </si>
  <si>
    <t>Lead, dissolved</t>
  </si>
  <si>
    <t>7439-92-1</t>
  </si>
  <si>
    <t>Manganese, dissolved</t>
  </si>
  <si>
    <t>7439-96-5</t>
  </si>
  <si>
    <t>Human</t>
  </si>
  <si>
    <t>Wildlife</t>
  </si>
  <si>
    <t>Conc</t>
  </si>
  <si>
    <t xml:space="preserve"> Conc.</t>
  </si>
  <si>
    <t xml:space="preserve"> Criteria</t>
  </si>
  <si>
    <t>Mercury, dissolved</t>
  </si>
  <si>
    <t>7439-97-6</t>
  </si>
  <si>
    <t>Mercury, total</t>
  </si>
  <si>
    <t>Molybdenum, dissolved</t>
  </si>
  <si>
    <t>7439-98-7</t>
  </si>
  <si>
    <t>Molybdenum, total recoverable</t>
  </si>
  <si>
    <t>Nickel, dissolved (P)</t>
  </si>
  <si>
    <t>7440-02-0</t>
  </si>
  <si>
    <t>Selenium, dissolved (P)</t>
  </si>
  <si>
    <t>7782-49-2</t>
  </si>
  <si>
    <t>Selenium, dis (SO4 &gt;500 mg/l)</t>
  </si>
  <si>
    <t>Selenium, total recoverable</t>
  </si>
  <si>
    <t>Silver, dissolved</t>
  </si>
  <si>
    <t>7440-22-4</t>
  </si>
  <si>
    <t>Thalllium, dissolved (P)</t>
  </si>
  <si>
    <t>7440-28-0</t>
  </si>
  <si>
    <t>Zinc, dissolved</t>
  </si>
  <si>
    <t>7440-66-6</t>
  </si>
  <si>
    <t>Cyanide, total recoverable</t>
  </si>
  <si>
    <t>57-12-5</t>
  </si>
  <si>
    <t>Dioxin</t>
  </si>
  <si>
    <t>1764-01-6</t>
  </si>
  <si>
    <t>VOLATILE COMPOUNDS</t>
  </si>
  <si>
    <t>Acrolein</t>
  </si>
  <si>
    <t>107-02-8</t>
  </si>
  <si>
    <t>Acrylonitrile</t>
  </si>
  <si>
    <t>107-13-0</t>
  </si>
  <si>
    <t>Benzene</t>
  </si>
  <si>
    <t xml:space="preserve">  71-43-2</t>
  </si>
  <si>
    <t>Bromoform</t>
  </si>
  <si>
    <t xml:space="preserve">  75-25-2</t>
  </si>
  <si>
    <t>Carbon Tetrachloride</t>
  </si>
  <si>
    <t xml:space="preserve">  56-23-5</t>
  </si>
  <si>
    <t>Chlorobenzene</t>
  </si>
  <si>
    <t>108-90-7</t>
  </si>
  <si>
    <t>Clorodibromomethane</t>
  </si>
  <si>
    <t>124-48-1</t>
  </si>
  <si>
    <t>Chloroform</t>
  </si>
  <si>
    <t xml:space="preserve">  67-66-3</t>
  </si>
  <si>
    <t>Dichlorobromomethane</t>
  </si>
  <si>
    <t xml:space="preserve">  75-27-4</t>
  </si>
  <si>
    <t xml:space="preserve"> 1,2-Dichloroethane</t>
  </si>
  <si>
    <t>107-06-2</t>
  </si>
  <si>
    <t xml:space="preserve"> 1,1-Dichloroethylene</t>
  </si>
  <si>
    <t xml:space="preserve">  75-35-4</t>
  </si>
  <si>
    <t xml:space="preserve"> 1,2-Dichloropropane</t>
  </si>
  <si>
    <t xml:space="preserve">  78-87-5</t>
  </si>
  <si>
    <t xml:space="preserve"> 1,3-Dichloropropylene</t>
  </si>
  <si>
    <t>542-75-6</t>
  </si>
  <si>
    <t>Ethylbenzene</t>
  </si>
  <si>
    <t>100-41-4</t>
  </si>
  <si>
    <t>Methyl Bromide</t>
  </si>
  <si>
    <t xml:space="preserve">  74-83-9</t>
  </si>
  <si>
    <t>Methylene Chloride</t>
  </si>
  <si>
    <t xml:space="preserve">  75-09-2</t>
  </si>
  <si>
    <t xml:space="preserve"> 1,1,2,2-Tetrachloroethane</t>
  </si>
  <si>
    <t xml:space="preserve">  79-34-5</t>
  </si>
  <si>
    <t>Tetrachloroethylene</t>
  </si>
  <si>
    <t>127-18-4</t>
  </si>
  <si>
    <t>Tolune</t>
  </si>
  <si>
    <t>108-88-3</t>
  </si>
  <si>
    <t xml:space="preserve"> 1,2-trans-Dichloroethylene</t>
  </si>
  <si>
    <t xml:space="preserve">   156-60-5</t>
  </si>
  <si>
    <t xml:space="preserve"> 1,1,1-Trichloroethane</t>
  </si>
  <si>
    <t>71-55-6</t>
  </si>
  <si>
    <t xml:space="preserve"> 1,1,2-Trichloroethane</t>
  </si>
  <si>
    <t xml:space="preserve">  79-00-5</t>
  </si>
  <si>
    <t>Trichloroethylene</t>
  </si>
  <si>
    <t xml:space="preserve">  79-01-6</t>
  </si>
  <si>
    <t>Vinyl Chloride</t>
  </si>
  <si>
    <t xml:space="preserve">  75-01-4</t>
  </si>
  <si>
    <t>ACID COMPOUNDS</t>
  </si>
  <si>
    <t xml:space="preserve"> 2-Chlorophenol</t>
  </si>
  <si>
    <t xml:space="preserve">  95-57-8</t>
  </si>
  <si>
    <t xml:space="preserve"> 2,4-Dichlorophenol</t>
  </si>
  <si>
    <t>120-83-2</t>
  </si>
  <si>
    <t xml:space="preserve"> 2,4-Dimethylphenol</t>
  </si>
  <si>
    <t>105-67-9</t>
  </si>
  <si>
    <t xml:space="preserve"> 4,6-Dinitro-o-Cresol</t>
  </si>
  <si>
    <t>534-52-1</t>
  </si>
  <si>
    <t xml:space="preserve"> 2,4-Dinitrophenol</t>
  </si>
  <si>
    <t xml:space="preserve">  51-28-5</t>
  </si>
  <si>
    <t>Pentachlorophenol</t>
  </si>
  <si>
    <t xml:space="preserve">  87-86-5</t>
  </si>
  <si>
    <t>Phenol</t>
  </si>
  <si>
    <t>108-95-2</t>
  </si>
  <si>
    <t xml:space="preserve"> 2,4,6-Trichlorophenol</t>
  </si>
  <si>
    <t xml:space="preserve">  88-06-2</t>
  </si>
  <si>
    <t xml:space="preserve">BASE/NEUTRAL </t>
  </si>
  <si>
    <t>Acenaphthene</t>
  </si>
  <si>
    <t xml:space="preserve">  83-32-9</t>
  </si>
  <si>
    <t>Anthracene</t>
  </si>
  <si>
    <t>120-12-7</t>
  </si>
  <si>
    <t>Benzidine</t>
  </si>
  <si>
    <t xml:space="preserve">  92-87-5</t>
  </si>
  <si>
    <t>Benzo(a)anthracene</t>
  </si>
  <si>
    <t xml:space="preserve">  56-55-3</t>
  </si>
  <si>
    <t>Benzo(a)pyrene</t>
  </si>
  <si>
    <t xml:space="preserve">  50-32-8</t>
  </si>
  <si>
    <t xml:space="preserve"> 3,4-Benzofluoranthene</t>
  </si>
  <si>
    <t>205-99-2</t>
  </si>
  <si>
    <t>Benzo(k)fluoranthene</t>
  </si>
  <si>
    <t>207-08-9</t>
  </si>
  <si>
    <t>Bis(2-chloroethyl)Ether</t>
  </si>
  <si>
    <t>111-44-4</t>
  </si>
  <si>
    <t>Bis(2-chloroisopropyl)Ether</t>
  </si>
  <si>
    <t xml:space="preserve"> 108-60-1</t>
  </si>
  <si>
    <t>Bis(2-ethylhexyl)Phthalate</t>
  </si>
  <si>
    <t xml:space="preserve"> 117-81-7</t>
  </si>
  <si>
    <t>Butyl Benzyl Phthalate</t>
  </si>
  <si>
    <t xml:space="preserve">  85-68-7</t>
  </si>
  <si>
    <t xml:space="preserve"> 2-Chloronapthalene</t>
  </si>
  <si>
    <t xml:space="preserve">  91-58-7</t>
  </si>
  <si>
    <t>Chrysene</t>
  </si>
  <si>
    <t>218-01-9</t>
  </si>
  <si>
    <t>Dibenzo(a,h)anthracene</t>
  </si>
  <si>
    <t xml:space="preserve">  53-70-3</t>
  </si>
  <si>
    <t xml:space="preserve"> 1,2-Dichlorobenzene</t>
  </si>
  <si>
    <t xml:space="preserve">  95-50-1</t>
  </si>
  <si>
    <t xml:space="preserve"> 1,3-Dichlorobenzene</t>
  </si>
  <si>
    <t>541-73-1</t>
  </si>
  <si>
    <t xml:space="preserve"> 1,4-Dichlorobenzene</t>
  </si>
  <si>
    <t>106-46-7</t>
  </si>
  <si>
    <t>3,3'-Dichlorobenzidine</t>
  </si>
  <si>
    <t xml:space="preserve">  91-94-1</t>
  </si>
  <si>
    <t>Diethyl Phthalate</t>
  </si>
  <si>
    <t xml:space="preserve">  84-66-2</t>
  </si>
  <si>
    <t>Dimethyl Phthalate</t>
  </si>
  <si>
    <t>131-11-3</t>
  </si>
  <si>
    <t>Di-n-Butyl Phthalate</t>
  </si>
  <si>
    <t xml:space="preserve">  84-74-2</t>
  </si>
  <si>
    <t xml:space="preserve"> 2,4-Dinitrotoluene</t>
  </si>
  <si>
    <t>121-14-2</t>
  </si>
  <si>
    <t xml:space="preserve"> 1,2-Diphenylhydrazine</t>
  </si>
  <si>
    <t>122-66-7</t>
  </si>
  <si>
    <t>Fluoranthene</t>
  </si>
  <si>
    <t>206-44-0</t>
  </si>
  <si>
    <t>Fluorene</t>
  </si>
  <si>
    <t xml:space="preserve">  86-73-7</t>
  </si>
  <si>
    <t>Hexachlorobenzene</t>
  </si>
  <si>
    <t>118-74-1</t>
  </si>
  <si>
    <t>Hexachlorobutadiene</t>
  </si>
  <si>
    <t xml:space="preserve">  87-68-3</t>
  </si>
  <si>
    <t>Hexachlorocyclopentadiene</t>
  </si>
  <si>
    <t xml:space="preserve">  77-47-4</t>
  </si>
  <si>
    <t>Hexachloroethane</t>
  </si>
  <si>
    <t xml:space="preserve">  67-72-1</t>
  </si>
  <si>
    <t>Indeno(1,2,3-cd)Pyrene</t>
  </si>
  <si>
    <t>193-39-5</t>
  </si>
  <si>
    <t>Isophorone</t>
  </si>
  <si>
    <t xml:space="preserve">  78-59-1</t>
  </si>
  <si>
    <t>Nitrobenzene</t>
  </si>
  <si>
    <t xml:space="preserve">  98-95-3</t>
  </si>
  <si>
    <t>n-Nitrosodimethylamine</t>
  </si>
  <si>
    <t xml:space="preserve">  62-75-9</t>
  </si>
  <si>
    <t>n-Nitrosodi-n-Propylamine</t>
  </si>
  <si>
    <t>621-64-7</t>
  </si>
  <si>
    <t>n-Nitrosodiphenylamine</t>
  </si>
  <si>
    <t xml:space="preserve">  86-30-6</t>
  </si>
  <si>
    <t>Nonylphenol</t>
  </si>
  <si>
    <t>84852-15-3</t>
  </si>
  <si>
    <t>Pyrene</t>
  </si>
  <si>
    <t>129-00-0</t>
  </si>
  <si>
    <t xml:space="preserve"> 1,2,4-Trichlorobenzene</t>
  </si>
  <si>
    <t>120-82-1</t>
  </si>
  <si>
    <t>PESTICIDES AND PCBS</t>
  </si>
  <si>
    <t>Aldrin</t>
  </si>
  <si>
    <t>309-00-2</t>
  </si>
  <si>
    <t>Alpha-BHC</t>
  </si>
  <si>
    <t>319-84-6</t>
  </si>
  <si>
    <t>Beta-BHC</t>
  </si>
  <si>
    <t>319-85-7</t>
  </si>
  <si>
    <t>Gamma-BHC</t>
  </si>
  <si>
    <t xml:space="preserve">  58-89-9</t>
  </si>
  <si>
    <t>Chlordane</t>
  </si>
  <si>
    <t xml:space="preserve">  57-74-9</t>
  </si>
  <si>
    <t xml:space="preserve"> 4,4'-DDT and derivatives</t>
  </si>
  <si>
    <t xml:space="preserve">  50-29-3</t>
  </si>
  <si>
    <t>Dieldrin</t>
  </si>
  <si>
    <t xml:space="preserve">  60-57-1</t>
  </si>
  <si>
    <t>Diazinon</t>
  </si>
  <si>
    <t>333-41-5</t>
  </si>
  <si>
    <t>Alpha-Endosulfan</t>
  </si>
  <si>
    <t>959-98-8</t>
  </si>
  <si>
    <t>Beta-Endosulfan</t>
  </si>
  <si>
    <t>33213-65-9</t>
  </si>
  <si>
    <t>Endosulfan sulfate</t>
  </si>
  <si>
    <t>1031-7-8</t>
  </si>
  <si>
    <t>Endrin</t>
  </si>
  <si>
    <t xml:space="preserve">  72-20-8</t>
  </si>
  <si>
    <t>Endrin Aldehyde</t>
  </si>
  <si>
    <t>7421-93-4</t>
  </si>
  <si>
    <t>Heptachlor</t>
  </si>
  <si>
    <t xml:space="preserve">  76-44-8</t>
  </si>
  <si>
    <t>Heptachlor Epoixde</t>
  </si>
  <si>
    <t>1024-57-3</t>
  </si>
  <si>
    <t>PCBs</t>
  </si>
  <si>
    <t>1336-36-3</t>
  </si>
  <si>
    <t>Toxaphene</t>
  </si>
  <si>
    <t>8001-35-2</t>
  </si>
  <si>
    <t>STEP 3:</t>
  </si>
  <si>
    <t>SCAN POTENTIAL INSTREAM WASTE CONCENTRATIONS AGAINST WATER QUALITY CRITERIA</t>
  </si>
  <si>
    <t>AND ESTABLISH EFFLUENT LIMITATIONS FOR ALL APPLICABLE PARAMETERS</t>
  </si>
  <si>
    <t>No limits are established if the receiving stream is not designated for the particular uses.</t>
  </si>
  <si>
    <t>No limits are established if the potential instream waste concentrations are less than the chronic water quality criteria.</t>
  </si>
  <si>
    <t>The most applicable stringent criteria are used to establish effluent limitations for a given parameter.</t>
  </si>
  <si>
    <t>Water quality criteria apply at the end-of-pipe for acute aquatic life criteria and discharges to public lakes.</t>
  </si>
  <si>
    <t>If background concentration exceeds the water quality criteria, water quality criteria apply. And "Need TMDL" shown to the next column of Avg. Mass</t>
  </si>
  <si>
    <t>Monthly avg concentration = daily max. / 1.5.</t>
  </si>
  <si>
    <t>APPLICABLE WATER QUALITY-BASED LIMITS</t>
  </si>
  <si>
    <t>The following formular is used to calculate the allowable daily maximum effluent cincentration</t>
  </si>
  <si>
    <t>Daily Max. Conc. = Cs + (Cs - Ca)(F*Qa/Qe)</t>
  </si>
  <si>
    <t>Monthly Avg. Conc. = Daily Max. Conc. / 1.5</t>
  </si>
  <si>
    <t>Cs = Applicable water quality standard</t>
  </si>
  <si>
    <t>Ca = Ambient stream concentration</t>
  </si>
  <si>
    <t>F    = Fraction of stream allowed for mixing (1.0 is assigned to domestic water supply and human health uses)</t>
  </si>
  <si>
    <t>Qa = Criteria Low flow (4Q3) or Harmonic Mean flow for Human Health Criteria</t>
  </si>
  <si>
    <t>Livestock</t>
  </si>
  <si>
    <t>Daily</t>
  </si>
  <si>
    <t>Monthly</t>
  </si>
  <si>
    <t>Daily Max</t>
  </si>
  <si>
    <t>Mon. Avg</t>
  </si>
  <si>
    <t xml:space="preserve">STORET </t>
  </si>
  <si>
    <t>or Wildlife</t>
  </si>
  <si>
    <t>Max Conc</t>
  </si>
  <si>
    <t>Avg Conc</t>
  </si>
  <si>
    <t>Total</t>
  </si>
  <si>
    <t>Max Load</t>
  </si>
  <si>
    <t>Avg Load</t>
  </si>
  <si>
    <t>Limits</t>
  </si>
  <si>
    <t xml:space="preserve"> Limits</t>
  </si>
  <si>
    <t xml:space="preserve">Ib/day </t>
  </si>
  <si>
    <t>lb/day</t>
  </si>
  <si>
    <t>Radioactivity, Nutrients, and Chlorine, as Total</t>
  </si>
  <si>
    <t>Aluminum, Total</t>
  </si>
  <si>
    <t>01105</t>
  </si>
  <si>
    <t>Barium, Total</t>
  </si>
  <si>
    <t>01007</t>
  </si>
  <si>
    <t>Boron, Total</t>
  </si>
  <si>
    <t>01022</t>
  </si>
  <si>
    <t>Cobalt, Total</t>
  </si>
  <si>
    <t>01037</t>
  </si>
  <si>
    <t>Uranium, Total</t>
  </si>
  <si>
    <t>22706</t>
  </si>
  <si>
    <t>Vanadium, Total</t>
  </si>
  <si>
    <t>01087</t>
  </si>
  <si>
    <t>11503</t>
  </si>
  <si>
    <t>13501</t>
  </si>
  <si>
    <t>04124</t>
  </si>
  <si>
    <t>80029</t>
  </si>
  <si>
    <t>50060</t>
  </si>
  <si>
    <t>00620</t>
  </si>
  <si>
    <t>00630</t>
  </si>
  <si>
    <t>METALS AND CYANIDE,  as Total</t>
  </si>
  <si>
    <t>Antimony, Total (P)</t>
  </si>
  <si>
    <t>01097</t>
  </si>
  <si>
    <t>Arsenic, Total (P)</t>
  </si>
  <si>
    <t>Beryllium, Total</t>
  </si>
  <si>
    <t>01012</t>
  </si>
  <si>
    <t>Cadmium, Total</t>
  </si>
  <si>
    <t>01027</t>
  </si>
  <si>
    <t>01033</t>
  </si>
  <si>
    <t>01034</t>
  </si>
  <si>
    <t>Chromium, Total</t>
  </si>
  <si>
    <t>Copper, Total</t>
  </si>
  <si>
    <t>01042</t>
  </si>
  <si>
    <t>Lead, Total</t>
  </si>
  <si>
    <t>01051</t>
  </si>
  <si>
    <t>Manganese, dissovled</t>
  </si>
  <si>
    <t>01056</t>
  </si>
  <si>
    <t>Mercury, Dissolved</t>
  </si>
  <si>
    <t>71900</t>
  </si>
  <si>
    <t>Mercury, Total</t>
  </si>
  <si>
    <t>1060</t>
  </si>
  <si>
    <t>01062</t>
  </si>
  <si>
    <t>Nickel, Total (P)</t>
  </si>
  <si>
    <t>01067</t>
  </si>
  <si>
    <t>Selenium, Total (P)</t>
  </si>
  <si>
    <t>01147</t>
  </si>
  <si>
    <t>Selenium, Total (SO4 &gt;500 mg/l)</t>
  </si>
  <si>
    <t>Selenium, Total recoverable</t>
  </si>
  <si>
    <t>Silver, Total</t>
  </si>
  <si>
    <t>01077</t>
  </si>
  <si>
    <t>Thalllium, Total (P)</t>
  </si>
  <si>
    <t>01059</t>
  </si>
  <si>
    <t>Zinc, Total</t>
  </si>
  <si>
    <t>00720</t>
  </si>
  <si>
    <t>DIOXIN</t>
  </si>
  <si>
    <t>2,3,7,8-TCDD</t>
  </si>
  <si>
    <t>34675</t>
  </si>
  <si>
    <t>34210</t>
  </si>
  <si>
    <t>34215</t>
  </si>
  <si>
    <t>34030</t>
  </si>
  <si>
    <t>32104</t>
  </si>
  <si>
    <t>32102</t>
  </si>
  <si>
    <t>34301</t>
  </si>
  <si>
    <t>32105</t>
  </si>
  <si>
    <t>32106</t>
  </si>
  <si>
    <t>32101</t>
  </si>
  <si>
    <t>34531</t>
  </si>
  <si>
    <t>34501</t>
  </si>
  <si>
    <t>34541</t>
  </si>
  <si>
    <t>34561</t>
  </si>
  <si>
    <t>34371</t>
  </si>
  <si>
    <t>34413</t>
  </si>
  <si>
    <t>34423</t>
  </si>
  <si>
    <t>34516</t>
  </si>
  <si>
    <t>34475</t>
  </si>
  <si>
    <t>34010</t>
  </si>
  <si>
    <t>34546</t>
  </si>
  <si>
    <t>34511</t>
  </si>
  <si>
    <t>39180</t>
  </si>
  <si>
    <t>39175</t>
  </si>
  <si>
    <t>34586</t>
  </si>
  <si>
    <t>34601</t>
  </si>
  <si>
    <t>34606</t>
  </si>
  <si>
    <t>34657</t>
  </si>
  <si>
    <t>34616</t>
  </si>
  <si>
    <t>39032</t>
  </si>
  <si>
    <t>34694</t>
  </si>
  <si>
    <t>34621</t>
  </si>
  <si>
    <t>34205</t>
  </si>
  <si>
    <t>34220</t>
  </si>
  <si>
    <t>39120</t>
  </si>
  <si>
    <t>34526</t>
  </si>
  <si>
    <t>34247</t>
  </si>
  <si>
    <t>34230</t>
  </si>
  <si>
    <t>34242</t>
  </si>
  <si>
    <t>34273</t>
  </si>
  <si>
    <t>34283</t>
  </si>
  <si>
    <t>39100</t>
  </si>
  <si>
    <t>34292</t>
  </si>
  <si>
    <t>34581</t>
  </si>
  <si>
    <t>34320</t>
  </si>
  <si>
    <t>34556</t>
  </si>
  <si>
    <t>34536</t>
  </si>
  <si>
    <t>34566</t>
  </si>
  <si>
    <t>34571</t>
  </si>
  <si>
    <t>34631</t>
  </si>
  <si>
    <t>34336</t>
  </si>
  <si>
    <t>34341</t>
  </si>
  <si>
    <t>39110</t>
  </si>
  <si>
    <t>34611</t>
  </si>
  <si>
    <t>34346</t>
  </si>
  <si>
    <t>34376</t>
  </si>
  <si>
    <t>34381</t>
  </si>
  <si>
    <t>39700</t>
  </si>
  <si>
    <t>34391</t>
  </si>
  <si>
    <t>34386</t>
  </si>
  <si>
    <t>34396</t>
  </si>
  <si>
    <t>34403</t>
  </si>
  <si>
    <t>34408</t>
  </si>
  <si>
    <t>34447</t>
  </si>
  <si>
    <t>34438</t>
  </si>
  <si>
    <t>34428</t>
  </si>
  <si>
    <t>34433</t>
  </si>
  <si>
    <t>34469</t>
  </si>
  <si>
    <t>34551</t>
  </si>
  <si>
    <t>39330</t>
  </si>
  <si>
    <t>39337</t>
  </si>
  <si>
    <t>39338</t>
  </si>
  <si>
    <t>39340</t>
  </si>
  <si>
    <t>39350</t>
  </si>
  <si>
    <t>39300</t>
  </si>
  <si>
    <t>39380</t>
  </si>
  <si>
    <t>39570</t>
  </si>
  <si>
    <t>34361</t>
  </si>
  <si>
    <t>34356</t>
  </si>
  <si>
    <t>34351</t>
  </si>
  <si>
    <t>39390</t>
  </si>
  <si>
    <t>34366</t>
  </si>
  <si>
    <t>39410</t>
  </si>
  <si>
    <t>39420</t>
  </si>
  <si>
    <t>39516</t>
  </si>
  <si>
    <t>39400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</si>
</sst>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09]h:mm\ AM/PM;@"/>
  </numFmts>
  <fonts count="8">
    <font>
      <sz val="12"/>
      <name val="Arial"/>
    </font>
    <font>
      <sz val="12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1" fontId="3" fillId="0" borderId="0" xfId="0" applyNumberFormat="1" applyFont="1"/>
    <xf numFmtId="0" fontId="4" fillId="0" borderId="0" xfId="0" applyFont="1"/>
    <xf numFmtId="0" fontId="3" fillId="2" borderId="0" xfId="0" applyFont="1" applyFill="1"/>
    <xf numFmtId="15" fontId="3" fillId="2" borderId="0" xfId="0" applyNumberFormat="1" applyFont="1" applyFill="1"/>
    <xf numFmtId="0" fontId="5" fillId="0" borderId="0" xfId="0" applyFon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3" borderId="0" xfId="0" applyFont="1" applyFill="1"/>
    <xf numFmtId="0" fontId="3" fillId="4" borderId="0" xfId="0" applyFont="1" applyFill="1" applyAlignment="1">
      <alignment horizontal="center"/>
    </xf>
    <xf numFmtId="11" fontId="3" fillId="0" borderId="0" xfId="0" applyNumberFormat="1" applyFont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/>
    <xf numFmtId="0" fontId="1" fillId="6" borderId="0" xfId="0" applyFont="1" applyFill="1"/>
    <xf numFmtId="0" fontId="6" fillId="0" borderId="0" xfId="0" applyFont="1"/>
    <xf numFmtId="0" fontId="5" fillId="0" borderId="0" xfId="0" applyFont="1" applyAlignment="1">
      <alignment horizontal="right"/>
    </xf>
    <xf numFmtId="0" fontId="5" fillId="4" borderId="0" xfId="0" applyFont="1" applyFill="1" applyAlignment="1">
      <alignment horizontal="left"/>
    </xf>
    <xf numFmtId="165" fontId="3" fillId="4" borderId="0" xfId="0" applyNumberFormat="1" applyFont="1" applyFill="1"/>
    <xf numFmtId="0" fontId="7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A96FFA9D-E7AA-4945-AAB4-897ADB9D57E5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honeticPr fontId="3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23"/>
  <sheetViews>
    <sheetView tabSelected="1" view="pageBreakPreview" topLeftCell="A217" zoomScale="110" zoomScaleNormal="87" zoomScaleSheetLayoutView="110" workbookViewId="0">
      <selection activeCell="A103" sqref="A103"/>
    </sheetView>
  </sheetViews>
  <sheetFormatPr defaultColWidth="9.6640625" defaultRowHeight="15"/>
  <cols>
    <col min="1" max="1" width="9.6640625" style="1" customWidth="1"/>
    <col min="2" max="2" width="7.5546875" style="1" customWidth="1"/>
    <col min="3" max="3" width="8.44140625" style="1" customWidth="1"/>
    <col min="4" max="4" width="6.44140625" style="1" customWidth="1"/>
    <col min="5" max="5" width="5.21875" style="1" customWidth="1"/>
    <col min="6" max="6" width="8.109375" style="1" customWidth="1"/>
    <col min="7" max="7" width="7.88671875" style="1" customWidth="1"/>
    <col min="8" max="8" width="4.6640625" style="1" hidden="1" customWidth="1"/>
    <col min="9" max="9" width="8.6640625" style="1" customWidth="1"/>
    <col min="10" max="11" width="7.21875" style="1" customWidth="1"/>
    <col min="12" max="12" width="7.88671875" style="1" customWidth="1"/>
    <col min="13" max="14" width="8" style="1" customWidth="1"/>
    <col min="15" max="15" width="8.109375" style="1" customWidth="1"/>
    <col min="16" max="16" width="7" style="1" customWidth="1"/>
    <col min="17" max="17" width="7.21875" style="1" customWidth="1"/>
    <col min="18" max="18" width="6" style="1" bestFit="1" customWidth="1"/>
    <col min="19" max="16384" width="9.6640625" style="1"/>
  </cols>
  <sheetData>
    <row r="1" spans="1:17">
      <c r="A1" s="2"/>
      <c r="B1" s="3"/>
      <c r="C1" s="3"/>
      <c r="D1" s="3"/>
      <c r="E1" s="3"/>
      <c r="F1" s="21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12" t="s">
        <v>1</v>
      </c>
      <c r="B2" s="21" t="s">
        <v>2</v>
      </c>
      <c r="C2" s="3"/>
      <c r="D2" s="3"/>
      <c r="E2" s="3"/>
      <c r="F2" s="3" t="s">
        <v>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3" t="s">
        <v>4</v>
      </c>
      <c r="B3" s="3"/>
      <c r="C3" s="3"/>
      <c r="D3" s="3"/>
      <c r="E3" s="3"/>
      <c r="F3" s="3" t="s">
        <v>5</v>
      </c>
      <c r="G3" s="21" t="s">
        <v>6</v>
      </c>
      <c r="H3" s="6"/>
      <c r="I3" s="6"/>
      <c r="J3" s="3"/>
      <c r="K3" s="3"/>
      <c r="L3" s="3"/>
      <c r="M3" s="3"/>
      <c r="N3" s="3"/>
      <c r="O3" s="3"/>
      <c r="P3" s="3"/>
      <c r="Q3" s="3"/>
    </row>
    <row r="4" spans="1:1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s="3" t="s">
        <v>7</v>
      </c>
      <c r="B5" s="3"/>
      <c r="C5" s="3"/>
      <c r="D5" s="3"/>
      <c r="E5" s="3"/>
      <c r="F5" s="7"/>
      <c r="G5" s="8">
        <f ca="1">TODAY()</f>
        <v>46240</v>
      </c>
      <c r="H5" s="3"/>
      <c r="I5" s="24">
        <f ca="1">NOW()</f>
        <v>46240.577542013889</v>
      </c>
      <c r="J5" s="3"/>
      <c r="K5" s="3"/>
      <c r="L5" s="3"/>
      <c r="M5" s="3"/>
      <c r="N5" s="3"/>
      <c r="O5" s="3"/>
      <c r="P5" s="3"/>
      <c r="Q5" s="3"/>
    </row>
    <row r="6" spans="1:1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.6">
      <c r="A7" s="9" t="s">
        <v>8</v>
      </c>
      <c r="B7" s="3" t="s">
        <v>9</v>
      </c>
      <c r="C7" s="3"/>
      <c r="D7" s="3"/>
      <c r="E7" s="3"/>
      <c r="F7" s="3"/>
      <c r="G7" s="22" t="s">
        <v>10</v>
      </c>
      <c r="H7" s="3"/>
      <c r="I7" s="23" t="s">
        <v>11</v>
      </c>
      <c r="J7" s="3"/>
      <c r="K7" s="3"/>
      <c r="L7" s="3"/>
      <c r="M7" s="3"/>
      <c r="N7" s="3"/>
      <c r="O7" s="3"/>
      <c r="P7" s="3"/>
      <c r="Q7" s="3"/>
    </row>
    <row r="8" spans="1:17" ht="15.6">
      <c r="A8" s="3"/>
      <c r="B8" s="3" t="s">
        <v>12</v>
      </c>
      <c r="C8" s="3"/>
      <c r="D8" s="3"/>
      <c r="E8" s="3"/>
      <c r="F8" s="3"/>
      <c r="G8" s="9" t="s">
        <v>13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15.6">
      <c r="A9" s="3"/>
      <c r="B9" s="3" t="s">
        <v>14</v>
      </c>
      <c r="C9" s="3"/>
      <c r="D9" s="3"/>
      <c r="E9" s="3"/>
      <c r="F9" s="3"/>
      <c r="G9" s="9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/>
      <c r="B10" s="3"/>
      <c r="C10" s="3"/>
      <c r="D10" s="3"/>
      <c r="E10" s="3"/>
      <c r="F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s="3" t="s">
        <v>15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s="3" t="s">
        <v>16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s="3" t="s">
        <v>17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s="3" t="s">
        <v>18</v>
      </c>
      <c r="B16" s="3"/>
      <c r="C16" s="3"/>
      <c r="D16" s="3"/>
      <c r="E16" s="3"/>
      <c r="F16" s="3"/>
      <c r="G16" s="3"/>
      <c r="H16" s="3"/>
      <c r="I16" s="3" t="s">
        <v>19</v>
      </c>
      <c r="J16" s="3"/>
      <c r="K16" s="3"/>
      <c r="L16" s="3"/>
      <c r="M16" s="3"/>
      <c r="N16" s="3"/>
      <c r="O16" s="3"/>
      <c r="P16" s="3"/>
      <c r="Q16" s="3"/>
    </row>
    <row r="17" spans="1: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s="3" t="s">
        <v>20</v>
      </c>
      <c r="B18" s="3"/>
      <c r="C18" s="3"/>
      <c r="D18" s="3"/>
      <c r="E18" s="3"/>
      <c r="F18" s="3"/>
      <c r="G18" s="3"/>
      <c r="H18" s="3"/>
      <c r="I18" s="7" t="s">
        <v>21</v>
      </c>
      <c r="J18" s="7"/>
      <c r="K18" s="3"/>
      <c r="L18" s="3"/>
      <c r="M18" s="3"/>
      <c r="N18" s="3"/>
      <c r="O18" s="3"/>
      <c r="P18" s="3"/>
      <c r="Q18" s="3"/>
    </row>
    <row r="19" spans="1:17">
      <c r="A19" s="3" t="s">
        <v>22</v>
      </c>
      <c r="B19" s="3"/>
      <c r="C19" s="3"/>
      <c r="D19" s="3"/>
      <c r="E19" s="3"/>
      <c r="F19" s="3"/>
      <c r="G19" s="3"/>
      <c r="H19" s="3"/>
      <c r="I19" s="7" t="s">
        <v>23</v>
      </c>
      <c r="J19" s="3"/>
      <c r="K19" s="3"/>
      <c r="L19" s="3"/>
      <c r="M19" s="3"/>
      <c r="N19" s="3"/>
      <c r="O19" s="3"/>
      <c r="P19" s="3"/>
      <c r="Q19" s="3"/>
    </row>
    <row r="20" spans="1:17">
      <c r="A20" s="3" t="s">
        <v>24</v>
      </c>
      <c r="B20" s="3"/>
      <c r="C20" s="3"/>
      <c r="D20" s="3"/>
      <c r="E20" s="3"/>
      <c r="F20" s="3"/>
      <c r="G20" s="3"/>
      <c r="H20" s="3"/>
      <c r="I20" s="10">
        <v>1</v>
      </c>
      <c r="J20" s="3"/>
      <c r="K20" s="3"/>
      <c r="L20" s="3"/>
      <c r="M20" s="3"/>
      <c r="N20" s="3"/>
      <c r="O20" s="3"/>
      <c r="P20" s="3"/>
      <c r="Q20" s="3"/>
    </row>
    <row r="21" spans="1:17">
      <c r="A21" s="3" t="s">
        <v>25</v>
      </c>
      <c r="B21" s="3"/>
      <c r="C21" s="3"/>
      <c r="D21" s="3"/>
      <c r="E21" s="3"/>
      <c r="F21" s="3"/>
      <c r="G21" s="3"/>
      <c r="H21" s="3"/>
      <c r="I21" s="10">
        <v>2.8799999999999999E-2</v>
      </c>
      <c r="J21" s="3"/>
      <c r="K21" s="3" t="s">
        <v>26</v>
      </c>
      <c r="M21" s="3"/>
      <c r="N21" s="3"/>
      <c r="O21" s="3"/>
      <c r="P21" s="3"/>
      <c r="Q21" s="3"/>
    </row>
    <row r="22" spans="1:17">
      <c r="A22" s="3" t="s">
        <v>27</v>
      </c>
      <c r="B22" s="3"/>
      <c r="C22" s="3"/>
      <c r="D22" s="3"/>
      <c r="E22" s="3"/>
      <c r="F22" s="3"/>
      <c r="G22" s="3"/>
      <c r="H22" s="3"/>
      <c r="I22" s="11">
        <f>1.55*I21</f>
        <v>4.4639999999999999E-2</v>
      </c>
      <c r="J22" s="3"/>
      <c r="K22" s="3" t="s">
        <v>28</v>
      </c>
      <c r="M22" s="3"/>
      <c r="N22" s="3"/>
      <c r="O22" s="3"/>
      <c r="P22" s="3"/>
      <c r="Q22" s="3"/>
    </row>
    <row r="23" spans="1:17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s="3" t="s">
        <v>29</v>
      </c>
      <c r="B24" s="3"/>
      <c r="C24" s="3"/>
      <c r="D24" s="3"/>
      <c r="E24" s="3"/>
      <c r="F24" s="3"/>
      <c r="G24" s="3"/>
      <c r="H24" s="3"/>
      <c r="I24" s="3" t="s">
        <v>19</v>
      </c>
      <c r="J24" s="3"/>
      <c r="K24" s="3"/>
      <c r="L24" s="3"/>
      <c r="M24" s="3"/>
      <c r="N24" s="3"/>
      <c r="O24" s="3"/>
      <c r="P24" s="3"/>
      <c r="Q24" s="3"/>
    </row>
    <row r="25" spans="1:17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s="3" t="s">
        <v>30</v>
      </c>
      <c r="B26" s="3"/>
      <c r="C26" s="3"/>
      <c r="D26" s="3"/>
      <c r="E26" s="3"/>
      <c r="F26" s="3"/>
      <c r="G26" s="3"/>
      <c r="H26" s="3"/>
      <c r="I26" s="7" t="s">
        <v>31</v>
      </c>
      <c r="J26" s="3"/>
      <c r="K26" s="3"/>
      <c r="L26" s="3"/>
      <c r="M26" s="3"/>
      <c r="N26" s="3"/>
      <c r="O26" s="3"/>
      <c r="P26" s="3"/>
      <c r="Q26" s="3"/>
    </row>
    <row r="27" spans="1:17">
      <c r="A27" s="3" t="s">
        <v>32</v>
      </c>
      <c r="B27" s="3"/>
      <c r="C27" s="3"/>
      <c r="D27" s="3"/>
      <c r="E27" s="3"/>
      <c r="F27" s="3"/>
      <c r="G27" s="3"/>
      <c r="H27" s="3"/>
      <c r="I27" s="7" t="s">
        <v>33</v>
      </c>
      <c r="J27" s="3"/>
      <c r="K27" s="3"/>
      <c r="L27" s="3"/>
      <c r="M27" s="3"/>
      <c r="N27" s="3"/>
      <c r="O27" s="3"/>
      <c r="P27" s="3"/>
      <c r="Q27" s="3"/>
    </row>
    <row r="28" spans="1:17">
      <c r="A28" s="3" t="s">
        <v>34</v>
      </c>
      <c r="B28" s="3"/>
      <c r="C28" s="3"/>
      <c r="D28" s="3"/>
      <c r="E28" s="3"/>
      <c r="F28" s="3"/>
      <c r="G28" s="3"/>
      <c r="H28" s="3"/>
      <c r="I28" s="7" t="s">
        <v>35</v>
      </c>
      <c r="J28" s="3"/>
      <c r="K28" s="3"/>
      <c r="L28" s="3"/>
      <c r="M28" s="3"/>
      <c r="N28" s="3"/>
      <c r="O28" s="3"/>
      <c r="P28" s="3"/>
      <c r="Q28" s="3"/>
    </row>
    <row r="29" spans="1:17">
      <c r="A29" s="3" t="s">
        <v>36</v>
      </c>
      <c r="B29" s="3"/>
      <c r="C29" s="3"/>
      <c r="D29" s="3"/>
      <c r="E29" s="3"/>
      <c r="F29" s="3"/>
      <c r="G29" s="3"/>
      <c r="H29" s="3"/>
      <c r="I29" s="10">
        <v>0</v>
      </c>
      <c r="J29" s="3"/>
      <c r="K29" s="3"/>
      <c r="L29" s="3"/>
      <c r="M29" s="3"/>
      <c r="N29" s="3"/>
      <c r="O29" s="3"/>
      <c r="P29" s="3"/>
      <c r="Q29" s="3"/>
    </row>
    <row r="30" spans="1:17">
      <c r="A30" s="3" t="s">
        <v>37</v>
      </c>
      <c r="B30" s="3"/>
      <c r="C30" s="3"/>
      <c r="D30" s="3"/>
      <c r="E30" s="3" t="s">
        <v>38</v>
      </c>
      <c r="F30" s="3"/>
      <c r="G30" s="3"/>
      <c r="H30" s="3"/>
      <c r="I30" s="10">
        <v>1</v>
      </c>
      <c r="J30" s="3"/>
      <c r="K30" s="3"/>
      <c r="L30" s="3"/>
      <c r="M30" s="3"/>
      <c r="N30" s="3"/>
      <c r="O30" s="3"/>
      <c r="P30" s="3"/>
      <c r="Q30" s="3"/>
    </row>
    <row r="31" spans="1:17">
      <c r="A31" s="3" t="s">
        <v>39</v>
      </c>
      <c r="B31" s="3"/>
      <c r="C31" s="3"/>
      <c r="D31" s="3"/>
      <c r="E31" s="3"/>
      <c r="F31" s="3"/>
      <c r="G31" s="3"/>
      <c r="H31" s="3"/>
      <c r="I31" s="10">
        <v>1</v>
      </c>
      <c r="J31" s="3"/>
      <c r="K31" s="3"/>
      <c r="L31" s="3"/>
      <c r="M31" s="3"/>
      <c r="N31" s="3"/>
      <c r="O31" s="3"/>
      <c r="P31" s="3"/>
      <c r="Q31" s="3"/>
    </row>
    <row r="32" spans="1:17">
      <c r="A32" s="3" t="s">
        <v>40</v>
      </c>
      <c r="B32" s="3"/>
      <c r="C32" s="3"/>
      <c r="D32" s="3"/>
      <c r="E32" s="3"/>
      <c r="F32" s="3"/>
      <c r="G32" s="3"/>
      <c r="H32" s="3"/>
      <c r="I32" s="10">
        <v>0</v>
      </c>
      <c r="J32" s="3"/>
      <c r="K32" s="3"/>
      <c r="L32" s="3"/>
      <c r="M32" s="3"/>
      <c r="N32" s="3"/>
      <c r="O32" s="3"/>
      <c r="P32" s="3"/>
      <c r="Q32" s="3"/>
    </row>
    <row r="33" spans="1:17">
      <c r="A33" s="3" t="s">
        <v>41</v>
      </c>
      <c r="B33" s="3"/>
      <c r="C33" s="3"/>
      <c r="D33" s="3"/>
      <c r="E33" s="3"/>
      <c r="F33" s="3"/>
      <c r="G33" s="3"/>
      <c r="H33" s="3"/>
      <c r="I33" s="10">
        <v>0</v>
      </c>
      <c r="J33" s="3"/>
      <c r="K33" s="3"/>
      <c r="L33" s="3"/>
      <c r="M33" s="3"/>
      <c r="N33" s="3"/>
      <c r="O33" s="3"/>
      <c r="P33" s="3"/>
      <c r="Q33" s="3"/>
    </row>
    <row r="34" spans="1:17">
      <c r="A34" s="3" t="s">
        <v>42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>
      <c r="K35" s="3"/>
      <c r="L35" s="3"/>
      <c r="M35" s="3"/>
      <c r="N35" s="3"/>
      <c r="O35" s="3"/>
      <c r="P35" s="3"/>
      <c r="Q35" s="3"/>
    </row>
    <row r="36" spans="1:17">
      <c r="A36" s="3" t="s">
        <v>43</v>
      </c>
      <c r="B36" s="3"/>
      <c r="C36" s="3"/>
      <c r="D36" s="3"/>
      <c r="E36" s="3"/>
      <c r="F36" s="3"/>
      <c r="G36" s="3"/>
      <c r="H36" s="3"/>
      <c r="I36" s="10" t="s">
        <v>44</v>
      </c>
      <c r="J36" s="3"/>
      <c r="K36" s="3"/>
      <c r="L36" s="3"/>
      <c r="M36" s="3"/>
      <c r="N36" s="3"/>
      <c r="O36" s="3"/>
      <c r="P36" s="3"/>
      <c r="Q36" s="3"/>
    </row>
    <row r="37" spans="1:17">
      <c r="A37" s="3" t="s">
        <v>45</v>
      </c>
      <c r="B37" s="3"/>
      <c r="C37" s="3"/>
      <c r="D37" s="3"/>
      <c r="E37" s="3"/>
      <c r="F37" s="3"/>
      <c r="G37" s="3"/>
      <c r="H37" s="3"/>
      <c r="I37" s="10" t="s">
        <v>46</v>
      </c>
      <c r="J37" s="3"/>
      <c r="K37" s="3"/>
      <c r="L37" s="3"/>
      <c r="M37" s="3"/>
      <c r="N37" s="3"/>
      <c r="O37" s="3"/>
      <c r="P37" s="3"/>
      <c r="Q37" s="3"/>
    </row>
    <row r="38" spans="1:17">
      <c r="A38" s="3" t="s">
        <v>47</v>
      </c>
      <c r="B38" s="3"/>
      <c r="C38" s="3"/>
      <c r="D38" s="3"/>
      <c r="E38" s="3"/>
      <c r="F38" s="3"/>
      <c r="G38" s="3"/>
      <c r="H38" s="3"/>
      <c r="I38" s="10">
        <v>10</v>
      </c>
      <c r="J38" s="3" t="s">
        <v>48</v>
      </c>
      <c r="K38" s="3" t="s">
        <v>49</v>
      </c>
      <c r="L38" s="3"/>
      <c r="N38" s="3"/>
      <c r="O38" s="3"/>
      <c r="P38" s="3"/>
      <c r="Q38" s="3"/>
    </row>
    <row r="39" spans="1:17">
      <c r="A39" s="3" t="s">
        <v>50</v>
      </c>
      <c r="B39" s="3"/>
      <c r="C39" s="3"/>
      <c r="D39" s="3"/>
      <c r="E39" s="3"/>
      <c r="F39" s="3" t="s">
        <v>51</v>
      </c>
      <c r="H39" s="3"/>
      <c r="I39" s="10">
        <v>20</v>
      </c>
      <c r="J39" s="3" t="s">
        <v>52</v>
      </c>
      <c r="K39" s="3" t="s">
        <v>53</v>
      </c>
      <c r="L39" s="3"/>
      <c r="N39" s="3"/>
      <c r="O39" s="3"/>
      <c r="P39" s="3"/>
      <c r="Q39" s="3"/>
    </row>
    <row r="40" spans="1:17">
      <c r="A40" s="3" t="s">
        <v>54</v>
      </c>
      <c r="B40" s="3"/>
      <c r="C40" s="3"/>
      <c r="D40" s="3"/>
      <c r="E40" s="3"/>
      <c r="F40" s="3"/>
      <c r="G40" s="3"/>
      <c r="H40" s="3"/>
      <c r="I40" s="10">
        <v>0</v>
      </c>
      <c r="J40" s="3"/>
      <c r="K40" s="3" t="s">
        <v>55</v>
      </c>
      <c r="L40" s="3"/>
      <c r="N40" s="3"/>
      <c r="O40" s="3"/>
      <c r="P40" s="3"/>
      <c r="Q40" s="3"/>
    </row>
    <row r="41" spans="1:17">
      <c r="A41" s="3" t="s">
        <v>56</v>
      </c>
      <c r="B41" s="3"/>
      <c r="C41" s="3"/>
      <c r="D41" s="3"/>
      <c r="E41" s="3"/>
      <c r="F41" s="3"/>
      <c r="G41" s="3"/>
      <c r="H41" s="3"/>
      <c r="I41" s="25">
        <v>1E-3</v>
      </c>
      <c r="J41" s="3"/>
      <c r="K41" s="3" t="s">
        <v>57</v>
      </c>
      <c r="L41" s="3"/>
      <c r="N41" s="3"/>
      <c r="O41" s="3"/>
      <c r="P41" s="3"/>
      <c r="Q41" s="3"/>
    </row>
    <row r="42" spans="1:17">
      <c r="A42" s="3" t="s">
        <v>58</v>
      </c>
      <c r="B42" s="3"/>
      <c r="C42" s="3"/>
      <c r="D42" s="3"/>
      <c r="E42" s="3"/>
      <c r="F42" s="3"/>
      <c r="G42" s="3"/>
      <c r="H42" s="3"/>
      <c r="I42" s="10">
        <v>18</v>
      </c>
      <c r="J42" s="3"/>
      <c r="K42" s="3"/>
      <c r="L42" s="3"/>
      <c r="M42" s="3"/>
      <c r="N42" s="3"/>
      <c r="O42" s="3"/>
      <c r="P42" s="3"/>
      <c r="Q42" s="3"/>
    </row>
    <row r="43" spans="1:17">
      <c r="A43" s="3" t="s">
        <v>59</v>
      </c>
      <c r="B43" s="3"/>
      <c r="C43" s="3"/>
      <c r="D43" s="3"/>
      <c r="E43" s="3"/>
      <c r="F43" s="3"/>
      <c r="G43" s="3"/>
      <c r="H43" s="3"/>
      <c r="I43" s="10">
        <v>7.6</v>
      </c>
      <c r="J43" s="3"/>
      <c r="K43" s="3"/>
      <c r="L43" s="3"/>
      <c r="M43" s="3"/>
      <c r="N43" s="3"/>
      <c r="O43" s="3"/>
      <c r="P43" s="3"/>
      <c r="Q43" s="3"/>
    </row>
    <row r="44" spans="1:17">
      <c r="A44" s="3" t="s">
        <v>60</v>
      </c>
      <c r="B44" s="3"/>
      <c r="C44" s="3"/>
      <c r="D44" s="3"/>
      <c r="E44" s="3"/>
      <c r="F44" s="4"/>
      <c r="G44" s="4"/>
      <c r="H44" s="4"/>
      <c r="I44" s="10">
        <v>1</v>
      </c>
      <c r="K44" s="3" t="s">
        <v>61</v>
      </c>
      <c r="L44" s="3"/>
      <c r="N44" s="3"/>
      <c r="O44" s="3"/>
      <c r="P44" s="3"/>
      <c r="Q44" s="3"/>
    </row>
    <row r="45" spans="1:17">
      <c r="A45" s="3" t="s">
        <v>62</v>
      </c>
      <c r="B45" s="3"/>
      <c r="C45" s="3"/>
      <c r="D45" s="3"/>
      <c r="E45" s="3"/>
      <c r="F45" s="4"/>
      <c r="G45" s="4"/>
      <c r="H45" s="4"/>
      <c r="I45" s="10">
        <f>I44*I40</f>
        <v>0</v>
      </c>
      <c r="J45" s="4"/>
      <c r="K45" s="3"/>
      <c r="L45" s="3"/>
      <c r="M45" s="3"/>
      <c r="N45" s="3"/>
      <c r="O45" s="3"/>
      <c r="P45" s="3"/>
      <c r="Q45" s="3"/>
    </row>
    <row r="46" spans="1:17" ht="15.6">
      <c r="A46" s="9" t="s">
        <v>63</v>
      </c>
      <c r="B46" s="3" t="s">
        <v>64</v>
      </c>
      <c r="C46" s="3"/>
      <c r="D46" s="3"/>
      <c r="E46" s="3"/>
      <c r="F46" s="4"/>
      <c r="G46" s="4"/>
      <c r="H46" s="4"/>
      <c r="I46" s="4"/>
      <c r="J46" s="4"/>
      <c r="K46" s="3"/>
      <c r="L46" s="3"/>
      <c r="M46" s="3"/>
      <c r="N46" s="3"/>
      <c r="O46" s="3"/>
      <c r="P46" s="3"/>
      <c r="Q46" s="3"/>
    </row>
    <row r="47" spans="1:17">
      <c r="A47" s="3"/>
      <c r="B47" s="3" t="s">
        <v>65</v>
      </c>
      <c r="C47" s="3"/>
      <c r="D47" s="3"/>
      <c r="E47" s="3"/>
      <c r="F47" s="4"/>
      <c r="G47" s="4"/>
      <c r="H47" s="4"/>
      <c r="I47" s="4"/>
      <c r="J47" s="4"/>
      <c r="K47" s="3"/>
      <c r="L47" s="3"/>
      <c r="M47" s="3"/>
      <c r="N47" s="3"/>
      <c r="O47" s="3"/>
      <c r="P47" s="3"/>
      <c r="Q47" s="3"/>
    </row>
    <row r="48" spans="1:17">
      <c r="A48" s="3" t="s">
        <v>66</v>
      </c>
      <c r="B48" s="3"/>
      <c r="C48" s="3"/>
      <c r="D48" s="3" t="s">
        <v>67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>
      <c r="A49" s="3"/>
      <c r="B49" s="3"/>
      <c r="C49" s="3"/>
      <c r="D49" s="3" t="s">
        <v>68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>
      <c r="A50" s="3"/>
      <c r="B50" s="3"/>
      <c r="C50" s="3"/>
      <c r="D50" s="3" t="s">
        <v>69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>
      <c r="A51" s="3"/>
      <c r="B51" s="3"/>
      <c r="C51" s="3"/>
      <c r="D51" s="3" t="s">
        <v>70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>
      <c r="A52" s="3"/>
      <c r="B52" s="3"/>
      <c r="C52" s="3"/>
      <c r="D52" s="3" t="s">
        <v>71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>
      <c r="A53" s="3"/>
      <c r="B53" s="3"/>
      <c r="C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>
      <c r="A54" s="3"/>
      <c r="B54" s="3"/>
      <c r="C54" s="3"/>
      <c r="D54" s="3" t="s">
        <v>72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>
      <c r="A55" s="3"/>
      <c r="B55" s="3"/>
      <c r="C55" s="3"/>
      <c r="D55" s="3" t="s">
        <v>73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>
      <c r="A56" s="3"/>
      <c r="B56" s="3"/>
      <c r="C56" s="3"/>
      <c r="D56" s="3" t="s">
        <v>74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>
      <c r="A57" s="3"/>
      <c r="B57" s="3"/>
      <c r="C57" s="3"/>
      <c r="D57" s="3" t="s">
        <v>75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>
      <c r="A58" s="3"/>
      <c r="B58" s="3"/>
      <c r="C58" s="3"/>
      <c r="D58" s="3" t="s">
        <v>76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>
      <c r="A59" s="3"/>
      <c r="B59" s="3"/>
      <c r="C59" s="3"/>
      <c r="D59" s="3" t="s">
        <v>77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>
      <c r="A60" s="3"/>
      <c r="B60" s="3"/>
      <c r="C60" s="3"/>
      <c r="D60" s="3" t="s">
        <v>78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>
      <c r="A61" s="3"/>
      <c r="B61" s="3"/>
      <c r="C61" s="3"/>
      <c r="D61" s="3" t="s">
        <v>79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>
      <c r="A62" s="3"/>
      <c r="B62" s="3"/>
      <c r="C62" s="3"/>
      <c r="D62" s="3" t="s">
        <v>80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>
      <c r="A63" s="3"/>
      <c r="B63" s="3"/>
      <c r="C63" s="3"/>
      <c r="D63" s="3" t="s">
        <v>81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>
      <c r="A65" s="3" t="s">
        <v>82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>
      <c r="A66" s="3" t="s">
        <v>83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>
      <c r="A67" s="3" t="s">
        <v>84</v>
      </c>
      <c r="B67" s="3"/>
      <c r="C67" s="3"/>
      <c r="D67" s="3"/>
      <c r="E67" s="3"/>
      <c r="F67" s="3" t="s">
        <v>85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>
      <c r="A68" s="3" t="s">
        <v>86</v>
      </c>
      <c r="B68" s="3"/>
      <c r="C68" s="3"/>
      <c r="D68" s="3"/>
      <c r="E68" s="3"/>
      <c r="F68" s="3" t="s">
        <v>87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>
      <c r="A69" s="3" t="s">
        <v>88</v>
      </c>
      <c r="B69" s="3"/>
      <c r="C69" s="3"/>
      <c r="D69" s="3"/>
      <c r="E69" s="3"/>
      <c r="F69" s="3" t="s">
        <v>89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>
      <c r="A71" s="3"/>
      <c r="B71" s="3"/>
      <c r="C71" s="3"/>
      <c r="D71" s="3" t="s">
        <v>90</v>
      </c>
      <c r="E71" s="3"/>
      <c r="F71" s="3"/>
      <c r="G71" s="3"/>
      <c r="H71" s="3"/>
      <c r="I71" s="3"/>
      <c r="J71" s="3"/>
      <c r="K71" s="3"/>
      <c r="L71" s="3" t="s">
        <v>91</v>
      </c>
      <c r="M71" s="3"/>
      <c r="N71" s="3"/>
      <c r="O71" s="3"/>
      <c r="P71" s="3"/>
      <c r="Q71" s="3"/>
    </row>
    <row r="72" spans="1:17">
      <c r="A72" s="3" t="s">
        <v>92</v>
      </c>
      <c r="B72" s="11" t="s">
        <v>93</v>
      </c>
      <c r="C72" s="11"/>
      <c r="D72" s="11" t="s">
        <v>94</v>
      </c>
      <c r="E72" s="11" t="s">
        <v>95</v>
      </c>
      <c r="F72" s="11" t="s">
        <v>96</v>
      </c>
      <c r="G72" s="11" t="s">
        <v>97</v>
      </c>
      <c r="H72" s="11"/>
      <c r="I72" s="12" t="s">
        <v>98</v>
      </c>
      <c r="J72" s="3"/>
      <c r="K72" s="3"/>
      <c r="L72" s="11" t="s">
        <v>94</v>
      </c>
      <c r="M72" s="11" t="s">
        <v>95</v>
      </c>
      <c r="N72" s="11" t="s">
        <v>99</v>
      </c>
      <c r="O72" s="11" t="s">
        <v>97</v>
      </c>
      <c r="P72" s="12" t="s">
        <v>100</v>
      </c>
      <c r="Q72" s="3"/>
    </row>
    <row r="73" spans="1:17">
      <c r="A73" s="3"/>
      <c r="B73" s="11"/>
      <c r="C73" s="11"/>
      <c r="D73" s="11"/>
      <c r="E73" s="11"/>
      <c r="F73" s="11"/>
      <c r="G73" s="11"/>
      <c r="H73" s="11"/>
      <c r="I73" s="11"/>
      <c r="J73" s="3"/>
      <c r="K73" s="3"/>
      <c r="L73" s="11"/>
      <c r="M73" s="11"/>
      <c r="N73" s="11"/>
      <c r="O73" s="11"/>
      <c r="P73" s="11"/>
      <c r="Q73" s="3"/>
    </row>
    <row r="74" spans="1:17">
      <c r="A74" s="3" t="s">
        <v>101</v>
      </c>
      <c r="B74" s="10"/>
      <c r="C74" s="11"/>
      <c r="D74" s="11">
        <f>0.48*10^6</f>
        <v>480000</v>
      </c>
      <c r="E74" s="11">
        <v>-0.73</v>
      </c>
      <c r="F74" s="11">
        <f t="shared" ref="F74:F80" si="0">D74*$I$38^E74</f>
        <v>89380.182559817622</v>
      </c>
      <c r="G74" s="11">
        <f t="shared" ref="G74:G80" si="1">1/(1+F74*$I$38*0.000001)</f>
        <v>0.52803835463836879</v>
      </c>
      <c r="H74" s="11"/>
      <c r="I74" s="11">
        <f t="shared" ref="I74:I80" si="2">B74*G74</f>
        <v>0</v>
      </c>
      <c r="J74" s="3"/>
      <c r="K74" s="3"/>
      <c r="L74" s="11">
        <f>0.48*10^6</f>
        <v>480000</v>
      </c>
      <c r="M74" s="11">
        <v>-0.73</v>
      </c>
      <c r="N74" s="11">
        <f t="shared" ref="N74:N80" si="3">L74*$I$38^M74</f>
        <v>89380.182559817622</v>
      </c>
      <c r="O74" s="11">
        <f t="shared" ref="O74:O80" si="4">1/(1+N74*$I$38*0.000001)</f>
        <v>0.52803835463836879</v>
      </c>
      <c r="P74" s="11">
        <f t="shared" ref="P74:P80" si="5">B74*O74</f>
        <v>0</v>
      </c>
      <c r="Q74" s="3"/>
    </row>
    <row r="75" spans="1:17">
      <c r="A75" s="3" t="s">
        <v>102</v>
      </c>
      <c r="B75" s="10">
        <v>15</v>
      </c>
      <c r="C75" s="11"/>
      <c r="D75" s="11">
        <f>3.36*10^6</f>
        <v>3360000</v>
      </c>
      <c r="E75" s="11">
        <v>-0.93</v>
      </c>
      <c r="F75" s="11">
        <f t="shared" si="0"/>
        <v>394765.57845968177</v>
      </c>
      <c r="G75" s="11">
        <f t="shared" si="1"/>
        <v>0.20211591984899768</v>
      </c>
      <c r="H75" s="11"/>
      <c r="I75" s="11">
        <f>B75*G75</f>
        <v>3.031738797734965</v>
      </c>
      <c r="J75" s="3"/>
      <c r="K75" s="3"/>
      <c r="L75" s="11">
        <f>2.17*10^6</f>
        <v>2170000</v>
      </c>
      <c r="M75" s="11">
        <v>-0.27</v>
      </c>
      <c r="N75" s="11">
        <f t="shared" si="3"/>
        <v>1165358.9981234483</v>
      </c>
      <c r="O75" s="11">
        <f t="shared" si="4"/>
        <v>7.902895553617742E-2</v>
      </c>
      <c r="P75" s="11">
        <f t="shared" si="5"/>
        <v>1.1854343330426613</v>
      </c>
      <c r="Q75" s="3"/>
    </row>
    <row r="76" spans="1:17">
      <c r="A76" s="3" t="s">
        <v>103</v>
      </c>
      <c r="B76" s="10">
        <v>10</v>
      </c>
      <c r="C76" s="11"/>
      <c r="D76" s="11">
        <f>1.04*10^6</f>
        <v>1040000</v>
      </c>
      <c r="E76" s="11">
        <v>-0.74</v>
      </c>
      <c r="F76" s="11">
        <f t="shared" si="0"/>
        <v>189248.88929543828</v>
      </c>
      <c r="G76" s="11">
        <f t="shared" si="1"/>
        <v>0.34572302159425128</v>
      </c>
      <c r="H76" s="11"/>
      <c r="I76" s="11">
        <f t="shared" si="2"/>
        <v>3.4572302159425128</v>
      </c>
      <c r="J76" s="3"/>
      <c r="K76" s="3"/>
      <c r="L76" s="11">
        <f>2.85*10^6</f>
        <v>2850000</v>
      </c>
      <c r="M76" s="11">
        <v>-0.9</v>
      </c>
      <c r="N76" s="11">
        <f t="shared" si="3"/>
        <v>358793.74236133753</v>
      </c>
      <c r="O76" s="11">
        <f t="shared" si="4"/>
        <v>0.21796286820590907</v>
      </c>
      <c r="P76" s="11">
        <f t="shared" si="5"/>
        <v>2.1796286820590907</v>
      </c>
      <c r="Q76" s="3"/>
    </row>
    <row r="77" spans="1:17">
      <c r="A77" s="3" t="s">
        <v>104</v>
      </c>
      <c r="B77" s="10">
        <v>20</v>
      </c>
      <c r="C77" s="11"/>
      <c r="D77" s="11">
        <f>2.8*10^6</f>
        <v>2800000</v>
      </c>
      <c r="E77" s="11">
        <v>-0.8</v>
      </c>
      <c r="F77" s="11">
        <f t="shared" si="0"/>
        <v>443770.09388911171</v>
      </c>
      <c r="G77" s="11">
        <f t="shared" si="1"/>
        <v>0.18390125003894109</v>
      </c>
      <c r="H77" s="11"/>
      <c r="I77" s="11">
        <f t="shared" si="2"/>
        <v>3.6780250007788218</v>
      </c>
      <c r="J77" s="3"/>
      <c r="K77" s="3"/>
      <c r="L77" s="11">
        <f>2.04*10^6</f>
        <v>2040000</v>
      </c>
      <c r="M77" s="11">
        <v>-0.53</v>
      </c>
      <c r="N77" s="11">
        <f t="shared" si="3"/>
        <v>602046.68223994249</v>
      </c>
      <c r="O77" s="11">
        <f t="shared" si="4"/>
        <v>0.14244067029978846</v>
      </c>
      <c r="P77" s="11">
        <f t="shared" si="5"/>
        <v>2.8488134059957693</v>
      </c>
      <c r="Q77" s="3"/>
    </row>
    <row r="78" spans="1:17">
      <c r="A78" s="3" t="s">
        <v>105</v>
      </c>
      <c r="B78" s="10">
        <v>25</v>
      </c>
      <c r="C78" s="11"/>
      <c r="D78" s="11">
        <f>0.49*10^6</f>
        <v>490000</v>
      </c>
      <c r="E78" s="11">
        <v>-0.56999999999999995</v>
      </c>
      <c r="F78" s="11">
        <f t="shared" si="0"/>
        <v>131885.20539241887</v>
      </c>
      <c r="G78" s="11">
        <f t="shared" si="1"/>
        <v>0.431247866075674</v>
      </c>
      <c r="H78" s="11"/>
      <c r="I78" s="11">
        <f t="shared" si="2"/>
        <v>10.78119665189185</v>
      </c>
      <c r="J78" s="3"/>
      <c r="K78" s="3"/>
      <c r="L78" s="11">
        <f>2.21*10^6</f>
        <v>2210000</v>
      </c>
      <c r="M78" s="11">
        <v>-0.76</v>
      </c>
      <c r="N78" s="11">
        <f t="shared" si="3"/>
        <v>384053.98315361183</v>
      </c>
      <c r="O78" s="11">
        <f t="shared" si="4"/>
        <v>0.20658852830525221</v>
      </c>
      <c r="P78" s="11">
        <f t="shared" si="5"/>
        <v>5.1647132076313049</v>
      </c>
      <c r="Q78" s="3"/>
    </row>
    <row r="79" spans="1:17">
      <c r="A79" s="3" t="s">
        <v>106</v>
      </c>
      <c r="B79" s="10">
        <v>5</v>
      </c>
      <c r="C79" s="11"/>
      <c r="D79" s="11">
        <v>2390000</v>
      </c>
      <c r="E79" s="11">
        <v>-1.03</v>
      </c>
      <c r="F79" s="11">
        <f t="shared" si="0"/>
        <v>223047.77789048076</v>
      </c>
      <c r="G79" s="11">
        <f t="shared" si="1"/>
        <v>0.30955173458553198</v>
      </c>
      <c r="H79" s="11"/>
      <c r="I79" s="11">
        <f>B79*G79</f>
        <v>1.5477586729276598</v>
      </c>
      <c r="J79" s="3"/>
      <c r="K79" s="3"/>
      <c r="L79" s="11">
        <v>2390000</v>
      </c>
      <c r="M79" s="11">
        <v>-1.03</v>
      </c>
      <c r="N79" s="11">
        <f>L79*$I$38^M79</f>
        <v>223047.77789048076</v>
      </c>
      <c r="O79" s="11">
        <f t="shared" si="4"/>
        <v>0.30955173458553198</v>
      </c>
      <c r="P79" s="11">
        <f>B79*O79</f>
        <v>1.5477586729276598</v>
      </c>
      <c r="Q79" s="3"/>
    </row>
    <row r="80" spans="1:17">
      <c r="A80" s="3" t="s">
        <v>107</v>
      </c>
      <c r="B80" s="10">
        <v>20</v>
      </c>
      <c r="C80" s="11"/>
      <c r="D80" s="11">
        <f>1.25*10^6</f>
        <v>1250000</v>
      </c>
      <c r="E80" s="11">
        <v>-0.7</v>
      </c>
      <c r="F80" s="11">
        <f t="shared" si="0"/>
        <v>249407.78937110995</v>
      </c>
      <c r="G80" s="11">
        <f t="shared" si="1"/>
        <v>0.28619854233927478</v>
      </c>
      <c r="H80" s="11"/>
      <c r="I80" s="11">
        <f t="shared" si="2"/>
        <v>5.7239708467854955</v>
      </c>
      <c r="J80" s="3"/>
      <c r="K80" s="3"/>
      <c r="L80" s="11">
        <f>3.34*10^6</f>
        <v>3340000</v>
      </c>
      <c r="M80" s="11">
        <v>-0.68</v>
      </c>
      <c r="N80" s="11">
        <f t="shared" si="3"/>
        <v>697824.90770524915</v>
      </c>
      <c r="O80" s="11">
        <f t="shared" si="4"/>
        <v>0.12534078471882493</v>
      </c>
      <c r="P80" s="11">
        <f t="shared" si="5"/>
        <v>2.5068156943764985</v>
      </c>
      <c r="Q80" s="3"/>
    </row>
    <row r="81" spans="1:17">
      <c r="A81" s="3"/>
      <c r="B81" s="11"/>
      <c r="C81" s="11"/>
      <c r="D81" s="11"/>
      <c r="E81" s="11"/>
      <c r="F81" s="11"/>
      <c r="G81" s="11"/>
      <c r="H81" s="11"/>
      <c r="I81" s="11"/>
      <c r="J81" s="3"/>
      <c r="K81" s="3"/>
      <c r="L81" s="11"/>
      <c r="M81" s="11"/>
      <c r="N81" s="11"/>
      <c r="O81" s="11"/>
      <c r="P81" s="11"/>
      <c r="Q81" s="3"/>
    </row>
    <row r="82" spans="1:17">
      <c r="A82" s="3" t="s">
        <v>108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11" t="s">
        <v>109</v>
      </c>
      <c r="M82" s="3"/>
      <c r="N82" s="3"/>
      <c r="O82" s="3"/>
      <c r="P82" s="3"/>
      <c r="Q82" s="3"/>
    </row>
    <row r="83" spans="1:17">
      <c r="A83" s="3" t="s">
        <v>110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11" t="s">
        <v>111</v>
      </c>
      <c r="M83" s="3"/>
      <c r="N83" s="3"/>
      <c r="O83" s="3"/>
      <c r="P83" s="3"/>
      <c r="Q83" s="3"/>
    </row>
    <row r="84" spans="1:17">
      <c r="Q84" s="3"/>
    </row>
    <row r="85" spans="1:17">
      <c r="A85" s="3" t="s">
        <v>112</v>
      </c>
      <c r="D85" s="3" t="s">
        <v>113</v>
      </c>
      <c r="G85" s="3" t="s">
        <v>114</v>
      </c>
      <c r="H85" s="3"/>
      <c r="I85" s="3"/>
      <c r="J85" s="3"/>
      <c r="K85" s="3"/>
      <c r="L85" s="3">
        <f>EXP((1.3695)*LN($I$39)+1.8308)</f>
        <v>377.45650693420919</v>
      </c>
      <c r="N85" s="3" t="s">
        <v>115</v>
      </c>
      <c r="Q85" s="3"/>
    </row>
    <row r="86" spans="1:17">
      <c r="A86" s="3"/>
      <c r="B86" s="3"/>
      <c r="C86" s="3"/>
      <c r="D86" s="3" t="s">
        <v>116</v>
      </c>
      <c r="E86" s="3"/>
      <c r="F86" s="3"/>
      <c r="G86" s="3" t="s">
        <v>117</v>
      </c>
      <c r="H86" s="3"/>
      <c r="I86" s="3"/>
      <c r="J86" s="3"/>
      <c r="K86" s="3"/>
      <c r="L86" s="3">
        <f>EXP((1.3695)*LN($I$39)+0.9161)</f>
        <v>151.22296673898387</v>
      </c>
      <c r="M86" s="3"/>
      <c r="N86" s="3" t="s">
        <v>118</v>
      </c>
      <c r="O86" s="3"/>
      <c r="P86" s="3"/>
      <c r="Q86" s="3"/>
    </row>
    <row r="87" spans="1:17">
      <c r="A87" s="3" t="s">
        <v>119</v>
      </c>
      <c r="B87" s="3"/>
      <c r="C87" s="3"/>
      <c r="D87" s="3" t="s">
        <v>113</v>
      </c>
      <c r="E87" s="3"/>
      <c r="F87" s="3"/>
      <c r="G87" s="3" t="s">
        <v>120</v>
      </c>
      <c r="H87" s="3"/>
      <c r="I87" s="3"/>
      <c r="J87" s="3"/>
      <c r="K87" s="3"/>
      <c r="L87" s="11">
        <f>EXP(0.8968*LN($I$39)-3.5699)*(1.136672-(0.041838*LN($I$39)))</f>
        <v>0.41809168805373198</v>
      </c>
      <c r="M87" s="3"/>
      <c r="N87" s="3" t="s">
        <v>121</v>
      </c>
      <c r="O87" s="3"/>
      <c r="P87" s="3"/>
      <c r="Q87" s="3"/>
    </row>
    <row r="88" spans="1:17">
      <c r="A88" s="3"/>
      <c r="B88" s="3"/>
      <c r="C88" s="3"/>
      <c r="D88" s="3" t="s">
        <v>116</v>
      </c>
      <c r="E88" s="3"/>
      <c r="F88" s="3"/>
      <c r="G88" s="3" t="s">
        <v>122</v>
      </c>
      <c r="H88" s="3"/>
      <c r="I88" s="3"/>
      <c r="J88" s="3"/>
      <c r="K88" s="3"/>
      <c r="L88" s="11">
        <f>EXP(0.7647*LN($I$39)-4.218)*(1.101672-(0.041838*LN($I$39)))</f>
        <v>0.14211602843293969</v>
      </c>
      <c r="M88" s="3"/>
      <c r="N88" s="3" t="s">
        <v>123</v>
      </c>
      <c r="O88" s="3"/>
      <c r="P88" s="3"/>
      <c r="Q88" s="3"/>
    </row>
    <row r="89" spans="1:17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11" t="s">
        <v>109</v>
      </c>
      <c r="M89" s="3"/>
      <c r="N89" s="3"/>
      <c r="O89" s="3"/>
      <c r="P89" s="3"/>
      <c r="Q89" s="3"/>
    </row>
    <row r="90" spans="1:17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11" t="s">
        <v>111</v>
      </c>
      <c r="M90" s="3"/>
      <c r="N90" s="3"/>
      <c r="O90" s="3"/>
      <c r="P90" s="3"/>
      <c r="Q90" s="3"/>
    </row>
    <row r="91" spans="1:17">
      <c r="M91" s="3"/>
      <c r="N91" s="3"/>
      <c r="O91" s="3"/>
      <c r="P91" s="3"/>
      <c r="Q91" s="3"/>
    </row>
    <row r="92" spans="1:17">
      <c r="A92" s="3" t="s">
        <v>124</v>
      </c>
      <c r="B92" s="3"/>
      <c r="C92" s="3"/>
      <c r="D92" s="3" t="s">
        <v>113</v>
      </c>
      <c r="E92" s="3"/>
      <c r="F92" s="3"/>
      <c r="G92" s="3" t="s">
        <v>125</v>
      </c>
      <c r="H92" s="3"/>
      <c r="I92" s="3"/>
      <c r="J92" s="3"/>
      <c r="K92" s="3"/>
      <c r="L92" s="11">
        <f>0.316*EXP(0.819*(LN($I$39))+3.7256)</f>
        <v>152.48887867174</v>
      </c>
      <c r="M92" s="3"/>
      <c r="N92" s="3"/>
      <c r="O92" s="3"/>
      <c r="P92" s="3"/>
      <c r="Q92" s="3"/>
    </row>
    <row r="93" spans="1:17">
      <c r="A93" s="3"/>
      <c r="B93" s="3"/>
      <c r="C93" s="3"/>
      <c r="D93" s="3" t="s">
        <v>116</v>
      </c>
      <c r="E93" s="3"/>
      <c r="F93" s="3"/>
      <c r="G93" s="3" t="s">
        <v>126</v>
      </c>
      <c r="H93" s="3"/>
      <c r="I93" s="3"/>
      <c r="J93" s="3"/>
      <c r="K93" s="3"/>
      <c r="L93" s="11">
        <f>0.86*EXP(0.819*(LN($I$39))+0.6848)</f>
        <v>19.835670203043215</v>
      </c>
      <c r="M93" s="3"/>
      <c r="N93" s="3"/>
      <c r="O93" s="3"/>
      <c r="P93" s="3"/>
      <c r="Q93" s="3"/>
    </row>
    <row r="94" spans="1:17">
      <c r="A94" s="3" t="s">
        <v>127</v>
      </c>
      <c r="B94" s="3"/>
      <c r="C94" s="3"/>
      <c r="D94" s="3" t="s">
        <v>113</v>
      </c>
      <c r="E94" s="3"/>
      <c r="F94" s="3"/>
      <c r="G94" s="3" t="s">
        <v>128</v>
      </c>
      <c r="H94" s="3"/>
      <c r="I94" s="3"/>
      <c r="J94" s="3"/>
      <c r="K94" s="3"/>
      <c r="L94" s="11">
        <f>0.96*EXP(0.9422*(LN($I$39))-1.7)</f>
        <v>2.9498577640773336</v>
      </c>
      <c r="Q94" s="3"/>
    </row>
    <row r="95" spans="1:17">
      <c r="A95" s="3"/>
      <c r="B95" s="3"/>
      <c r="C95" s="3"/>
      <c r="D95" s="3" t="s">
        <v>116</v>
      </c>
      <c r="E95" s="3"/>
      <c r="F95" s="3"/>
      <c r="G95" s="3" t="s">
        <v>129</v>
      </c>
      <c r="H95" s="3"/>
      <c r="I95" s="3"/>
      <c r="J95" s="3"/>
      <c r="K95" s="3"/>
      <c r="L95" s="11">
        <f>0.96*EXP(0.8545*(LN($I$39))-1.702)</f>
        <v>2.2637692487846324</v>
      </c>
      <c r="Q95" s="3"/>
    </row>
    <row r="96" spans="1:17">
      <c r="A96" s="3" t="s">
        <v>130</v>
      </c>
      <c r="B96" s="3"/>
      <c r="C96" s="3"/>
      <c r="D96" s="3" t="s">
        <v>113</v>
      </c>
      <c r="E96" s="3"/>
      <c r="F96" s="3"/>
      <c r="G96" s="3" t="s">
        <v>131</v>
      </c>
      <c r="H96" s="3"/>
      <c r="I96" s="3"/>
      <c r="J96" s="3"/>
      <c r="K96" s="3"/>
      <c r="L96" s="11">
        <f>EXP(1.273*(LN($I$39))-1.46)*(1.46203-((LN($I$39)*0.145712)))</f>
        <v>10.791544893126742</v>
      </c>
      <c r="M96" s="3"/>
      <c r="N96" s="3" t="s">
        <v>132</v>
      </c>
      <c r="O96" s="3"/>
      <c r="P96" s="3"/>
      <c r="Q96" s="3"/>
    </row>
    <row r="97" spans="1:18">
      <c r="A97" s="3"/>
      <c r="B97" s="3"/>
      <c r="C97" s="3"/>
      <c r="D97" s="3" t="s">
        <v>116</v>
      </c>
      <c r="E97" s="3"/>
      <c r="F97" s="3"/>
      <c r="G97" s="3" t="s">
        <v>133</v>
      </c>
      <c r="H97" s="3"/>
      <c r="I97" s="3"/>
      <c r="J97" s="3"/>
      <c r="K97" s="3"/>
      <c r="L97" s="11">
        <f>EXP(1.273*(LN($I$39))-4.705)*(1.46203-(LN($I$39)*0.145712))</f>
        <v>0.42053101168234264</v>
      </c>
      <c r="M97" s="3"/>
      <c r="N97" s="3" t="s">
        <v>134</v>
      </c>
      <c r="O97" s="3"/>
      <c r="P97" s="3"/>
      <c r="Q97" s="3"/>
    </row>
    <row r="98" spans="1:18">
      <c r="A98" s="3" t="s">
        <v>135</v>
      </c>
      <c r="B98" s="3"/>
      <c r="C98" s="3"/>
      <c r="D98" s="3" t="s">
        <v>113</v>
      </c>
      <c r="E98" s="3"/>
      <c r="F98" s="3"/>
      <c r="G98" s="3" t="s">
        <v>136</v>
      </c>
      <c r="H98" s="3"/>
      <c r="I98" s="3"/>
      <c r="J98" s="3"/>
      <c r="K98" s="3"/>
      <c r="L98" s="11">
        <f>EXP(0.3331*(LN($I$39))+6.4676)</f>
        <v>1746.6910008265093</v>
      </c>
      <c r="M98" s="3"/>
      <c r="N98" s="3"/>
      <c r="O98" s="3"/>
      <c r="P98" s="3"/>
      <c r="Q98" s="3"/>
    </row>
    <row r="99" spans="1:18">
      <c r="A99" s="3"/>
      <c r="B99" s="3"/>
      <c r="C99" s="3"/>
      <c r="D99" s="3" t="s">
        <v>116</v>
      </c>
      <c r="E99" s="3"/>
      <c r="F99" s="3"/>
      <c r="G99" s="3" t="s">
        <v>137</v>
      </c>
      <c r="H99" s="3"/>
      <c r="I99" s="3"/>
      <c r="J99" s="3"/>
      <c r="K99" s="3"/>
      <c r="L99" s="11">
        <f>EXP(0.3331*(LN($I$39))+5.8743)</f>
        <v>965.04855903919383</v>
      </c>
      <c r="M99" s="3"/>
      <c r="N99" s="3"/>
      <c r="O99" s="3"/>
      <c r="P99" s="3"/>
      <c r="Q99" s="3"/>
    </row>
    <row r="100" spans="1:18">
      <c r="A100" s="3" t="s">
        <v>138</v>
      </c>
      <c r="B100" s="3"/>
      <c r="C100" s="3"/>
      <c r="D100" s="3" t="s">
        <v>113</v>
      </c>
      <c r="E100" s="3"/>
      <c r="F100" s="3"/>
      <c r="G100" s="3" t="s">
        <v>139</v>
      </c>
      <c r="H100" s="3"/>
      <c r="I100" s="3"/>
      <c r="J100" s="3"/>
      <c r="K100" s="3"/>
      <c r="L100" s="11">
        <f>0.998*EXP(0.846*(LN($I$39))+2.255)</f>
        <v>119.98749160883621</v>
      </c>
      <c r="M100" s="3"/>
      <c r="N100" s="3"/>
      <c r="O100" s="3"/>
      <c r="P100" s="3"/>
      <c r="Q100" s="3"/>
    </row>
    <row r="101" spans="1:18">
      <c r="A101" s="3"/>
      <c r="B101" s="3"/>
      <c r="C101" s="3"/>
      <c r="D101" s="3" t="s">
        <v>116</v>
      </c>
      <c r="E101" s="3"/>
      <c r="F101" s="3"/>
      <c r="G101" s="3" t="s">
        <v>140</v>
      </c>
      <c r="H101" s="3"/>
      <c r="I101" s="3"/>
      <c r="J101" s="3"/>
      <c r="K101" s="3"/>
      <c r="L101" s="11">
        <f>0.997*EXP(0.846*(LN($I$39))+0.0584)</f>
        <v>13.326905935817672</v>
      </c>
      <c r="M101" s="3"/>
      <c r="N101" s="3"/>
      <c r="O101" s="3"/>
      <c r="P101" s="3"/>
      <c r="Q101" s="3"/>
    </row>
    <row r="102" spans="1:18">
      <c r="A102" s="3" t="s">
        <v>141</v>
      </c>
      <c r="B102" s="3"/>
      <c r="C102" s="3"/>
      <c r="D102" s="3" t="s">
        <v>113</v>
      </c>
      <c r="E102" s="3"/>
      <c r="F102" s="3"/>
      <c r="G102" s="3" t="s">
        <v>142</v>
      </c>
      <c r="H102" s="3"/>
      <c r="I102" s="3"/>
      <c r="J102" s="3"/>
      <c r="K102" s="3"/>
      <c r="L102" s="11">
        <f>0.85*EXP(1.72*(LN($I$39))-6.59)</f>
        <v>0.20192490280723419</v>
      </c>
      <c r="M102" s="3"/>
      <c r="N102" s="3"/>
      <c r="O102" s="3"/>
      <c r="P102" s="3"/>
      <c r="Q102" s="3"/>
    </row>
    <row r="103" spans="1:18">
      <c r="A103" s="3" t="s">
        <v>143</v>
      </c>
      <c r="B103" s="3"/>
      <c r="C103" s="3"/>
      <c r="D103" s="3" t="s">
        <v>113</v>
      </c>
      <c r="E103" s="3"/>
      <c r="F103" s="3"/>
      <c r="G103" s="3" t="s">
        <v>144</v>
      </c>
      <c r="H103" s="3"/>
      <c r="I103" s="3"/>
      <c r="J103" s="3"/>
      <c r="K103" s="3"/>
      <c r="L103" s="11">
        <f>0.978*EXP(0.9094*(LN($I$39))+0.9095)</f>
        <v>37.024258043792209</v>
      </c>
      <c r="M103" s="3"/>
      <c r="N103" s="3"/>
      <c r="O103" s="3"/>
      <c r="P103" s="3"/>
      <c r="Q103" s="3"/>
    </row>
    <row r="104" spans="1:18">
      <c r="A104" s="3"/>
      <c r="B104" s="3"/>
      <c r="C104" s="3"/>
      <c r="D104" s="3" t="s">
        <v>116</v>
      </c>
      <c r="E104" s="3"/>
      <c r="F104" s="3"/>
      <c r="G104" s="3" t="s">
        <v>145</v>
      </c>
      <c r="H104" s="3"/>
      <c r="I104" s="3"/>
      <c r="J104" s="3"/>
      <c r="K104" s="3"/>
      <c r="L104" s="11">
        <f>0.986*EXP(0.90947*(LN($I$39))+0.6235)</f>
        <v>28.048347187887277</v>
      </c>
      <c r="M104" s="3"/>
      <c r="N104" s="3"/>
      <c r="O104" s="3"/>
      <c r="P104" s="3"/>
      <c r="Q104" s="3"/>
    </row>
    <row r="105" spans="1:18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11"/>
      <c r="M105" s="3"/>
      <c r="N105" s="3"/>
      <c r="O105" s="3"/>
      <c r="P105" s="3"/>
      <c r="Q105" s="3"/>
    </row>
    <row r="106" spans="1:18">
      <c r="M106" s="3"/>
      <c r="N106" s="3"/>
      <c r="O106" s="3"/>
      <c r="P106" s="3"/>
      <c r="Q106" s="3"/>
    </row>
    <row r="107" spans="1:18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8">
      <c r="A108" s="3"/>
      <c r="B108" s="3"/>
      <c r="C108" s="11"/>
      <c r="D108" s="11"/>
      <c r="E108" s="11"/>
      <c r="F108" s="11"/>
      <c r="G108" s="11"/>
      <c r="H108" s="11"/>
      <c r="I108" s="11" t="s">
        <v>146</v>
      </c>
      <c r="J108" s="11"/>
      <c r="K108" s="11"/>
      <c r="N108" s="11" t="s">
        <v>147</v>
      </c>
      <c r="O108" s="11" t="s">
        <v>148</v>
      </c>
      <c r="P108" s="11" t="s">
        <v>149</v>
      </c>
      <c r="Q108" s="11" t="s">
        <v>150</v>
      </c>
      <c r="R108" s="11" t="s">
        <v>151</v>
      </c>
    </row>
    <row r="109" spans="1:18">
      <c r="A109" s="3" t="s">
        <v>152</v>
      </c>
      <c r="B109" s="3"/>
      <c r="C109" s="11"/>
      <c r="D109" s="11"/>
      <c r="E109" s="11" t="s">
        <v>153</v>
      </c>
      <c r="F109" s="11" t="s">
        <v>154</v>
      </c>
      <c r="G109" s="11" t="s">
        <v>148</v>
      </c>
      <c r="I109" s="11" t="s">
        <v>155</v>
      </c>
      <c r="J109" s="11" t="s">
        <v>149</v>
      </c>
      <c r="K109" s="11" t="s">
        <v>150</v>
      </c>
      <c r="L109" s="11" t="s">
        <v>156</v>
      </c>
      <c r="M109" s="11" t="s">
        <v>157</v>
      </c>
      <c r="N109" s="11" t="s">
        <v>158</v>
      </c>
      <c r="O109" s="11" t="s">
        <v>159</v>
      </c>
      <c r="P109" s="11" t="s">
        <v>159</v>
      </c>
      <c r="Q109" s="11" t="s">
        <v>160</v>
      </c>
      <c r="R109" s="11" t="s">
        <v>161</v>
      </c>
    </row>
    <row r="110" spans="1:18">
      <c r="A110" s="3"/>
      <c r="B110" s="3"/>
      <c r="C110" s="11"/>
      <c r="D110" s="11"/>
      <c r="E110" s="11" t="s">
        <v>162</v>
      </c>
      <c r="F110" s="11" t="s">
        <v>162</v>
      </c>
      <c r="G110" s="11" t="s">
        <v>159</v>
      </c>
      <c r="I110" s="11" t="s">
        <v>163</v>
      </c>
      <c r="J110" s="11" t="s">
        <v>159</v>
      </c>
      <c r="K110" s="11" t="s">
        <v>160</v>
      </c>
      <c r="L110" s="11" t="s">
        <v>164</v>
      </c>
      <c r="M110" s="11" t="s">
        <v>164</v>
      </c>
      <c r="N110" s="11" t="s">
        <v>164</v>
      </c>
      <c r="O110" s="11" t="s">
        <v>164</v>
      </c>
      <c r="P110" s="11" t="s">
        <v>164</v>
      </c>
      <c r="Q110" s="11" t="s">
        <v>164</v>
      </c>
      <c r="R110" s="13"/>
    </row>
    <row r="111" spans="1:18">
      <c r="A111" s="3"/>
      <c r="B111" s="3"/>
      <c r="C111" s="11" t="s">
        <v>165</v>
      </c>
      <c r="D111" s="11" t="s">
        <v>166</v>
      </c>
      <c r="E111" s="11" t="s">
        <v>167</v>
      </c>
      <c r="F111" s="11" t="s">
        <v>168</v>
      </c>
      <c r="G111" s="11" t="s">
        <v>169</v>
      </c>
      <c r="I111" s="11" t="s">
        <v>170</v>
      </c>
      <c r="J111" s="11" t="s">
        <v>171</v>
      </c>
      <c r="K111" s="11" t="s">
        <v>172</v>
      </c>
      <c r="L111" s="11" t="s">
        <v>173</v>
      </c>
      <c r="M111" s="11" t="s">
        <v>173</v>
      </c>
      <c r="N111" s="11" t="s">
        <v>173</v>
      </c>
      <c r="O111" s="11" t="s">
        <v>173</v>
      </c>
      <c r="P111" s="11" t="s">
        <v>173</v>
      </c>
      <c r="Q111" s="11" t="s">
        <v>173</v>
      </c>
      <c r="R111" s="13"/>
    </row>
    <row r="112" spans="1:18">
      <c r="A112" s="6" t="s">
        <v>174</v>
      </c>
      <c r="B112" s="3"/>
      <c r="C112" s="3"/>
      <c r="D112" s="3"/>
      <c r="E112" s="3"/>
      <c r="F112" s="3"/>
      <c r="J112" s="3"/>
      <c r="L112" s="3"/>
      <c r="M112" s="3"/>
      <c r="N112" s="3"/>
      <c r="O112" s="3"/>
      <c r="P112" s="3"/>
      <c r="R112" s="13"/>
    </row>
    <row r="113" spans="1:18">
      <c r="A113" s="3" t="s">
        <v>175</v>
      </c>
      <c r="B113" s="3"/>
      <c r="C113" s="11" t="s">
        <v>176</v>
      </c>
      <c r="D113" s="11">
        <v>2.5</v>
      </c>
      <c r="F113" s="16">
        <v>1000</v>
      </c>
      <c r="G113" s="11">
        <f>2.13*F113</f>
        <v>2130</v>
      </c>
      <c r="I113" s="11">
        <f>IF(($I$40+$I$22)=0,0,(($I$40*$E114)+(2.13*$I$22*$F113))/($I$40+$I$22))</f>
        <v>2130</v>
      </c>
      <c r="J113" s="11">
        <f>IF(($I$45+$I$22)=0,0,(($I$45*$E114)+(2.13*$I$22*$F113))/($I$45+$I$22))</f>
        <v>2130</v>
      </c>
      <c r="K113" s="11">
        <f>IF(($I$41+$I$22)=0,0,(($I$41*$E114)+(2.13*$I$22*$F113))/($I$41+$I$22))</f>
        <v>2083.330411919369</v>
      </c>
      <c r="L113" s="11">
        <v>1E+100</v>
      </c>
      <c r="M113" s="11">
        <v>5000</v>
      </c>
      <c r="N113" s="11">
        <v>1E+100</v>
      </c>
      <c r="O113" s="11">
        <f>L85</f>
        <v>377.45650693420919</v>
      </c>
      <c r="P113" s="11">
        <f>L86</f>
        <v>151.22296673898387</v>
      </c>
      <c r="Q113" s="11">
        <v>1E+100</v>
      </c>
      <c r="R113" s="11" t="str">
        <f>IF($E114&gt;MIN($L113:$Q113), "Need TMDL", "N/A ")</f>
        <v xml:space="preserve">N/A </v>
      </c>
    </row>
    <row r="114" spans="1:18">
      <c r="A114" s="3" t="s">
        <v>177</v>
      </c>
      <c r="B114" s="3"/>
      <c r="C114" s="11" t="s">
        <v>178</v>
      </c>
      <c r="D114" s="11">
        <v>100</v>
      </c>
      <c r="E114" s="16"/>
      <c r="F114" s="16"/>
      <c r="G114" s="11">
        <f t="shared" ref="G114:G137" si="6">2.13*F114</f>
        <v>0</v>
      </c>
      <c r="I114" s="11" t="e">
        <f>IF(($I$40+$I$22)=0,0,(($I$40*#REF!)+(2.13*$I$22*$F114))/($I$40+$I$22))</f>
        <v>#REF!</v>
      </c>
      <c r="J114" s="11" t="e">
        <f>IF(($I$45+$I$22)=0,0,(($I$45*#REF!)+(2.13*$I$22*$F114))/($I$45+$I$22))</f>
        <v>#REF!</v>
      </c>
      <c r="K114" s="11" t="e">
        <f>IF(($I$41+$I$22)=0,0,(($I$41*#REF!)+(2.13*$I$22*$F114))/($I$41+$I$22))</f>
        <v>#REF!</v>
      </c>
      <c r="L114" s="11">
        <v>2000</v>
      </c>
      <c r="M114" s="11">
        <v>1E+100</v>
      </c>
      <c r="N114" s="11">
        <v>1E+100</v>
      </c>
      <c r="O114" s="11">
        <v>1E+100</v>
      </c>
      <c r="P114" s="11">
        <v>1E+100</v>
      </c>
      <c r="Q114" s="11">
        <v>1E+100</v>
      </c>
      <c r="R114" s="11" t="e">
        <f>IF(#REF!&gt;MIN($L114:$Q114), "Need TMDL", "N/A ")</f>
        <v>#REF!</v>
      </c>
    </row>
    <row r="115" spans="1:18">
      <c r="A115" s="3" t="s">
        <v>179</v>
      </c>
      <c r="B115" s="3"/>
      <c r="C115" s="11" t="s">
        <v>180</v>
      </c>
      <c r="D115" s="11">
        <v>100</v>
      </c>
      <c r="E115" s="16"/>
      <c r="F115" s="16"/>
      <c r="G115" s="11">
        <f t="shared" si="6"/>
        <v>0</v>
      </c>
      <c r="I115" s="11">
        <f t="shared" ref="I115:I126" si="7">IF(($I$40+$I$22)=0,0,(($I$40*$E115)+(2.13*$I$22*$F115))/($I$40+$I$22))</f>
        <v>0</v>
      </c>
      <c r="J115" s="11">
        <f t="shared" ref="J115:J126" si="8">IF(($I$45+$I$22)=0,0,(($I$45*$E115)+(2.13*$I$22*$F115))/($I$45+$I$22))</f>
        <v>0</v>
      </c>
      <c r="K115" s="11">
        <f t="shared" ref="K115:K126" si="9">IF(($I$41+$I$22)=0,0,(($I$41*$E115)+(2.13*$I$22*$F115))/($I$41+$I$22))</f>
        <v>0</v>
      </c>
      <c r="L115" s="11">
        <v>1E+100</v>
      </c>
      <c r="M115" s="11">
        <v>750</v>
      </c>
      <c r="N115" s="11">
        <v>5000</v>
      </c>
      <c r="O115" s="11">
        <v>1E+100</v>
      </c>
      <c r="P115" s="11">
        <v>1E+100</v>
      </c>
      <c r="Q115" s="11">
        <v>1E+100</v>
      </c>
      <c r="R115" s="11" t="str">
        <f t="shared" ref="R115:R126" si="10">IF($E115&gt;MIN($L115:$Q115), "Need TMDL", "N/A ")</f>
        <v xml:space="preserve">N/A </v>
      </c>
    </row>
    <row r="116" spans="1:18">
      <c r="A116" s="3" t="s">
        <v>181</v>
      </c>
      <c r="B116" s="3"/>
      <c r="C116" s="11" t="s">
        <v>182</v>
      </c>
      <c r="D116" s="11">
        <v>50</v>
      </c>
      <c r="E116" s="16"/>
      <c r="F116" s="16"/>
      <c r="G116" s="11">
        <f t="shared" si="6"/>
        <v>0</v>
      </c>
      <c r="I116" s="11">
        <f t="shared" si="7"/>
        <v>0</v>
      </c>
      <c r="J116" s="11">
        <f t="shared" si="8"/>
        <v>0</v>
      </c>
      <c r="K116" s="11">
        <f t="shared" si="9"/>
        <v>0</v>
      </c>
      <c r="L116" s="11">
        <v>1E+100</v>
      </c>
      <c r="M116" s="11">
        <v>50</v>
      </c>
      <c r="N116" s="11">
        <v>1000</v>
      </c>
      <c r="O116" s="11">
        <v>1E+100</v>
      </c>
      <c r="P116" s="11">
        <v>1E+100</v>
      </c>
      <c r="Q116" s="11">
        <v>1E+100</v>
      </c>
      <c r="R116" s="11" t="str">
        <f t="shared" si="10"/>
        <v xml:space="preserve">N/A </v>
      </c>
    </row>
    <row r="117" spans="1:18">
      <c r="A117" s="3" t="s">
        <v>183</v>
      </c>
      <c r="B117" s="3"/>
      <c r="C117" s="11" t="s">
        <v>184</v>
      </c>
      <c r="D117" s="11">
        <v>0.1</v>
      </c>
      <c r="E117" s="16"/>
      <c r="F117" s="16"/>
      <c r="G117" s="11">
        <f t="shared" si="6"/>
        <v>0</v>
      </c>
      <c r="I117" s="11">
        <f t="shared" si="7"/>
        <v>0</v>
      </c>
      <c r="J117" s="11">
        <f t="shared" si="8"/>
        <v>0</v>
      </c>
      <c r="K117" s="11">
        <f t="shared" si="9"/>
        <v>0</v>
      </c>
      <c r="L117" s="11">
        <v>30</v>
      </c>
      <c r="M117" s="11">
        <v>1E+100</v>
      </c>
      <c r="N117" s="11">
        <v>1E+100</v>
      </c>
      <c r="O117" s="11">
        <v>1E+100</v>
      </c>
      <c r="P117" s="11">
        <v>1E+100</v>
      </c>
      <c r="Q117" s="11">
        <v>1E+100</v>
      </c>
      <c r="R117" s="11" t="str">
        <f t="shared" si="10"/>
        <v xml:space="preserve">N/A </v>
      </c>
    </row>
    <row r="118" spans="1:18">
      <c r="A118" s="3" t="s">
        <v>185</v>
      </c>
      <c r="B118" s="3"/>
      <c r="C118" s="11" t="s">
        <v>186</v>
      </c>
      <c r="D118" s="11">
        <v>50</v>
      </c>
      <c r="E118" s="16"/>
      <c r="F118" s="16"/>
      <c r="G118" s="11">
        <f t="shared" si="6"/>
        <v>0</v>
      </c>
      <c r="I118" s="11">
        <f t="shared" si="7"/>
        <v>0</v>
      </c>
      <c r="J118" s="11">
        <f t="shared" si="8"/>
        <v>0</v>
      </c>
      <c r="K118" s="11">
        <f t="shared" si="9"/>
        <v>0</v>
      </c>
      <c r="L118" s="11">
        <v>1E+100</v>
      </c>
      <c r="M118" s="11">
        <v>100</v>
      </c>
      <c r="N118" s="11">
        <v>100</v>
      </c>
      <c r="O118" s="11">
        <v>1E+100</v>
      </c>
      <c r="P118" s="11">
        <v>1E+100</v>
      </c>
      <c r="Q118" s="11">
        <v>1E+100</v>
      </c>
      <c r="R118" s="11" t="str">
        <f t="shared" si="10"/>
        <v xml:space="preserve">N/A </v>
      </c>
    </row>
    <row r="119" spans="1:18">
      <c r="A119" s="3" t="s">
        <v>187</v>
      </c>
      <c r="B119" s="3"/>
      <c r="C119" s="11"/>
      <c r="D119" s="11"/>
      <c r="E119" s="16"/>
      <c r="F119" s="16"/>
      <c r="G119" s="11">
        <f t="shared" si="6"/>
        <v>0</v>
      </c>
      <c r="I119" s="11">
        <f t="shared" si="7"/>
        <v>0</v>
      </c>
      <c r="J119" s="11">
        <f t="shared" si="8"/>
        <v>0</v>
      </c>
      <c r="K119" s="11">
        <f t="shared" si="9"/>
        <v>0</v>
      </c>
      <c r="L119" s="11">
        <v>5</v>
      </c>
      <c r="M119" s="11">
        <v>1E+100</v>
      </c>
      <c r="N119" s="11">
        <v>30</v>
      </c>
      <c r="O119" s="11">
        <v>1E+100</v>
      </c>
      <c r="P119" s="11">
        <v>1E+100</v>
      </c>
      <c r="Q119" s="11">
        <v>1E+100</v>
      </c>
      <c r="R119" s="11" t="str">
        <f t="shared" si="10"/>
        <v xml:space="preserve">N/A </v>
      </c>
    </row>
    <row r="120" spans="1:18">
      <c r="A120" s="3" t="s">
        <v>188</v>
      </c>
      <c r="B120" s="3"/>
      <c r="C120" s="11"/>
      <c r="D120" s="11"/>
      <c r="E120" s="16"/>
      <c r="F120" s="16"/>
      <c r="G120" s="11">
        <f t="shared" si="6"/>
        <v>0</v>
      </c>
      <c r="I120" s="11">
        <f t="shared" si="7"/>
        <v>0</v>
      </c>
      <c r="J120" s="11">
        <f t="shared" si="8"/>
        <v>0</v>
      </c>
      <c r="K120" s="11">
        <f t="shared" si="9"/>
        <v>0</v>
      </c>
      <c r="L120" s="11">
        <v>8</v>
      </c>
      <c r="M120" s="11">
        <v>1E+100</v>
      </c>
      <c r="N120" s="11">
        <v>1E+100</v>
      </c>
      <c r="O120" s="11">
        <v>1E+100</v>
      </c>
      <c r="P120" s="11">
        <v>1E+100</v>
      </c>
      <c r="Q120" s="11">
        <v>1E+100</v>
      </c>
      <c r="R120" s="11" t="str">
        <f t="shared" si="10"/>
        <v xml:space="preserve">N/A </v>
      </c>
    </row>
    <row r="121" spans="1:18">
      <c r="A121" s="3" t="s">
        <v>189</v>
      </c>
      <c r="B121" s="3"/>
      <c r="C121" s="11"/>
      <c r="D121" s="11"/>
      <c r="E121" s="16"/>
      <c r="F121" s="16"/>
      <c r="G121" s="11">
        <f t="shared" si="6"/>
        <v>0</v>
      </c>
      <c r="I121" s="11">
        <f t="shared" si="7"/>
        <v>0</v>
      </c>
      <c r="J121" s="11">
        <f t="shared" si="8"/>
        <v>0</v>
      </c>
      <c r="K121" s="11">
        <f t="shared" si="9"/>
        <v>0</v>
      </c>
      <c r="L121" s="11">
        <v>20000</v>
      </c>
      <c r="M121" s="11">
        <v>1E+100</v>
      </c>
      <c r="N121" s="11">
        <v>20000</v>
      </c>
      <c r="O121" s="11">
        <v>1E+100</v>
      </c>
      <c r="P121" s="11">
        <v>1E+100</v>
      </c>
      <c r="Q121" s="11">
        <v>1E+100</v>
      </c>
      <c r="R121" s="11" t="str">
        <f t="shared" si="10"/>
        <v xml:space="preserve">N/A </v>
      </c>
    </row>
    <row r="122" spans="1:18">
      <c r="A122" s="3" t="s">
        <v>190</v>
      </c>
      <c r="B122" s="3"/>
      <c r="C122" s="11"/>
      <c r="D122" s="11"/>
      <c r="E122" s="16"/>
      <c r="F122" s="16"/>
      <c r="G122" s="11">
        <f t="shared" si="6"/>
        <v>0</v>
      </c>
      <c r="I122" s="11">
        <f t="shared" si="7"/>
        <v>0</v>
      </c>
      <c r="J122" s="11">
        <f t="shared" si="8"/>
        <v>0</v>
      </c>
      <c r="K122" s="11">
        <f t="shared" si="9"/>
        <v>0</v>
      </c>
      <c r="L122" s="11">
        <v>15</v>
      </c>
      <c r="M122" s="11">
        <v>1E+100</v>
      </c>
      <c r="N122" s="11">
        <v>15</v>
      </c>
      <c r="O122" s="11">
        <v>1E+100</v>
      </c>
      <c r="P122" s="11">
        <v>1E+100</v>
      </c>
      <c r="Q122" s="11">
        <v>1E+100</v>
      </c>
      <c r="R122" s="11" t="str">
        <f t="shared" si="10"/>
        <v xml:space="preserve">N/A </v>
      </c>
    </row>
    <row r="123" spans="1:18">
      <c r="A123" s="3" t="s">
        <v>191</v>
      </c>
      <c r="C123" s="13"/>
      <c r="D123" s="11"/>
      <c r="E123" s="18"/>
      <c r="F123" s="18"/>
      <c r="G123" s="11">
        <f t="shared" si="6"/>
        <v>0</v>
      </c>
      <c r="I123" s="11">
        <f t="shared" si="7"/>
        <v>0</v>
      </c>
      <c r="J123" s="11">
        <f t="shared" si="8"/>
        <v>0</v>
      </c>
      <c r="K123" s="11">
        <f t="shared" si="9"/>
        <v>0</v>
      </c>
      <c r="L123" s="11">
        <f>IF($B$2=2002, 1E+100, 7000000)</f>
        <v>7000000</v>
      </c>
      <c r="M123" s="11">
        <v>1E+100</v>
      </c>
      <c r="N123" s="11">
        <v>1E+100</v>
      </c>
      <c r="O123" s="11">
        <v>1E+100</v>
      </c>
      <c r="P123" s="11">
        <v>1E+100</v>
      </c>
      <c r="Q123" s="11">
        <v>1E+100</v>
      </c>
      <c r="R123" s="11" t="str">
        <f t="shared" si="10"/>
        <v xml:space="preserve">N/A </v>
      </c>
    </row>
    <row r="124" spans="1:18">
      <c r="A124" s="3" t="s">
        <v>192</v>
      </c>
      <c r="B124" s="3"/>
      <c r="C124" s="11" t="s">
        <v>193</v>
      </c>
      <c r="D124" s="11">
        <v>33</v>
      </c>
      <c r="E124" s="16"/>
      <c r="F124" s="16"/>
      <c r="G124" s="11">
        <f t="shared" si="6"/>
        <v>0</v>
      </c>
      <c r="I124" s="11">
        <f t="shared" si="7"/>
        <v>0</v>
      </c>
      <c r="J124" s="11">
        <f t="shared" si="8"/>
        <v>0</v>
      </c>
      <c r="K124" s="11">
        <f t="shared" si="9"/>
        <v>0</v>
      </c>
      <c r="L124" s="11">
        <v>1E+100</v>
      </c>
      <c r="M124" s="11">
        <v>1E+100</v>
      </c>
      <c r="N124" s="11">
        <v>11</v>
      </c>
      <c r="O124" s="11">
        <v>19</v>
      </c>
      <c r="P124" s="11">
        <v>11</v>
      </c>
      <c r="Q124" s="11">
        <v>1E+100</v>
      </c>
      <c r="R124" s="11" t="str">
        <f t="shared" si="10"/>
        <v xml:space="preserve">N/A </v>
      </c>
    </row>
    <row r="125" spans="1:18">
      <c r="A125" s="3" t="s">
        <v>194</v>
      </c>
      <c r="C125" s="13"/>
      <c r="D125" s="11"/>
      <c r="E125" s="16"/>
      <c r="F125" s="16"/>
      <c r="G125" s="11">
        <f t="shared" si="6"/>
        <v>0</v>
      </c>
      <c r="I125" s="11">
        <f t="shared" si="7"/>
        <v>0</v>
      </c>
      <c r="J125" s="11">
        <f t="shared" si="8"/>
        <v>0</v>
      </c>
      <c r="K125" s="11">
        <f t="shared" si="9"/>
        <v>0</v>
      </c>
      <c r="L125" s="11">
        <v>10</v>
      </c>
      <c r="M125" s="11">
        <v>1E+100</v>
      </c>
      <c r="N125" s="11">
        <v>1E+100</v>
      </c>
      <c r="O125" s="11">
        <v>1E+100</v>
      </c>
      <c r="P125" s="11">
        <v>1E+100</v>
      </c>
      <c r="Q125" s="11">
        <v>1E+100</v>
      </c>
      <c r="R125" s="11" t="str">
        <f t="shared" si="10"/>
        <v xml:space="preserve">N/A </v>
      </c>
    </row>
    <row r="126" spans="1:18">
      <c r="A126" s="3" t="s">
        <v>195</v>
      </c>
      <c r="C126" s="13"/>
      <c r="D126" s="11"/>
      <c r="E126" s="18"/>
      <c r="F126" s="16"/>
      <c r="G126" s="11">
        <f t="shared" si="6"/>
        <v>0</v>
      </c>
      <c r="I126" s="11">
        <f t="shared" si="7"/>
        <v>0</v>
      </c>
      <c r="J126" s="11">
        <f t="shared" si="8"/>
        <v>0</v>
      </c>
      <c r="K126" s="11">
        <f t="shared" si="9"/>
        <v>0</v>
      </c>
      <c r="L126" s="11">
        <v>1E+100</v>
      </c>
      <c r="M126" s="11">
        <v>1E+100</v>
      </c>
      <c r="N126" s="11">
        <f>IF($B$2=2002, 1E+100, 132)</f>
        <v>132</v>
      </c>
      <c r="O126" s="11">
        <v>1E+100</v>
      </c>
      <c r="P126" s="11">
        <v>1E+100</v>
      </c>
      <c r="Q126" s="11">
        <v>1E+100</v>
      </c>
      <c r="R126" s="11" t="str">
        <f t="shared" si="10"/>
        <v xml:space="preserve">N/A </v>
      </c>
    </row>
    <row r="127" spans="1:18">
      <c r="A127" s="6" t="s">
        <v>196</v>
      </c>
      <c r="B127" s="3"/>
      <c r="C127" s="11"/>
      <c r="D127" s="11"/>
      <c r="E127" s="11"/>
      <c r="F127" s="11"/>
      <c r="G127" s="11"/>
      <c r="I127" s="11"/>
      <c r="J127" s="11"/>
      <c r="K127" s="11"/>
      <c r="L127" s="11"/>
      <c r="M127" s="11"/>
      <c r="N127" s="11"/>
      <c r="O127" s="11"/>
      <c r="P127" s="11"/>
      <c r="Q127" s="13"/>
      <c r="R127" s="11"/>
    </row>
    <row r="128" spans="1:18">
      <c r="A128" s="3" t="s">
        <v>197</v>
      </c>
      <c r="B128" s="3"/>
      <c r="C128" s="11" t="s">
        <v>198</v>
      </c>
      <c r="D128" s="11">
        <v>60</v>
      </c>
      <c r="E128" s="16"/>
      <c r="F128" s="16"/>
      <c r="G128" s="11">
        <f t="shared" si="6"/>
        <v>0</v>
      </c>
      <c r="I128" s="11">
        <f t="shared" ref="I128:I137" si="11">IF(($I$40+$I$22)=0,0,(($I$40*$E128)+(2.13*$I$22*$F128))/($I$40+$I$22))</f>
        <v>0</v>
      </c>
      <c r="J128" s="11">
        <f t="shared" ref="J128:J137" si="12">IF(($I$45+$I$22)=0,0,(($I$45*$E128)+(2.13*$I$22*$F128))/($I$45+$I$22))</f>
        <v>0</v>
      </c>
      <c r="K128" s="11">
        <f t="shared" ref="K128:K137" si="13">IF(($I$41+$I$22)=0,0,(($I$41*$E128)+(2.13*$I$22*$F128))/($I$41+$I$22))</f>
        <v>0</v>
      </c>
      <c r="L128" s="11">
        <f>IF($B$2=2002, 6, 6)</f>
        <v>6</v>
      </c>
      <c r="M128" s="11">
        <v>1E+100</v>
      </c>
      <c r="N128" s="11">
        <v>1E+100</v>
      </c>
      <c r="O128" s="11">
        <v>1E+100</v>
      </c>
      <c r="P128" s="11">
        <v>1E+100</v>
      </c>
      <c r="Q128" s="11">
        <f>IF($B$2=2002, 4300, 640)</f>
        <v>640</v>
      </c>
      <c r="R128" s="11" t="str">
        <f t="shared" ref="R128:R137" si="14">IF($E128&gt;MIN($L128:$Q128), "Need TMDL", "N/A ")</f>
        <v xml:space="preserve">N/A </v>
      </c>
    </row>
    <row r="129" spans="1:18">
      <c r="A129" s="3" t="s">
        <v>199</v>
      </c>
      <c r="B129" s="3"/>
      <c r="C129" s="11" t="s">
        <v>200</v>
      </c>
      <c r="D129" s="11">
        <v>0.5</v>
      </c>
      <c r="E129" s="16"/>
      <c r="F129" s="16">
        <f>IF($I$29=0,$I$74,$P$74)</f>
        <v>0</v>
      </c>
      <c r="G129" s="11">
        <f t="shared" si="6"/>
        <v>0</v>
      </c>
      <c r="I129" s="11">
        <f t="shared" si="11"/>
        <v>0</v>
      </c>
      <c r="J129" s="11">
        <f t="shared" si="12"/>
        <v>0</v>
      </c>
      <c r="K129" s="11">
        <f t="shared" si="13"/>
        <v>0</v>
      </c>
      <c r="L129" s="11">
        <f>IF($B$2=2002, 50, 10)</f>
        <v>10</v>
      </c>
      <c r="M129" s="11">
        <v>100</v>
      </c>
      <c r="N129" s="11">
        <f>IF($B$2=2002, 200,200)</f>
        <v>200</v>
      </c>
      <c r="O129" s="11">
        <v>340</v>
      </c>
      <c r="P129" s="11">
        <v>150</v>
      </c>
      <c r="Q129" s="11">
        <f>IF($B$2=2002, 24.2, 9)</f>
        <v>9</v>
      </c>
      <c r="R129" s="11" t="str">
        <f t="shared" si="14"/>
        <v xml:space="preserve">N/A </v>
      </c>
    </row>
    <row r="130" spans="1:18">
      <c r="A130" s="3" t="s">
        <v>201</v>
      </c>
      <c r="B130" s="3"/>
      <c r="C130" s="11" t="s">
        <v>202</v>
      </c>
      <c r="D130" s="11">
        <v>0.5</v>
      </c>
      <c r="E130" s="16"/>
      <c r="F130" s="16"/>
      <c r="G130" s="11">
        <f t="shared" si="6"/>
        <v>0</v>
      </c>
      <c r="I130" s="11">
        <f t="shared" si="11"/>
        <v>0</v>
      </c>
      <c r="J130" s="11">
        <f t="shared" si="12"/>
        <v>0</v>
      </c>
      <c r="K130" s="11">
        <f t="shared" si="13"/>
        <v>0</v>
      </c>
      <c r="L130" s="11">
        <v>4</v>
      </c>
      <c r="M130" s="11">
        <v>1E+100</v>
      </c>
      <c r="N130" s="11">
        <v>1E+100</v>
      </c>
      <c r="O130" s="11">
        <f>IF($B$2=2002, 130,1E+100)</f>
        <v>1E+100</v>
      </c>
      <c r="P130" s="11">
        <f>IF($B$2=2002, 5.3,1E+100)</f>
        <v>1E+100</v>
      </c>
      <c r="Q130" s="11">
        <v>1E+100</v>
      </c>
      <c r="R130" s="11" t="str">
        <f t="shared" si="14"/>
        <v xml:space="preserve">N/A </v>
      </c>
    </row>
    <row r="131" spans="1:18">
      <c r="A131" s="3" t="s">
        <v>203</v>
      </c>
      <c r="B131" s="3"/>
      <c r="C131" s="11" t="s">
        <v>204</v>
      </c>
      <c r="D131" s="11">
        <v>1</v>
      </c>
      <c r="E131" s="16"/>
      <c r="F131" s="16">
        <v>1</v>
      </c>
      <c r="G131" s="11">
        <f t="shared" si="6"/>
        <v>2.13</v>
      </c>
      <c r="I131" s="11">
        <f t="shared" si="11"/>
        <v>2.13</v>
      </c>
      <c r="J131" s="11">
        <f t="shared" si="12"/>
        <v>2.13</v>
      </c>
      <c r="K131" s="11">
        <f t="shared" si="13"/>
        <v>2.083330411919369</v>
      </c>
      <c r="L131" s="11">
        <v>5</v>
      </c>
      <c r="M131" s="11">
        <v>10</v>
      </c>
      <c r="N131" s="11">
        <v>50</v>
      </c>
      <c r="O131" s="11">
        <f>$L$87</f>
        <v>0.41809168805373198</v>
      </c>
      <c r="P131" s="11">
        <f>$L$88</f>
        <v>0.14211602843293969</v>
      </c>
      <c r="Q131" s="11">
        <v>1E+100</v>
      </c>
      <c r="R131" s="11" t="str">
        <f t="shared" si="14"/>
        <v xml:space="preserve">N/A </v>
      </c>
    </row>
    <row r="132" spans="1:18" s="19" customFormat="1">
      <c r="A132" s="3" t="s">
        <v>205</v>
      </c>
      <c r="B132" s="3"/>
      <c r="C132" s="11" t="s">
        <v>206</v>
      </c>
      <c r="D132" s="11">
        <v>10</v>
      </c>
      <c r="E132" s="16"/>
      <c r="F132" s="16"/>
      <c r="G132" s="11">
        <f t="shared" si="6"/>
        <v>0</v>
      </c>
      <c r="I132" s="11">
        <f t="shared" si="11"/>
        <v>0</v>
      </c>
      <c r="J132" s="11">
        <f t="shared" si="12"/>
        <v>0</v>
      </c>
      <c r="K132" s="11">
        <f t="shared" si="13"/>
        <v>0</v>
      </c>
      <c r="L132" s="11">
        <v>1E+100</v>
      </c>
      <c r="M132" s="11">
        <v>1E+100</v>
      </c>
      <c r="N132" s="11">
        <v>1E+100</v>
      </c>
      <c r="O132" s="11">
        <f>L92</f>
        <v>152.48887867174</v>
      </c>
      <c r="P132" s="11">
        <f>L93</f>
        <v>19.835670203043215</v>
      </c>
      <c r="Q132" s="11">
        <v>1E+100</v>
      </c>
      <c r="R132" s="11" t="str">
        <f t="shared" si="14"/>
        <v xml:space="preserve">N/A </v>
      </c>
    </row>
    <row r="133" spans="1:18" s="19" customFormat="1">
      <c r="A133" s="3" t="s">
        <v>207</v>
      </c>
      <c r="B133" s="3"/>
      <c r="C133" s="11" t="s">
        <v>208</v>
      </c>
      <c r="D133" s="11">
        <v>10</v>
      </c>
      <c r="E133" s="16"/>
      <c r="F133" s="16"/>
      <c r="G133" s="11">
        <f t="shared" si="6"/>
        <v>0</v>
      </c>
      <c r="I133" s="11">
        <f t="shared" si="11"/>
        <v>0</v>
      </c>
      <c r="J133" s="11">
        <f t="shared" si="12"/>
        <v>0</v>
      </c>
      <c r="K133" s="11">
        <f t="shared" si="13"/>
        <v>0</v>
      </c>
      <c r="L133" s="11">
        <v>1E+100</v>
      </c>
      <c r="M133" s="11">
        <v>1E+100</v>
      </c>
      <c r="N133" s="11">
        <v>1E+100</v>
      </c>
      <c r="O133" s="11">
        <v>16</v>
      </c>
      <c r="P133" s="11">
        <v>11</v>
      </c>
      <c r="Q133" s="11">
        <v>1E+100</v>
      </c>
      <c r="R133" s="11" t="str">
        <f t="shared" si="14"/>
        <v xml:space="preserve">N/A </v>
      </c>
    </row>
    <row r="134" spans="1:18" s="15" customFormat="1">
      <c r="A134" s="3" t="s">
        <v>209</v>
      </c>
      <c r="B134" s="3"/>
      <c r="C134" s="11" t="s">
        <v>210</v>
      </c>
      <c r="D134" s="11"/>
      <c r="E134" s="16"/>
      <c r="F134" s="16"/>
      <c r="G134" s="11">
        <f t="shared" si="6"/>
        <v>0</v>
      </c>
      <c r="I134" s="11">
        <f t="shared" si="11"/>
        <v>0</v>
      </c>
      <c r="J134" s="11">
        <f t="shared" si="12"/>
        <v>0</v>
      </c>
      <c r="K134" s="11">
        <f t="shared" si="13"/>
        <v>0</v>
      </c>
      <c r="L134" s="11">
        <v>100</v>
      </c>
      <c r="M134" s="11">
        <v>100</v>
      </c>
      <c r="N134" s="11">
        <v>1000</v>
      </c>
      <c r="O134" s="11">
        <v>1E+100</v>
      </c>
      <c r="P134" s="11">
        <v>1E+100</v>
      </c>
      <c r="Q134" s="11">
        <v>1E+100</v>
      </c>
      <c r="R134" s="11" t="str">
        <f t="shared" si="14"/>
        <v xml:space="preserve">N/A </v>
      </c>
    </row>
    <row r="135" spans="1:18">
      <c r="A135" s="3" t="s">
        <v>211</v>
      </c>
      <c r="B135" s="3"/>
      <c r="C135" s="11" t="s">
        <v>212</v>
      </c>
      <c r="D135" s="11">
        <v>0.5</v>
      </c>
      <c r="E135" s="16"/>
      <c r="F135" s="16"/>
      <c r="G135" s="11">
        <f t="shared" si="6"/>
        <v>0</v>
      </c>
      <c r="I135" s="11">
        <f t="shared" si="11"/>
        <v>0</v>
      </c>
      <c r="J135" s="11">
        <f t="shared" si="12"/>
        <v>0</v>
      </c>
      <c r="K135" s="11">
        <f t="shared" si="13"/>
        <v>0</v>
      </c>
      <c r="L135" s="11">
        <f>IF($B$2=2002, 1E+100, 1300)</f>
        <v>1300</v>
      </c>
      <c r="M135" s="11">
        <v>200</v>
      </c>
      <c r="N135" s="11">
        <v>500</v>
      </c>
      <c r="O135" s="11">
        <f>$L$94</f>
        <v>2.9498577640773336</v>
      </c>
      <c r="P135" s="11">
        <f>$L$95</f>
        <v>2.2637692487846324</v>
      </c>
      <c r="Q135" s="11">
        <v>1E+100</v>
      </c>
      <c r="R135" s="11" t="str">
        <f t="shared" si="14"/>
        <v xml:space="preserve">N/A </v>
      </c>
    </row>
    <row r="136" spans="1:18">
      <c r="A136" s="3" t="s">
        <v>213</v>
      </c>
      <c r="B136" s="3"/>
      <c r="C136" s="11" t="s">
        <v>214</v>
      </c>
      <c r="D136" s="11">
        <v>0.5</v>
      </c>
      <c r="E136" s="16"/>
      <c r="F136" s="16"/>
      <c r="G136" s="11">
        <f t="shared" si="6"/>
        <v>0</v>
      </c>
      <c r="I136" s="11">
        <f t="shared" si="11"/>
        <v>0</v>
      </c>
      <c r="J136" s="11">
        <f t="shared" si="12"/>
        <v>0</v>
      </c>
      <c r="K136" s="11">
        <f t="shared" si="13"/>
        <v>0</v>
      </c>
      <c r="L136" s="11">
        <v>15</v>
      </c>
      <c r="M136" s="11">
        <v>5000</v>
      </c>
      <c r="N136" s="11">
        <v>100</v>
      </c>
      <c r="O136" s="11">
        <f>$L$96</f>
        <v>10.791544893126742</v>
      </c>
      <c r="P136" s="11">
        <f>$L$97</f>
        <v>0.42053101168234264</v>
      </c>
      <c r="Q136" s="11">
        <v>1E+100</v>
      </c>
      <c r="R136" s="11" t="str">
        <f t="shared" si="14"/>
        <v xml:space="preserve">N/A </v>
      </c>
    </row>
    <row r="137" spans="1:18" s="19" customFormat="1">
      <c r="A137" s="3" t="s">
        <v>215</v>
      </c>
      <c r="B137" s="3"/>
      <c r="C137" s="11" t="s">
        <v>216</v>
      </c>
      <c r="D137" s="11"/>
      <c r="E137" s="16"/>
      <c r="F137" s="16">
        <v>2200</v>
      </c>
      <c r="G137" s="11">
        <f t="shared" si="6"/>
        <v>4686</v>
      </c>
      <c r="I137" s="11">
        <f t="shared" si="11"/>
        <v>4686</v>
      </c>
      <c r="J137" s="11">
        <f t="shared" si="12"/>
        <v>4686</v>
      </c>
      <c r="K137" s="11">
        <f t="shared" si="13"/>
        <v>4583.3269062226109</v>
      </c>
      <c r="L137" s="11">
        <v>1E+100</v>
      </c>
      <c r="M137" s="11">
        <v>1E+100</v>
      </c>
      <c r="N137" s="11">
        <v>1E+100</v>
      </c>
      <c r="O137" s="11">
        <f>$L$98</f>
        <v>1746.6910008265093</v>
      </c>
      <c r="P137" s="11">
        <f>$L$99</f>
        <v>965.04855903919383</v>
      </c>
      <c r="Q137" s="11">
        <v>1E+100</v>
      </c>
      <c r="R137" s="11" t="str">
        <f t="shared" si="14"/>
        <v xml:space="preserve">N/A </v>
      </c>
    </row>
    <row r="138" spans="1:18">
      <c r="P138" s="11"/>
    </row>
    <row r="139" spans="1:18">
      <c r="A139" s="3"/>
      <c r="B139" s="3"/>
      <c r="C139" s="11"/>
      <c r="D139" s="11"/>
      <c r="E139" s="11"/>
      <c r="F139" s="11"/>
      <c r="G139" s="11"/>
      <c r="H139" s="11"/>
      <c r="I139" s="11" t="s">
        <v>146</v>
      </c>
      <c r="J139" s="11"/>
      <c r="K139" s="11"/>
      <c r="N139" s="11" t="s">
        <v>147</v>
      </c>
      <c r="O139" s="11" t="s">
        <v>113</v>
      </c>
      <c r="P139" s="11" t="s">
        <v>149</v>
      </c>
      <c r="Q139" s="11" t="s">
        <v>150</v>
      </c>
      <c r="R139" s="11" t="s">
        <v>151</v>
      </c>
    </row>
    <row r="140" spans="1:18">
      <c r="A140" s="3"/>
      <c r="B140" s="3"/>
      <c r="C140" s="11"/>
      <c r="D140" s="11"/>
      <c r="E140" s="11" t="s">
        <v>153</v>
      </c>
      <c r="F140" s="11" t="s">
        <v>154</v>
      </c>
      <c r="G140" s="11" t="s">
        <v>148</v>
      </c>
      <c r="I140" s="11" t="s">
        <v>156</v>
      </c>
      <c r="J140" s="11" t="s">
        <v>116</v>
      </c>
      <c r="K140" s="11" t="s">
        <v>217</v>
      </c>
      <c r="L140" s="11" t="s">
        <v>156</v>
      </c>
      <c r="M140" s="11" t="s">
        <v>157</v>
      </c>
      <c r="N140" s="11" t="s">
        <v>218</v>
      </c>
      <c r="O140" s="11" t="s">
        <v>159</v>
      </c>
      <c r="P140" s="11" t="s">
        <v>159</v>
      </c>
      <c r="Q140" s="11" t="s">
        <v>160</v>
      </c>
      <c r="R140" s="11" t="s">
        <v>161</v>
      </c>
    </row>
    <row r="141" spans="1:18">
      <c r="A141" s="3" t="s">
        <v>152</v>
      </c>
      <c r="B141" s="3"/>
      <c r="C141" s="11"/>
      <c r="D141" s="11"/>
      <c r="E141" s="11" t="s">
        <v>219</v>
      </c>
      <c r="F141" s="11" t="s">
        <v>220</v>
      </c>
      <c r="G141" s="11" t="s">
        <v>159</v>
      </c>
      <c r="I141" s="11" t="s">
        <v>163</v>
      </c>
      <c r="J141" s="11" t="s">
        <v>159</v>
      </c>
      <c r="K141" s="11" t="s">
        <v>160</v>
      </c>
      <c r="L141" s="11" t="s">
        <v>164</v>
      </c>
      <c r="M141" s="11" t="s">
        <v>164</v>
      </c>
      <c r="N141" s="11" t="s">
        <v>221</v>
      </c>
      <c r="O141" s="11" t="s">
        <v>164</v>
      </c>
      <c r="P141" s="11" t="s">
        <v>164</v>
      </c>
      <c r="Q141" s="11" t="s">
        <v>164</v>
      </c>
      <c r="R141" s="11"/>
    </row>
    <row r="142" spans="1:18">
      <c r="A142" s="3"/>
      <c r="B142" s="3"/>
      <c r="C142" s="11" t="s">
        <v>165</v>
      </c>
      <c r="D142" s="11" t="s">
        <v>166</v>
      </c>
      <c r="E142" s="11" t="s">
        <v>167</v>
      </c>
      <c r="F142" s="11" t="s">
        <v>168</v>
      </c>
      <c r="G142" s="11" t="s">
        <v>169</v>
      </c>
      <c r="I142" s="11" t="s">
        <v>170</v>
      </c>
      <c r="J142" s="11" t="s">
        <v>171</v>
      </c>
      <c r="K142" s="11" t="s">
        <v>172</v>
      </c>
      <c r="L142" s="11" t="s">
        <v>173</v>
      </c>
      <c r="M142" s="11" t="s">
        <v>173</v>
      </c>
      <c r="N142" s="11" t="s">
        <v>173</v>
      </c>
      <c r="O142" s="11" t="s">
        <v>173</v>
      </c>
      <c r="P142" s="11" t="s">
        <v>173</v>
      </c>
      <c r="Q142" s="11" t="s">
        <v>173</v>
      </c>
      <c r="R142" s="11"/>
    </row>
    <row r="143" spans="1:18">
      <c r="A143" s="3" t="s">
        <v>222</v>
      </c>
      <c r="B143" s="3"/>
      <c r="C143" s="11" t="s">
        <v>223</v>
      </c>
      <c r="D143" s="11">
        <v>5.0000000000000001E-3</v>
      </c>
      <c r="E143" s="16"/>
      <c r="F143" s="16"/>
      <c r="G143" s="11">
        <f>2.13*F143</f>
        <v>0</v>
      </c>
      <c r="I143" s="11">
        <f t="shared" ref="I143:I155" si="15">IF(($I$40+$I$22)=0,0,(($I$40*$E143)+(2.13*$I$22*$F143))/($I$40+$I$22))</f>
        <v>0</v>
      </c>
      <c r="J143" s="11">
        <f t="shared" ref="J143:J155" si="16">IF(($I$45+$I$22)=0,0,(($I$45*$E143)+(2.13*$I$22*$F143))/($I$45+$I$22))</f>
        <v>0</v>
      </c>
      <c r="K143" s="11">
        <f t="shared" ref="K143:K155" si="17">IF(($I$41+$I$22)=0,0,(($I$41*$E143)+(2.13*$I$22*$F143))/($I$41+$I$22))</f>
        <v>0</v>
      </c>
      <c r="L143" s="11">
        <v>1E+100</v>
      </c>
      <c r="M143" s="11">
        <v>1E+100</v>
      </c>
      <c r="N143" s="11">
        <f>IF($B$2=2002, 0.77, 1E+100)</f>
        <v>1E+100</v>
      </c>
      <c r="O143" s="11">
        <f>IF($B$2=2002, 1E+100, 1.4)</f>
        <v>1.4</v>
      </c>
      <c r="P143" s="11">
        <f>IF($B$2=2002, 1E+100, 0.77)</f>
        <v>0.77</v>
      </c>
      <c r="Q143" s="11">
        <v>1E+100</v>
      </c>
      <c r="R143" s="11" t="str">
        <f t="shared" ref="R143:R155" si="18">IF($E143&gt;MIN($L143:$Q143), "Need TMDL", "N/A ")</f>
        <v xml:space="preserve">N/A </v>
      </c>
    </row>
    <row r="144" spans="1:18">
      <c r="A144" s="3" t="s">
        <v>224</v>
      </c>
      <c r="B144" s="3"/>
      <c r="C144" s="11" t="s">
        <v>223</v>
      </c>
      <c r="D144" s="11">
        <v>5.0000000000000001E-3</v>
      </c>
      <c r="E144" s="16"/>
      <c r="F144" s="16">
        <v>0.5</v>
      </c>
      <c r="G144" s="11">
        <f t="shared" ref="G144:G185" si="19">2.13*F144</f>
        <v>1.0649999999999999</v>
      </c>
      <c r="I144" s="11">
        <f t="shared" si="15"/>
        <v>1.0649999999999999</v>
      </c>
      <c r="J144" s="11">
        <f t="shared" si="16"/>
        <v>1.0649999999999999</v>
      </c>
      <c r="K144" s="11">
        <f t="shared" si="17"/>
        <v>1.0416652059596845</v>
      </c>
      <c r="L144" s="11">
        <v>2</v>
      </c>
      <c r="M144" s="11">
        <v>1E+100</v>
      </c>
      <c r="N144" s="11">
        <v>0.77</v>
      </c>
      <c r="O144" s="11">
        <f>IF($B$2=2002, 2.4, 1E+100)</f>
        <v>1E+100</v>
      </c>
      <c r="P144" s="11">
        <f>IF($B$2=2002, 0.012, 1E+100)</f>
        <v>1E+100</v>
      </c>
      <c r="Q144" s="11">
        <v>1E+100</v>
      </c>
      <c r="R144" s="11" t="str">
        <f t="shared" si="18"/>
        <v xml:space="preserve">N/A </v>
      </c>
    </row>
    <row r="145" spans="1:18" s="19" customFormat="1">
      <c r="A145" s="3" t="s">
        <v>225</v>
      </c>
      <c r="B145" s="3"/>
      <c r="C145" s="11" t="s">
        <v>226</v>
      </c>
      <c r="D145" s="11"/>
      <c r="E145" s="16"/>
      <c r="F145" s="16"/>
      <c r="G145" s="11">
        <f t="shared" si="19"/>
        <v>0</v>
      </c>
      <c r="I145" s="11">
        <f t="shared" si="15"/>
        <v>0</v>
      </c>
      <c r="J145" s="11">
        <f t="shared" si="16"/>
        <v>0</v>
      </c>
      <c r="K145" s="11">
        <f t="shared" si="17"/>
        <v>0</v>
      </c>
      <c r="L145" s="11">
        <v>1E+100</v>
      </c>
      <c r="M145" s="11">
        <v>1000</v>
      </c>
      <c r="N145" s="11">
        <v>1E+100</v>
      </c>
      <c r="O145" s="11">
        <v>1E+100</v>
      </c>
      <c r="P145" s="11">
        <v>1E+100</v>
      </c>
      <c r="Q145" s="11">
        <v>1E+100</v>
      </c>
      <c r="R145" s="11" t="str">
        <f t="shared" si="18"/>
        <v xml:space="preserve">N/A </v>
      </c>
    </row>
    <row r="146" spans="1:18" s="19" customFormat="1">
      <c r="A146" s="3" t="s">
        <v>227</v>
      </c>
      <c r="B146" s="3"/>
      <c r="C146" s="11" t="s">
        <v>226</v>
      </c>
      <c r="D146" s="11"/>
      <c r="E146" s="16"/>
      <c r="F146" s="16"/>
      <c r="G146" s="11">
        <f t="shared" si="19"/>
        <v>0</v>
      </c>
      <c r="I146" s="11">
        <f t="shared" si="15"/>
        <v>0</v>
      </c>
      <c r="J146" s="11">
        <f t="shared" si="16"/>
        <v>0</v>
      </c>
      <c r="K146" s="11">
        <f t="shared" si="17"/>
        <v>0</v>
      </c>
      <c r="L146" s="11">
        <v>1E+100</v>
      </c>
      <c r="M146" s="11">
        <v>1E+100</v>
      </c>
      <c r="N146" s="11">
        <v>1E+100</v>
      </c>
      <c r="O146" s="11">
        <v>7920</v>
      </c>
      <c r="P146" s="11">
        <v>1895</v>
      </c>
      <c r="Q146" s="11">
        <v>1E+100</v>
      </c>
      <c r="R146" s="11" t="str">
        <f t="shared" si="18"/>
        <v xml:space="preserve">N/A </v>
      </c>
    </row>
    <row r="147" spans="1:18">
      <c r="A147" s="3" t="s">
        <v>228</v>
      </c>
      <c r="B147" s="3"/>
      <c r="C147" s="11" t="s">
        <v>229</v>
      </c>
      <c r="D147" s="11">
        <v>0.5</v>
      </c>
      <c r="E147" s="16"/>
      <c r="F147" s="16">
        <f>IF($I$29=0,$I$78,$P$78)</f>
        <v>10.78119665189185</v>
      </c>
      <c r="G147" s="11">
        <f t="shared" si="19"/>
        <v>22.963948868529641</v>
      </c>
      <c r="I147" s="11">
        <f t="shared" si="15"/>
        <v>22.963948868529641</v>
      </c>
      <c r="J147" s="11">
        <f t="shared" si="16"/>
        <v>22.963948868529641</v>
      </c>
      <c r="K147" s="11">
        <f t="shared" si="17"/>
        <v>22.460794861769568</v>
      </c>
      <c r="L147" s="11">
        <v>700</v>
      </c>
      <c r="M147" s="11">
        <v>1E+100</v>
      </c>
      <c r="N147" s="11">
        <v>1E+100</v>
      </c>
      <c r="O147" s="11">
        <f>$L$100</f>
        <v>119.98749160883621</v>
      </c>
      <c r="P147" s="11">
        <f>$L$101</f>
        <v>13.326905935817672</v>
      </c>
      <c r="Q147" s="11">
        <v>4600</v>
      </c>
      <c r="R147" s="11" t="str">
        <f t="shared" si="18"/>
        <v xml:space="preserve">N/A </v>
      </c>
    </row>
    <row r="148" spans="1:18">
      <c r="A148" s="3" t="s">
        <v>230</v>
      </c>
      <c r="B148" s="3"/>
      <c r="C148" s="11" t="s">
        <v>231</v>
      </c>
      <c r="D148" s="11">
        <v>5</v>
      </c>
      <c r="E148" s="16"/>
      <c r="F148" s="16"/>
      <c r="G148" s="11">
        <f t="shared" si="19"/>
        <v>0</v>
      </c>
      <c r="I148" s="11">
        <f t="shared" si="15"/>
        <v>0</v>
      </c>
      <c r="J148" s="11">
        <f t="shared" si="16"/>
        <v>0</v>
      </c>
      <c r="K148" s="11">
        <f t="shared" si="17"/>
        <v>0</v>
      </c>
      <c r="L148" s="11">
        <v>50</v>
      </c>
      <c r="M148" s="11">
        <v>130</v>
      </c>
      <c r="N148" s="11">
        <v>50</v>
      </c>
      <c r="O148" s="11">
        <v>1E+100</v>
      </c>
      <c r="P148" s="11">
        <v>1E+100</v>
      </c>
      <c r="Q148" s="11">
        <f>IF($B$2=2002, 11000, 4200)</f>
        <v>4200</v>
      </c>
      <c r="R148" s="11" t="str">
        <f t="shared" si="18"/>
        <v xml:space="preserve">N/A </v>
      </c>
    </row>
    <row r="149" spans="1:18">
      <c r="A149" s="3" t="s">
        <v>232</v>
      </c>
      <c r="B149" s="3"/>
      <c r="C149" s="11"/>
      <c r="D149" s="11">
        <v>5</v>
      </c>
      <c r="E149" s="16"/>
      <c r="F149" s="16"/>
      <c r="G149" s="11">
        <f t="shared" si="19"/>
        <v>0</v>
      </c>
      <c r="I149" s="11">
        <f t="shared" si="15"/>
        <v>0</v>
      </c>
      <c r="J149" s="11">
        <f t="shared" si="16"/>
        <v>0</v>
      </c>
      <c r="K149" s="11">
        <f t="shared" si="17"/>
        <v>0</v>
      </c>
      <c r="L149" s="11">
        <v>50</v>
      </c>
      <c r="M149" s="11">
        <v>250</v>
      </c>
      <c r="N149" s="11">
        <v>50</v>
      </c>
      <c r="O149" s="11">
        <v>1E+100</v>
      </c>
      <c r="P149" s="11">
        <v>1E+100</v>
      </c>
      <c r="Q149" s="11">
        <f>IF($B$2=2002, 11000, 4200)</f>
        <v>4200</v>
      </c>
      <c r="R149" s="11" t="str">
        <f t="shared" si="18"/>
        <v xml:space="preserve">N/A </v>
      </c>
    </row>
    <row r="150" spans="1:18">
      <c r="A150" s="3" t="s">
        <v>233</v>
      </c>
      <c r="B150" s="3"/>
      <c r="C150" s="11" t="s">
        <v>231</v>
      </c>
      <c r="D150" s="11">
        <v>5</v>
      </c>
      <c r="E150" s="16"/>
      <c r="F150" s="16"/>
      <c r="G150" s="11">
        <f t="shared" si="19"/>
        <v>0</v>
      </c>
      <c r="I150" s="11">
        <f t="shared" si="15"/>
        <v>0</v>
      </c>
      <c r="J150" s="11">
        <f t="shared" si="16"/>
        <v>0</v>
      </c>
      <c r="K150" s="11">
        <f t="shared" si="17"/>
        <v>0</v>
      </c>
      <c r="L150" s="11">
        <v>1E+100</v>
      </c>
      <c r="M150" s="11">
        <v>1E+100</v>
      </c>
      <c r="N150" s="11">
        <v>5</v>
      </c>
      <c r="O150" s="11">
        <v>20</v>
      </c>
      <c r="P150" s="11">
        <v>5</v>
      </c>
      <c r="Q150" s="11">
        <v>1E+100</v>
      </c>
      <c r="R150" s="11" t="str">
        <f t="shared" si="18"/>
        <v xml:space="preserve">N/A </v>
      </c>
    </row>
    <row r="151" spans="1:18">
      <c r="A151" s="3" t="s">
        <v>234</v>
      </c>
      <c r="B151" s="3"/>
      <c r="C151" s="11" t="s">
        <v>235</v>
      </c>
      <c r="D151" s="11">
        <v>0.5</v>
      </c>
      <c r="E151" s="16"/>
      <c r="F151" s="16">
        <f>IF($I$29=0,$I$79,$P$79)</f>
        <v>1.5477586729276598</v>
      </c>
      <c r="G151" s="11">
        <f t="shared" si="19"/>
        <v>3.2967259733359153</v>
      </c>
      <c r="I151" s="11">
        <f t="shared" si="15"/>
        <v>3.2967259733359153</v>
      </c>
      <c r="J151" s="11">
        <f t="shared" si="16"/>
        <v>3.2967259733359153</v>
      </c>
      <c r="K151" s="11">
        <f t="shared" si="17"/>
        <v>3.2244927136221571</v>
      </c>
      <c r="L151" s="11">
        <v>1E+100</v>
      </c>
      <c r="M151" s="11">
        <v>1E+100</v>
      </c>
      <c r="N151" s="11">
        <v>1E+100</v>
      </c>
      <c r="O151" s="11">
        <f>$L$102</f>
        <v>0.20192490280723419</v>
      </c>
      <c r="P151" s="11">
        <v>1E+100</v>
      </c>
      <c r="Q151" s="11">
        <v>1E+100</v>
      </c>
      <c r="R151" s="11" t="str">
        <f t="shared" si="18"/>
        <v xml:space="preserve">N/A </v>
      </c>
    </row>
    <row r="152" spans="1:18">
      <c r="A152" s="3" t="s">
        <v>236</v>
      </c>
      <c r="B152" s="3"/>
      <c r="C152" s="11" t="s">
        <v>237</v>
      </c>
      <c r="D152" s="11">
        <v>0.5</v>
      </c>
      <c r="E152" s="16"/>
      <c r="F152" s="16"/>
      <c r="G152" s="11">
        <f t="shared" si="19"/>
        <v>0</v>
      </c>
      <c r="I152" s="11">
        <f t="shared" si="15"/>
        <v>0</v>
      </c>
      <c r="J152" s="11">
        <f t="shared" si="16"/>
        <v>0</v>
      </c>
      <c r="K152" s="11">
        <f t="shared" si="17"/>
        <v>0</v>
      </c>
      <c r="L152" s="11">
        <v>2</v>
      </c>
      <c r="M152" s="11">
        <v>1E+100</v>
      </c>
      <c r="N152" s="11">
        <v>1E+100</v>
      </c>
      <c r="O152" s="11">
        <v>1E+100</v>
      </c>
      <c r="P152" s="11">
        <v>1E+100</v>
      </c>
      <c r="Q152" s="11">
        <v>0.47</v>
      </c>
      <c r="R152" s="11" t="str">
        <f t="shared" si="18"/>
        <v xml:space="preserve">N/A </v>
      </c>
    </row>
    <row r="153" spans="1:18">
      <c r="A153" s="3" t="s">
        <v>238</v>
      </c>
      <c r="B153" s="3"/>
      <c r="C153" s="11" t="s">
        <v>239</v>
      </c>
      <c r="D153" s="11">
        <v>20</v>
      </c>
      <c r="E153" s="16"/>
      <c r="F153" s="16"/>
      <c r="G153" s="11">
        <f t="shared" si="19"/>
        <v>0</v>
      </c>
      <c r="I153" s="11">
        <f t="shared" si="15"/>
        <v>0</v>
      </c>
      <c r="J153" s="11">
        <f t="shared" si="16"/>
        <v>0</v>
      </c>
      <c r="K153" s="11">
        <f t="shared" si="17"/>
        <v>0</v>
      </c>
      <c r="L153" s="11">
        <v>10500</v>
      </c>
      <c r="M153" s="11">
        <v>2000</v>
      </c>
      <c r="N153" s="11">
        <v>25000</v>
      </c>
      <c r="O153" s="11">
        <f>$L$103</f>
        <v>37.024258043792209</v>
      </c>
      <c r="P153" s="11">
        <f>$L$104</f>
        <v>28.048347187887277</v>
      </c>
      <c r="Q153" s="11">
        <f>IF($B$2=2002, 69000, 26000)</f>
        <v>26000</v>
      </c>
      <c r="R153" s="11" t="str">
        <f t="shared" si="18"/>
        <v xml:space="preserve">N/A </v>
      </c>
    </row>
    <row r="154" spans="1:18" s="19" customFormat="1">
      <c r="A154" s="3" t="s">
        <v>240</v>
      </c>
      <c r="B154" s="3"/>
      <c r="C154" s="11" t="s">
        <v>241</v>
      </c>
      <c r="D154" s="11">
        <v>10</v>
      </c>
      <c r="E154" s="16"/>
      <c r="F154" s="16"/>
      <c r="G154" s="11">
        <f t="shared" si="19"/>
        <v>0</v>
      </c>
      <c r="I154" s="11">
        <f t="shared" si="15"/>
        <v>0</v>
      </c>
      <c r="J154" s="11">
        <f t="shared" si="16"/>
        <v>0</v>
      </c>
      <c r="K154" s="11">
        <f t="shared" si="17"/>
        <v>0</v>
      </c>
      <c r="L154" s="11">
        <v>200</v>
      </c>
      <c r="M154" s="11">
        <v>1E+100</v>
      </c>
      <c r="N154" s="11">
        <v>5.2</v>
      </c>
      <c r="O154" s="11">
        <v>22</v>
      </c>
      <c r="P154" s="11">
        <v>5.2</v>
      </c>
      <c r="Q154" s="11">
        <v>140</v>
      </c>
      <c r="R154" s="11" t="str">
        <f t="shared" si="18"/>
        <v xml:space="preserve">N/A </v>
      </c>
    </row>
    <row r="155" spans="1:18">
      <c r="A155" s="3" t="s">
        <v>242</v>
      </c>
      <c r="B155" s="3"/>
      <c r="C155" s="11" t="s">
        <v>243</v>
      </c>
      <c r="D155" s="11">
        <v>1.0000000000000001E-5</v>
      </c>
      <c r="E155" s="16"/>
      <c r="F155" s="16"/>
      <c r="G155" s="11">
        <f t="shared" si="19"/>
        <v>0</v>
      </c>
      <c r="I155" s="11">
        <f t="shared" si="15"/>
        <v>0</v>
      </c>
      <c r="J155" s="11">
        <f t="shared" si="16"/>
        <v>0</v>
      </c>
      <c r="K155" s="11">
        <f t="shared" si="17"/>
        <v>0</v>
      </c>
      <c r="L155" s="17">
        <v>3.0000000000000001E-5</v>
      </c>
      <c r="M155" s="11">
        <v>1E+100</v>
      </c>
      <c r="N155" s="11">
        <v>1E+100</v>
      </c>
      <c r="O155" s="11">
        <v>1E+100</v>
      </c>
      <c r="P155" s="11">
        <v>1E+100</v>
      </c>
      <c r="Q155" s="11">
        <f>IF($B$2=2002, 0.00000014, 0.000000051)</f>
        <v>5.1E-8</v>
      </c>
      <c r="R155" s="11" t="str">
        <f t="shared" si="18"/>
        <v xml:space="preserve">N/A </v>
      </c>
    </row>
    <row r="156" spans="1:18">
      <c r="A156" s="6" t="s">
        <v>244</v>
      </c>
      <c r="B156" s="3"/>
      <c r="C156" s="11"/>
      <c r="D156" s="11"/>
      <c r="E156" s="11"/>
      <c r="F156" s="11"/>
      <c r="G156" s="11"/>
      <c r="I156" s="11"/>
      <c r="J156" s="11"/>
      <c r="K156" s="11"/>
      <c r="L156" s="17"/>
      <c r="M156" s="13"/>
      <c r="N156" s="13"/>
      <c r="O156" s="13"/>
      <c r="P156" s="13"/>
      <c r="Q156" s="13"/>
      <c r="R156" s="11"/>
    </row>
    <row r="157" spans="1:18">
      <c r="A157" s="3" t="s">
        <v>245</v>
      </c>
      <c r="B157" s="3"/>
      <c r="C157" s="11" t="s">
        <v>246</v>
      </c>
      <c r="D157" s="11">
        <v>50</v>
      </c>
      <c r="E157" s="16"/>
      <c r="F157" s="16"/>
      <c r="G157" s="11">
        <f t="shared" si="19"/>
        <v>0</v>
      </c>
      <c r="I157" s="11">
        <f t="shared" ref="I157:I180" si="20">IF(($I$40+$I$22)=0,0,(($I$40*$E157)+(2.13*$I$22*$F157))/($I$40+$I$22))</f>
        <v>0</v>
      </c>
      <c r="J157" s="11">
        <f t="shared" ref="J157:J180" si="21">IF(($I$45+$I$22)=0,0,(($I$45*$E157)+(2.13*$I$22*$F157))/($I$45+$I$22))</f>
        <v>0</v>
      </c>
      <c r="K157" s="11">
        <f t="shared" ref="K157:K180" si="22">IF(($I$41+$I$22)=0,0,(($I$41*$E157)+(2.13*$I$22*$F157))/($I$41+$I$22))</f>
        <v>0</v>
      </c>
      <c r="L157" s="11">
        <v>18</v>
      </c>
      <c r="M157" s="11">
        <v>1E+100</v>
      </c>
      <c r="N157" s="11">
        <v>1E+100</v>
      </c>
      <c r="O157" s="11">
        <v>1E+100</v>
      </c>
      <c r="P157" s="11">
        <v>1E+100</v>
      </c>
      <c r="Q157" s="11">
        <v>9</v>
      </c>
      <c r="R157" s="11" t="str">
        <f t="shared" ref="R157:R180" si="23">IF($E157&gt;MIN($L157:$Q157), "Need TMDL", "N/A ")</f>
        <v xml:space="preserve">N/A </v>
      </c>
    </row>
    <row r="158" spans="1:18">
      <c r="A158" s="3" t="s">
        <v>247</v>
      </c>
      <c r="B158" s="3"/>
      <c r="C158" s="11" t="s">
        <v>248</v>
      </c>
      <c r="D158" s="11">
        <v>20</v>
      </c>
      <c r="E158" s="16"/>
      <c r="F158" s="16"/>
      <c r="G158" s="11">
        <f t="shared" si="19"/>
        <v>0</v>
      </c>
      <c r="I158" s="11">
        <f t="shared" si="20"/>
        <v>0</v>
      </c>
      <c r="J158" s="11">
        <f t="shared" si="21"/>
        <v>0</v>
      </c>
      <c r="K158" s="11">
        <f t="shared" si="22"/>
        <v>0</v>
      </c>
      <c r="L158" s="11">
        <v>0.65</v>
      </c>
      <c r="M158" s="11">
        <v>1E+100</v>
      </c>
      <c r="N158" s="11">
        <v>1E+100</v>
      </c>
      <c r="O158" s="11">
        <v>1E+100</v>
      </c>
      <c r="P158" s="11">
        <v>1E+100</v>
      </c>
      <c r="Q158" s="11">
        <f>IF($B$2=2002, 6.6, 2.5)</f>
        <v>2.5</v>
      </c>
      <c r="R158" s="11" t="str">
        <f t="shared" si="23"/>
        <v xml:space="preserve">N/A </v>
      </c>
    </row>
    <row r="159" spans="1:18">
      <c r="A159" s="3" t="s">
        <v>249</v>
      </c>
      <c r="B159" s="3"/>
      <c r="C159" s="11" t="s">
        <v>250</v>
      </c>
      <c r="D159" s="11">
        <v>10</v>
      </c>
      <c r="E159" s="16"/>
      <c r="F159" s="16"/>
      <c r="G159" s="11">
        <f t="shared" si="19"/>
        <v>0</v>
      </c>
      <c r="I159" s="11">
        <f t="shared" si="20"/>
        <v>0</v>
      </c>
      <c r="J159" s="11">
        <f t="shared" si="21"/>
        <v>0</v>
      </c>
      <c r="K159" s="11">
        <f t="shared" si="22"/>
        <v>0</v>
      </c>
      <c r="L159" s="11">
        <v>5</v>
      </c>
      <c r="M159" s="11">
        <v>1E+100</v>
      </c>
      <c r="N159" s="11">
        <v>1E+100</v>
      </c>
      <c r="O159" s="11">
        <v>1E+100</v>
      </c>
      <c r="P159" s="11">
        <v>1E+100</v>
      </c>
      <c r="Q159" s="11">
        <f>IF($B$2=2002, 710, 510)</f>
        <v>510</v>
      </c>
      <c r="R159" s="11" t="str">
        <f t="shared" si="23"/>
        <v xml:space="preserve">N/A </v>
      </c>
    </row>
    <row r="160" spans="1:18">
      <c r="A160" s="3" t="s">
        <v>251</v>
      </c>
      <c r="B160" s="3"/>
      <c r="C160" s="11" t="s">
        <v>252</v>
      </c>
      <c r="D160" s="11">
        <v>10</v>
      </c>
      <c r="E160" s="16"/>
      <c r="F160" s="16"/>
      <c r="G160" s="11">
        <f t="shared" si="19"/>
        <v>0</v>
      </c>
      <c r="I160" s="11">
        <f t="shared" si="20"/>
        <v>0</v>
      </c>
      <c r="J160" s="11">
        <f t="shared" si="21"/>
        <v>0</v>
      </c>
      <c r="K160" s="11">
        <f t="shared" si="22"/>
        <v>0</v>
      </c>
      <c r="L160" s="11">
        <v>44</v>
      </c>
      <c r="M160" s="11">
        <v>1E+100</v>
      </c>
      <c r="N160" s="11">
        <v>1E+100</v>
      </c>
      <c r="O160" s="11">
        <v>1E+100</v>
      </c>
      <c r="P160" s="11">
        <v>1E+100</v>
      </c>
      <c r="Q160" s="11">
        <f>IF($B$2=2002, 3600, 1400)</f>
        <v>1400</v>
      </c>
      <c r="R160" s="11" t="str">
        <f t="shared" si="23"/>
        <v xml:space="preserve">N/A </v>
      </c>
    </row>
    <row r="161" spans="1:18">
      <c r="A161" s="3" t="s">
        <v>253</v>
      </c>
      <c r="B161" s="3"/>
      <c r="C161" s="11" t="s">
        <v>254</v>
      </c>
      <c r="D161" s="11">
        <v>2</v>
      </c>
      <c r="E161" s="16"/>
      <c r="F161" s="16"/>
      <c r="G161" s="11">
        <f t="shared" si="19"/>
        <v>0</v>
      </c>
      <c r="I161" s="11">
        <f t="shared" si="20"/>
        <v>0</v>
      </c>
      <c r="J161" s="11">
        <f t="shared" si="21"/>
        <v>0</v>
      </c>
      <c r="K161" s="11">
        <f t="shared" si="22"/>
        <v>0</v>
      </c>
      <c r="L161" s="11">
        <v>5</v>
      </c>
      <c r="M161" s="11">
        <v>1E+100</v>
      </c>
      <c r="N161" s="11">
        <v>1E+100</v>
      </c>
      <c r="O161" s="11">
        <v>1E+100</v>
      </c>
      <c r="P161" s="11">
        <v>1E+100</v>
      </c>
      <c r="Q161" s="11">
        <f>IF($B$2=2002, 44, 16)</f>
        <v>16</v>
      </c>
      <c r="R161" s="11" t="str">
        <f t="shared" si="23"/>
        <v xml:space="preserve">N/A </v>
      </c>
    </row>
    <row r="162" spans="1:18">
      <c r="A162" s="3" t="s">
        <v>255</v>
      </c>
      <c r="B162" s="3"/>
      <c r="C162" s="11" t="s">
        <v>256</v>
      </c>
      <c r="D162" s="11">
        <v>10</v>
      </c>
      <c r="E162" s="16"/>
      <c r="F162" s="16"/>
      <c r="G162" s="11">
        <f t="shared" si="19"/>
        <v>0</v>
      </c>
      <c r="I162" s="11">
        <f t="shared" si="20"/>
        <v>0</v>
      </c>
      <c r="J162" s="11">
        <f t="shared" si="21"/>
        <v>0</v>
      </c>
      <c r="K162" s="11">
        <f t="shared" si="22"/>
        <v>0</v>
      </c>
      <c r="L162" s="11">
        <v>100</v>
      </c>
      <c r="M162" s="11">
        <v>1E+100</v>
      </c>
      <c r="N162" s="11">
        <v>1E+100</v>
      </c>
      <c r="O162" s="11">
        <v>1E+100</v>
      </c>
      <c r="P162" s="11">
        <v>1E+100</v>
      </c>
      <c r="Q162" s="11">
        <v>1600</v>
      </c>
      <c r="R162" s="11" t="str">
        <f t="shared" si="23"/>
        <v xml:space="preserve">N/A </v>
      </c>
    </row>
    <row r="163" spans="1:18">
      <c r="A163" s="3" t="s">
        <v>257</v>
      </c>
      <c r="B163" s="3"/>
      <c r="C163" s="11" t="s">
        <v>258</v>
      </c>
      <c r="D163" s="11">
        <v>10</v>
      </c>
      <c r="E163" s="16"/>
      <c r="F163" s="16"/>
      <c r="G163" s="11">
        <f t="shared" si="19"/>
        <v>0</v>
      </c>
      <c r="I163" s="11">
        <f t="shared" si="20"/>
        <v>0</v>
      </c>
      <c r="J163" s="11">
        <f t="shared" si="21"/>
        <v>0</v>
      </c>
      <c r="K163" s="11">
        <f t="shared" si="22"/>
        <v>0</v>
      </c>
      <c r="L163" s="11">
        <v>4.2</v>
      </c>
      <c r="M163" s="11">
        <v>1E+100</v>
      </c>
      <c r="N163" s="11">
        <v>1E+100</v>
      </c>
      <c r="O163" s="11">
        <v>1E+100</v>
      </c>
      <c r="P163" s="11">
        <v>1E+100</v>
      </c>
      <c r="Q163" s="11">
        <f>IF($B$2=2002, 340, 130)</f>
        <v>130</v>
      </c>
      <c r="R163" s="11" t="str">
        <f t="shared" si="23"/>
        <v xml:space="preserve">N/A </v>
      </c>
    </row>
    <row r="164" spans="1:18">
      <c r="A164" s="3" t="s">
        <v>259</v>
      </c>
      <c r="B164" s="3"/>
      <c r="C164" s="11" t="s">
        <v>260</v>
      </c>
      <c r="D164" s="11">
        <v>50</v>
      </c>
      <c r="E164" s="16"/>
      <c r="F164" s="16"/>
      <c r="G164" s="11">
        <f t="shared" si="19"/>
        <v>0</v>
      </c>
      <c r="I164" s="11">
        <f t="shared" si="20"/>
        <v>0</v>
      </c>
      <c r="J164" s="11">
        <f t="shared" si="21"/>
        <v>0</v>
      </c>
      <c r="K164" s="11">
        <f t="shared" si="22"/>
        <v>0</v>
      </c>
      <c r="L164" s="11">
        <f>IF($B$2=2002, 1E+100,57)</f>
        <v>57</v>
      </c>
      <c r="M164" s="11">
        <v>1E+100</v>
      </c>
      <c r="N164" s="11">
        <v>1E+100</v>
      </c>
      <c r="O164" s="11">
        <v>1E+100</v>
      </c>
      <c r="P164" s="11">
        <v>1E+100</v>
      </c>
      <c r="Q164" s="11">
        <f>IF($B$2=2002, 4700, 4700)</f>
        <v>4700</v>
      </c>
      <c r="R164" s="11" t="str">
        <f t="shared" si="23"/>
        <v xml:space="preserve">N/A </v>
      </c>
    </row>
    <row r="165" spans="1:18">
      <c r="A165" s="3" t="s">
        <v>261</v>
      </c>
      <c r="B165" s="3"/>
      <c r="C165" s="11" t="s">
        <v>262</v>
      </c>
      <c r="D165" s="11">
        <v>10</v>
      </c>
      <c r="E165" s="16"/>
      <c r="F165" s="16"/>
      <c r="G165" s="11">
        <f t="shared" si="19"/>
        <v>0</v>
      </c>
      <c r="I165" s="11">
        <f t="shared" si="20"/>
        <v>0</v>
      </c>
      <c r="J165" s="11">
        <f t="shared" si="21"/>
        <v>0</v>
      </c>
      <c r="K165" s="11">
        <f t="shared" si="22"/>
        <v>0</v>
      </c>
      <c r="L165" s="11">
        <v>5.6</v>
      </c>
      <c r="M165" s="11">
        <v>1E+100</v>
      </c>
      <c r="N165" s="11">
        <v>1E+100</v>
      </c>
      <c r="O165" s="11">
        <v>1E+100</v>
      </c>
      <c r="P165" s="11">
        <v>1E+100</v>
      </c>
      <c r="Q165" s="11">
        <f>IF($B$2=2002, 460, 170)</f>
        <v>170</v>
      </c>
      <c r="R165" s="11" t="str">
        <f t="shared" si="23"/>
        <v xml:space="preserve">N/A </v>
      </c>
    </row>
    <row r="166" spans="1:18">
      <c r="A166" s="3" t="s">
        <v>263</v>
      </c>
      <c r="B166" s="3"/>
      <c r="C166" s="11" t="s">
        <v>264</v>
      </c>
      <c r="D166" s="11">
        <v>10</v>
      </c>
      <c r="E166" s="16"/>
      <c r="F166" s="16"/>
      <c r="G166" s="11">
        <f t="shared" si="19"/>
        <v>0</v>
      </c>
      <c r="I166" s="11">
        <f t="shared" si="20"/>
        <v>0</v>
      </c>
      <c r="J166" s="11">
        <f t="shared" si="21"/>
        <v>0</v>
      </c>
      <c r="K166" s="11">
        <f t="shared" si="22"/>
        <v>0</v>
      </c>
      <c r="L166" s="11">
        <v>5</v>
      </c>
      <c r="M166" s="11">
        <v>1E+100</v>
      </c>
      <c r="N166" s="11">
        <v>1E+100</v>
      </c>
      <c r="O166" s="11">
        <v>1E+100</v>
      </c>
      <c r="P166" s="11">
        <v>1E+100</v>
      </c>
      <c r="Q166" s="11">
        <f>IF($B$2=2002, 990, 370)</f>
        <v>370</v>
      </c>
      <c r="R166" s="11" t="str">
        <f t="shared" si="23"/>
        <v xml:space="preserve">N/A </v>
      </c>
    </row>
    <row r="167" spans="1:18">
      <c r="A167" s="3" t="s">
        <v>265</v>
      </c>
      <c r="B167" s="3"/>
      <c r="C167" s="11" t="s">
        <v>266</v>
      </c>
      <c r="D167" s="11">
        <v>10</v>
      </c>
      <c r="E167" s="16"/>
      <c r="F167" s="16"/>
      <c r="G167" s="11">
        <f t="shared" si="19"/>
        <v>0</v>
      </c>
      <c r="I167" s="11">
        <f t="shared" si="20"/>
        <v>0</v>
      </c>
      <c r="J167" s="11">
        <f t="shared" si="21"/>
        <v>0</v>
      </c>
      <c r="K167" s="11">
        <f t="shared" si="22"/>
        <v>0</v>
      </c>
      <c r="L167" s="11">
        <v>7</v>
      </c>
      <c r="M167" s="11">
        <v>1E+100</v>
      </c>
      <c r="N167" s="11">
        <v>1E+100</v>
      </c>
      <c r="O167" s="11">
        <v>1E+100</v>
      </c>
      <c r="P167" s="11">
        <v>1E+100</v>
      </c>
      <c r="Q167" s="11">
        <v>7100</v>
      </c>
      <c r="R167" s="11" t="str">
        <f t="shared" si="23"/>
        <v xml:space="preserve">N/A </v>
      </c>
    </row>
    <row r="168" spans="1:18">
      <c r="A168" s="3" t="s">
        <v>267</v>
      </c>
      <c r="B168" s="3"/>
      <c r="C168" s="11" t="s">
        <v>268</v>
      </c>
      <c r="D168" s="11">
        <v>10</v>
      </c>
      <c r="E168" s="16"/>
      <c r="F168" s="16"/>
      <c r="G168" s="11">
        <f t="shared" si="19"/>
        <v>0</v>
      </c>
      <c r="I168" s="11">
        <f t="shared" si="20"/>
        <v>0</v>
      </c>
      <c r="J168" s="11">
        <f t="shared" si="21"/>
        <v>0</v>
      </c>
      <c r="K168" s="11">
        <f t="shared" si="22"/>
        <v>0</v>
      </c>
      <c r="L168" s="11">
        <f>IF($B$2=2002, 1E+100,5)</f>
        <v>5</v>
      </c>
      <c r="M168" s="11">
        <v>1E+100</v>
      </c>
      <c r="N168" s="11">
        <v>1E+100</v>
      </c>
      <c r="O168" s="11">
        <v>1E+100</v>
      </c>
      <c r="P168" s="11">
        <v>1E+100</v>
      </c>
      <c r="Q168" s="11">
        <f>IF($B$2=2002, 390, 150)</f>
        <v>150</v>
      </c>
      <c r="R168" s="11" t="str">
        <f t="shared" si="23"/>
        <v xml:space="preserve">N/A </v>
      </c>
    </row>
    <row r="169" spans="1:18">
      <c r="A169" s="3" t="s">
        <v>269</v>
      </c>
      <c r="B169" s="3"/>
      <c r="C169" s="11" t="s">
        <v>270</v>
      </c>
      <c r="D169" s="11">
        <v>10</v>
      </c>
      <c r="E169" s="16"/>
      <c r="F169" s="16"/>
      <c r="G169" s="11">
        <f t="shared" si="19"/>
        <v>0</v>
      </c>
      <c r="I169" s="11">
        <f t="shared" si="20"/>
        <v>0</v>
      </c>
      <c r="J169" s="11">
        <f t="shared" si="21"/>
        <v>0</v>
      </c>
      <c r="K169" s="11">
        <f t="shared" si="22"/>
        <v>0</v>
      </c>
      <c r="L169" s="11">
        <v>3.5</v>
      </c>
      <c r="M169" s="11">
        <v>1E+100</v>
      </c>
      <c r="N169" s="11">
        <v>1E+100</v>
      </c>
      <c r="O169" s="11">
        <v>1E+100</v>
      </c>
      <c r="P169" s="11">
        <v>1E+100</v>
      </c>
      <c r="Q169" s="11">
        <v>210</v>
      </c>
      <c r="R169" s="11" t="str">
        <f t="shared" si="23"/>
        <v xml:space="preserve">N/A </v>
      </c>
    </row>
    <row r="170" spans="1:18">
      <c r="A170" s="3" t="s">
        <v>271</v>
      </c>
      <c r="B170" s="3"/>
      <c r="C170" s="11" t="s">
        <v>272</v>
      </c>
      <c r="D170" s="11">
        <v>10</v>
      </c>
      <c r="E170" s="16"/>
      <c r="F170" s="16"/>
      <c r="G170" s="11">
        <f t="shared" si="19"/>
        <v>0</v>
      </c>
      <c r="I170" s="11">
        <f t="shared" si="20"/>
        <v>0</v>
      </c>
      <c r="J170" s="11">
        <f t="shared" si="21"/>
        <v>0</v>
      </c>
      <c r="K170" s="11">
        <f t="shared" si="22"/>
        <v>0</v>
      </c>
      <c r="L170" s="11">
        <v>700</v>
      </c>
      <c r="M170" s="11">
        <v>1E+100</v>
      </c>
      <c r="N170" s="11">
        <v>1E+100</v>
      </c>
      <c r="O170" s="11">
        <v>1E+100</v>
      </c>
      <c r="P170" s="11">
        <v>1E+100</v>
      </c>
      <c r="Q170" s="11">
        <v>2100</v>
      </c>
      <c r="R170" s="11" t="str">
        <f t="shared" si="23"/>
        <v xml:space="preserve">N/A </v>
      </c>
    </row>
    <row r="171" spans="1:18">
      <c r="A171" s="3" t="s">
        <v>273</v>
      </c>
      <c r="B171" s="3"/>
      <c r="C171" s="11" t="s">
        <v>274</v>
      </c>
      <c r="D171" s="11">
        <v>50</v>
      </c>
      <c r="E171" s="16"/>
      <c r="F171" s="16"/>
      <c r="G171" s="11">
        <f t="shared" si="19"/>
        <v>0</v>
      </c>
      <c r="I171" s="11">
        <f t="shared" si="20"/>
        <v>0</v>
      </c>
      <c r="J171" s="11">
        <f t="shared" si="21"/>
        <v>0</v>
      </c>
      <c r="K171" s="11">
        <f t="shared" si="22"/>
        <v>0</v>
      </c>
      <c r="L171" s="11">
        <v>49</v>
      </c>
      <c r="M171" s="11">
        <v>1E+100</v>
      </c>
      <c r="N171" s="11">
        <v>1E+100</v>
      </c>
      <c r="O171" s="11">
        <v>1E+100</v>
      </c>
      <c r="P171" s="11">
        <v>1E+100</v>
      </c>
      <c r="Q171" s="11">
        <f>IF($B$2=2002, 4000, 1500)</f>
        <v>1500</v>
      </c>
      <c r="R171" s="11" t="str">
        <f t="shared" si="23"/>
        <v xml:space="preserve">N/A </v>
      </c>
    </row>
    <row r="172" spans="1:18">
      <c r="A172" s="3" t="s">
        <v>275</v>
      </c>
      <c r="B172" s="3"/>
      <c r="C172" s="11" t="s">
        <v>276</v>
      </c>
      <c r="D172" s="11">
        <v>20</v>
      </c>
      <c r="E172" s="16"/>
      <c r="F172" s="16"/>
      <c r="G172" s="11">
        <f t="shared" si="19"/>
        <v>0</v>
      </c>
      <c r="I172" s="11">
        <f t="shared" si="20"/>
        <v>0</v>
      </c>
      <c r="J172" s="11">
        <f t="shared" si="21"/>
        <v>0</v>
      </c>
      <c r="K172" s="11">
        <f t="shared" si="22"/>
        <v>0</v>
      </c>
      <c r="L172" s="11">
        <v>5</v>
      </c>
      <c r="M172" s="11">
        <v>1E+100</v>
      </c>
      <c r="N172" s="11">
        <v>1E+100</v>
      </c>
      <c r="O172" s="11">
        <v>1E+100</v>
      </c>
      <c r="P172" s="11">
        <v>1E+100</v>
      </c>
      <c r="Q172" s="11">
        <f>IF($B$2=2002, 16000, 5900)</f>
        <v>5900</v>
      </c>
      <c r="R172" s="11" t="str">
        <f t="shared" si="23"/>
        <v xml:space="preserve">N/A </v>
      </c>
    </row>
    <row r="173" spans="1:18">
      <c r="A173" s="3" t="s">
        <v>277</v>
      </c>
      <c r="B173" s="3"/>
      <c r="C173" s="11" t="s">
        <v>278</v>
      </c>
      <c r="D173" s="11">
        <v>10</v>
      </c>
      <c r="E173" s="16"/>
      <c r="F173" s="16"/>
      <c r="G173" s="11">
        <f t="shared" si="19"/>
        <v>0</v>
      </c>
      <c r="I173" s="11">
        <f t="shared" si="20"/>
        <v>0</v>
      </c>
      <c r="J173" s="11">
        <f t="shared" si="21"/>
        <v>0</v>
      </c>
      <c r="K173" s="11">
        <f t="shared" si="22"/>
        <v>0</v>
      </c>
      <c r="L173" s="11">
        <v>1.8</v>
      </c>
      <c r="M173" s="11">
        <v>1E+100</v>
      </c>
      <c r="N173" s="11">
        <v>1E+100</v>
      </c>
      <c r="O173" s="11">
        <v>1E+100</v>
      </c>
      <c r="P173" s="11">
        <v>1E+100</v>
      </c>
      <c r="Q173" s="11">
        <f>IF($B$2=2002, 110, 40)</f>
        <v>40</v>
      </c>
      <c r="R173" s="11" t="str">
        <f t="shared" si="23"/>
        <v xml:space="preserve">N/A </v>
      </c>
    </row>
    <row r="174" spans="1:18">
      <c r="A174" s="3" t="s">
        <v>279</v>
      </c>
      <c r="B174" s="3"/>
      <c r="C174" s="11" t="s">
        <v>280</v>
      </c>
      <c r="D174" s="11">
        <v>10</v>
      </c>
      <c r="E174" s="16"/>
      <c r="F174" s="16"/>
      <c r="G174" s="11">
        <f t="shared" si="19"/>
        <v>0</v>
      </c>
      <c r="I174" s="11">
        <f t="shared" si="20"/>
        <v>0</v>
      </c>
      <c r="J174" s="11">
        <f t="shared" si="21"/>
        <v>0</v>
      </c>
      <c r="K174" s="11">
        <f t="shared" si="22"/>
        <v>0</v>
      </c>
      <c r="L174" s="11">
        <v>5</v>
      </c>
      <c r="M174" s="11">
        <v>1E+100</v>
      </c>
      <c r="N174" s="11">
        <v>1E+100</v>
      </c>
      <c r="O174" s="11">
        <v>1E+100</v>
      </c>
      <c r="P174" s="11">
        <v>1E+100</v>
      </c>
      <c r="Q174" s="11">
        <f>IF($B$2=2002, 88.5, 33)</f>
        <v>33</v>
      </c>
      <c r="R174" s="11" t="str">
        <f t="shared" si="23"/>
        <v xml:space="preserve">N/A </v>
      </c>
    </row>
    <row r="175" spans="1:18">
      <c r="A175" s="3" t="s">
        <v>281</v>
      </c>
      <c r="B175" s="3"/>
      <c r="C175" s="11" t="s">
        <v>282</v>
      </c>
      <c r="D175" s="11">
        <v>10</v>
      </c>
      <c r="E175" s="16"/>
      <c r="F175" s="16"/>
      <c r="G175" s="11">
        <f t="shared" si="19"/>
        <v>0</v>
      </c>
      <c r="I175" s="11">
        <f t="shared" si="20"/>
        <v>0</v>
      </c>
      <c r="J175" s="11">
        <f t="shared" si="21"/>
        <v>0</v>
      </c>
      <c r="K175" s="11">
        <f t="shared" si="22"/>
        <v>0</v>
      </c>
      <c r="L175" s="11">
        <v>1000</v>
      </c>
      <c r="M175" s="11">
        <v>1E+100</v>
      </c>
      <c r="N175" s="11">
        <v>1E+100</v>
      </c>
      <c r="O175" s="11">
        <v>1E+100</v>
      </c>
      <c r="P175" s="11">
        <v>1E+100</v>
      </c>
      <c r="Q175" s="11">
        <v>15000</v>
      </c>
      <c r="R175" s="11" t="str">
        <f t="shared" si="23"/>
        <v xml:space="preserve">N/A </v>
      </c>
    </row>
    <row r="176" spans="1:18">
      <c r="A176" s="3" t="s">
        <v>283</v>
      </c>
      <c r="B176" s="3"/>
      <c r="C176" s="11" t="s">
        <v>284</v>
      </c>
      <c r="D176" s="11">
        <v>10</v>
      </c>
      <c r="E176" s="16"/>
      <c r="F176" s="16"/>
      <c r="G176" s="11">
        <f t="shared" si="19"/>
        <v>0</v>
      </c>
      <c r="I176" s="11">
        <f t="shared" si="20"/>
        <v>0</v>
      </c>
      <c r="J176" s="11">
        <f t="shared" si="21"/>
        <v>0</v>
      </c>
      <c r="K176" s="11">
        <f t="shared" si="22"/>
        <v>0</v>
      </c>
      <c r="L176" s="11">
        <v>100</v>
      </c>
      <c r="M176" s="11">
        <v>1E+100</v>
      </c>
      <c r="N176" s="11">
        <v>1E+100</v>
      </c>
      <c r="O176" s="11">
        <v>1E+100</v>
      </c>
      <c r="P176" s="11">
        <v>1E+100</v>
      </c>
      <c r="Q176" s="11">
        <v>10000</v>
      </c>
      <c r="R176" s="11" t="str">
        <f t="shared" si="23"/>
        <v xml:space="preserve">N/A </v>
      </c>
    </row>
    <row r="177" spans="1:18" s="19" customFormat="1">
      <c r="A177" s="3" t="s">
        <v>285</v>
      </c>
      <c r="B177" s="3"/>
      <c r="C177" s="11" t="s">
        <v>286</v>
      </c>
      <c r="D177" s="11"/>
      <c r="E177" s="16"/>
      <c r="F177" s="16"/>
      <c r="G177" s="11">
        <f t="shared" si="19"/>
        <v>0</v>
      </c>
      <c r="I177" s="11">
        <f t="shared" si="20"/>
        <v>0</v>
      </c>
      <c r="J177" s="11">
        <f t="shared" si="21"/>
        <v>0</v>
      </c>
      <c r="K177" s="11">
        <f t="shared" si="22"/>
        <v>0</v>
      </c>
      <c r="L177" s="11">
        <v>200</v>
      </c>
      <c r="M177" s="11">
        <v>1E+100</v>
      </c>
      <c r="N177" s="11">
        <v>1E+100</v>
      </c>
      <c r="O177" s="11">
        <v>1E+100</v>
      </c>
      <c r="P177" s="11">
        <v>1E+100</v>
      </c>
      <c r="Q177" s="11">
        <v>1E+100</v>
      </c>
      <c r="R177" s="11" t="str">
        <f t="shared" si="23"/>
        <v xml:space="preserve">N/A </v>
      </c>
    </row>
    <row r="178" spans="1:18">
      <c r="A178" s="3" t="s">
        <v>287</v>
      </c>
      <c r="B178" s="3"/>
      <c r="C178" s="11" t="s">
        <v>288</v>
      </c>
      <c r="D178" s="11">
        <v>10</v>
      </c>
      <c r="E178" s="16"/>
      <c r="F178" s="16"/>
      <c r="G178" s="11">
        <f t="shared" si="19"/>
        <v>0</v>
      </c>
      <c r="I178" s="11">
        <f t="shared" si="20"/>
        <v>0</v>
      </c>
      <c r="J178" s="11">
        <f t="shared" si="21"/>
        <v>0</v>
      </c>
      <c r="K178" s="11">
        <f t="shared" si="22"/>
        <v>0</v>
      </c>
      <c r="L178" s="11">
        <v>5</v>
      </c>
      <c r="M178" s="11">
        <v>1E+100</v>
      </c>
      <c r="N178" s="11">
        <v>1E+100</v>
      </c>
      <c r="O178" s="11">
        <v>1E+100</v>
      </c>
      <c r="P178" s="11">
        <v>1E+100</v>
      </c>
      <c r="Q178" s="11">
        <f>IF($B$2=2002, 420, 160)</f>
        <v>160</v>
      </c>
      <c r="R178" s="11" t="str">
        <f t="shared" si="23"/>
        <v xml:space="preserve">N/A </v>
      </c>
    </row>
    <row r="179" spans="1:18">
      <c r="A179" s="3" t="s">
        <v>289</v>
      </c>
      <c r="B179" s="3"/>
      <c r="C179" s="11" t="s">
        <v>290</v>
      </c>
      <c r="D179" s="11">
        <v>10</v>
      </c>
      <c r="E179" s="16"/>
      <c r="F179" s="16"/>
      <c r="G179" s="11">
        <f t="shared" si="19"/>
        <v>0</v>
      </c>
      <c r="I179" s="11">
        <f t="shared" si="20"/>
        <v>0</v>
      </c>
      <c r="J179" s="11">
        <f t="shared" si="21"/>
        <v>0</v>
      </c>
      <c r="K179" s="11">
        <f t="shared" si="22"/>
        <v>0</v>
      </c>
      <c r="L179" s="11">
        <v>5</v>
      </c>
      <c r="M179" s="11">
        <v>1E+100</v>
      </c>
      <c r="N179" s="11">
        <v>1E+100</v>
      </c>
      <c r="O179" s="11">
        <v>1E+100</v>
      </c>
      <c r="P179" s="11">
        <v>1E+100</v>
      </c>
      <c r="Q179" s="11">
        <f>IF($B$2=2002, 810, 300)</f>
        <v>300</v>
      </c>
      <c r="R179" s="11" t="str">
        <f t="shared" si="23"/>
        <v xml:space="preserve">N/A </v>
      </c>
    </row>
    <row r="180" spans="1:18">
      <c r="A180" s="3" t="s">
        <v>291</v>
      </c>
      <c r="B180" s="3"/>
      <c r="C180" s="11" t="s">
        <v>292</v>
      </c>
      <c r="D180" s="11">
        <v>10</v>
      </c>
      <c r="E180" s="16"/>
      <c r="F180" s="16"/>
      <c r="G180" s="11">
        <f t="shared" si="19"/>
        <v>0</v>
      </c>
      <c r="I180" s="11">
        <f t="shared" si="20"/>
        <v>0</v>
      </c>
      <c r="J180" s="11">
        <f t="shared" si="21"/>
        <v>0</v>
      </c>
      <c r="K180" s="11">
        <f t="shared" si="22"/>
        <v>0</v>
      </c>
      <c r="L180" s="11">
        <v>2</v>
      </c>
      <c r="M180" s="11">
        <v>1E+100</v>
      </c>
      <c r="N180" s="11">
        <v>1E+100</v>
      </c>
      <c r="O180" s="11">
        <v>1E+100</v>
      </c>
      <c r="P180" s="11">
        <v>1E+100</v>
      </c>
      <c r="Q180" s="11">
        <v>24</v>
      </c>
      <c r="R180" s="11" t="str">
        <f t="shared" si="23"/>
        <v xml:space="preserve">N/A </v>
      </c>
    </row>
    <row r="181" spans="1:18">
      <c r="A181" s="6" t="s">
        <v>293</v>
      </c>
      <c r="B181" s="3"/>
      <c r="C181" s="11"/>
      <c r="D181" s="11"/>
      <c r="E181" s="11"/>
      <c r="F181" s="11"/>
      <c r="G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</row>
    <row r="182" spans="1:18">
      <c r="A182" s="3" t="s">
        <v>294</v>
      </c>
      <c r="B182" s="3"/>
      <c r="C182" s="11" t="s">
        <v>295</v>
      </c>
      <c r="D182" s="11">
        <v>10</v>
      </c>
      <c r="E182" s="16"/>
      <c r="F182" s="16"/>
      <c r="G182" s="11">
        <f t="shared" si="19"/>
        <v>0</v>
      </c>
      <c r="I182" s="11">
        <f>IF(($I$40+$I$22)=0,0,(($I$40*$E182)+(2.13*$I$22*$F182))/($I$40+$I$22))</f>
        <v>0</v>
      </c>
      <c r="J182" s="11">
        <f>IF(($I$45+$I$22)=0,0,(($I$45*$E182)+(2.13*$I$22*$F182))/($I$45+$I$22))</f>
        <v>0</v>
      </c>
      <c r="K182" s="11">
        <f>IF(($I$41+$I$22)=0,0,(($I$41*$E182)+(2.13*$I$22*$F182))/($I$41+$I$22))</f>
        <v>0</v>
      </c>
      <c r="L182" s="11">
        <v>175</v>
      </c>
      <c r="M182" s="11">
        <v>1E+100</v>
      </c>
      <c r="N182" s="11">
        <v>1E+100</v>
      </c>
      <c r="O182" s="11">
        <v>1E+100</v>
      </c>
      <c r="P182" s="11">
        <v>1E+100</v>
      </c>
      <c r="Q182" s="11">
        <f>IF($B$2=2002, 400, 150)</f>
        <v>150</v>
      </c>
      <c r="R182" s="11" t="str">
        <f>IF($E182&gt;MIN($L182:$Q182), "Need TMDL", "N/A ")</f>
        <v xml:space="preserve">N/A </v>
      </c>
    </row>
    <row r="183" spans="1:18">
      <c r="A183" s="3" t="s">
        <v>296</v>
      </c>
      <c r="B183" s="3"/>
      <c r="C183" s="11" t="s">
        <v>297</v>
      </c>
      <c r="D183" s="11">
        <v>10</v>
      </c>
      <c r="E183" s="16"/>
      <c r="F183" s="16"/>
      <c r="G183" s="11">
        <f t="shared" si="19"/>
        <v>0</v>
      </c>
      <c r="I183" s="11">
        <f>IF(($I$40+$I$22)=0,0,(($I$40*$E183)+(2.13*$I$22*$F183))/($I$40+$I$22))</f>
        <v>0</v>
      </c>
      <c r="J183" s="11">
        <f>IF(($I$45+$I$22)=0,0,(($I$45*$E183)+(2.13*$I$22*$F183))/($I$45+$I$22))</f>
        <v>0</v>
      </c>
      <c r="K183" s="11">
        <f>IF(($I$41+$I$22)=0,0,(($I$41*$E183)+(2.13*$I$22*$F183))/($I$41+$I$22))</f>
        <v>0</v>
      </c>
      <c r="L183" s="11">
        <v>105</v>
      </c>
      <c r="M183" s="11">
        <v>1E+100</v>
      </c>
      <c r="N183" s="11">
        <v>1E+100</v>
      </c>
      <c r="O183" s="11">
        <v>1E+100</v>
      </c>
      <c r="P183" s="11">
        <v>1E+100</v>
      </c>
      <c r="Q183" s="11">
        <f>IF($B$2=2002, 790, 290)</f>
        <v>290</v>
      </c>
      <c r="R183" s="11" t="str">
        <f>IF($E183&gt;MIN($L183:$Q183), "Need TMDL", "N/A ")</f>
        <v xml:space="preserve">N/A </v>
      </c>
    </row>
    <row r="184" spans="1:18">
      <c r="A184" s="3" t="s">
        <v>298</v>
      </c>
      <c r="B184" s="3"/>
      <c r="C184" s="11" t="s">
        <v>299</v>
      </c>
      <c r="D184" s="11">
        <v>10</v>
      </c>
      <c r="E184" s="16"/>
      <c r="F184" s="16"/>
      <c r="G184" s="11">
        <f t="shared" si="19"/>
        <v>0</v>
      </c>
      <c r="I184" s="11">
        <f>IF(($I$40+$I$22)=0,0,(($I$40*$E184)+(2.13*$I$22*$F184))/($I$40+$I$22))</f>
        <v>0</v>
      </c>
      <c r="J184" s="11">
        <f>IF(($I$45+$I$22)=0,0,(($I$45*$E184)+(2.13*$I$22*$F184))/($I$45+$I$22))</f>
        <v>0</v>
      </c>
      <c r="K184" s="11">
        <f>IF(($I$41+$I$22)=0,0,(($I$41*$E184)+(2.13*$I$22*$F184))/($I$41+$I$22))</f>
        <v>0</v>
      </c>
      <c r="L184" s="11">
        <v>700</v>
      </c>
      <c r="M184" s="11">
        <v>1E+100</v>
      </c>
      <c r="N184" s="11">
        <v>1E+100</v>
      </c>
      <c r="O184" s="11">
        <v>1E+100</v>
      </c>
      <c r="P184" s="11">
        <v>1E+100</v>
      </c>
      <c r="Q184" s="11">
        <f>IF($B$2=2002, 2300, 850)</f>
        <v>850</v>
      </c>
      <c r="R184" s="11" t="str">
        <f>IF($E184&gt;MIN($L184:$Q184), "Need TMDL", "N/A ")</f>
        <v xml:space="preserve">N/A </v>
      </c>
    </row>
    <row r="185" spans="1:18">
      <c r="A185" s="3" t="s">
        <v>300</v>
      </c>
      <c r="B185" s="3"/>
      <c r="C185" s="11" t="s">
        <v>301</v>
      </c>
      <c r="D185" s="11">
        <v>50</v>
      </c>
      <c r="E185" s="16"/>
      <c r="F185" s="16"/>
      <c r="G185" s="11">
        <f t="shared" si="19"/>
        <v>0</v>
      </c>
      <c r="I185" s="11">
        <f>IF(($I$40+$I$22)=0,0,(($I$40*$E185)+(2.13*$I$22*$F185))/($I$40+$I$22))</f>
        <v>0</v>
      </c>
      <c r="J185" s="11">
        <f>IF(($I$45+$I$22)=0,0,(($I$45*$E185)+(2.13*$I$22*$F185))/($I$45+$I$22))</f>
        <v>0</v>
      </c>
      <c r="K185" s="11">
        <f>IF(($I$41+$I$22)=0,0,(($I$41*$E185)+(2.13*$I$22*$F185))/($I$41+$I$22))</f>
        <v>0</v>
      </c>
      <c r="L185" s="11">
        <v>14</v>
      </c>
      <c r="M185" s="11">
        <v>1E+100</v>
      </c>
      <c r="N185" s="11">
        <v>1E+100</v>
      </c>
      <c r="O185" s="11">
        <v>1E+100</v>
      </c>
      <c r="P185" s="11">
        <v>1E+100</v>
      </c>
      <c r="Q185" s="11">
        <f>IF($B$2=2002, 765, 280)</f>
        <v>280</v>
      </c>
      <c r="R185" s="11" t="str">
        <f>IF($E185&gt;MIN($L185:$Q185), "Need TMDL", "N/A ")</f>
        <v xml:space="preserve">N/A </v>
      </c>
    </row>
    <row r="186" spans="1:18">
      <c r="A186" s="3"/>
      <c r="B186" s="3"/>
      <c r="C186" s="11"/>
      <c r="D186" s="11"/>
      <c r="E186" s="11"/>
      <c r="F186" s="11"/>
      <c r="G186" s="11"/>
      <c r="H186" s="11"/>
      <c r="I186" s="11" t="s">
        <v>146</v>
      </c>
      <c r="J186" s="11"/>
      <c r="K186" s="11"/>
      <c r="N186" s="11" t="s">
        <v>147</v>
      </c>
      <c r="O186" s="11" t="s">
        <v>113</v>
      </c>
      <c r="P186" s="11" t="s">
        <v>149</v>
      </c>
      <c r="Q186" s="11" t="s">
        <v>150</v>
      </c>
      <c r="R186" s="11" t="s">
        <v>151</v>
      </c>
    </row>
    <row r="187" spans="1:18">
      <c r="A187" s="3"/>
      <c r="B187" s="3"/>
      <c r="C187" s="11"/>
      <c r="D187" s="11"/>
      <c r="E187" s="11" t="s">
        <v>153</v>
      </c>
      <c r="F187" s="11" t="s">
        <v>154</v>
      </c>
      <c r="G187" s="11" t="s">
        <v>148</v>
      </c>
      <c r="I187" s="11" t="s">
        <v>156</v>
      </c>
      <c r="J187" s="11" t="s">
        <v>116</v>
      </c>
      <c r="K187" s="11" t="s">
        <v>217</v>
      </c>
      <c r="L187" s="11" t="s">
        <v>156</v>
      </c>
      <c r="M187" s="11" t="s">
        <v>157</v>
      </c>
      <c r="N187" s="11" t="s">
        <v>218</v>
      </c>
      <c r="O187" s="11" t="s">
        <v>159</v>
      </c>
      <c r="P187" s="11" t="s">
        <v>159</v>
      </c>
      <c r="Q187" s="11" t="s">
        <v>160</v>
      </c>
      <c r="R187" s="11" t="s">
        <v>161</v>
      </c>
    </row>
    <row r="188" spans="1:18">
      <c r="A188" s="3" t="s">
        <v>152</v>
      </c>
      <c r="B188" s="3"/>
      <c r="C188" s="11"/>
      <c r="D188" s="11"/>
      <c r="E188" s="11" t="s">
        <v>219</v>
      </c>
      <c r="F188" s="11" t="s">
        <v>220</v>
      </c>
      <c r="G188" s="11" t="s">
        <v>159</v>
      </c>
      <c r="I188" s="11" t="s">
        <v>163</v>
      </c>
      <c r="J188" s="11" t="s">
        <v>159</v>
      </c>
      <c r="K188" s="11" t="s">
        <v>160</v>
      </c>
      <c r="L188" s="11" t="s">
        <v>164</v>
      </c>
      <c r="M188" s="11" t="s">
        <v>164</v>
      </c>
      <c r="N188" s="11" t="s">
        <v>221</v>
      </c>
      <c r="O188" s="11" t="s">
        <v>164</v>
      </c>
      <c r="P188" s="11" t="s">
        <v>164</v>
      </c>
      <c r="Q188" s="11" t="s">
        <v>164</v>
      </c>
      <c r="R188" s="11"/>
    </row>
    <row r="189" spans="1:18">
      <c r="A189" s="3"/>
      <c r="B189" s="3"/>
      <c r="C189" s="11" t="s">
        <v>165</v>
      </c>
      <c r="D189" s="11" t="s">
        <v>166</v>
      </c>
      <c r="E189" s="11" t="s">
        <v>167</v>
      </c>
      <c r="F189" s="11" t="s">
        <v>168</v>
      </c>
      <c r="G189" s="11" t="s">
        <v>169</v>
      </c>
      <c r="I189" s="11" t="s">
        <v>170</v>
      </c>
      <c r="J189" s="11" t="s">
        <v>171</v>
      </c>
      <c r="K189" s="11" t="s">
        <v>172</v>
      </c>
      <c r="L189" s="11" t="s">
        <v>173</v>
      </c>
      <c r="M189" s="11" t="s">
        <v>173</v>
      </c>
      <c r="N189" s="11" t="s">
        <v>173</v>
      </c>
      <c r="O189" s="11" t="s">
        <v>173</v>
      </c>
      <c r="P189" s="11" t="s">
        <v>173</v>
      </c>
      <c r="Q189" s="11" t="s">
        <v>173</v>
      </c>
      <c r="R189" s="11"/>
    </row>
    <row r="190" spans="1:18">
      <c r="A190" s="3" t="s">
        <v>302</v>
      </c>
      <c r="B190" s="3"/>
      <c r="C190" s="11" t="s">
        <v>303</v>
      </c>
      <c r="D190" s="11">
        <v>50</v>
      </c>
      <c r="E190" s="16"/>
      <c r="F190" s="16"/>
      <c r="G190" s="11">
        <f>2.13*F190</f>
        <v>0</v>
      </c>
      <c r="I190" s="11">
        <f>IF(($I$40+$I$22)=0,0,(($I$40*$E190)+(2.13*$I$22*$F190))/($I$40+$I$22))</f>
        <v>0</v>
      </c>
      <c r="J190" s="11">
        <f>IF(($I$45+$I$22)=0,0,(($I$45*$E190)+(2.13*$I$22*$F190))/($I$45+$I$22))</f>
        <v>0</v>
      </c>
      <c r="K190" s="11">
        <f>IF(($I$41+$I$22)=0,0,(($I$41*$E190)+(2.13*$I$22*$F190))/($I$41+$I$22))</f>
        <v>0</v>
      </c>
      <c r="L190" s="11">
        <v>70</v>
      </c>
      <c r="M190" s="11">
        <v>1E+100</v>
      </c>
      <c r="N190" s="11">
        <v>1E+100</v>
      </c>
      <c r="O190" s="11">
        <v>1E+100</v>
      </c>
      <c r="P190" s="11">
        <v>1E+100</v>
      </c>
      <c r="Q190" s="11">
        <f>IF($B$2=2002, 14000, 5300)</f>
        <v>5300</v>
      </c>
      <c r="R190" s="11" t="str">
        <f>IF($E190&gt;MIN($L190:$Q190), "Need TMDL", "N/A ")</f>
        <v xml:space="preserve">N/A </v>
      </c>
    </row>
    <row r="191" spans="1:18">
      <c r="A191" s="3" t="s">
        <v>304</v>
      </c>
      <c r="B191" s="3"/>
      <c r="C191" s="11" t="s">
        <v>305</v>
      </c>
      <c r="D191" s="11">
        <v>50</v>
      </c>
      <c r="E191" s="16"/>
      <c r="F191" s="16"/>
      <c r="G191" s="11">
        <f t="shared" ref="G191:G232" si="24">2.13*F191</f>
        <v>0</v>
      </c>
      <c r="I191" s="11">
        <f>IF(($I$40+$I$22)=0,0,(($I$40*$E191)+(2.13*$I$22*$F191))/($I$40+$I$22))</f>
        <v>0</v>
      </c>
      <c r="J191" s="11">
        <f>IF(($I$45+$I$22)=0,0,(($I$45*$E191)+(2.13*$I$22*$F191))/($I$45+$I$22))</f>
        <v>0</v>
      </c>
      <c r="K191" s="11">
        <f>IF(($I$41+$I$22)=0,0,(($I$41*$E191)+(2.13*$I$22*$F191))/($I$41+$I$22))</f>
        <v>0</v>
      </c>
      <c r="L191" s="11">
        <v>1</v>
      </c>
      <c r="M191" s="11">
        <v>1E+100</v>
      </c>
      <c r="N191" s="11">
        <v>1E+100</v>
      </c>
      <c r="O191" s="11">
        <v>19</v>
      </c>
      <c r="P191" s="11">
        <v>15</v>
      </c>
      <c r="Q191" s="11">
        <f>IF($B$2=2002, 82, 30)</f>
        <v>30</v>
      </c>
      <c r="R191" s="11" t="str">
        <f>IF($E191&gt;MIN($L191:$Q191), "Need TMDL", "N/A ")</f>
        <v xml:space="preserve">N/A </v>
      </c>
    </row>
    <row r="192" spans="1:18">
      <c r="A192" s="3" t="s">
        <v>306</v>
      </c>
      <c r="B192" s="3"/>
      <c r="C192" s="11" t="s">
        <v>307</v>
      </c>
      <c r="D192" s="11">
        <v>10</v>
      </c>
      <c r="E192" s="16"/>
      <c r="F192" s="16"/>
      <c r="G192" s="11">
        <f t="shared" si="24"/>
        <v>0</v>
      </c>
      <c r="I192" s="11">
        <f>IF(($I$40+$I$22)=0,0,(($I$40*$E192)+(2.13*$I$22*$F192))/($I$40+$I$22))</f>
        <v>0</v>
      </c>
      <c r="J192" s="11">
        <f>IF(($I$45+$I$22)=0,0,(($I$45*$E192)+(2.13*$I$22*$F192))/($I$45+$I$22))</f>
        <v>0</v>
      </c>
      <c r="K192" s="11">
        <f>IF(($I$41+$I$22)=0,0,(($I$41*$E192)+(2.13*$I$22*$F192))/($I$41+$I$22))</f>
        <v>0</v>
      </c>
      <c r="L192" s="11">
        <v>10500</v>
      </c>
      <c r="M192" s="11">
        <v>1E+100</v>
      </c>
      <c r="N192" s="11">
        <v>1E+100</v>
      </c>
      <c r="O192" s="11">
        <v>1E+100</v>
      </c>
      <c r="P192" s="11">
        <v>1E+100</v>
      </c>
      <c r="Q192" s="11">
        <v>860000</v>
      </c>
      <c r="R192" s="11" t="str">
        <f>IF($E192&gt;MIN($L192:$Q192), "Need TMDL", "N/A ")</f>
        <v xml:space="preserve">N/A </v>
      </c>
    </row>
    <row r="193" spans="1:18">
      <c r="A193" s="3" t="s">
        <v>308</v>
      </c>
      <c r="B193" s="3"/>
      <c r="C193" s="11" t="s">
        <v>309</v>
      </c>
      <c r="D193" s="11">
        <v>10</v>
      </c>
      <c r="E193" s="16"/>
      <c r="F193" s="16"/>
      <c r="G193" s="11">
        <f t="shared" si="24"/>
        <v>0</v>
      </c>
      <c r="I193" s="11">
        <f>IF(($I$40+$I$22)=0,0,(($I$40*$E193)+(2.13*$I$22*$F193))/($I$40+$I$22))</f>
        <v>0</v>
      </c>
      <c r="J193" s="11">
        <f>IF(($I$45+$I$22)=0,0,(($I$45*$E193)+(2.13*$I$22*$F193))/($I$45+$I$22))</f>
        <v>0</v>
      </c>
      <c r="K193" s="11">
        <f>IF(($I$41+$I$22)=0,0,(($I$41*$E193)+(2.13*$I$22*$F193))/($I$41+$I$22))</f>
        <v>0</v>
      </c>
      <c r="L193" s="11">
        <v>32</v>
      </c>
      <c r="M193" s="11">
        <v>1E+100</v>
      </c>
      <c r="N193" s="11">
        <v>1E+100</v>
      </c>
      <c r="O193" s="11">
        <v>1E+100</v>
      </c>
      <c r="P193" s="11">
        <v>1E+100</v>
      </c>
      <c r="Q193" s="11">
        <f>IF($B$2=2002, 65, 24)</f>
        <v>24</v>
      </c>
      <c r="R193" s="11" t="str">
        <f>IF($E193&gt;MIN($L193:$Q193), "Need TMDL", "N/A ")</f>
        <v xml:space="preserve">N/A </v>
      </c>
    </row>
    <row r="194" spans="1:18">
      <c r="A194" s="6" t="s">
        <v>310</v>
      </c>
      <c r="B194" s="3"/>
      <c r="C194" s="11"/>
      <c r="D194" s="11"/>
      <c r="E194" s="11"/>
      <c r="F194" s="11"/>
      <c r="G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</row>
    <row r="195" spans="1:18">
      <c r="A195" s="3" t="s">
        <v>311</v>
      </c>
      <c r="B195" s="3"/>
      <c r="C195" s="11" t="s">
        <v>312</v>
      </c>
      <c r="D195" s="11">
        <v>10</v>
      </c>
      <c r="E195" s="16"/>
      <c r="F195" s="16"/>
      <c r="G195" s="11">
        <f t="shared" si="24"/>
        <v>0</v>
      </c>
      <c r="I195" s="11">
        <f t="shared" ref="I195:I232" si="25">IF(($I$40+$I$22)=0,0,(($I$40*$E195)+(2.13*$I$22*$F195))/($I$40+$I$22))</f>
        <v>0</v>
      </c>
      <c r="J195" s="11">
        <f t="shared" ref="J195:J232" si="26">IF(($I$45+$I$22)=0,0,(($I$45*$E195)+(2.13*$I$22*$F195))/($I$45+$I$22))</f>
        <v>0</v>
      </c>
      <c r="K195" s="11">
        <f t="shared" ref="K195:K232" si="27">IF(($I$41+$I$22)=0,0,(($I$41*$E195)+(2.13*$I$22*$F195))/($I$41+$I$22))</f>
        <v>0</v>
      </c>
      <c r="L195" s="11">
        <v>2100</v>
      </c>
      <c r="M195" s="11">
        <v>1E+100</v>
      </c>
      <c r="N195" s="11">
        <v>1E+100</v>
      </c>
      <c r="O195" s="11">
        <v>1E+100</v>
      </c>
      <c r="P195" s="11">
        <v>1E+100</v>
      </c>
      <c r="Q195" s="11">
        <f>IF($B$2=2002, 2700, 990)</f>
        <v>990</v>
      </c>
      <c r="R195" s="11" t="str">
        <f t="shared" ref="R195:R232" si="28">IF($E195&gt;MIN($L195:$Q195), "Need TMDL", "N/A ")</f>
        <v xml:space="preserve">N/A </v>
      </c>
    </row>
    <row r="196" spans="1:18">
      <c r="A196" s="3" t="s">
        <v>313</v>
      </c>
      <c r="B196" s="3"/>
      <c r="C196" s="11" t="s">
        <v>314</v>
      </c>
      <c r="D196" s="11">
        <v>10</v>
      </c>
      <c r="E196" s="16"/>
      <c r="F196" s="16"/>
      <c r="G196" s="11">
        <f t="shared" si="24"/>
        <v>0</v>
      </c>
      <c r="I196" s="11">
        <f t="shared" si="25"/>
        <v>0</v>
      </c>
      <c r="J196" s="11">
        <f t="shared" si="26"/>
        <v>0</v>
      </c>
      <c r="K196" s="11">
        <f t="shared" si="27"/>
        <v>0</v>
      </c>
      <c r="L196" s="11">
        <v>10500</v>
      </c>
      <c r="M196" s="11">
        <v>1E+100</v>
      </c>
      <c r="N196" s="11">
        <v>1E+100</v>
      </c>
      <c r="O196" s="11">
        <v>1E+100</v>
      </c>
      <c r="P196" s="11">
        <v>1E+100</v>
      </c>
      <c r="Q196" s="11">
        <f>IF($B$2=2002, 110000, 40000)</f>
        <v>40000</v>
      </c>
      <c r="R196" s="11" t="str">
        <f t="shared" si="28"/>
        <v xml:space="preserve">N/A </v>
      </c>
    </row>
    <row r="197" spans="1:18">
      <c r="A197" s="3" t="s">
        <v>315</v>
      </c>
      <c r="B197" s="3"/>
      <c r="C197" s="11" t="s">
        <v>316</v>
      </c>
      <c r="D197" s="11">
        <v>50</v>
      </c>
      <c r="E197" s="16"/>
      <c r="F197" s="16"/>
      <c r="G197" s="11">
        <f t="shared" si="24"/>
        <v>0</v>
      </c>
      <c r="I197" s="11">
        <f t="shared" si="25"/>
        <v>0</v>
      </c>
      <c r="J197" s="11">
        <f t="shared" si="26"/>
        <v>0</v>
      </c>
      <c r="K197" s="11">
        <f t="shared" si="27"/>
        <v>0</v>
      </c>
      <c r="L197" s="11">
        <v>1.5E-3</v>
      </c>
      <c r="M197" s="11">
        <v>1E+100</v>
      </c>
      <c r="N197" s="11">
        <v>1E+100</v>
      </c>
      <c r="O197" s="11">
        <v>1E+100</v>
      </c>
      <c r="P197" s="11">
        <v>1E+100</v>
      </c>
      <c r="Q197" s="11">
        <f>IF($B$2=2002, 0.0054, 0.002)</f>
        <v>2E-3</v>
      </c>
      <c r="R197" s="11" t="str">
        <f t="shared" si="28"/>
        <v xml:space="preserve">N/A </v>
      </c>
    </row>
    <row r="198" spans="1:18">
      <c r="A198" s="3" t="s">
        <v>317</v>
      </c>
      <c r="B198" s="3"/>
      <c r="C198" s="11" t="s">
        <v>318</v>
      </c>
      <c r="D198" s="11">
        <v>5</v>
      </c>
      <c r="E198" s="16"/>
      <c r="F198" s="16"/>
      <c r="G198" s="11">
        <f t="shared" si="24"/>
        <v>0</v>
      </c>
      <c r="I198" s="11">
        <f t="shared" si="25"/>
        <v>0</v>
      </c>
      <c r="J198" s="11">
        <f t="shared" si="26"/>
        <v>0</v>
      </c>
      <c r="K198" s="11">
        <f t="shared" si="27"/>
        <v>0</v>
      </c>
      <c r="L198" s="11">
        <v>4.8000000000000001E-2</v>
      </c>
      <c r="M198" s="11">
        <v>1E+100</v>
      </c>
      <c r="N198" s="11">
        <v>1E+100</v>
      </c>
      <c r="O198" s="11">
        <v>1E+100</v>
      </c>
      <c r="P198" s="11">
        <v>1E+100</v>
      </c>
      <c r="Q198" s="11">
        <f>IF($B$2=2002, 0.49, 0.18)</f>
        <v>0.18</v>
      </c>
      <c r="R198" s="11" t="str">
        <f t="shared" si="28"/>
        <v xml:space="preserve">N/A </v>
      </c>
    </row>
    <row r="199" spans="1:18">
      <c r="A199" s="3" t="s">
        <v>319</v>
      </c>
      <c r="B199" s="3"/>
      <c r="C199" s="11" t="s">
        <v>320</v>
      </c>
      <c r="D199" s="11">
        <v>5</v>
      </c>
      <c r="E199" s="16"/>
      <c r="F199" s="16"/>
      <c r="G199" s="11">
        <f t="shared" si="24"/>
        <v>0</v>
      </c>
      <c r="I199" s="11">
        <f t="shared" si="25"/>
        <v>0</v>
      </c>
      <c r="J199" s="11">
        <f t="shared" si="26"/>
        <v>0</v>
      </c>
      <c r="K199" s="11">
        <f t="shared" si="27"/>
        <v>0</v>
      </c>
      <c r="L199" s="11">
        <v>0.2</v>
      </c>
      <c r="M199" s="11">
        <v>1E+100</v>
      </c>
      <c r="N199" s="11">
        <v>1E+100</v>
      </c>
      <c r="O199" s="11">
        <v>1E+100</v>
      </c>
      <c r="P199" s="11">
        <v>1E+100</v>
      </c>
      <c r="Q199" s="11">
        <f>IF($B$2=2002, 0.49, 0.18)</f>
        <v>0.18</v>
      </c>
      <c r="R199" s="11" t="str">
        <f t="shared" si="28"/>
        <v xml:space="preserve">N/A </v>
      </c>
    </row>
    <row r="200" spans="1:18">
      <c r="A200" s="3" t="s">
        <v>321</v>
      </c>
      <c r="B200" s="3"/>
      <c r="C200" s="11" t="s">
        <v>322</v>
      </c>
      <c r="D200" s="11">
        <v>10</v>
      </c>
      <c r="E200" s="16"/>
      <c r="F200" s="16"/>
      <c r="G200" s="11">
        <f t="shared" si="24"/>
        <v>0</v>
      </c>
      <c r="I200" s="11">
        <f t="shared" si="25"/>
        <v>0</v>
      </c>
      <c r="J200" s="11">
        <f t="shared" si="26"/>
        <v>0</v>
      </c>
      <c r="K200" s="11">
        <f t="shared" si="27"/>
        <v>0</v>
      </c>
      <c r="L200" s="11">
        <v>4.8000000000000001E-2</v>
      </c>
      <c r="M200" s="11">
        <v>1E+100</v>
      </c>
      <c r="N200" s="11">
        <v>1E+100</v>
      </c>
      <c r="O200" s="11">
        <v>1E+100</v>
      </c>
      <c r="P200" s="11">
        <v>1E+100</v>
      </c>
      <c r="Q200" s="11">
        <f>IF($B$2=2002, 0.49, 0.18)</f>
        <v>0.18</v>
      </c>
      <c r="R200" s="11" t="str">
        <f t="shared" si="28"/>
        <v xml:space="preserve">N/A </v>
      </c>
    </row>
    <row r="201" spans="1:18">
      <c r="A201" s="3" t="s">
        <v>323</v>
      </c>
      <c r="B201" s="3"/>
      <c r="C201" s="11" t="s">
        <v>324</v>
      </c>
      <c r="D201" s="11">
        <v>5</v>
      </c>
      <c r="E201" s="16"/>
      <c r="F201" s="16"/>
      <c r="G201" s="11">
        <f t="shared" si="24"/>
        <v>0</v>
      </c>
      <c r="I201" s="11">
        <f t="shared" si="25"/>
        <v>0</v>
      </c>
      <c r="J201" s="11">
        <f t="shared" si="26"/>
        <v>0</v>
      </c>
      <c r="K201" s="11">
        <f t="shared" si="27"/>
        <v>0</v>
      </c>
      <c r="L201" s="11">
        <v>4.8000000000000001E-2</v>
      </c>
      <c r="M201" s="11">
        <v>1E+100</v>
      </c>
      <c r="N201" s="11">
        <v>1E+100</v>
      </c>
      <c r="O201" s="11">
        <v>1E+100</v>
      </c>
      <c r="P201" s="11">
        <v>1E+100</v>
      </c>
      <c r="Q201" s="11">
        <f>IF($B$2=2002, 0.49, 0.18)</f>
        <v>0.18</v>
      </c>
      <c r="R201" s="11" t="str">
        <f t="shared" si="28"/>
        <v xml:space="preserve">N/A </v>
      </c>
    </row>
    <row r="202" spans="1:18">
      <c r="A202" s="3" t="s">
        <v>325</v>
      </c>
      <c r="B202" s="3"/>
      <c r="C202" s="11" t="s">
        <v>326</v>
      </c>
      <c r="D202" s="11">
        <v>10</v>
      </c>
      <c r="E202" s="16"/>
      <c r="F202" s="16"/>
      <c r="G202" s="11">
        <f t="shared" si="24"/>
        <v>0</v>
      </c>
      <c r="I202" s="11">
        <f t="shared" si="25"/>
        <v>0</v>
      </c>
      <c r="J202" s="11">
        <f t="shared" si="26"/>
        <v>0</v>
      </c>
      <c r="K202" s="11">
        <f t="shared" si="27"/>
        <v>0</v>
      </c>
      <c r="L202" s="11">
        <f>IF($B$2=2002, 1E+100,0.3)</f>
        <v>0.3</v>
      </c>
      <c r="M202" s="11">
        <v>1E+100</v>
      </c>
      <c r="N202" s="11">
        <v>1E+100</v>
      </c>
      <c r="O202" s="11">
        <v>1E+100</v>
      </c>
      <c r="P202" s="11">
        <v>1E+100</v>
      </c>
      <c r="Q202" s="11">
        <f>IF($B$2=2002, 14, 5.3)</f>
        <v>5.3</v>
      </c>
      <c r="R202" s="11" t="str">
        <f t="shared" si="28"/>
        <v xml:space="preserve">N/A </v>
      </c>
    </row>
    <row r="203" spans="1:18">
      <c r="A203" s="3" t="s">
        <v>327</v>
      </c>
      <c r="B203" s="3"/>
      <c r="C203" s="11" t="s">
        <v>328</v>
      </c>
      <c r="D203" s="11">
        <v>10</v>
      </c>
      <c r="E203" s="16"/>
      <c r="F203" s="16"/>
      <c r="G203" s="11">
        <f t="shared" si="24"/>
        <v>0</v>
      </c>
      <c r="I203" s="11">
        <f t="shared" si="25"/>
        <v>0</v>
      </c>
      <c r="J203" s="11">
        <f t="shared" si="26"/>
        <v>0</v>
      </c>
      <c r="K203" s="11">
        <f t="shared" si="27"/>
        <v>0</v>
      </c>
      <c r="L203" s="11">
        <f>IF($B$2=2002, 1E+100,1400)</f>
        <v>1400</v>
      </c>
      <c r="M203" s="11">
        <v>1E+100</v>
      </c>
      <c r="N203" s="11">
        <v>1E+100</v>
      </c>
      <c r="O203" s="11">
        <v>1E+100</v>
      </c>
      <c r="P203" s="11">
        <v>1E+100</v>
      </c>
      <c r="Q203" s="11">
        <f>IF($B$2=2002, 170000, 65000)</f>
        <v>65000</v>
      </c>
      <c r="R203" s="11" t="str">
        <f t="shared" si="28"/>
        <v xml:space="preserve">N/A </v>
      </c>
    </row>
    <row r="204" spans="1:18">
      <c r="A204" s="3" t="s">
        <v>329</v>
      </c>
      <c r="B204" s="3"/>
      <c r="C204" s="11" t="s">
        <v>330</v>
      </c>
      <c r="D204" s="11">
        <v>10</v>
      </c>
      <c r="E204" s="16"/>
      <c r="F204" s="16"/>
      <c r="G204" s="11">
        <f t="shared" si="24"/>
        <v>0</v>
      </c>
      <c r="I204" s="11">
        <f t="shared" si="25"/>
        <v>0</v>
      </c>
      <c r="J204" s="11">
        <f t="shared" si="26"/>
        <v>0</v>
      </c>
      <c r="K204" s="11">
        <f t="shared" si="27"/>
        <v>0</v>
      </c>
      <c r="L204" s="11">
        <v>6</v>
      </c>
      <c r="M204" s="11">
        <v>1E+100</v>
      </c>
      <c r="N204" s="11">
        <v>1E+100</v>
      </c>
      <c r="O204" s="11">
        <v>1E+100</v>
      </c>
      <c r="P204" s="11">
        <v>1E+100</v>
      </c>
      <c r="Q204" s="11">
        <f>IF($B$2=2002, 59, 22)</f>
        <v>22</v>
      </c>
      <c r="R204" s="11" t="str">
        <f t="shared" si="28"/>
        <v xml:space="preserve">N/A </v>
      </c>
    </row>
    <row r="205" spans="1:18">
      <c r="A205" s="3" t="s">
        <v>331</v>
      </c>
      <c r="B205" s="3"/>
      <c r="C205" s="11" t="s">
        <v>332</v>
      </c>
      <c r="D205" s="11">
        <v>10</v>
      </c>
      <c r="E205" s="16"/>
      <c r="F205" s="16"/>
      <c r="G205" s="11">
        <f t="shared" si="24"/>
        <v>0</v>
      </c>
      <c r="I205" s="11">
        <f t="shared" si="25"/>
        <v>0</v>
      </c>
      <c r="J205" s="11">
        <f t="shared" si="26"/>
        <v>0</v>
      </c>
      <c r="K205" s="11">
        <f t="shared" si="27"/>
        <v>0</v>
      </c>
      <c r="L205" s="11">
        <v>7000</v>
      </c>
      <c r="M205" s="11">
        <v>1E+100</v>
      </c>
      <c r="N205" s="11">
        <v>1E+100</v>
      </c>
      <c r="O205" s="11">
        <v>1E+100</v>
      </c>
      <c r="P205" s="11">
        <v>1E+100</v>
      </c>
      <c r="Q205" s="11">
        <f>IF($B$2=2002, 5200, 1900)</f>
        <v>1900</v>
      </c>
      <c r="R205" s="11" t="str">
        <f t="shared" si="28"/>
        <v xml:space="preserve">N/A </v>
      </c>
    </row>
    <row r="206" spans="1:18">
      <c r="A206" s="3" t="s">
        <v>333</v>
      </c>
      <c r="B206" s="3"/>
      <c r="C206" s="11" t="s">
        <v>334</v>
      </c>
      <c r="D206" s="11">
        <v>10</v>
      </c>
      <c r="E206" s="16"/>
      <c r="F206" s="16"/>
      <c r="G206" s="11">
        <f t="shared" si="24"/>
        <v>0</v>
      </c>
      <c r="I206" s="11">
        <f t="shared" si="25"/>
        <v>0</v>
      </c>
      <c r="J206" s="11">
        <f t="shared" si="26"/>
        <v>0</v>
      </c>
      <c r="K206" s="11">
        <f t="shared" si="27"/>
        <v>0</v>
      </c>
      <c r="L206" s="11">
        <v>2800</v>
      </c>
      <c r="M206" s="11">
        <v>1E+100</v>
      </c>
      <c r="N206" s="11">
        <v>1E+100</v>
      </c>
      <c r="O206" s="11">
        <v>1E+100</v>
      </c>
      <c r="P206" s="11">
        <v>1E+100</v>
      </c>
      <c r="Q206" s="11">
        <f>IF($B$2=2002, 4300, 1600)</f>
        <v>1600</v>
      </c>
      <c r="R206" s="11" t="str">
        <f t="shared" si="28"/>
        <v xml:space="preserve">N/A </v>
      </c>
    </row>
    <row r="207" spans="1:18">
      <c r="A207" s="3" t="s">
        <v>335</v>
      </c>
      <c r="B207" s="3"/>
      <c r="C207" s="11" t="s">
        <v>336</v>
      </c>
      <c r="D207" s="11">
        <v>5</v>
      </c>
      <c r="E207" s="16"/>
      <c r="F207" s="16"/>
      <c r="G207" s="11">
        <f t="shared" si="24"/>
        <v>0</v>
      </c>
      <c r="I207" s="11">
        <f t="shared" si="25"/>
        <v>0</v>
      </c>
      <c r="J207" s="11">
        <f t="shared" si="26"/>
        <v>0</v>
      </c>
      <c r="K207" s="11">
        <f t="shared" si="27"/>
        <v>0</v>
      </c>
      <c r="L207" s="11">
        <v>4.8000000000000001E-2</v>
      </c>
      <c r="M207" s="11">
        <v>1E+100</v>
      </c>
      <c r="N207" s="11">
        <v>1E+100</v>
      </c>
      <c r="O207" s="11">
        <v>1E+100</v>
      </c>
      <c r="P207" s="11">
        <v>1E+100</v>
      </c>
      <c r="Q207" s="11">
        <f>IF($B$2=2002, 0.49, 0.18)</f>
        <v>0.18</v>
      </c>
      <c r="R207" s="11" t="str">
        <f t="shared" si="28"/>
        <v xml:space="preserve">N/A </v>
      </c>
    </row>
    <row r="208" spans="1:18">
      <c r="A208" s="3" t="s">
        <v>337</v>
      </c>
      <c r="B208" s="3"/>
      <c r="C208" s="11" t="s">
        <v>338</v>
      </c>
      <c r="D208" s="11">
        <v>5</v>
      </c>
      <c r="E208" s="16"/>
      <c r="F208" s="16"/>
      <c r="G208" s="11">
        <f t="shared" si="24"/>
        <v>0</v>
      </c>
      <c r="I208" s="11">
        <f t="shared" si="25"/>
        <v>0</v>
      </c>
      <c r="J208" s="11">
        <f t="shared" si="26"/>
        <v>0</v>
      </c>
      <c r="K208" s="11">
        <f t="shared" si="27"/>
        <v>0</v>
      </c>
      <c r="L208" s="11">
        <v>4.8000000000000001E-2</v>
      </c>
      <c r="M208" s="11">
        <v>1E+100</v>
      </c>
      <c r="N208" s="11">
        <v>1E+100</v>
      </c>
      <c r="O208" s="11">
        <v>1E+100</v>
      </c>
      <c r="P208" s="11">
        <v>1E+100</v>
      </c>
      <c r="Q208" s="11">
        <f>IF($B$2=2002, 0.49, 0.18)</f>
        <v>0.18</v>
      </c>
      <c r="R208" s="11" t="str">
        <f t="shared" si="28"/>
        <v xml:space="preserve">N/A </v>
      </c>
    </row>
    <row r="209" spans="1:18">
      <c r="A209" s="3" t="s">
        <v>339</v>
      </c>
      <c r="B209" s="3"/>
      <c r="C209" s="11" t="s">
        <v>340</v>
      </c>
      <c r="D209" s="11">
        <v>10</v>
      </c>
      <c r="E209" s="16"/>
      <c r="F209" s="16"/>
      <c r="G209" s="11">
        <f t="shared" si="24"/>
        <v>0</v>
      </c>
      <c r="I209" s="11">
        <f t="shared" si="25"/>
        <v>0</v>
      </c>
      <c r="J209" s="11">
        <f t="shared" si="26"/>
        <v>0</v>
      </c>
      <c r="K209" s="11">
        <f t="shared" si="27"/>
        <v>0</v>
      </c>
      <c r="L209" s="11">
        <v>600</v>
      </c>
      <c r="M209" s="11">
        <v>1E+100</v>
      </c>
      <c r="N209" s="11">
        <v>1E+100</v>
      </c>
      <c r="O209" s="11">
        <v>1E+100</v>
      </c>
      <c r="P209" s="11">
        <v>1E+100</v>
      </c>
      <c r="Q209" s="11">
        <v>1300</v>
      </c>
      <c r="R209" s="11" t="str">
        <f t="shared" si="28"/>
        <v xml:space="preserve">N/A </v>
      </c>
    </row>
    <row r="210" spans="1:18">
      <c r="A210" s="3" t="s">
        <v>341</v>
      </c>
      <c r="B210" s="3"/>
      <c r="C210" s="11" t="s">
        <v>342</v>
      </c>
      <c r="D210" s="11">
        <v>10</v>
      </c>
      <c r="E210" s="16"/>
      <c r="F210" s="16"/>
      <c r="G210" s="11">
        <f t="shared" si="24"/>
        <v>0</v>
      </c>
      <c r="I210" s="11">
        <f t="shared" si="25"/>
        <v>0</v>
      </c>
      <c r="J210" s="11">
        <f t="shared" si="26"/>
        <v>0</v>
      </c>
      <c r="K210" s="11">
        <f t="shared" si="27"/>
        <v>0</v>
      </c>
      <c r="L210" s="11">
        <v>469</v>
      </c>
      <c r="M210" s="11">
        <v>1E+100</v>
      </c>
      <c r="N210" s="11">
        <v>1E+100</v>
      </c>
      <c r="O210" s="11">
        <v>1E+100</v>
      </c>
      <c r="P210" s="11">
        <v>1E+100</v>
      </c>
      <c r="Q210" s="11">
        <f>IF($B$2=2002, 2600, 960)</f>
        <v>960</v>
      </c>
      <c r="R210" s="11" t="str">
        <f t="shared" si="28"/>
        <v xml:space="preserve">N/A </v>
      </c>
    </row>
    <row r="211" spans="1:18">
      <c r="A211" s="3" t="s">
        <v>343</v>
      </c>
      <c r="B211" s="3"/>
      <c r="C211" s="11" t="s">
        <v>344</v>
      </c>
      <c r="D211" s="11">
        <v>10</v>
      </c>
      <c r="E211" s="16"/>
      <c r="F211" s="16"/>
      <c r="G211" s="11">
        <f t="shared" si="24"/>
        <v>0</v>
      </c>
      <c r="I211" s="11">
        <f t="shared" si="25"/>
        <v>0</v>
      </c>
      <c r="J211" s="11">
        <f t="shared" si="26"/>
        <v>0</v>
      </c>
      <c r="K211" s="11">
        <f t="shared" si="27"/>
        <v>0</v>
      </c>
      <c r="L211" s="11">
        <v>75</v>
      </c>
      <c r="M211" s="11">
        <v>1E+100</v>
      </c>
      <c r="N211" s="11">
        <v>1E+100</v>
      </c>
      <c r="O211" s="11">
        <v>1E+100</v>
      </c>
      <c r="P211" s="11">
        <v>1E+100</v>
      </c>
      <c r="Q211" s="11">
        <v>190</v>
      </c>
      <c r="R211" s="11" t="str">
        <f t="shared" si="28"/>
        <v xml:space="preserve">N/A </v>
      </c>
    </row>
    <row r="212" spans="1:18">
      <c r="A212" s="3" t="s">
        <v>345</v>
      </c>
      <c r="B212" s="3"/>
      <c r="C212" s="11" t="s">
        <v>346</v>
      </c>
      <c r="D212" s="11">
        <v>5</v>
      </c>
      <c r="E212" s="16"/>
      <c r="F212" s="16"/>
      <c r="G212" s="11">
        <f t="shared" si="24"/>
        <v>0</v>
      </c>
      <c r="I212" s="11">
        <f t="shared" si="25"/>
        <v>0</v>
      </c>
      <c r="J212" s="11">
        <f t="shared" si="26"/>
        <v>0</v>
      </c>
      <c r="K212" s="11">
        <f t="shared" si="27"/>
        <v>0</v>
      </c>
      <c r="L212" s="11">
        <v>0.78</v>
      </c>
      <c r="M212" s="11">
        <v>1E+100</v>
      </c>
      <c r="N212" s="11">
        <v>1E+100</v>
      </c>
      <c r="O212" s="11">
        <v>1E+100</v>
      </c>
      <c r="P212" s="11">
        <v>1E+100</v>
      </c>
      <c r="Q212" s="11">
        <v>0.28000000000000003</v>
      </c>
      <c r="R212" s="11" t="str">
        <f t="shared" si="28"/>
        <v xml:space="preserve">N/A </v>
      </c>
    </row>
    <row r="213" spans="1:18">
      <c r="A213" s="3" t="s">
        <v>347</v>
      </c>
      <c r="B213" s="3"/>
      <c r="C213" s="11" t="s">
        <v>348</v>
      </c>
      <c r="D213" s="11">
        <v>10</v>
      </c>
      <c r="E213" s="16"/>
      <c r="F213" s="16"/>
      <c r="G213" s="11">
        <f t="shared" si="24"/>
        <v>0</v>
      </c>
      <c r="I213" s="11">
        <f t="shared" si="25"/>
        <v>0</v>
      </c>
      <c r="J213" s="11">
        <f t="shared" si="26"/>
        <v>0</v>
      </c>
      <c r="K213" s="11">
        <f t="shared" si="27"/>
        <v>0</v>
      </c>
      <c r="L213" s="11">
        <v>28000</v>
      </c>
      <c r="M213" s="11">
        <v>1E+100</v>
      </c>
      <c r="N213" s="11">
        <v>1E+100</v>
      </c>
      <c r="O213" s="11">
        <v>1E+100</v>
      </c>
      <c r="P213" s="11">
        <v>1E+100</v>
      </c>
      <c r="Q213" s="11">
        <f>IF($B$2=2002, 120000, 44000)</f>
        <v>44000</v>
      </c>
      <c r="R213" s="11" t="str">
        <f t="shared" si="28"/>
        <v xml:space="preserve">N/A </v>
      </c>
    </row>
    <row r="214" spans="1:18">
      <c r="A214" s="3" t="s">
        <v>349</v>
      </c>
      <c r="B214" s="3"/>
      <c r="C214" s="11" t="s">
        <v>350</v>
      </c>
      <c r="D214" s="11">
        <v>10</v>
      </c>
      <c r="E214" s="16"/>
      <c r="F214" s="16"/>
      <c r="G214" s="11">
        <f t="shared" si="24"/>
        <v>0</v>
      </c>
      <c r="I214" s="11">
        <f t="shared" si="25"/>
        <v>0</v>
      </c>
      <c r="J214" s="11">
        <f t="shared" si="26"/>
        <v>0</v>
      </c>
      <c r="K214" s="11">
        <f t="shared" si="27"/>
        <v>0</v>
      </c>
      <c r="L214" s="11">
        <v>350000</v>
      </c>
      <c r="M214" s="11">
        <v>1E+100</v>
      </c>
      <c r="N214" s="11">
        <v>1E+100</v>
      </c>
      <c r="O214" s="11">
        <v>1E+100</v>
      </c>
      <c r="P214" s="11">
        <v>1E+100</v>
      </c>
      <c r="Q214" s="11">
        <f>IF($B$2=2002, 2900000, 1100000)</f>
        <v>1100000</v>
      </c>
      <c r="R214" s="11" t="str">
        <f t="shared" si="28"/>
        <v xml:space="preserve">N/A </v>
      </c>
    </row>
    <row r="215" spans="1:18">
      <c r="A215" s="3" t="s">
        <v>351</v>
      </c>
      <c r="B215" s="3"/>
      <c r="C215" s="11" t="s">
        <v>352</v>
      </c>
      <c r="D215" s="11">
        <v>10</v>
      </c>
      <c r="E215" s="16"/>
      <c r="F215" s="16"/>
      <c r="G215" s="11">
        <f t="shared" si="24"/>
        <v>0</v>
      </c>
      <c r="I215" s="11">
        <f t="shared" si="25"/>
        <v>0</v>
      </c>
      <c r="J215" s="11">
        <f t="shared" si="26"/>
        <v>0</v>
      </c>
      <c r="K215" s="11">
        <f t="shared" si="27"/>
        <v>0</v>
      </c>
      <c r="L215" s="11">
        <v>3500</v>
      </c>
      <c r="M215" s="11">
        <v>1E+100</v>
      </c>
      <c r="N215" s="11">
        <v>1E+100</v>
      </c>
      <c r="O215" s="11">
        <v>1E+100</v>
      </c>
      <c r="P215" s="11">
        <v>1E+100</v>
      </c>
      <c r="Q215" s="11">
        <f>IF($B$2=2002, 12000, 4500)</f>
        <v>4500</v>
      </c>
      <c r="R215" s="11" t="str">
        <f t="shared" si="28"/>
        <v xml:space="preserve">N/A </v>
      </c>
    </row>
    <row r="216" spans="1:18">
      <c r="A216" s="3" t="s">
        <v>353</v>
      </c>
      <c r="B216" s="3"/>
      <c r="C216" s="11" t="s">
        <v>354</v>
      </c>
      <c r="D216" s="11">
        <v>10</v>
      </c>
      <c r="E216" s="16"/>
      <c r="F216" s="16"/>
      <c r="G216" s="11">
        <f t="shared" si="24"/>
        <v>0</v>
      </c>
      <c r="I216" s="11">
        <f t="shared" si="25"/>
        <v>0</v>
      </c>
      <c r="J216" s="11">
        <f t="shared" si="26"/>
        <v>0</v>
      </c>
      <c r="K216" s="11">
        <f t="shared" si="27"/>
        <v>0</v>
      </c>
      <c r="L216" s="11">
        <f>IF($B$2=2002, 1E+100,1.1)</f>
        <v>1.1000000000000001</v>
      </c>
      <c r="M216" s="11">
        <v>1E+100</v>
      </c>
      <c r="N216" s="11">
        <v>1E+100</v>
      </c>
      <c r="O216" s="11">
        <v>1E+100</v>
      </c>
      <c r="P216" s="11">
        <v>1E+100</v>
      </c>
      <c r="Q216" s="11">
        <f>IF($B$2=2002, 91, 34)</f>
        <v>34</v>
      </c>
      <c r="R216" s="11" t="str">
        <f t="shared" si="28"/>
        <v xml:space="preserve">N/A </v>
      </c>
    </row>
    <row r="217" spans="1:18">
      <c r="A217" s="3" t="s">
        <v>355</v>
      </c>
      <c r="B217" s="3"/>
      <c r="C217" s="11" t="s">
        <v>356</v>
      </c>
      <c r="D217" s="11">
        <v>20</v>
      </c>
      <c r="E217" s="16"/>
      <c r="F217" s="16"/>
      <c r="G217" s="11">
        <f t="shared" si="24"/>
        <v>0</v>
      </c>
      <c r="I217" s="11">
        <f t="shared" si="25"/>
        <v>0</v>
      </c>
      <c r="J217" s="11">
        <f t="shared" si="26"/>
        <v>0</v>
      </c>
      <c r="K217" s="11">
        <f t="shared" si="27"/>
        <v>0</v>
      </c>
      <c r="L217" s="11">
        <v>0.44</v>
      </c>
      <c r="M217" s="11">
        <v>1E+100</v>
      </c>
      <c r="N217" s="11">
        <v>1E+100</v>
      </c>
      <c r="O217" s="11">
        <v>1E+100</v>
      </c>
      <c r="P217" s="11">
        <v>1E+100</v>
      </c>
      <c r="Q217" s="11">
        <f>IF($B$2=2002, 5.4, 2)</f>
        <v>2</v>
      </c>
      <c r="R217" s="11" t="str">
        <f t="shared" si="28"/>
        <v xml:space="preserve">N/A </v>
      </c>
    </row>
    <row r="218" spans="1:18">
      <c r="A218" s="3" t="s">
        <v>357</v>
      </c>
      <c r="B218" s="3"/>
      <c r="C218" s="11" t="s">
        <v>358</v>
      </c>
      <c r="D218" s="11">
        <v>10</v>
      </c>
      <c r="E218" s="16"/>
      <c r="F218" s="16"/>
      <c r="G218" s="11">
        <f t="shared" si="24"/>
        <v>0</v>
      </c>
      <c r="I218" s="11">
        <f t="shared" si="25"/>
        <v>0</v>
      </c>
      <c r="J218" s="11">
        <f t="shared" si="26"/>
        <v>0</v>
      </c>
      <c r="K218" s="11">
        <f t="shared" si="27"/>
        <v>0</v>
      </c>
      <c r="L218" s="11">
        <v>1400</v>
      </c>
      <c r="M218" s="11">
        <v>1E+100</v>
      </c>
      <c r="N218" s="11">
        <v>1E+100</v>
      </c>
      <c r="O218" s="11">
        <v>1E+100</v>
      </c>
      <c r="P218" s="11">
        <v>1E+100</v>
      </c>
      <c r="Q218" s="11">
        <f>IF($B$2=2002, 370, 140)</f>
        <v>140</v>
      </c>
      <c r="R218" s="11" t="str">
        <f t="shared" si="28"/>
        <v xml:space="preserve">N/A </v>
      </c>
    </row>
    <row r="219" spans="1:18">
      <c r="A219" s="3" t="s">
        <v>359</v>
      </c>
      <c r="B219" s="3"/>
      <c r="C219" s="11" t="s">
        <v>360</v>
      </c>
      <c r="D219" s="11">
        <v>10</v>
      </c>
      <c r="E219" s="16"/>
      <c r="F219" s="16"/>
      <c r="G219" s="11">
        <f t="shared" si="24"/>
        <v>0</v>
      </c>
      <c r="I219" s="11">
        <f t="shared" si="25"/>
        <v>0</v>
      </c>
      <c r="J219" s="11">
        <f t="shared" si="26"/>
        <v>0</v>
      </c>
      <c r="K219" s="11">
        <f t="shared" si="27"/>
        <v>0</v>
      </c>
      <c r="L219" s="11">
        <v>1400</v>
      </c>
      <c r="M219" s="11">
        <v>1E+100</v>
      </c>
      <c r="N219" s="11">
        <v>1E+100</v>
      </c>
      <c r="O219" s="11">
        <v>1E+100</v>
      </c>
      <c r="P219" s="11">
        <v>1E+100</v>
      </c>
      <c r="Q219" s="11">
        <f>IF($B$2=2002, 14000, 5300)</f>
        <v>5300</v>
      </c>
      <c r="R219" s="11" t="str">
        <f t="shared" si="28"/>
        <v xml:space="preserve">N/A </v>
      </c>
    </row>
    <row r="220" spans="1:18">
      <c r="A220" s="3" t="s">
        <v>361</v>
      </c>
      <c r="B220" s="3"/>
      <c r="C220" s="11" t="s">
        <v>362</v>
      </c>
      <c r="D220" s="11">
        <v>5</v>
      </c>
      <c r="E220" s="16"/>
      <c r="F220" s="16"/>
      <c r="G220" s="11">
        <f t="shared" si="24"/>
        <v>0</v>
      </c>
      <c r="I220" s="11">
        <f t="shared" si="25"/>
        <v>0</v>
      </c>
      <c r="J220" s="11">
        <f t="shared" si="26"/>
        <v>0</v>
      </c>
      <c r="K220" s="11">
        <f t="shared" si="27"/>
        <v>0</v>
      </c>
      <c r="L220" s="11">
        <v>1</v>
      </c>
      <c r="M220" s="11">
        <v>1E+100</v>
      </c>
      <c r="N220" s="11">
        <v>1E+100</v>
      </c>
      <c r="O220" s="11">
        <v>1E+100</v>
      </c>
      <c r="P220" s="11">
        <v>1E+100</v>
      </c>
      <c r="Q220" s="11">
        <f>IF($B$2=2002, 0.0077, 0.0029)</f>
        <v>2.8999999999999998E-3</v>
      </c>
      <c r="R220" s="11" t="str">
        <f t="shared" si="28"/>
        <v xml:space="preserve">N/A </v>
      </c>
    </row>
    <row r="221" spans="1:18">
      <c r="A221" s="3" t="s">
        <v>363</v>
      </c>
      <c r="B221" s="3"/>
      <c r="C221" s="11" t="s">
        <v>364</v>
      </c>
      <c r="D221" s="11">
        <v>10</v>
      </c>
      <c r="E221" s="16"/>
      <c r="F221" s="16"/>
      <c r="G221" s="11">
        <f t="shared" si="24"/>
        <v>0</v>
      </c>
      <c r="I221" s="11">
        <f t="shared" si="25"/>
        <v>0</v>
      </c>
      <c r="J221" s="11">
        <f t="shared" si="26"/>
        <v>0</v>
      </c>
      <c r="K221" s="11">
        <f t="shared" si="27"/>
        <v>0</v>
      </c>
      <c r="L221" s="11">
        <v>4.5</v>
      </c>
      <c r="M221" s="11">
        <v>1E+100</v>
      </c>
      <c r="N221" s="11">
        <v>1E+100</v>
      </c>
      <c r="O221" s="11">
        <v>1E+100</v>
      </c>
      <c r="P221" s="11">
        <v>1E+100</v>
      </c>
      <c r="Q221" s="11">
        <f>IF($B$2=2002, 500, 180)</f>
        <v>180</v>
      </c>
      <c r="R221" s="11" t="str">
        <f t="shared" si="28"/>
        <v xml:space="preserve">N/A </v>
      </c>
    </row>
    <row r="222" spans="1:18">
      <c r="A222" s="3" t="s">
        <v>365</v>
      </c>
      <c r="B222" s="3"/>
      <c r="C222" s="11" t="s">
        <v>366</v>
      </c>
      <c r="D222" s="11">
        <v>10</v>
      </c>
      <c r="E222" s="16"/>
      <c r="F222" s="16"/>
      <c r="G222" s="11">
        <f t="shared" si="24"/>
        <v>0</v>
      </c>
      <c r="I222" s="11">
        <f t="shared" si="25"/>
        <v>0</v>
      </c>
      <c r="J222" s="11">
        <f t="shared" si="26"/>
        <v>0</v>
      </c>
      <c r="K222" s="11">
        <f t="shared" si="27"/>
        <v>0</v>
      </c>
      <c r="L222" s="11">
        <v>50</v>
      </c>
      <c r="M222" s="11">
        <v>1E+100</v>
      </c>
      <c r="N222" s="11">
        <v>1E+100</v>
      </c>
      <c r="O222" s="11">
        <v>1E+100</v>
      </c>
      <c r="P222" s="11">
        <v>1E+100</v>
      </c>
      <c r="Q222" s="11">
        <v>1100</v>
      </c>
      <c r="R222" s="11" t="str">
        <f t="shared" si="28"/>
        <v xml:space="preserve">N/A </v>
      </c>
    </row>
    <row r="223" spans="1:18">
      <c r="A223" s="3" t="s">
        <v>367</v>
      </c>
      <c r="B223" s="3"/>
      <c r="C223" s="11" t="s">
        <v>368</v>
      </c>
      <c r="D223" s="11">
        <v>20</v>
      </c>
      <c r="E223" s="16"/>
      <c r="F223" s="16"/>
      <c r="G223" s="11">
        <f t="shared" si="24"/>
        <v>0</v>
      </c>
      <c r="I223" s="11">
        <f t="shared" si="25"/>
        <v>0</v>
      </c>
      <c r="J223" s="11">
        <f t="shared" si="26"/>
        <v>0</v>
      </c>
      <c r="K223" s="11">
        <f t="shared" si="27"/>
        <v>0</v>
      </c>
      <c r="L223" s="11">
        <v>25</v>
      </c>
      <c r="M223" s="11">
        <v>1E+100</v>
      </c>
      <c r="N223" s="11">
        <v>1E+100</v>
      </c>
      <c r="O223" s="11">
        <v>1E+100</v>
      </c>
      <c r="P223" s="11">
        <v>1E+100</v>
      </c>
      <c r="Q223" s="11">
        <f>IF($B$2=2002, 89, 33)</f>
        <v>33</v>
      </c>
      <c r="R223" s="11" t="str">
        <f t="shared" si="28"/>
        <v xml:space="preserve">N/A </v>
      </c>
    </row>
    <row r="224" spans="1:18">
      <c r="A224" s="3" t="s">
        <v>369</v>
      </c>
      <c r="B224" s="3"/>
      <c r="C224" s="11" t="s">
        <v>370</v>
      </c>
      <c r="D224" s="11">
        <v>5</v>
      </c>
      <c r="E224" s="16"/>
      <c r="F224" s="16"/>
      <c r="G224" s="11">
        <f t="shared" si="24"/>
        <v>0</v>
      </c>
      <c r="I224" s="11">
        <f t="shared" si="25"/>
        <v>0</v>
      </c>
      <c r="J224" s="11">
        <f t="shared" si="26"/>
        <v>0</v>
      </c>
      <c r="K224" s="11">
        <f t="shared" si="27"/>
        <v>0</v>
      </c>
      <c r="L224" s="11">
        <v>4.8000000000000001E-2</v>
      </c>
      <c r="M224" s="11">
        <v>1E+100</v>
      </c>
      <c r="N224" s="11">
        <v>1E+100</v>
      </c>
      <c r="O224" s="11">
        <v>1E+100</v>
      </c>
      <c r="P224" s="11">
        <v>1E+100</v>
      </c>
      <c r="Q224" s="11">
        <f>IF($B$2=2002, 0.49, 0.18)</f>
        <v>0.18</v>
      </c>
      <c r="R224" s="11" t="str">
        <f t="shared" si="28"/>
        <v xml:space="preserve">N/A </v>
      </c>
    </row>
    <row r="225" spans="1:18">
      <c r="A225" s="3" t="s">
        <v>371</v>
      </c>
      <c r="B225" s="3"/>
      <c r="C225" s="11" t="s">
        <v>372</v>
      </c>
      <c r="D225" s="11">
        <v>10</v>
      </c>
      <c r="E225" s="16"/>
      <c r="F225" s="16"/>
      <c r="G225" s="11">
        <f t="shared" si="24"/>
        <v>0</v>
      </c>
      <c r="I225" s="11">
        <f t="shared" si="25"/>
        <v>0</v>
      </c>
      <c r="J225" s="11">
        <f t="shared" si="26"/>
        <v>0</v>
      </c>
      <c r="K225" s="11">
        <f t="shared" si="27"/>
        <v>0</v>
      </c>
      <c r="L225" s="11">
        <v>368</v>
      </c>
      <c r="M225" s="11">
        <v>1E+100</v>
      </c>
      <c r="N225" s="11">
        <v>1E+100</v>
      </c>
      <c r="O225" s="11">
        <v>1E+100</v>
      </c>
      <c r="P225" s="11">
        <v>1E+100</v>
      </c>
      <c r="Q225" s="11">
        <f>IF($B$2=2002, 26000, 9600)</f>
        <v>9600</v>
      </c>
      <c r="R225" s="11" t="str">
        <f t="shared" si="28"/>
        <v xml:space="preserve">N/A </v>
      </c>
    </row>
    <row r="226" spans="1:18">
      <c r="A226" s="3" t="s">
        <v>373</v>
      </c>
      <c r="B226" s="3"/>
      <c r="C226" s="11" t="s">
        <v>374</v>
      </c>
      <c r="D226" s="11">
        <v>10</v>
      </c>
      <c r="E226" s="16"/>
      <c r="F226" s="16"/>
      <c r="G226" s="11">
        <f t="shared" si="24"/>
        <v>0</v>
      </c>
      <c r="I226" s="11">
        <f t="shared" si="25"/>
        <v>0</v>
      </c>
      <c r="J226" s="11">
        <f t="shared" si="26"/>
        <v>0</v>
      </c>
      <c r="K226" s="11">
        <f t="shared" si="27"/>
        <v>0</v>
      </c>
      <c r="L226" s="11">
        <v>18</v>
      </c>
      <c r="M226" s="11">
        <v>1E+100</v>
      </c>
      <c r="N226" s="11">
        <v>1E+100</v>
      </c>
      <c r="O226" s="11">
        <v>1E+100</v>
      </c>
      <c r="P226" s="11">
        <v>1E+100</v>
      </c>
      <c r="Q226" s="11">
        <f>IF($B$2=2002, 1900, 690)</f>
        <v>690</v>
      </c>
      <c r="R226" s="11" t="str">
        <f t="shared" si="28"/>
        <v xml:space="preserve">N/A </v>
      </c>
    </row>
    <row r="227" spans="1:18">
      <c r="A227" s="3" t="s">
        <v>375</v>
      </c>
      <c r="B227" s="3"/>
      <c r="C227" s="11" t="s">
        <v>376</v>
      </c>
      <c r="D227" s="11">
        <v>50</v>
      </c>
      <c r="E227" s="18"/>
      <c r="F227" s="16"/>
      <c r="G227" s="11">
        <f t="shared" si="24"/>
        <v>0</v>
      </c>
      <c r="I227" s="11">
        <f t="shared" si="25"/>
        <v>0</v>
      </c>
      <c r="J227" s="11">
        <f t="shared" si="26"/>
        <v>0</v>
      </c>
      <c r="K227" s="11">
        <f t="shared" si="27"/>
        <v>0</v>
      </c>
      <c r="L227" s="11">
        <f>IF($B$2=2002, 1E+100,0.0069)</f>
        <v>6.8999999999999999E-3</v>
      </c>
      <c r="M227" s="11">
        <v>1E+100</v>
      </c>
      <c r="N227" s="11">
        <v>1E+100</v>
      </c>
      <c r="O227" s="11">
        <v>1E+100</v>
      </c>
      <c r="P227" s="11">
        <v>1E+100</v>
      </c>
      <c r="Q227" s="11">
        <f>IF($B$2=2002, 81, 30)</f>
        <v>30</v>
      </c>
      <c r="R227" s="11" t="str">
        <f t="shared" si="28"/>
        <v xml:space="preserve">N/A </v>
      </c>
    </row>
    <row r="228" spans="1:18">
      <c r="A228" s="3" t="s">
        <v>377</v>
      </c>
      <c r="B228" s="3"/>
      <c r="C228" s="11" t="s">
        <v>378</v>
      </c>
      <c r="D228" s="11">
        <v>20</v>
      </c>
      <c r="E228" s="18"/>
      <c r="F228" s="16"/>
      <c r="G228" s="11">
        <f t="shared" si="24"/>
        <v>0</v>
      </c>
      <c r="I228" s="11">
        <f t="shared" si="25"/>
        <v>0</v>
      </c>
      <c r="J228" s="11">
        <f t="shared" si="26"/>
        <v>0</v>
      </c>
      <c r="K228" s="11">
        <f t="shared" si="27"/>
        <v>0</v>
      </c>
      <c r="L228" s="11">
        <f>IF($B$2=2002, 1E+100,0.05)</f>
        <v>0.05</v>
      </c>
      <c r="M228" s="11">
        <v>1E+100</v>
      </c>
      <c r="N228" s="11">
        <v>1E+100</v>
      </c>
      <c r="O228" s="11">
        <v>1E+100</v>
      </c>
      <c r="P228" s="11">
        <v>1E+100</v>
      </c>
      <c r="Q228" s="11">
        <f>IF($B$2=2002, 14, 5.1)</f>
        <v>5.0999999999999996</v>
      </c>
      <c r="R228" s="11" t="str">
        <f t="shared" si="28"/>
        <v xml:space="preserve">N/A </v>
      </c>
    </row>
    <row r="229" spans="1:18">
      <c r="A229" s="3" t="s">
        <v>379</v>
      </c>
      <c r="B229" s="3"/>
      <c r="C229" s="11" t="s">
        <v>380</v>
      </c>
      <c r="D229" s="11">
        <v>20</v>
      </c>
      <c r="E229" s="18"/>
      <c r="F229" s="16"/>
      <c r="G229" s="11">
        <f t="shared" si="24"/>
        <v>0</v>
      </c>
      <c r="I229" s="11">
        <f t="shared" si="25"/>
        <v>0</v>
      </c>
      <c r="J229" s="11">
        <f t="shared" si="26"/>
        <v>0</v>
      </c>
      <c r="K229" s="11">
        <f t="shared" si="27"/>
        <v>0</v>
      </c>
      <c r="L229" s="11">
        <v>71</v>
      </c>
      <c r="M229" s="11">
        <v>1E+100</v>
      </c>
      <c r="N229" s="11">
        <v>1E+100</v>
      </c>
      <c r="O229" s="11">
        <v>1E+100</v>
      </c>
      <c r="P229" s="11">
        <v>1E+100</v>
      </c>
      <c r="Q229" s="11">
        <f>IF($B$2=2002, 160, 60)</f>
        <v>60</v>
      </c>
      <c r="R229" s="11" t="str">
        <f t="shared" si="28"/>
        <v xml:space="preserve">N/A </v>
      </c>
    </row>
    <row r="230" spans="1:18">
      <c r="A230" s="3" t="s">
        <v>381</v>
      </c>
      <c r="B230" s="3"/>
      <c r="C230" s="11" t="s">
        <v>382</v>
      </c>
      <c r="D230" s="11"/>
      <c r="E230" s="18"/>
      <c r="F230" s="16"/>
      <c r="G230" s="11">
        <f t="shared" si="24"/>
        <v>0</v>
      </c>
      <c r="I230" s="11">
        <f t="shared" si="25"/>
        <v>0</v>
      </c>
      <c r="J230" s="11">
        <f t="shared" si="26"/>
        <v>0</v>
      </c>
      <c r="K230" s="11">
        <f t="shared" si="27"/>
        <v>0</v>
      </c>
      <c r="L230" s="11">
        <v>1E+100</v>
      </c>
      <c r="M230" s="11">
        <v>1E+100</v>
      </c>
      <c r="N230" s="11">
        <v>1E+100</v>
      </c>
      <c r="O230" s="11">
        <v>28</v>
      </c>
      <c r="P230" s="11">
        <v>6.6</v>
      </c>
      <c r="Q230" s="11">
        <v>1E+100</v>
      </c>
      <c r="R230" s="11" t="str">
        <f t="shared" si="28"/>
        <v xml:space="preserve">N/A </v>
      </c>
    </row>
    <row r="231" spans="1:18">
      <c r="A231" s="3" t="s">
        <v>383</v>
      </c>
      <c r="B231" s="3"/>
      <c r="C231" s="11" t="s">
        <v>384</v>
      </c>
      <c r="D231" s="11">
        <v>10</v>
      </c>
      <c r="E231" s="18"/>
      <c r="F231" s="16"/>
      <c r="G231" s="11">
        <f t="shared" si="24"/>
        <v>0</v>
      </c>
      <c r="I231" s="11">
        <f t="shared" si="25"/>
        <v>0</v>
      </c>
      <c r="J231" s="11">
        <f t="shared" si="26"/>
        <v>0</v>
      </c>
      <c r="K231" s="11">
        <f t="shared" si="27"/>
        <v>0</v>
      </c>
      <c r="L231" s="11">
        <v>1050</v>
      </c>
      <c r="M231" s="11">
        <v>1E+100</v>
      </c>
      <c r="N231" s="11">
        <v>1E+100</v>
      </c>
      <c r="O231" s="11">
        <v>1E+100</v>
      </c>
      <c r="P231" s="11">
        <v>1E+100</v>
      </c>
      <c r="Q231" s="11">
        <f>IF($B$2=2002, 11000, 4000)</f>
        <v>4000</v>
      </c>
      <c r="R231" s="11" t="str">
        <f t="shared" si="28"/>
        <v xml:space="preserve">N/A </v>
      </c>
    </row>
    <row r="232" spans="1:18">
      <c r="A232" s="3" t="s">
        <v>385</v>
      </c>
      <c r="B232" s="3"/>
      <c r="C232" s="11" t="s">
        <v>386</v>
      </c>
      <c r="D232" s="11">
        <v>10</v>
      </c>
      <c r="E232" s="18"/>
      <c r="F232" s="16"/>
      <c r="G232" s="11">
        <f t="shared" si="24"/>
        <v>0</v>
      </c>
      <c r="I232" s="11">
        <f t="shared" si="25"/>
        <v>0</v>
      </c>
      <c r="J232" s="11">
        <f t="shared" si="26"/>
        <v>0</v>
      </c>
      <c r="K232" s="11">
        <f t="shared" si="27"/>
        <v>0</v>
      </c>
      <c r="L232" s="11">
        <v>70</v>
      </c>
      <c r="M232" s="11">
        <v>1E+100</v>
      </c>
      <c r="N232" s="11">
        <v>1E+100</v>
      </c>
      <c r="O232" s="11">
        <v>1E+100</v>
      </c>
      <c r="P232" s="11">
        <v>1E+100</v>
      </c>
      <c r="Q232" s="11">
        <v>70</v>
      </c>
      <c r="R232" s="11" t="str">
        <f t="shared" si="28"/>
        <v xml:space="preserve">N/A </v>
      </c>
    </row>
    <row r="233" spans="1:18">
      <c r="A233" s="3"/>
      <c r="B233" s="3"/>
      <c r="C233" s="11"/>
      <c r="D233" s="11"/>
      <c r="E233" s="11"/>
      <c r="F233" s="11"/>
      <c r="G233" s="11"/>
      <c r="H233" s="11"/>
      <c r="I233" s="11" t="s">
        <v>146</v>
      </c>
      <c r="J233" s="11"/>
      <c r="K233" s="11"/>
      <c r="N233" s="11" t="s">
        <v>147</v>
      </c>
      <c r="O233" s="11" t="s">
        <v>113</v>
      </c>
      <c r="P233" s="11" t="s">
        <v>149</v>
      </c>
      <c r="Q233" s="11" t="s">
        <v>150</v>
      </c>
      <c r="R233" s="11" t="s">
        <v>151</v>
      </c>
    </row>
    <row r="234" spans="1:18">
      <c r="A234" s="3"/>
      <c r="B234" s="3"/>
      <c r="C234" s="11"/>
      <c r="D234" s="11"/>
      <c r="E234" s="11" t="s">
        <v>153</v>
      </c>
      <c r="F234" s="11" t="s">
        <v>154</v>
      </c>
      <c r="G234" s="11" t="s">
        <v>148</v>
      </c>
      <c r="I234" s="11" t="s">
        <v>156</v>
      </c>
      <c r="J234" s="11" t="s">
        <v>116</v>
      </c>
      <c r="K234" s="11" t="s">
        <v>217</v>
      </c>
      <c r="L234" s="11" t="s">
        <v>156</v>
      </c>
      <c r="M234" s="11" t="s">
        <v>157</v>
      </c>
      <c r="N234" s="11" t="s">
        <v>218</v>
      </c>
      <c r="O234" s="11" t="s">
        <v>159</v>
      </c>
      <c r="P234" s="11" t="s">
        <v>159</v>
      </c>
      <c r="Q234" s="11" t="s">
        <v>160</v>
      </c>
      <c r="R234" s="11" t="s">
        <v>161</v>
      </c>
    </row>
    <row r="235" spans="1:18">
      <c r="A235" s="3" t="s">
        <v>152</v>
      </c>
      <c r="B235" s="3"/>
      <c r="C235" s="11"/>
      <c r="D235" s="11"/>
      <c r="E235" s="11" t="s">
        <v>219</v>
      </c>
      <c r="F235" s="11" t="s">
        <v>220</v>
      </c>
      <c r="G235" s="11" t="s">
        <v>159</v>
      </c>
      <c r="I235" s="11" t="s">
        <v>163</v>
      </c>
      <c r="J235" s="11" t="s">
        <v>159</v>
      </c>
      <c r="K235" s="11" t="s">
        <v>160</v>
      </c>
      <c r="L235" s="11" t="s">
        <v>164</v>
      </c>
      <c r="M235" s="11" t="s">
        <v>164</v>
      </c>
      <c r="N235" s="11" t="s">
        <v>221</v>
      </c>
      <c r="O235" s="11" t="s">
        <v>164</v>
      </c>
      <c r="P235" s="11" t="s">
        <v>164</v>
      </c>
      <c r="Q235" s="11" t="s">
        <v>164</v>
      </c>
      <c r="R235" s="11"/>
    </row>
    <row r="236" spans="1:18">
      <c r="A236" s="3"/>
      <c r="B236" s="3"/>
      <c r="C236" s="11" t="s">
        <v>165</v>
      </c>
      <c r="D236" s="11" t="s">
        <v>166</v>
      </c>
      <c r="E236" s="11" t="s">
        <v>167</v>
      </c>
      <c r="F236" s="11" t="s">
        <v>168</v>
      </c>
      <c r="G236" s="11" t="s">
        <v>169</v>
      </c>
      <c r="I236" s="11" t="s">
        <v>170</v>
      </c>
      <c r="J236" s="11" t="s">
        <v>171</v>
      </c>
      <c r="K236" s="11" t="s">
        <v>172</v>
      </c>
      <c r="L236" s="11" t="s">
        <v>173</v>
      </c>
      <c r="M236" s="11" t="s">
        <v>173</v>
      </c>
      <c r="N236" s="11" t="s">
        <v>173</v>
      </c>
      <c r="O236" s="11" t="s">
        <v>173</v>
      </c>
      <c r="P236" s="11" t="s">
        <v>173</v>
      </c>
      <c r="Q236" s="11" t="s">
        <v>173</v>
      </c>
      <c r="R236" s="11"/>
    </row>
    <row r="237" spans="1:18">
      <c r="A237" s="6" t="s">
        <v>387</v>
      </c>
      <c r="B237" s="3"/>
      <c r="C237" s="11"/>
      <c r="D237" s="11"/>
      <c r="E237" s="13"/>
      <c r="F237" s="13"/>
      <c r="I237" s="11"/>
      <c r="J237" s="11"/>
      <c r="K237" s="11"/>
      <c r="L237" s="11"/>
      <c r="M237" s="11"/>
      <c r="N237" s="11"/>
      <c r="O237" s="11"/>
      <c r="P237" s="11"/>
      <c r="Q237" s="11"/>
      <c r="R237" s="11"/>
    </row>
    <row r="238" spans="1:18">
      <c r="A238" s="3" t="s">
        <v>388</v>
      </c>
      <c r="B238" s="3"/>
      <c r="C238" s="11" t="s">
        <v>389</v>
      </c>
      <c r="D238" s="11">
        <v>0.01</v>
      </c>
      <c r="E238" s="18"/>
      <c r="F238" s="16"/>
      <c r="G238" s="11">
        <f>2.13*F238</f>
        <v>0</v>
      </c>
      <c r="I238" s="11">
        <f t="shared" ref="I238:I254" si="29">IF(($I$40+$I$22)=0,0,(($I$40*$E238)+(2.13*$I$22*$F238))/($I$40+$I$22))</f>
        <v>0</v>
      </c>
      <c r="J238" s="11">
        <f t="shared" ref="J238:J254" si="30">IF(($I$45+$I$22)=0,0,(($I$45*$E238)+(2.13*$I$22*$F238))/($I$45+$I$22))</f>
        <v>0</v>
      </c>
      <c r="K238" s="11">
        <f t="shared" ref="K238:K254" si="31">IF(($I$41+$I$22)=0,0,(($I$41*$E238)+(2.13*$I$22*$F238))/($I$41+$I$22))</f>
        <v>0</v>
      </c>
      <c r="L238" s="11">
        <v>2.1000000000000001E-2</v>
      </c>
      <c r="M238" s="11">
        <v>1E+100</v>
      </c>
      <c r="N238" s="11">
        <v>1E+100</v>
      </c>
      <c r="O238" s="11">
        <v>3</v>
      </c>
      <c r="P238" s="11">
        <v>1E+100</v>
      </c>
      <c r="Q238" s="11">
        <f>IF($B$2=2002, 0.0014, 0.0005)</f>
        <v>5.0000000000000001E-4</v>
      </c>
      <c r="R238" s="11" t="str">
        <f t="shared" ref="R238:R254" si="32">IF($E238&gt;MIN($L238:$Q238), "Need TMDL", "N/A ")</f>
        <v xml:space="preserve">N/A </v>
      </c>
    </row>
    <row r="239" spans="1:18">
      <c r="A239" s="3" t="s">
        <v>390</v>
      </c>
      <c r="B239" s="3"/>
      <c r="C239" s="11" t="s">
        <v>391</v>
      </c>
      <c r="D239" s="11">
        <v>0.05</v>
      </c>
      <c r="E239" s="18"/>
      <c r="F239" s="16"/>
      <c r="G239" s="11">
        <f t="shared" ref="G239:G254" si="33">2.13*F239</f>
        <v>0</v>
      </c>
      <c r="I239" s="11">
        <f t="shared" si="29"/>
        <v>0</v>
      </c>
      <c r="J239" s="11">
        <f t="shared" si="30"/>
        <v>0</v>
      </c>
      <c r="K239" s="11">
        <f t="shared" si="31"/>
        <v>0</v>
      </c>
      <c r="L239" s="11">
        <v>5.6000000000000001E-2</v>
      </c>
      <c r="M239" s="11">
        <v>1E+100</v>
      </c>
      <c r="N239" s="11">
        <v>1E+100</v>
      </c>
      <c r="O239" s="11">
        <v>1E+100</v>
      </c>
      <c r="P239" s="11">
        <v>1E+100</v>
      </c>
      <c r="Q239" s="11">
        <f>IF($B$2=2002, 0.13, 0.049)</f>
        <v>4.9000000000000002E-2</v>
      </c>
      <c r="R239" s="11" t="str">
        <f t="shared" si="32"/>
        <v xml:space="preserve">N/A </v>
      </c>
    </row>
    <row r="240" spans="1:18">
      <c r="A240" s="3" t="s">
        <v>392</v>
      </c>
      <c r="B240" s="3"/>
      <c r="C240" s="11" t="s">
        <v>393</v>
      </c>
      <c r="D240" s="11">
        <v>0.05</v>
      </c>
      <c r="E240" s="18"/>
      <c r="F240" s="16"/>
      <c r="G240" s="11">
        <f t="shared" si="33"/>
        <v>0</v>
      </c>
      <c r="I240" s="11">
        <f t="shared" si="29"/>
        <v>0</v>
      </c>
      <c r="J240" s="11">
        <f t="shared" si="30"/>
        <v>0</v>
      </c>
      <c r="K240" s="11">
        <f t="shared" si="31"/>
        <v>0</v>
      </c>
      <c r="L240" s="11">
        <v>9.0999999999999998E-2</v>
      </c>
      <c r="M240" s="11">
        <v>1E+100</v>
      </c>
      <c r="N240" s="11">
        <v>1E+100</v>
      </c>
      <c r="O240" s="11">
        <v>1E+100</v>
      </c>
      <c r="P240" s="11">
        <v>1E+100</v>
      </c>
      <c r="Q240" s="11">
        <f>IF($B$2=2002, 0.46, 0.17)</f>
        <v>0.17</v>
      </c>
      <c r="R240" s="11" t="str">
        <f t="shared" si="32"/>
        <v xml:space="preserve">N/A </v>
      </c>
    </row>
    <row r="241" spans="1:18">
      <c r="A241" s="3" t="s">
        <v>394</v>
      </c>
      <c r="B241" s="3"/>
      <c r="C241" s="11" t="s">
        <v>395</v>
      </c>
      <c r="D241" s="11">
        <v>0.05</v>
      </c>
      <c r="E241" s="18"/>
      <c r="F241" s="16"/>
      <c r="G241" s="11">
        <f t="shared" si="33"/>
        <v>0</v>
      </c>
      <c r="I241" s="11">
        <f t="shared" si="29"/>
        <v>0</v>
      </c>
      <c r="J241" s="11">
        <f t="shared" si="30"/>
        <v>0</v>
      </c>
      <c r="K241" s="11">
        <f t="shared" si="31"/>
        <v>0</v>
      </c>
      <c r="L241" s="11">
        <v>0.2</v>
      </c>
      <c r="M241" s="11">
        <v>1E+100</v>
      </c>
      <c r="N241" s="11">
        <v>1E+100</v>
      </c>
      <c r="O241" s="11">
        <v>0.95</v>
      </c>
      <c r="P241" s="11">
        <v>1E+100</v>
      </c>
      <c r="Q241" s="11">
        <v>1.8</v>
      </c>
      <c r="R241" s="11" t="str">
        <f t="shared" si="32"/>
        <v xml:space="preserve">N/A </v>
      </c>
    </row>
    <row r="242" spans="1:18">
      <c r="A242" s="3" t="s">
        <v>396</v>
      </c>
      <c r="B242" s="3"/>
      <c r="C242" s="11" t="s">
        <v>397</v>
      </c>
      <c r="D242" s="11">
        <v>0.2</v>
      </c>
      <c r="E242" s="18"/>
      <c r="F242" s="16"/>
      <c r="G242" s="11">
        <f t="shared" si="33"/>
        <v>0</v>
      </c>
      <c r="I242" s="11">
        <f t="shared" si="29"/>
        <v>0</v>
      </c>
      <c r="J242" s="11">
        <f t="shared" si="30"/>
        <v>0</v>
      </c>
      <c r="K242" s="11">
        <f t="shared" si="31"/>
        <v>0</v>
      </c>
      <c r="L242" s="11">
        <v>2</v>
      </c>
      <c r="M242" s="11">
        <v>1E+100</v>
      </c>
      <c r="N242" s="11">
        <v>1E+100</v>
      </c>
      <c r="O242" s="11">
        <v>2.4</v>
      </c>
      <c r="P242" s="11">
        <v>4.3E-3</v>
      </c>
      <c r="Q242" s="11">
        <f>IF($B$2=2002, 0.022, 0.0081)</f>
        <v>8.0999999999999996E-3</v>
      </c>
      <c r="R242" s="11" t="str">
        <f t="shared" si="32"/>
        <v xml:space="preserve">N/A </v>
      </c>
    </row>
    <row r="243" spans="1:18">
      <c r="A243" s="3" t="s">
        <v>398</v>
      </c>
      <c r="B243" s="3"/>
      <c r="C243" s="11" t="s">
        <v>399</v>
      </c>
      <c r="D243" s="11">
        <v>0.02</v>
      </c>
      <c r="E243" s="18"/>
      <c r="F243" s="16"/>
      <c r="G243" s="11">
        <f t="shared" si="33"/>
        <v>0</v>
      </c>
      <c r="I243" s="11">
        <f t="shared" si="29"/>
        <v>0</v>
      </c>
      <c r="J243" s="11">
        <f t="shared" si="30"/>
        <v>0</v>
      </c>
      <c r="K243" s="11">
        <f t="shared" si="31"/>
        <v>0</v>
      </c>
      <c r="L243" s="11">
        <v>1</v>
      </c>
      <c r="M243" s="11">
        <v>1E+100</v>
      </c>
      <c r="N243" s="11">
        <v>1E-3</v>
      </c>
      <c r="O243" s="11">
        <v>1.1000000000000001</v>
      </c>
      <c r="P243" s="11">
        <v>1E-3</v>
      </c>
      <c r="Q243" s="11">
        <f>IF($B$2=2002, 0.0059, 0.0022)</f>
        <v>2.2000000000000001E-3</v>
      </c>
      <c r="R243" s="11" t="str">
        <f t="shared" si="32"/>
        <v xml:space="preserve">N/A </v>
      </c>
    </row>
    <row r="244" spans="1:18">
      <c r="A244" s="3" t="s">
        <v>400</v>
      </c>
      <c r="B244" s="3"/>
      <c r="C244" s="11" t="s">
        <v>401</v>
      </c>
      <c r="D244" s="11">
        <v>0.02</v>
      </c>
      <c r="E244" s="18"/>
      <c r="F244" s="16"/>
      <c r="G244" s="11">
        <f t="shared" si="33"/>
        <v>0</v>
      </c>
      <c r="I244" s="11">
        <f t="shared" si="29"/>
        <v>0</v>
      </c>
      <c r="J244" s="11">
        <f t="shared" si="30"/>
        <v>0</v>
      </c>
      <c r="K244" s="11">
        <f t="shared" si="31"/>
        <v>0</v>
      </c>
      <c r="L244" s="11">
        <v>2.1999999999999999E-2</v>
      </c>
      <c r="M244" s="11">
        <v>1E+100</v>
      </c>
      <c r="N244" s="11">
        <v>1E+100</v>
      </c>
      <c r="O244" s="11">
        <v>0.24</v>
      </c>
      <c r="P244" s="11">
        <v>5.6000000000000001E-2</v>
      </c>
      <c r="Q244" s="11">
        <f>IF($B$2=2002, 0.0014, 0.00054)</f>
        <v>5.4000000000000001E-4</v>
      </c>
      <c r="R244" s="11" t="str">
        <f t="shared" si="32"/>
        <v xml:space="preserve">N/A </v>
      </c>
    </row>
    <row r="245" spans="1:18" s="19" customFormat="1">
      <c r="A245" s="3" t="s">
        <v>402</v>
      </c>
      <c r="B245" s="3"/>
      <c r="C245" s="11" t="s">
        <v>403</v>
      </c>
      <c r="D245" s="11"/>
      <c r="E245" s="18"/>
      <c r="F245" s="16"/>
      <c r="G245" s="11">
        <f t="shared" si="33"/>
        <v>0</v>
      </c>
      <c r="I245" s="11">
        <f t="shared" si="29"/>
        <v>0</v>
      </c>
      <c r="J245" s="11">
        <f t="shared" si="30"/>
        <v>0</v>
      </c>
      <c r="K245" s="11">
        <f t="shared" si="31"/>
        <v>0</v>
      </c>
      <c r="L245" s="11">
        <v>1E+100</v>
      </c>
      <c r="M245" s="11">
        <v>1E+100</v>
      </c>
      <c r="N245" s="11">
        <v>1E+100</v>
      </c>
      <c r="O245" s="11">
        <v>0.17</v>
      </c>
      <c r="P245" s="11">
        <v>0.17</v>
      </c>
      <c r="Q245" s="11">
        <v>1E+100</v>
      </c>
      <c r="R245" s="11" t="str">
        <f t="shared" si="32"/>
        <v xml:space="preserve">N/A </v>
      </c>
    </row>
    <row r="246" spans="1:18">
      <c r="A246" s="3" t="s">
        <v>404</v>
      </c>
      <c r="B246" s="3"/>
      <c r="C246" s="11" t="s">
        <v>405</v>
      </c>
      <c r="D246" s="11">
        <v>0.01</v>
      </c>
      <c r="E246" s="18"/>
      <c r="F246" s="16"/>
      <c r="G246" s="11">
        <f t="shared" si="33"/>
        <v>0</v>
      </c>
      <c r="I246" s="11">
        <f t="shared" si="29"/>
        <v>0</v>
      </c>
      <c r="J246" s="11">
        <f t="shared" si="30"/>
        <v>0</v>
      </c>
      <c r="K246" s="11">
        <f t="shared" si="31"/>
        <v>0</v>
      </c>
      <c r="L246" s="11">
        <f>IF($B$2=2002, 1E+100,62)</f>
        <v>62</v>
      </c>
      <c r="M246" s="11">
        <v>1E+100</v>
      </c>
      <c r="N246" s="11">
        <v>1E+100</v>
      </c>
      <c r="O246" s="11">
        <v>0.22</v>
      </c>
      <c r="P246" s="11">
        <v>5.6000000000000001E-2</v>
      </c>
      <c r="Q246" s="11">
        <f>IF($B$2=2002, 240, 89)</f>
        <v>89</v>
      </c>
      <c r="R246" s="11" t="str">
        <f t="shared" si="32"/>
        <v xml:space="preserve">N/A </v>
      </c>
    </row>
    <row r="247" spans="1:18">
      <c r="A247" s="3" t="s">
        <v>406</v>
      </c>
      <c r="B247" s="3"/>
      <c r="C247" s="11" t="s">
        <v>407</v>
      </c>
      <c r="D247" s="11">
        <v>0.02</v>
      </c>
      <c r="E247" s="18"/>
      <c r="F247" s="16"/>
      <c r="G247" s="11">
        <f t="shared" si="33"/>
        <v>0</v>
      </c>
      <c r="I247" s="11">
        <f t="shared" si="29"/>
        <v>0</v>
      </c>
      <c r="J247" s="11">
        <f t="shared" si="30"/>
        <v>0</v>
      </c>
      <c r="K247" s="11">
        <f t="shared" si="31"/>
        <v>0</v>
      </c>
      <c r="L247" s="11">
        <f>IF($B$2=2002, 1E+100,62)</f>
        <v>62</v>
      </c>
      <c r="M247" s="11">
        <v>1E+100</v>
      </c>
      <c r="N247" s="11">
        <v>1E+100</v>
      </c>
      <c r="O247" s="11">
        <v>0.22</v>
      </c>
      <c r="P247" s="11">
        <v>5.6000000000000001E-2</v>
      </c>
      <c r="Q247" s="11">
        <f>IF($B$2=2002, 240, 89)</f>
        <v>89</v>
      </c>
      <c r="R247" s="11" t="str">
        <f t="shared" si="32"/>
        <v xml:space="preserve">N/A </v>
      </c>
    </row>
    <row r="248" spans="1:18">
      <c r="A248" s="3" t="s">
        <v>408</v>
      </c>
      <c r="B248" s="3"/>
      <c r="C248" s="11" t="s">
        <v>409</v>
      </c>
      <c r="D248" s="11">
        <v>0.1</v>
      </c>
      <c r="E248" s="18"/>
      <c r="F248" s="16"/>
      <c r="G248" s="11">
        <f t="shared" si="33"/>
        <v>0</v>
      </c>
      <c r="I248" s="11">
        <f t="shared" si="29"/>
        <v>0</v>
      </c>
      <c r="J248" s="11">
        <f t="shared" si="30"/>
        <v>0</v>
      </c>
      <c r="K248" s="11">
        <f t="shared" si="31"/>
        <v>0</v>
      </c>
      <c r="L248" s="11">
        <f>IF($B$2=2002, 1E+100,62)</f>
        <v>62</v>
      </c>
      <c r="M248" s="11">
        <v>1E+100</v>
      </c>
      <c r="N248" s="11">
        <v>1E+100</v>
      </c>
      <c r="O248" s="11">
        <v>1E+100</v>
      </c>
      <c r="P248" s="11">
        <v>1E+100</v>
      </c>
      <c r="Q248" s="11">
        <f>IF($B$2=2002, 240, 89)</f>
        <v>89</v>
      </c>
      <c r="R248" s="11" t="str">
        <f t="shared" si="32"/>
        <v xml:space="preserve">N/A </v>
      </c>
    </row>
    <row r="249" spans="1:18">
      <c r="A249" s="3" t="s">
        <v>410</v>
      </c>
      <c r="B249" s="3"/>
      <c r="C249" s="11" t="s">
        <v>411</v>
      </c>
      <c r="D249" s="11">
        <v>0.02</v>
      </c>
      <c r="E249" s="18"/>
      <c r="F249" s="16"/>
      <c r="G249" s="11">
        <f t="shared" si="33"/>
        <v>0</v>
      </c>
      <c r="I249" s="11">
        <f t="shared" si="29"/>
        <v>0</v>
      </c>
      <c r="J249" s="11">
        <f t="shared" si="30"/>
        <v>0</v>
      </c>
      <c r="K249" s="11">
        <f t="shared" si="31"/>
        <v>0</v>
      </c>
      <c r="L249" s="11">
        <v>2</v>
      </c>
      <c r="M249" s="11">
        <v>1E+100</v>
      </c>
      <c r="N249" s="11">
        <v>1E+100</v>
      </c>
      <c r="O249" s="11">
        <v>8.5999999999999993E-2</v>
      </c>
      <c r="P249" s="11">
        <v>3.5999999999999997E-2</v>
      </c>
      <c r="Q249" s="11">
        <v>0.06</v>
      </c>
      <c r="R249" s="11" t="str">
        <f t="shared" si="32"/>
        <v xml:space="preserve">N/A </v>
      </c>
    </row>
    <row r="250" spans="1:18">
      <c r="A250" s="3" t="s">
        <v>412</v>
      </c>
      <c r="B250" s="3"/>
      <c r="C250" s="11" t="s">
        <v>413</v>
      </c>
      <c r="D250" s="11">
        <v>0.1</v>
      </c>
      <c r="E250" s="18"/>
      <c r="F250" s="16"/>
      <c r="G250" s="11">
        <f t="shared" si="33"/>
        <v>0</v>
      </c>
      <c r="I250" s="11">
        <f t="shared" si="29"/>
        <v>0</v>
      </c>
      <c r="J250" s="11">
        <f t="shared" si="30"/>
        <v>0</v>
      </c>
      <c r="K250" s="11">
        <f t="shared" si="31"/>
        <v>0</v>
      </c>
      <c r="L250" s="11">
        <v>10.5</v>
      </c>
      <c r="M250" s="11">
        <v>1E+100</v>
      </c>
      <c r="N250" s="11">
        <v>1E+100</v>
      </c>
      <c r="O250" s="11">
        <v>1E+100</v>
      </c>
      <c r="P250" s="11">
        <v>1E+100</v>
      </c>
      <c r="Q250" s="11">
        <f>IF($B$2=2002, 0.81, 0.3)</f>
        <v>0.3</v>
      </c>
      <c r="R250" s="11" t="str">
        <f t="shared" si="32"/>
        <v xml:space="preserve">N/A </v>
      </c>
    </row>
    <row r="251" spans="1:18">
      <c r="A251" s="3" t="s">
        <v>414</v>
      </c>
      <c r="B251" s="3"/>
      <c r="C251" s="11" t="s">
        <v>415</v>
      </c>
      <c r="D251" s="11">
        <v>0.01</v>
      </c>
      <c r="E251" s="18"/>
      <c r="F251" s="16"/>
      <c r="G251" s="11">
        <f t="shared" si="33"/>
        <v>0</v>
      </c>
      <c r="I251" s="11">
        <f t="shared" si="29"/>
        <v>0</v>
      </c>
      <c r="J251" s="11">
        <f t="shared" si="30"/>
        <v>0</v>
      </c>
      <c r="K251" s="11">
        <f t="shared" si="31"/>
        <v>0</v>
      </c>
      <c r="L251" s="11">
        <v>0.4</v>
      </c>
      <c r="M251" s="11">
        <v>1E+100</v>
      </c>
      <c r="N251" s="11">
        <v>1E+100</v>
      </c>
      <c r="O251" s="11">
        <v>0.52</v>
      </c>
      <c r="P251" s="11">
        <v>3.8E-3</v>
      </c>
      <c r="Q251" s="11">
        <f>IF($B$2=2002, 0.0021, 0.00079)</f>
        <v>7.9000000000000001E-4</v>
      </c>
      <c r="R251" s="11" t="str">
        <f t="shared" si="32"/>
        <v xml:space="preserve">N/A </v>
      </c>
    </row>
    <row r="252" spans="1:18">
      <c r="A252" s="3" t="s">
        <v>416</v>
      </c>
      <c r="B252" s="3"/>
      <c r="C252" s="11" t="s">
        <v>417</v>
      </c>
      <c r="D252" s="11">
        <v>0.01</v>
      </c>
      <c r="E252" s="18"/>
      <c r="F252" s="16"/>
      <c r="G252" s="11">
        <f t="shared" si="33"/>
        <v>0</v>
      </c>
      <c r="I252" s="11">
        <f t="shared" si="29"/>
        <v>0</v>
      </c>
      <c r="J252" s="11">
        <f t="shared" si="30"/>
        <v>0</v>
      </c>
      <c r="K252" s="11">
        <f t="shared" si="31"/>
        <v>0</v>
      </c>
      <c r="L252" s="11">
        <v>0.2</v>
      </c>
      <c r="M252" s="11">
        <v>1E+100</v>
      </c>
      <c r="N252" s="11">
        <v>1E+100</v>
      </c>
      <c r="O252" s="11">
        <v>0.52</v>
      </c>
      <c r="P252" s="11">
        <v>3.8E-3</v>
      </c>
      <c r="Q252" s="11">
        <f>IF($B$2=2002, 0.0011, 0.00039)</f>
        <v>3.8999999999999999E-4</v>
      </c>
      <c r="R252" s="11" t="str">
        <f t="shared" si="32"/>
        <v xml:space="preserve">N/A </v>
      </c>
    </row>
    <row r="253" spans="1:18">
      <c r="A253" s="3" t="s">
        <v>418</v>
      </c>
      <c r="B253" s="3"/>
      <c r="C253" s="11" t="s">
        <v>419</v>
      </c>
      <c r="D253" s="11">
        <v>0.2</v>
      </c>
      <c r="E253" s="16"/>
      <c r="F253" s="16"/>
      <c r="G253" s="11">
        <f t="shared" si="33"/>
        <v>0</v>
      </c>
      <c r="I253" s="11">
        <f t="shared" si="29"/>
        <v>0</v>
      </c>
      <c r="J253" s="11">
        <f t="shared" si="30"/>
        <v>0</v>
      </c>
      <c r="K253" s="11">
        <f t="shared" si="31"/>
        <v>0</v>
      </c>
      <c r="L253" s="11">
        <v>0.5</v>
      </c>
      <c r="M253" s="11">
        <v>1E+100</v>
      </c>
      <c r="N253" s="11">
        <v>1.4E-2</v>
      </c>
      <c r="O253" s="11">
        <v>2</v>
      </c>
      <c r="P253" s="11">
        <v>1.4E-2</v>
      </c>
      <c r="Q253" s="11">
        <f>IF($B$2=2002, 0.0017, 0.00064)</f>
        <v>6.4000000000000005E-4</v>
      </c>
      <c r="R253" s="11" t="str">
        <f t="shared" si="32"/>
        <v xml:space="preserve">N/A </v>
      </c>
    </row>
    <row r="254" spans="1:18">
      <c r="A254" s="3" t="s">
        <v>420</v>
      </c>
      <c r="B254" s="3"/>
      <c r="C254" s="11" t="s">
        <v>421</v>
      </c>
      <c r="D254" s="11">
        <v>0.3</v>
      </c>
      <c r="E254" s="16"/>
      <c r="F254" s="16"/>
      <c r="G254" s="11">
        <f t="shared" si="33"/>
        <v>0</v>
      </c>
      <c r="I254" s="11">
        <f t="shared" si="29"/>
        <v>0</v>
      </c>
      <c r="J254" s="11">
        <f t="shared" si="30"/>
        <v>0</v>
      </c>
      <c r="K254" s="11">
        <f t="shared" si="31"/>
        <v>0</v>
      </c>
      <c r="L254" s="11">
        <v>3</v>
      </c>
      <c r="M254" s="11">
        <v>1E+100</v>
      </c>
      <c r="N254" s="11">
        <v>1E+100</v>
      </c>
      <c r="O254" s="11">
        <v>0.73</v>
      </c>
      <c r="P254" s="11">
        <v>2.0000000000000001E-4</v>
      </c>
      <c r="Q254" s="11">
        <f>IF($B$2=2002, 0.0075, 0.0028)</f>
        <v>2.8E-3</v>
      </c>
      <c r="R254" s="11" t="str">
        <f t="shared" si="32"/>
        <v xml:space="preserve">N/A </v>
      </c>
    </row>
    <row r="255" spans="1:18">
      <c r="A255" s="3"/>
      <c r="B255" s="3"/>
      <c r="C255" s="3"/>
      <c r="D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1:18">
      <c r="A256" s="3"/>
      <c r="B256" s="3"/>
      <c r="C256" s="3"/>
      <c r="D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1:17">
      <c r="A257" s="3"/>
      <c r="B257" s="3"/>
      <c r="C257" s="3"/>
      <c r="D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 ht="15.6">
      <c r="A258" s="9" t="s">
        <v>422</v>
      </c>
      <c r="B258" s="3" t="s">
        <v>423</v>
      </c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1:17">
      <c r="A259" s="3"/>
      <c r="B259" s="3" t="s">
        <v>424</v>
      </c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1:17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>
      <c r="A261" s="3" t="s">
        <v>425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1:17">
      <c r="A262" s="3" t="s">
        <v>426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1:17">
      <c r="A263" s="3" t="s">
        <v>427</v>
      </c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1:17">
      <c r="A264" s="3" t="s">
        <v>428</v>
      </c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>
      <c r="A265" s="3" t="s">
        <v>429</v>
      </c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1:17">
      <c r="A266" s="3" t="s">
        <v>430</v>
      </c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1:1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1:17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 spans="1:17">
      <c r="A269" s="3" t="s">
        <v>431</v>
      </c>
      <c r="B269" s="3"/>
      <c r="C269" s="3"/>
      <c r="D269" s="3"/>
      <c r="E269" s="3"/>
      <c r="F269" s="3"/>
      <c r="G269" s="3"/>
      <c r="H269" s="3"/>
      <c r="I269" s="3"/>
      <c r="J269" s="3"/>
      <c r="K269" s="5"/>
      <c r="L269" s="3"/>
      <c r="M269" s="3"/>
      <c r="N269" s="3"/>
      <c r="O269" s="3"/>
      <c r="P269" s="3"/>
      <c r="Q269" s="3"/>
    </row>
    <row r="270" spans="1:17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5"/>
      <c r="L270" s="3"/>
      <c r="M270" s="3"/>
      <c r="N270" s="3"/>
      <c r="O270" s="3"/>
      <c r="P270" s="3"/>
      <c r="Q270" s="3"/>
    </row>
    <row r="271" spans="1:17">
      <c r="A271" s="3"/>
      <c r="B271" s="3" t="s">
        <v>432</v>
      </c>
      <c r="C271" s="3"/>
      <c r="D271" s="3"/>
      <c r="E271" s="3"/>
      <c r="F271" s="3"/>
      <c r="G271" s="3"/>
      <c r="H271" s="3"/>
      <c r="I271" s="3"/>
      <c r="J271" s="3"/>
      <c r="K271" s="3" t="s">
        <v>73</v>
      </c>
      <c r="L271" s="3"/>
      <c r="M271" s="3"/>
      <c r="N271" s="3"/>
      <c r="O271" s="3"/>
      <c r="P271" s="3"/>
      <c r="Q271" s="3"/>
    </row>
    <row r="272" spans="1:17">
      <c r="A272" s="3"/>
      <c r="B272" s="3" t="s">
        <v>433</v>
      </c>
      <c r="C272" s="3"/>
      <c r="D272" s="3"/>
      <c r="E272" s="3"/>
      <c r="F272" s="3"/>
      <c r="G272" s="3" t="s">
        <v>434</v>
      </c>
      <c r="H272" s="3"/>
      <c r="I272" s="3"/>
      <c r="J272" s="3"/>
      <c r="K272" s="5"/>
      <c r="L272" s="3"/>
      <c r="M272" s="3"/>
      <c r="N272" s="3"/>
      <c r="O272" s="3"/>
      <c r="P272" s="3"/>
      <c r="Q272" s="3"/>
    </row>
    <row r="273" spans="1:18">
      <c r="A273" s="3" t="s">
        <v>75</v>
      </c>
      <c r="B273" s="3" t="s">
        <v>435</v>
      </c>
      <c r="C273" s="3"/>
      <c r="D273" s="3"/>
      <c r="E273" s="3"/>
      <c r="F273" s="3"/>
      <c r="G273" s="3"/>
      <c r="H273" s="3"/>
      <c r="I273" s="3"/>
      <c r="J273" s="3"/>
      <c r="K273" s="5"/>
      <c r="L273" s="3"/>
      <c r="M273" s="3"/>
      <c r="N273" s="3"/>
      <c r="O273" s="3"/>
      <c r="P273" s="3"/>
      <c r="Q273" s="3"/>
    </row>
    <row r="274" spans="1:18">
      <c r="A274" s="3"/>
      <c r="B274" s="3" t="s">
        <v>436</v>
      </c>
      <c r="C274" s="3"/>
      <c r="D274" s="3"/>
      <c r="E274" s="3"/>
      <c r="F274" s="3"/>
      <c r="G274" s="3"/>
      <c r="H274" s="3"/>
      <c r="I274" s="3"/>
      <c r="J274" s="3"/>
      <c r="K274" s="5"/>
      <c r="L274" s="3"/>
      <c r="M274" s="3"/>
      <c r="N274" s="3"/>
      <c r="O274" s="3"/>
      <c r="P274" s="3"/>
      <c r="Q274" s="3"/>
    </row>
    <row r="275" spans="1:18">
      <c r="A275" s="3"/>
      <c r="B275" s="3" t="s">
        <v>437</v>
      </c>
      <c r="C275" s="3"/>
      <c r="D275" s="3"/>
      <c r="E275" s="3"/>
      <c r="F275" s="3"/>
      <c r="G275" s="3"/>
      <c r="H275" s="3"/>
      <c r="I275" s="3"/>
      <c r="J275" s="3"/>
      <c r="K275" s="5"/>
      <c r="L275" s="3"/>
      <c r="M275" s="3"/>
      <c r="N275" s="3"/>
      <c r="O275" s="3"/>
      <c r="P275" s="3"/>
      <c r="Q275" s="3"/>
    </row>
    <row r="276" spans="1:18">
      <c r="A276" s="3"/>
      <c r="B276" s="3" t="s">
        <v>80</v>
      </c>
      <c r="C276" s="3"/>
      <c r="D276" s="3"/>
      <c r="E276" s="3"/>
      <c r="F276" s="3"/>
      <c r="G276" s="3"/>
      <c r="H276" s="3"/>
      <c r="I276" s="3"/>
      <c r="J276" s="3"/>
      <c r="K276" s="5"/>
      <c r="L276" s="3"/>
      <c r="M276" s="3"/>
      <c r="N276" s="3"/>
      <c r="O276" s="3"/>
      <c r="P276" s="3"/>
      <c r="Q276" s="3"/>
    </row>
    <row r="277" spans="1:18">
      <c r="A277" s="3"/>
      <c r="B277" s="3" t="s">
        <v>438</v>
      </c>
      <c r="C277" s="3"/>
      <c r="D277" s="3"/>
      <c r="E277" s="3"/>
      <c r="F277" s="3"/>
      <c r="G277" s="3"/>
      <c r="H277" s="3"/>
      <c r="I277" s="3"/>
      <c r="J277" s="3"/>
      <c r="K277" s="5"/>
      <c r="L277" s="3"/>
      <c r="M277" s="3"/>
      <c r="N277" s="3"/>
      <c r="O277" s="3"/>
      <c r="P277" s="3"/>
      <c r="Q277" s="3"/>
    </row>
    <row r="278" spans="1:18">
      <c r="B278" s="3"/>
      <c r="C278" s="11"/>
      <c r="D278" s="11"/>
      <c r="E278" s="11"/>
      <c r="I278" s="11" t="s">
        <v>439</v>
      </c>
      <c r="J278" s="11" t="s">
        <v>113</v>
      </c>
      <c r="K278" s="11" t="s">
        <v>116</v>
      </c>
      <c r="L278" s="11" t="s">
        <v>217</v>
      </c>
      <c r="M278" s="11" t="s">
        <v>440</v>
      </c>
      <c r="N278" s="11" t="s">
        <v>441</v>
      </c>
      <c r="O278" s="11" t="s">
        <v>442</v>
      </c>
      <c r="P278" s="11" t="s">
        <v>443</v>
      </c>
      <c r="Q278" s="11" t="s">
        <v>440</v>
      </c>
      <c r="R278" s="11" t="s">
        <v>441</v>
      </c>
    </row>
    <row r="279" spans="1:18">
      <c r="A279" s="3" t="s">
        <v>152</v>
      </c>
      <c r="B279" s="3"/>
      <c r="C279" s="11" t="s">
        <v>165</v>
      </c>
      <c r="D279" s="11" t="s">
        <v>444</v>
      </c>
      <c r="E279" s="11"/>
      <c r="F279" s="11" t="s">
        <v>156</v>
      </c>
      <c r="G279" s="11" t="s">
        <v>157</v>
      </c>
      <c r="H279" s="11"/>
      <c r="I279" s="11" t="s">
        <v>445</v>
      </c>
      <c r="J279" s="11" t="s">
        <v>159</v>
      </c>
      <c r="K279" s="11" t="s">
        <v>159</v>
      </c>
      <c r="L279" s="11" t="s">
        <v>160</v>
      </c>
      <c r="M279" s="11" t="s">
        <v>446</v>
      </c>
      <c r="N279" s="11" t="s">
        <v>447</v>
      </c>
      <c r="O279" s="11" t="s">
        <v>448</v>
      </c>
      <c r="P279" s="11" t="s">
        <v>448</v>
      </c>
      <c r="Q279" s="11" t="s">
        <v>449</v>
      </c>
      <c r="R279" s="11" t="s">
        <v>450</v>
      </c>
    </row>
    <row r="280" spans="1:18">
      <c r="E280" s="11"/>
      <c r="F280" s="11" t="s">
        <v>451</v>
      </c>
      <c r="G280" s="11" t="s">
        <v>451</v>
      </c>
      <c r="H280" s="11"/>
      <c r="I280" s="11" t="s">
        <v>452</v>
      </c>
      <c r="J280" s="11" t="s">
        <v>451</v>
      </c>
      <c r="K280" s="11" t="s">
        <v>451</v>
      </c>
      <c r="L280" s="11" t="s">
        <v>451</v>
      </c>
      <c r="M280" s="11" t="s">
        <v>173</v>
      </c>
      <c r="N280" s="11" t="s">
        <v>173</v>
      </c>
      <c r="O280" s="11" t="s">
        <v>173</v>
      </c>
      <c r="P280" s="11" t="s">
        <v>173</v>
      </c>
      <c r="Q280" s="11" t="s">
        <v>453</v>
      </c>
      <c r="R280" s="11" t="s">
        <v>454</v>
      </c>
    </row>
    <row r="281" spans="1:18">
      <c r="A281" s="6" t="s">
        <v>455</v>
      </c>
      <c r="B281" s="3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Q281" s="11"/>
      <c r="R281" s="11"/>
    </row>
    <row r="282" spans="1:18">
      <c r="A282" s="3" t="s">
        <v>456</v>
      </c>
      <c r="B282" s="3"/>
      <c r="C282" s="11" t="s">
        <v>176</v>
      </c>
      <c r="D282" s="14" t="s">
        <v>457</v>
      </c>
      <c r="E282" s="11"/>
      <c r="F282" s="11" t="str">
        <f>IF($I$32=0, "N/A", IF($I113&lt;$L113, "N/A", IF($E114&gt;$L113, $L113, $L113+($L113-$E114)*$I$40/$I$22)))</f>
        <v>N/A</v>
      </c>
      <c r="G282" s="11" t="str">
        <f>IF($I$33=0, "N/A", IF($J113&lt;$M113, "N/A", IF($E114&gt;$M113, $M113, $M113+($M113-$E114)*$I$45/$I$22)))</f>
        <v>N/A</v>
      </c>
      <c r="H282" s="11"/>
      <c r="I282" s="11" t="str">
        <f>IF($J113&lt;$N113, "N/A", IF($E114&gt;$N113, $N113, $N113+($N113-$E114)*$I$45/$I$22))</f>
        <v>N/A</v>
      </c>
      <c r="J282" s="11">
        <f>IF($I$30=0, "N/A", IF($G113&lt;$O113, "N/A", $O113))</f>
        <v>377.45650693420919</v>
      </c>
      <c r="K282" s="11">
        <f>IF($I$31=0, "N/A", IF($J113&lt;$P113, "N/A", IF($E114&gt;$P113, $P113, $P113+($P113-$E114)*$I$45/$I$22)))</f>
        <v>151.22296673898387</v>
      </c>
      <c r="L282" s="11" t="str">
        <f>IF($K113&lt;$Q113, "N/A", IF($E114&gt;$Q113, $Q113, $Q113+($Q113-$E114)*$I$41/$I$22))</f>
        <v>N/A</v>
      </c>
      <c r="M282" s="11">
        <f>IF(MIN($F282:$L282)=0,"N/A", MIN($F282:$L282))</f>
        <v>151.22296673898387</v>
      </c>
      <c r="N282" s="11">
        <f t="shared" ref="N282:N295" si="34">IF($M282="N/A","N/A",MAX($M282/1.5,MIN($L113:$Q113)))</f>
        <v>151.22296673898387</v>
      </c>
      <c r="O282" s="11">
        <f xml:space="preserve"> M282</f>
        <v>151.22296673898387</v>
      </c>
      <c r="P282" s="11">
        <f xml:space="preserve"> N282</f>
        <v>151.22296673898387</v>
      </c>
      <c r="Q282" s="11">
        <f t="shared" ref="Q282:Q295" si="35">IF($O282="N/A","N/A", 8.34*$O282*$I$21/1000)</f>
        <v>3.6322546826970017E-2</v>
      </c>
      <c r="R282" s="11">
        <f t="shared" ref="R282:R295" si="36">IF($P282="N/A","N/A", 8.34*$P282*$I$21/1000)</f>
        <v>3.6322546826970017E-2</v>
      </c>
    </row>
    <row r="283" spans="1:18">
      <c r="A283" s="3" t="s">
        <v>458</v>
      </c>
      <c r="B283" s="3"/>
      <c r="C283" s="11" t="s">
        <v>178</v>
      </c>
      <c r="D283" s="14" t="s">
        <v>459</v>
      </c>
      <c r="E283" s="11"/>
      <c r="F283" s="11" t="str">
        <f>IF($I$32=0, "N/A", IF($I114&lt;$L114, "N/A", IF(#REF!&gt;$L114, $L114, $L114+($L114-#REF!)*$I$40/$I$22)))</f>
        <v>N/A</v>
      </c>
      <c r="G283" s="11" t="str">
        <f>IF($I$33=0, "N/A", IF($J114&lt;$M114, "N/A", IF(#REF!&gt;$M114, $M114, $M114+($M114-#REF!)*$I$45/$I$22)))</f>
        <v>N/A</v>
      </c>
      <c r="H283" s="11"/>
      <c r="I283" s="11" t="e">
        <f>IF($J114&lt;$N114, "N/A", IF(#REF!&gt;$N114, $N114, $N114+($N114-#REF!)*$I$45/$I$22))</f>
        <v>#REF!</v>
      </c>
      <c r="J283" s="11" t="str">
        <f t="shared" ref="J283:J306" si="37">IF($I$30=0, "N/A", IF($G114&lt;$O114, "N/A", $O114))</f>
        <v>N/A</v>
      </c>
      <c r="K283" s="11" t="e">
        <f>IF($I$31=0, "N/A", IF($J114&lt;$P114, "N/A", IF(#REF!&gt;$P114, $P114, $P114+($P114-#REF!)*$I$45/$I$22)))</f>
        <v>#REF!</v>
      </c>
      <c r="L283" s="11" t="e">
        <f>IF($K114&lt;$Q114, "N/A", IF(#REF!&gt;$Q114, $Q114, $Q114+($Q114-#REF!)*$I$41/$I$22))</f>
        <v>#REF!</v>
      </c>
      <c r="M283" s="11" t="e">
        <f t="shared" ref="M283:M345" si="38">IF(MIN($F283:$L283)=0,"N/A", MIN($F283:$L283))</f>
        <v>#REF!</v>
      </c>
      <c r="N283" s="11" t="e">
        <f t="shared" si="34"/>
        <v>#REF!</v>
      </c>
      <c r="O283" s="11" t="e">
        <f t="shared" ref="O283:O346" si="39" xml:space="preserve"> M283</f>
        <v>#REF!</v>
      </c>
      <c r="P283" s="11" t="e">
        <f t="shared" ref="P283:P346" si="40" xml:space="preserve"> N283</f>
        <v>#REF!</v>
      </c>
      <c r="Q283" s="11" t="e">
        <f t="shared" si="35"/>
        <v>#REF!</v>
      </c>
      <c r="R283" s="11" t="e">
        <f t="shared" si="36"/>
        <v>#REF!</v>
      </c>
    </row>
    <row r="284" spans="1:18">
      <c r="A284" s="3" t="s">
        <v>460</v>
      </c>
      <c r="B284" s="3"/>
      <c r="C284" s="11" t="s">
        <v>180</v>
      </c>
      <c r="D284" s="11" t="s">
        <v>461</v>
      </c>
      <c r="E284" s="11"/>
      <c r="F284" s="11" t="str">
        <f t="shared" ref="F284:F295" si="41">IF($I$32=0, "N/A", IF($I115&lt;$L115, "N/A", IF($E115&gt;$L115, $L115, $L115+($L115-$E115)*$I$40/$I$22)))</f>
        <v>N/A</v>
      </c>
      <c r="G284" s="11" t="str">
        <f t="shared" ref="G284:G295" si="42">IF($I$33=0, "N/A", IF($J115&lt;$M115, "N/A", IF($E115&gt;$M115, $M115, $M115+($M115-$E115)*$I$45/$I$22)))</f>
        <v>N/A</v>
      </c>
      <c r="H284" s="11"/>
      <c r="I284" s="11" t="str">
        <f t="shared" ref="I284:I295" si="43">IF($J115&lt;$N115, "N/A", IF($E115&gt;$N115, $N115, $N115+($N115-$E115)*$I$45/$I$22))</f>
        <v>N/A</v>
      </c>
      <c r="J284" s="11" t="str">
        <f t="shared" si="37"/>
        <v>N/A</v>
      </c>
      <c r="K284" s="11" t="str">
        <f t="shared" ref="K284:K295" si="44">IF($I$31=0, "N/A", IF($J115&lt;$P115, "N/A", IF($E115&gt;$P115, $P115, $P115+($P115-$E115)*$I$45/$I$22)))</f>
        <v>N/A</v>
      </c>
      <c r="L284" s="11" t="str">
        <f t="shared" ref="L284:L295" si="45">IF($K115&lt;$Q115, "N/A", IF($E115&gt;$Q115, $Q115, $Q115+($Q115-$E115)*$I$41/$I$22))</f>
        <v>N/A</v>
      </c>
      <c r="M284" s="11" t="str">
        <f t="shared" si="38"/>
        <v>N/A</v>
      </c>
      <c r="N284" s="11" t="str">
        <f t="shared" si="34"/>
        <v>N/A</v>
      </c>
      <c r="O284" s="11" t="str">
        <f t="shared" si="39"/>
        <v>N/A</v>
      </c>
      <c r="P284" s="11" t="str">
        <f t="shared" si="40"/>
        <v>N/A</v>
      </c>
      <c r="Q284" s="11" t="str">
        <f t="shared" si="35"/>
        <v>N/A</v>
      </c>
      <c r="R284" s="11" t="str">
        <f t="shared" si="36"/>
        <v>N/A</v>
      </c>
    </row>
    <row r="285" spans="1:18">
      <c r="A285" s="3" t="s">
        <v>462</v>
      </c>
      <c r="B285" s="3"/>
      <c r="C285" s="11" t="s">
        <v>182</v>
      </c>
      <c r="D285" s="11" t="s">
        <v>463</v>
      </c>
      <c r="E285" s="11"/>
      <c r="F285" s="11" t="str">
        <f t="shared" si="41"/>
        <v>N/A</v>
      </c>
      <c r="G285" s="11" t="str">
        <f t="shared" si="42"/>
        <v>N/A</v>
      </c>
      <c r="H285" s="11"/>
      <c r="I285" s="11" t="str">
        <f t="shared" si="43"/>
        <v>N/A</v>
      </c>
      <c r="J285" s="11" t="str">
        <f t="shared" si="37"/>
        <v>N/A</v>
      </c>
      <c r="K285" s="11" t="str">
        <f t="shared" si="44"/>
        <v>N/A</v>
      </c>
      <c r="L285" s="11" t="str">
        <f t="shared" si="45"/>
        <v>N/A</v>
      </c>
      <c r="M285" s="11" t="str">
        <f t="shared" si="38"/>
        <v>N/A</v>
      </c>
      <c r="N285" s="11" t="str">
        <f t="shared" si="34"/>
        <v>N/A</v>
      </c>
      <c r="O285" s="11" t="str">
        <f t="shared" si="39"/>
        <v>N/A</v>
      </c>
      <c r="P285" s="11" t="str">
        <f t="shared" si="40"/>
        <v>N/A</v>
      </c>
      <c r="Q285" s="11" t="str">
        <f t="shared" si="35"/>
        <v>N/A</v>
      </c>
      <c r="R285" s="11" t="str">
        <f t="shared" si="36"/>
        <v>N/A</v>
      </c>
    </row>
    <row r="286" spans="1:18">
      <c r="A286" s="3" t="s">
        <v>464</v>
      </c>
      <c r="B286" s="3"/>
      <c r="C286" s="11" t="s">
        <v>184</v>
      </c>
      <c r="D286" s="11" t="s">
        <v>465</v>
      </c>
      <c r="E286" s="11"/>
      <c r="F286" s="11" t="str">
        <f t="shared" si="41"/>
        <v>N/A</v>
      </c>
      <c r="G286" s="11" t="str">
        <f t="shared" si="42"/>
        <v>N/A</v>
      </c>
      <c r="H286" s="11"/>
      <c r="I286" s="11" t="str">
        <f t="shared" si="43"/>
        <v>N/A</v>
      </c>
      <c r="J286" s="11" t="str">
        <f t="shared" si="37"/>
        <v>N/A</v>
      </c>
      <c r="K286" s="11" t="str">
        <f t="shared" si="44"/>
        <v>N/A</v>
      </c>
      <c r="L286" s="11" t="str">
        <f t="shared" si="45"/>
        <v>N/A</v>
      </c>
      <c r="M286" s="11" t="str">
        <f t="shared" si="38"/>
        <v>N/A</v>
      </c>
      <c r="N286" s="11" t="str">
        <f t="shared" si="34"/>
        <v>N/A</v>
      </c>
      <c r="O286" s="11" t="str">
        <f t="shared" si="39"/>
        <v>N/A</v>
      </c>
      <c r="P286" s="11" t="str">
        <f t="shared" si="40"/>
        <v>N/A</v>
      </c>
      <c r="Q286" s="11" t="str">
        <f t="shared" si="35"/>
        <v>N/A</v>
      </c>
      <c r="R286" s="11" t="str">
        <f t="shared" si="36"/>
        <v>N/A</v>
      </c>
    </row>
    <row r="287" spans="1:18">
      <c r="A287" s="3" t="s">
        <v>466</v>
      </c>
      <c r="B287" s="3"/>
      <c r="C287" s="11" t="s">
        <v>186</v>
      </c>
      <c r="D287" s="11" t="s">
        <v>467</v>
      </c>
      <c r="E287" s="11"/>
      <c r="F287" s="11" t="str">
        <f t="shared" si="41"/>
        <v>N/A</v>
      </c>
      <c r="G287" s="11" t="str">
        <f t="shared" si="42"/>
        <v>N/A</v>
      </c>
      <c r="H287" s="11"/>
      <c r="I287" s="11" t="str">
        <f t="shared" si="43"/>
        <v>N/A</v>
      </c>
      <c r="J287" s="11" t="str">
        <f t="shared" si="37"/>
        <v>N/A</v>
      </c>
      <c r="K287" s="11" t="str">
        <f t="shared" si="44"/>
        <v>N/A</v>
      </c>
      <c r="L287" s="11" t="str">
        <f t="shared" si="45"/>
        <v>N/A</v>
      </c>
      <c r="M287" s="11" t="str">
        <f t="shared" si="38"/>
        <v>N/A</v>
      </c>
      <c r="N287" s="11" t="str">
        <f t="shared" si="34"/>
        <v>N/A</v>
      </c>
      <c r="O287" s="11" t="str">
        <f t="shared" si="39"/>
        <v>N/A</v>
      </c>
      <c r="P287" s="11" t="str">
        <f t="shared" si="40"/>
        <v>N/A</v>
      </c>
      <c r="Q287" s="11" t="str">
        <f t="shared" si="35"/>
        <v>N/A</v>
      </c>
      <c r="R287" s="11" t="str">
        <f t="shared" si="36"/>
        <v>N/A</v>
      </c>
    </row>
    <row r="288" spans="1:18">
      <c r="A288" s="3" t="s">
        <v>187</v>
      </c>
      <c r="B288" s="3"/>
      <c r="C288" s="11"/>
      <c r="D288" s="11" t="s">
        <v>468</v>
      </c>
      <c r="E288" s="11"/>
      <c r="F288" s="11" t="str">
        <f t="shared" si="41"/>
        <v>N/A</v>
      </c>
      <c r="G288" s="11" t="str">
        <f t="shared" si="42"/>
        <v>N/A</v>
      </c>
      <c r="H288" s="11"/>
      <c r="I288" s="11" t="str">
        <f t="shared" si="43"/>
        <v>N/A</v>
      </c>
      <c r="J288" s="11" t="str">
        <f t="shared" si="37"/>
        <v>N/A</v>
      </c>
      <c r="K288" s="11" t="str">
        <f t="shared" si="44"/>
        <v>N/A</v>
      </c>
      <c r="L288" s="11" t="str">
        <f t="shared" si="45"/>
        <v>N/A</v>
      </c>
      <c r="M288" s="11" t="str">
        <f t="shared" si="38"/>
        <v>N/A</v>
      </c>
      <c r="N288" s="11" t="str">
        <f t="shared" si="34"/>
        <v>N/A</v>
      </c>
      <c r="O288" s="11" t="str">
        <f t="shared" si="39"/>
        <v>N/A</v>
      </c>
      <c r="P288" s="11" t="str">
        <f t="shared" si="40"/>
        <v>N/A</v>
      </c>
      <c r="Q288" s="11" t="str">
        <f t="shared" si="35"/>
        <v>N/A</v>
      </c>
      <c r="R288" s="11" t="str">
        <f t="shared" si="36"/>
        <v>N/A</v>
      </c>
    </row>
    <row r="289" spans="1:18">
      <c r="A289" s="3" t="s">
        <v>188</v>
      </c>
      <c r="B289" s="3"/>
      <c r="C289" s="11"/>
      <c r="D289" s="11" t="s">
        <v>469</v>
      </c>
      <c r="E289" s="11"/>
      <c r="F289" s="11" t="str">
        <f t="shared" si="41"/>
        <v>N/A</v>
      </c>
      <c r="G289" s="11" t="str">
        <f t="shared" si="42"/>
        <v>N/A</v>
      </c>
      <c r="H289" s="11"/>
      <c r="I289" s="11" t="str">
        <f t="shared" si="43"/>
        <v>N/A</v>
      </c>
      <c r="J289" s="11" t="str">
        <f t="shared" si="37"/>
        <v>N/A</v>
      </c>
      <c r="K289" s="11" t="str">
        <f t="shared" si="44"/>
        <v>N/A</v>
      </c>
      <c r="L289" s="11" t="str">
        <f t="shared" si="45"/>
        <v>N/A</v>
      </c>
      <c r="M289" s="11" t="str">
        <f t="shared" si="38"/>
        <v>N/A</v>
      </c>
      <c r="N289" s="11" t="str">
        <f t="shared" si="34"/>
        <v>N/A</v>
      </c>
      <c r="O289" s="11" t="str">
        <f t="shared" si="39"/>
        <v>N/A</v>
      </c>
      <c r="P289" s="11" t="str">
        <f t="shared" si="40"/>
        <v>N/A</v>
      </c>
      <c r="Q289" s="11" t="str">
        <f t="shared" si="35"/>
        <v>N/A</v>
      </c>
      <c r="R289" s="11" t="str">
        <f t="shared" si="36"/>
        <v>N/A</v>
      </c>
    </row>
    <row r="290" spans="1:18">
      <c r="A290" s="3" t="s">
        <v>189</v>
      </c>
      <c r="B290" s="3"/>
      <c r="C290" s="11"/>
      <c r="D290" s="11" t="s">
        <v>470</v>
      </c>
      <c r="E290" s="11"/>
      <c r="F290" s="11" t="str">
        <f t="shared" si="41"/>
        <v>N/A</v>
      </c>
      <c r="G290" s="11" t="str">
        <f t="shared" si="42"/>
        <v>N/A</v>
      </c>
      <c r="H290" s="11"/>
      <c r="I290" s="11" t="str">
        <f t="shared" si="43"/>
        <v>N/A</v>
      </c>
      <c r="J290" s="11" t="str">
        <f t="shared" si="37"/>
        <v>N/A</v>
      </c>
      <c r="K290" s="11" t="str">
        <f t="shared" si="44"/>
        <v>N/A</v>
      </c>
      <c r="L290" s="11" t="str">
        <f t="shared" si="45"/>
        <v>N/A</v>
      </c>
      <c r="M290" s="11" t="str">
        <f t="shared" si="38"/>
        <v>N/A</v>
      </c>
      <c r="N290" s="11" t="str">
        <f t="shared" si="34"/>
        <v>N/A</v>
      </c>
      <c r="O290" s="11" t="str">
        <f t="shared" si="39"/>
        <v>N/A</v>
      </c>
      <c r="P290" s="11" t="str">
        <f t="shared" si="40"/>
        <v>N/A</v>
      </c>
      <c r="Q290" s="11" t="str">
        <f t="shared" si="35"/>
        <v>N/A</v>
      </c>
      <c r="R290" s="11" t="str">
        <f t="shared" si="36"/>
        <v>N/A</v>
      </c>
    </row>
    <row r="291" spans="1:18">
      <c r="A291" s="3" t="s">
        <v>190</v>
      </c>
      <c r="B291" s="3"/>
      <c r="C291" s="11"/>
      <c r="D291" s="11" t="s">
        <v>471</v>
      </c>
      <c r="E291" s="11"/>
      <c r="F291" s="11" t="str">
        <f t="shared" si="41"/>
        <v>N/A</v>
      </c>
      <c r="G291" s="11" t="str">
        <f t="shared" si="42"/>
        <v>N/A</v>
      </c>
      <c r="H291" s="11"/>
      <c r="I291" s="11" t="str">
        <f t="shared" si="43"/>
        <v>N/A</v>
      </c>
      <c r="J291" s="11" t="str">
        <f t="shared" si="37"/>
        <v>N/A</v>
      </c>
      <c r="K291" s="11" t="str">
        <f t="shared" si="44"/>
        <v>N/A</v>
      </c>
      <c r="L291" s="11" t="str">
        <f t="shared" si="45"/>
        <v>N/A</v>
      </c>
      <c r="M291" s="11" t="str">
        <f t="shared" si="38"/>
        <v>N/A</v>
      </c>
      <c r="N291" s="11" t="str">
        <f t="shared" si="34"/>
        <v>N/A</v>
      </c>
      <c r="O291" s="11" t="str">
        <f t="shared" si="39"/>
        <v>N/A</v>
      </c>
      <c r="P291" s="11" t="str">
        <f t="shared" si="40"/>
        <v>N/A</v>
      </c>
      <c r="Q291" s="11" t="str">
        <f t="shared" si="35"/>
        <v>N/A</v>
      </c>
      <c r="R291" s="11" t="str">
        <f t="shared" si="36"/>
        <v>N/A</v>
      </c>
    </row>
    <row r="292" spans="1:18">
      <c r="A292" s="3" t="s">
        <v>191</v>
      </c>
      <c r="C292" s="13"/>
      <c r="D292" s="13"/>
      <c r="E292" s="11"/>
      <c r="F292" s="11" t="str">
        <f t="shared" si="41"/>
        <v>N/A</v>
      </c>
      <c r="G292" s="11" t="str">
        <f t="shared" si="42"/>
        <v>N/A</v>
      </c>
      <c r="H292" s="11"/>
      <c r="I292" s="11" t="str">
        <f t="shared" si="43"/>
        <v>N/A</v>
      </c>
      <c r="J292" s="11" t="str">
        <f t="shared" si="37"/>
        <v>N/A</v>
      </c>
      <c r="K292" s="11" t="str">
        <f t="shared" si="44"/>
        <v>N/A</v>
      </c>
      <c r="L292" s="11" t="str">
        <f t="shared" si="45"/>
        <v>N/A</v>
      </c>
      <c r="M292" s="11" t="str">
        <f t="shared" si="38"/>
        <v>N/A</v>
      </c>
      <c r="N292" s="11" t="str">
        <f t="shared" si="34"/>
        <v>N/A</v>
      </c>
      <c r="O292" s="11" t="str">
        <f t="shared" si="39"/>
        <v>N/A</v>
      </c>
      <c r="P292" s="11" t="str">
        <f t="shared" si="40"/>
        <v>N/A</v>
      </c>
      <c r="Q292" s="11" t="str">
        <f t="shared" si="35"/>
        <v>N/A</v>
      </c>
      <c r="R292" s="11" t="str">
        <f t="shared" si="36"/>
        <v>N/A</v>
      </c>
    </row>
    <row r="293" spans="1:18">
      <c r="A293" s="3" t="s">
        <v>192</v>
      </c>
      <c r="B293" s="3"/>
      <c r="C293" s="11" t="s">
        <v>193</v>
      </c>
      <c r="D293" s="11" t="s">
        <v>472</v>
      </c>
      <c r="E293" s="11"/>
      <c r="F293" s="11" t="str">
        <f t="shared" si="41"/>
        <v>N/A</v>
      </c>
      <c r="G293" s="11" t="str">
        <f t="shared" si="42"/>
        <v>N/A</v>
      </c>
      <c r="H293" s="11"/>
      <c r="I293" s="11" t="str">
        <f t="shared" si="43"/>
        <v>N/A</v>
      </c>
      <c r="J293" s="11" t="str">
        <f t="shared" si="37"/>
        <v>N/A</v>
      </c>
      <c r="K293" s="11" t="str">
        <f t="shared" si="44"/>
        <v>N/A</v>
      </c>
      <c r="L293" s="11" t="str">
        <f t="shared" si="45"/>
        <v>N/A</v>
      </c>
      <c r="M293" s="11" t="str">
        <f t="shared" si="38"/>
        <v>N/A</v>
      </c>
      <c r="N293" s="11" t="str">
        <f t="shared" si="34"/>
        <v>N/A</v>
      </c>
      <c r="O293" s="11" t="str">
        <f t="shared" si="39"/>
        <v>N/A</v>
      </c>
      <c r="P293" s="11" t="str">
        <f t="shared" si="40"/>
        <v>N/A</v>
      </c>
      <c r="Q293" s="11" t="str">
        <f t="shared" si="35"/>
        <v>N/A</v>
      </c>
      <c r="R293" s="11" t="str">
        <f t="shared" si="36"/>
        <v>N/A</v>
      </c>
    </row>
    <row r="294" spans="1:18">
      <c r="A294" s="3" t="s">
        <v>194</v>
      </c>
      <c r="C294" s="13"/>
      <c r="D294" s="11" t="s">
        <v>473</v>
      </c>
      <c r="E294" s="11"/>
      <c r="F294" s="11" t="str">
        <f t="shared" si="41"/>
        <v>N/A</v>
      </c>
      <c r="G294" s="11" t="str">
        <f t="shared" si="42"/>
        <v>N/A</v>
      </c>
      <c r="H294" s="11"/>
      <c r="I294" s="11" t="str">
        <f t="shared" si="43"/>
        <v>N/A</v>
      </c>
      <c r="J294" s="11" t="str">
        <f t="shared" si="37"/>
        <v>N/A</v>
      </c>
      <c r="K294" s="11" t="str">
        <f t="shared" si="44"/>
        <v>N/A</v>
      </c>
      <c r="L294" s="11" t="str">
        <f t="shared" si="45"/>
        <v>N/A</v>
      </c>
      <c r="M294" s="11" t="str">
        <f t="shared" si="38"/>
        <v>N/A</v>
      </c>
      <c r="N294" s="11" t="str">
        <f t="shared" si="34"/>
        <v>N/A</v>
      </c>
      <c r="O294" s="11" t="str">
        <f t="shared" si="39"/>
        <v>N/A</v>
      </c>
      <c r="P294" s="11" t="str">
        <f t="shared" si="40"/>
        <v>N/A</v>
      </c>
      <c r="Q294" s="11" t="str">
        <f t="shared" si="35"/>
        <v>N/A</v>
      </c>
      <c r="R294" s="11" t="str">
        <f t="shared" si="36"/>
        <v>N/A</v>
      </c>
    </row>
    <row r="295" spans="1:18">
      <c r="A295" s="3" t="s">
        <v>195</v>
      </c>
      <c r="C295" s="13"/>
      <c r="D295" s="14" t="s">
        <v>474</v>
      </c>
      <c r="E295" s="11"/>
      <c r="F295" s="11" t="str">
        <f t="shared" si="41"/>
        <v>N/A</v>
      </c>
      <c r="G295" s="11" t="str">
        <f t="shared" si="42"/>
        <v>N/A</v>
      </c>
      <c r="H295" s="11"/>
      <c r="I295" s="11" t="str">
        <f t="shared" si="43"/>
        <v>N/A</v>
      </c>
      <c r="J295" s="11" t="str">
        <f t="shared" si="37"/>
        <v>N/A</v>
      </c>
      <c r="K295" s="11" t="str">
        <f t="shared" si="44"/>
        <v>N/A</v>
      </c>
      <c r="L295" s="11" t="str">
        <f t="shared" si="45"/>
        <v>N/A</v>
      </c>
      <c r="M295" s="11" t="str">
        <f t="shared" si="38"/>
        <v>N/A</v>
      </c>
      <c r="N295" s="11" t="str">
        <f t="shared" si="34"/>
        <v>N/A</v>
      </c>
      <c r="O295" s="11" t="str">
        <f t="shared" si="39"/>
        <v>N/A</v>
      </c>
      <c r="P295" s="11" t="str">
        <f t="shared" si="40"/>
        <v>N/A</v>
      </c>
      <c r="Q295" s="11" t="str">
        <f t="shared" si="35"/>
        <v>N/A</v>
      </c>
      <c r="R295" s="11" t="str">
        <f t="shared" si="36"/>
        <v>N/A</v>
      </c>
    </row>
    <row r="296" spans="1:18">
      <c r="A296" s="6" t="s">
        <v>475</v>
      </c>
      <c r="B296" s="3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</row>
    <row r="297" spans="1:18">
      <c r="A297" s="3" t="s">
        <v>476</v>
      </c>
      <c r="B297" s="3"/>
      <c r="C297" s="11" t="s">
        <v>198</v>
      </c>
      <c r="D297" s="14" t="s">
        <v>477</v>
      </c>
      <c r="E297" s="11"/>
      <c r="F297" s="11" t="str">
        <f t="shared" ref="F297:F306" si="46">IF($I$32=0, "N/A", IF($I128&lt;$L128, "N/A", IF($E128&gt;$L128, $L128, $L128+($L128-$E128)*$I$40/$I$22)))</f>
        <v>N/A</v>
      </c>
      <c r="G297" s="11" t="str">
        <f t="shared" ref="G297:G306" si="47">IF($I$33=0, "N/A", IF($J128&lt;$M128, "N/A", IF($E128&gt;$M128, $M128, $M128+($M128-$E128)*$I$45/$I$22)))</f>
        <v>N/A</v>
      </c>
      <c r="H297" s="11"/>
      <c r="I297" s="11" t="str">
        <f t="shared" ref="I297:I306" si="48">IF($J128&lt;$N128, "N/A", IF($E128&gt;$N128, $N128, $N128+($N128-$E128)*$I$45/$I$22))</f>
        <v>N/A</v>
      </c>
      <c r="J297" s="11" t="str">
        <f t="shared" si="37"/>
        <v>N/A</v>
      </c>
      <c r="K297" s="11" t="str">
        <f t="shared" ref="K297:K306" si="49">IF($I$31=0, "N/A", IF($J128&lt;$P128, "N/A", IF($E128&gt;$P128, $P128, $P128+($P128-$E128)*$I$45/$I$22)))</f>
        <v>N/A</v>
      </c>
      <c r="L297" s="11" t="str">
        <f t="shared" ref="L297:L306" si="50">IF($K128&lt;$Q128, "N/A", IF($E128&gt;$Q128, $Q128, $Q128+($Q128-$E128)*$I$41/$I$22))</f>
        <v>N/A</v>
      </c>
      <c r="M297" s="11" t="str">
        <f t="shared" si="38"/>
        <v>N/A</v>
      </c>
      <c r="N297" s="11" t="str">
        <f t="shared" ref="N297:N306" si="51">IF($M297="N/A","N/A",MAX($M297/1.5,MIN($L128:$Q128)))</f>
        <v>N/A</v>
      </c>
      <c r="O297" s="11" t="str">
        <f t="shared" si="39"/>
        <v>N/A</v>
      </c>
      <c r="P297" s="11" t="str">
        <f t="shared" si="40"/>
        <v>N/A</v>
      </c>
      <c r="Q297" s="11" t="str">
        <f t="shared" ref="Q297:Q318" si="52">IF($O297="N/A","N/A", 8.34*$O297*$I$21/1000)</f>
        <v>N/A</v>
      </c>
      <c r="R297" s="11" t="str">
        <f t="shared" ref="R297:R320" si="53">IF($P297="N/A","N/A", 8.34*$P297*$I$21/1000)</f>
        <v>N/A</v>
      </c>
    </row>
    <row r="298" spans="1:18">
      <c r="A298" s="3" t="s">
        <v>478</v>
      </c>
      <c r="B298" s="3"/>
      <c r="C298" s="11" t="s">
        <v>200</v>
      </c>
      <c r="D298" s="11">
        <v>1002</v>
      </c>
      <c r="E298" s="11"/>
      <c r="F298" s="11" t="str">
        <f t="shared" si="46"/>
        <v>N/A</v>
      </c>
      <c r="G298" s="11" t="str">
        <f t="shared" si="47"/>
        <v>N/A</v>
      </c>
      <c r="H298" s="11"/>
      <c r="I298" s="11" t="str">
        <f t="shared" si="48"/>
        <v>N/A</v>
      </c>
      <c r="J298" s="11" t="str">
        <f t="shared" si="37"/>
        <v>N/A</v>
      </c>
      <c r="K298" s="11" t="str">
        <f t="shared" si="49"/>
        <v>N/A</v>
      </c>
      <c r="L298" s="11" t="str">
        <f t="shared" si="50"/>
        <v>N/A</v>
      </c>
      <c r="M298" s="11" t="str">
        <f>IF(MIN($F298:$L298)=0,"N/A", MIN($F298:$L298))</f>
        <v>N/A</v>
      </c>
      <c r="N298" s="11" t="str">
        <f t="shared" si="51"/>
        <v>N/A</v>
      </c>
      <c r="O298" s="11" t="str">
        <f>IF(M298="N/A","N/A", IF($I$29=0,$M298/$G74,$M298/$O74))</f>
        <v>N/A</v>
      </c>
      <c r="P298" s="11" t="str">
        <f>IF(N298="N/A","N/A", IF($I$29=0,N298/$G74,N298/$O74))</f>
        <v>N/A</v>
      </c>
      <c r="Q298" s="11" t="str">
        <f t="shared" si="52"/>
        <v>N/A</v>
      </c>
      <c r="R298" s="11" t="str">
        <f t="shared" si="53"/>
        <v>N/A</v>
      </c>
    </row>
    <row r="299" spans="1:18">
      <c r="A299" s="3" t="s">
        <v>479</v>
      </c>
      <c r="B299" s="3"/>
      <c r="C299" s="11" t="s">
        <v>202</v>
      </c>
      <c r="D299" s="11" t="s">
        <v>480</v>
      </c>
      <c r="E299" s="11"/>
      <c r="F299" s="11" t="str">
        <f t="shared" si="46"/>
        <v>N/A</v>
      </c>
      <c r="G299" s="11" t="str">
        <f t="shared" si="47"/>
        <v>N/A</v>
      </c>
      <c r="H299" s="11"/>
      <c r="I299" s="11" t="str">
        <f t="shared" si="48"/>
        <v>N/A</v>
      </c>
      <c r="J299" s="11" t="str">
        <f t="shared" si="37"/>
        <v>N/A</v>
      </c>
      <c r="K299" s="11" t="str">
        <f t="shared" si="49"/>
        <v>N/A</v>
      </c>
      <c r="L299" s="11" t="str">
        <f t="shared" si="50"/>
        <v>N/A</v>
      </c>
      <c r="M299" s="11" t="str">
        <f t="shared" si="38"/>
        <v>N/A</v>
      </c>
      <c r="N299" s="11" t="str">
        <f t="shared" si="51"/>
        <v>N/A</v>
      </c>
      <c r="O299" s="11" t="str">
        <f t="shared" si="39"/>
        <v>N/A</v>
      </c>
      <c r="P299" s="11" t="str">
        <f t="shared" si="40"/>
        <v>N/A</v>
      </c>
      <c r="Q299" s="11" t="str">
        <f t="shared" si="52"/>
        <v>N/A</v>
      </c>
      <c r="R299" s="11" t="str">
        <f t="shared" si="53"/>
        <v>N/A</v>
      </c>
    </row>
    <row r="300" spans="1:18">
      <c r="A300" s="3" t="s">
        <v>481</v>
      </c>
      <c r="B300" s="3"/>
      <c r="C300" s="11" t="s">
        <v>204</v>
      </c>
      <c r="D300" s="14" t="s">
        <v>482</v>
      </c>
      <c r="E300" s="11"/>
      <c r="F300" s="11" t="str">
        <f t="shared" si="46"/>
        <v>N/A</v>
      </c>
      <c r="G300" s="11" t="str">
        <f t="shared" si="47"/>
        <v>N/A</v>
      </c>
      <c r="H300" s="11"/>
      <c r="I300" s="11" t="str">
        <f t="shared" si="48"/>
        <v>N/A</v>
      </c>
      <c r="J300" s="11">
        <f t="shared" si="37"/>
        <v>0.41809168805373198</v>
      </c>
      <c r="K300" s="11">
        <f t="shared" si="49"/>
        <v>0.14211602843293969</v>
      </c>
      <c r="L300" s="11" t="str">
        <f t="shared" si="50"/>
        <v>N/A</v>
      </c>
      <c r="M300" s="11">
        <f t="shared" si="38"/>
        <v>0.14211602843293969</v>
      </c>
      <c r="N300" s="11">
        <f t="shared" si="51"/>
        <v>0.14211602843293969</v>
      </c>
      <c r="O300" s="11">
        <f t="shared" si="39"/>
        <v>0.14211602843293969</v>
      </c>
      <c r="P300" s="11">
        <f t="shared" si="40"/>
        <v>0.14211602843293969</v>
      </c>
      <c r="Q300" s="11">
        <f t="shared" si="52"/>
        <v>3.4135133101364651E-5</v>
      </c>
      <c r="R300" s="11">
        <f t="shared" si="53"/>
        <v>3.4135133101364651E-5</v>
      </c>
    </row>
    <row r="301" spans="1:18" s="20" customFormat="1">
      <c r="A301" s="3" t="s">
        <v>205</v>
      </c>
      <c r="B301" s="3"/>
      <c r="C301" s="11" t="s">
        <v>206</v>
      </c>
      <c r="D301" s="14" t="s">
        <v>483</v>
      </c>
      <c r="E301" s="11"/>
      <c r="F301" s="11" t="str">
        <f t="shared" si="46"/>
        <v>N/A</v>
      </c>
      <c r="G301" s="11" t="str">
        <f t="shared" si="47"/>
        <v>N/A</v>
      </c>
      <c r="H301" s="11"/>
      <c r="I301" s="11" t="str">
        <f t="shared" si="48"/>
        <v>N/A</v>
      </c>
      <c r="J301" s="11" t="str">
        <f t="shared" si="37"/>
        <v>N/A</v>
      </c>
      <c r="K301" s="11" t="str">
        <f t="shared" si="49"/>
        <v>N/A</v>
      </c>
      <c r="L301" s="11" t="str">
        <f t="shared" si="50"/>
        <v>N/A</v>
      </c>
      <c r="M301" s="11" t="str">
        <f t="shared" si="38"/>
        <v>N/A</v>
      </c>
      <c r="N301" s="11" t="str">
        <f t="shared" si="51"/>
        <v>N/A</v>
      </c>
      <c r="O301" s="11" t="str">
        <f>IF(M301="N/A","N/A", IF($I$29=0,$M301/$G75,$M301/$O75))</f>
        <v>N/A</v>
      </c>
      <c r="P301" s="11" t="str">
        <f>IF(N301="N/A","N/A", IF($I$29=0,N301/$G75,N301/$O75))</f>
        <v>N/A</v>
      </c>
      <c r="Q301" s="11" t="str">
        <f t="shared" si="52"/>
        <v>N/A</v>
      </c>
      <c r="R301" s="11" t="str">
        <f t="shared" si="53"/>
        <v>N/A</v>
      </c>
    </row>
    <row r="302" spans="1:18" s="20" customFormat="1">
      <c r="A302" s="3" t="s">
        <v>207</v>
      </c>
      <c r="B302" s="3"/>
      <c r="C302" s="11" t="s">
        <v>208</v>
      </c>
      <c r="D302" s="14" t="s">
        <v>484</v>
      </c>
      <c r="E302" s="11"/>
      <c r="F302" s="11" t="str">
        <f t="shared" si="46"/>
        <v>N/A</v>
      </c>
      <c r="G302" s="11" t="str">
        <f t="shared" si="47"/>
        <v>N/A</v>
      </c>
      <c r="H302" s="11"/>
      <c r="I302" s="11" t="str">
        <f t="shared" si="48"/>
        <v>N/A</v>
      </c>
      <c r="J302" s="11" t="str">
        <f t="shared" si="37"/>
        <v>N/A</v>
      </c>
      <c r="K302" s="11" t="str">
        <f t="shared" si="49"/>
        <v>N/A</v>
      </c>
      <c r="L302" s="11" t="str">
        <f t="shared" si="50"/>
        <v>N/A</v>
      </c>
      <c r="M302" s="11" t="str">
        <f t="shared" si="38"/>
        <v>N/A</v>
      </c>
      <c r="N302" s="11" t="str">
        <f t="shared" si="51"/>
        <v>N/A</v>
      </c>
      <c r="O302" s="11" t="str">
        <f t="shared" si="39"/>
        <v>N/A</v>
      </c>
      <c r="P302" s="11" t="str">
        <f t="shared" si="40"/>
        <v>N/A</v>
      </c>
      <c r="Q302" s="11" t="str">
        <f t="shared" si="52"/>
        <v>N/A</v>
      </c>
      <c r="R302" s="11" t="str">
        <f t="shared" si="53"/>
        <v>N/A</v>
      </c>
    </row>
    <row r="303" spans="1:18">
      <c r="A303" s="3" t="s">
        <v>485</v>
      </c>
      <c r="B303" s="3"/>
      <c r="C303" s="11" t="s">
        <v>210</v>
      </c>
      <c r="D303" s="11" t="s">
        <v>484</v>
      </c>
      <c r="E303" s="11"/>
      <c r="F303" s="11" t="str">
        <f t="shared" si="46"/>
        <v>N/A</v>
      </c>
      <c r="G303" s="11" t="str">
        <f t="shared" si="47"/>
        <v>N/A</v>
      </c>
      <c r="H303" s="11"/>
      <c r="I303" s="11" t="str">
        <f t="shared" si="48"/>
        <v>N/A</v>
      </c>
      <c r="J303" s="11" t="str">
        <f t="shared" si="37"/>
        <v>N/A</v>
      </c>
      <c r="K303" s="11" t="str">
        <f t="shared" si="49"/>
        <v>N/A</v>
      </c>
      <c r="L303" s="11" t="str">
        <f t="shared" si="50"/>
        <v>N/A</v>
      </c>
      <c r="M303" s="11" t="str">
        <f t="shared" si="38"/>
        <v>N/A</v>
      </c>
      <c r="N303" s="11" t="str">
        <f t="shared" si="51"/>
        <v>N/A</v>
      </c>
      <c r="O303" s="11" t="str">
        <f t="shared" si="39"/>
        <v>N/A</v>
      </c>
      <c r="P303" s="11" t="str">
        <f t="shared" si="40"/>
        <v>N/A</v>
      </c>
      <c r="Q303" s="11" t="str">
        <f t="shared" si="52"/>
        <v>N/A</v>
      </c>
      <c r="R303" s="11" t="str">
        <f t="shared" si="53"/>
        <v>N/A</v>
      </c>
    </row>
    <row r="304" spans="1:18">
      <c r="A304" s="3" t="s">
        <v>486</v>
      </c>
      <c r="B304" s="3"/>
      <c r="C304" s="11" t="s">
        <v>212</v>
      </c>
      <c r="D304" s="11" t="s">
        <v>487</v>
      </c>
      <c r="E304" s="11"/>
      <c r="F304" s="11" t="str">
        <f t="shared" si="46"/>
        <v>N/A</v>
      </c>
      <c r="G304" s="11" t="str">
        <f t="shared" si="47"/>
        <v>N/A</v>
      </c>
      <c r="H304" s="11"/>
      <c r="I304" s="11" t="str">
        <f t="shared" si="48"/>
        <v>N/A</v>
      </c>
      <c r="J304" s="11" t="str">
        <f t="shared" si="37"/>
        <v>N/A</v>
      </c>
      <c r="K304" s="11" t="str">
        <f t="shared" si="49"/>
        <v>N/A</v>
      </c>
      <c r="L304" s="11" t="str">
        <f t="shared" si="50"/>
        <v>N/A</v>
      </c>
      <c r="M304" s="11" t="str">
        <f t="shared" si="38"/>
        <v>N/A</v>
      </c>
      <c r="N304" s="11" t="str">
        <f t="shared" si="51"/>
        <v>N/A</v>
      </c>
      <c r="O304" s="11" t="str">
        <f>IF(M304="N/A","N/A", IF($I$29=0,$M304/$G76,$M304/$O76))</f>
        <v>N/A</v>
      </c>
      <c r="P304" s="11" t="str">
        <f>IF(N304="N/A","N/A", IF($I$29=0,N304/$G76,N304/$O76))</f>
        <v>N/A</v>
      </c>
      <c r="Q304" s="11" t="str">
        <f t="shared" si="52"/>
        <v>N/A</v>
      </c>
      <c r="R304" s="11" t="str">
        <f t="shared" si="53"/>
        <v>N/A</v>
      </c>
    </row>
    <row r="305" spans="1:18">
      <c r="A305" s="3" t="s">
        <v>488</v>
      </c>
      <c r="B305" s="3"/>
      <c r="C305" s="11" t="s">
        <v>214</v>
      </c>
      <c r="D305" s="14" t="s">
        <v>489</v>
      </c>
      <c r="E305" s="11"/>
      <c r="F305" s="11" t="str">
        <f t="shared" si="46"/>
        <v>N/A</v>
      </c>
      <c r="G305" s="11" t="str">
        <f t="shared" si="47"/>
        <v>N/A</v>
      </c>
      <c r="H305" s="11"/>
      <c r="I305" s="11" t="str">
        <f t="shared" si="48"/>
        <v>N/A</v>
      </c>
      <c r="J305" s="11" t="str">
        <f t="shared" si="37"/>
        <v>N/A</v>
      </c>
      <c r="K305" s="11" t="str">
        <f t="shared" si="49"/>
        <v>N/A</v>
      </c>
      <c r="L305" s="11" t="str">
        <f t="shared" si="50"/>
        <v>N/A</v>
      </c>
      <c r="M305" s="11" t="str">
        <f>IF(MIN($F305:$L305)=0,"N/A", MIN($F305:$L305))</f>
        <v>N/A</v>
      </c>
      <c r="N305" s="11" t="str">
        <f t="shared" si="51"/>
        <v>N/A</v>
      </c>
      <c r="O305" s="11" t="str">
        <f>IF(M305="N/A","N/A", IF($I$29=0,$M305/$G77,$M305/$O77))</f>
        <v>N/A</v>
      </c>
      <c r="P305" s="11" t="str">
        <f>IF(N305="N/A","N/A", IF($I$29=0,N305/$G77,N305/$O77))</f>
        <v>N/A</v>
      </c>
      <c r="Q305" s="11" t="str">
        <f t="shared" si="52"/>
        <v>N/A</v>
      </c>
      <c r="R305" s="11" t="str">
        <f t="shared" si="53"/>
        <v>N/A</v>
      </c>
    </row>
    <row r="306" spans="1:18" s="20" customFormat="1">
      <c r="A306" s="3" t="s">
        <v>490</v>
      </c>
      <c r="B306" s="3"/>
      <c r="C306" s="11" t="s">
        <v>216</v>
      </c>
      <c r="D306" s="14" t="s">
        <v>491</v>
      </c>
      <c r="E306" s="11"/>
      <c r="F306" s="11" t="str">
        <f t="shared" si="46"/>
        <v>N/A</v>
      </c>
      <c r="G306" s="11" t="str">
        <f t="shared" si="47"/>
        <v>N/A</v>
      </c>
      <c r="H306" s="11"/>
      <c r="I306" s="11" t="str">
        <f t="shared" si="48"/>
        <v>N/A</v>
      </c>
      <c r="J306" s="11">
        <f t="shared" si="37"/>
        <v>1746.6910008265093</v>
      </c>
      <c r="K306" s="11">
        <f t="shared" si="49"/>
        <v>965.04855903919383</v>
      </c>
      <c r="L306" s="11" t="str">
        <f t="shared" si="50"/>
        <v>N/A</v>
      </c>
      <c r="M306" s="11">
        <f>IF(MIN($F306:$L306)=0,"N/A", MIN($F306:$L306))</f>
        <v>965.04855903919383</v>
      </c>
      <c r="N306" s="11">
        <f t="shared" si="51"/>
        <v>965.04855903919383</v>
      </c>
      <c r="O306" s="11">
        <f t="shared" si="39"/>
        <v>965.04855903919383</v>
      </c>
      <c r="P306" s="11">
        <f t="shared" si="40"/>
        <v>965.04855903919383</v>
      </c>
      <c r="Q306" s="11">
        <f t="shared" si="52"/>
        <v>0.23179694349274202</v>
      </c>
      <c r="R306" s="11">
        <f t="shared" si="53"/>
        <v>0.23179694349274202</v>
      </c>
    </row>
    <row r="307" spans="1:18">
      <c r="A307" s="3" t="s">
        <v>492</v>
      </c>
      <c r="B307" s="3"/>
      <c r="C307" s="11" t="s">
        <v>223</v>
      </c>
      <c r="D307" s="14" t="s">
        <v>493</v>
      </c>
      <c r="E307" s="11"/>
      <c r="F307" s="11" t="str">
        <f t="shared" ref="F307:F318" si="54">IF($I$32=0, "N/A", IF($I143&lt;$L143, "N/A", IF($E143&gt;$L143, $L143, $L143+($L143-$E143)*$I$40/$I$22)))</f>
        <v>N/A</v>
      </c>
      <c r="G307" s="11" t="str">
        <f t="shared" ref="G307:G318" si="55">IF($I$33=0, "N/A", IF($J143&lt;$M143, "N/A", IF($E143&gt;$M143, $M143, $M143+($M143-$E143)*$I$45/$I$22)))</f>
        <v>N/A</v>
      </c>
      <c r="H307" s="11"/>
      <c r="I307" s="11" t="str">
        <f t="shared" ref="I307:I318" si="56">IF($J143&lt;$N143, "N/A", IF($E143&gt;$N143, $N143, $N143+($N143-$E143)*$I$45/$I$22))</f>
        <v>N/A</v>
      </c>
      <c r="J307" s="11" t="str">
        <f>IF($I$30=0, "N/A", IF($G143&lt;$O143, "N/A", $O143))</f>
        <v>N/A</v>
      </c>
      <c r="K307" s="11" t="str">
        <f t="shared" ref="K307:K318" si="57">IF($I$31=0, "N/A", IF($J143&lt;$P143, "N/A", IF($E143&gt;$P143, $P143, $P143+($P143-$E143)*$I$45/$I$22)))</f>
        <v>N/A</v>
      </c>
      <c r="L307" s="11" t="str">
        <f t="shared" ref="L307:L318" si="58">IF($K143&lt;$Q143, "N/A", IF($E143&gt;$Q143, $Q143, $Q143+($Q143-$E143)*$I$41/$I$22))</f>
        <v>N/A</v>
      </c>
      <c r="M307" s="11" t="str">
        <f t="shared" si="38"/>
        <v>N/A</v>
      </c>
      <c r="N307" s="11" t="str">
        <f t="shared" ref="N307:N317" si="59">IF($M307="N/A","N/A",MAX($M307/1.5,MIN($M143:$R143)))</f>
        <v>N/A</v>
      </c>
      <c r="O307" s="11" t="str">
        <f t="shared" si="39"/>
        <v>N/A</v>
      </c>
      <c r="P307" s="11" t="str">
        <f t="shared" si="40"/>
        <v>N/A</v>
      </c>
      <c r="Q307" s="11" t="str">
        <f t="shared" si="52"/>
        <v>N/A</v>
      </c>
      <c r="R307" s="11" t="str">
        <f t="shared" si="53"/>
        <v>N/A</v>
      </c>
    </row>
    <row r="308" spans="1:18">
      <c r="A308" s="3" t="s">
        <v>494</v>
      </c>
      <c r="B308" s="3"/>
      <c r="C308" s="11" t="s">
        <v>223</v>
      </c>
      <c r="D308" s="11" t="s">
        <v>493</v>
      </c>
      <c r="E308" s="11"/>
      <c r="F308" s="11" t="str">
        <f t="shared" si="54"/>
        <v>N/A</v>
      </c>
      <c r="G308" s="11" t="str">
        <f t="shared" si="55"/>
        <v>N/A</v>
      </c>
      <c r="H308" s="11"/>
      <c r="I308" s="11">
        <f t="shared" si="56"/>
        <v>0.77</v>
      </c>
      <c r="J308" s="11" t="str">
        <f t="shared" ref="J308:J318" si="60">IF($I$30=0, "N/A", IF($G144&lt;$O144, "N/A", $O144))</f>
        <v>N/A</v>
      </c>
      <c r="K308" s="11" t="str">
        <f t="shared" si="57"/>
        <v>N/A</v>
      </c>
      <c r="L308" s="11" t="str">
        <f t="shared" si="58"/>
        <v>N/A</v>
      </c>
      <c r="M308" s="11">
        <f t="shared" si="38"/>
        <v>0.77</v>
      </c>
      <c r="N308" s="11">
        <f t="shared" si="59"/>
        <v>0.77</v>
      </c>
      <c r="O308" s="11">
        <f t="shared" si="39"/>
        <v>0.77</v>
      </c>
      <c r="P308" s="11">
        <f t="shared" si="40"/>
        <v>0.77</v>
      </c>
      <c r="Q308" s="11">
        <f t="shared" si="52"/>
        <v>1.8494784000000001E-4</v>
      </c>
      <c r="R308" s="11">
        <f t="shared" si="53"/>
        <v>1.8494784000000001E-4</v>
      </c>
    </row>
    <row r="309" spans="1:18" s="20" customFormat="1">
      <c r="A309" s="3" t="s">
        <v>225</v>
      </c>
      <c r="B309" s="3"/>
      <c r="C309" s="11" t="s">
        <v>226</v>
      </c>
      <c r="D309" s="14" t="s">
        <v>495</v>
      </c>
      <c r="E309" s="11"/>
      <c r="F309" s="11" t="str">
        <f t="shared" si="54"/>
        <v>N/A</v>
      </c>
      <c r="G309" s="11" t="str">
        <f t="shared" si="55"/>
        <v>N/A</v>
      </c>
      <c r="H309" s="11"/>
      <c r="I309" s="11" t="str">
        <f t="shared" si="56"/>
        <v>N/A</v>
      </c>
      <c r="J309" s="11" t="str">
        <f t="shared" si="60"/>
        <v>N/A</v>
      </c>
      <c r="K309" s="11" t="str">
        <f t="shared" si="57"/>
        <v>N/A</v>
      </c>
      <c r="L309" s="11" t="str">
        <f t="shared" si="58"/>
        <v>N/A</v>
      </c>
      <c r="M309" s="11" t="str">
        <f t="shared" si="38"/>
        <v>N/A</v>
      </c>
      <c r="N309" s="11" t="str">
        <f t="shared" si="59"/>
        <v>N/A</v>
      </c>
      <c r="O309" s="11" t="str">
        <f t="shared" si="39"/>
        <v>N/A</v>
      </c>
      <c r="P309" s="11" t="str">
        <f t="shared" si="40"/>
        <v>N/A</v>
      </c>
      <c r="Q309" s="11" t="str">
        <f t="shared" si="52"/>
        <v>N/A</v>
      </c>
      <c r="R309" s="11" t="str">
        <f t="shared" si="53"/>
        <v>N/A</v>
      </c>
    </row>
    <row r="310" spans="1:18" s="20" customFormat="1">
      <c r="A310" s="3" t="s">
        <v>227</v>
      </c>
      <c r="B310" s="3"/>
      <c r="C310" s="11" t="s">
        <v>226</v>
      </c>
      <c r="D310" s="11" t="s">
        <v>496</v>
      </c>
      <c r="E310" s="11"/>
      <c r="F310" s="11" t="str">
        <f t="shared" si="54"/>
        <v>N/A</v>
      </c>
      <c r="G310" s="11" t="str">
        <f t="shared" si="55"/>
        <v>N/A</v>
      </c>
      <c r="H310" s="11"/>
      <c r="I310" s="11" t="str">
        <f t="shared" si="56"/>
        <v>N/A</v>
      </c>
      <c r="J310" s="11" t="str">
        <f t="shared" si="60"/>
        <v>N/A</v>
      </c>
      <c r="K310" s="11" t="str">
        <f t="shared" si="57"/>
        <v>N/A</v>
      </c>
      <c r="L310" s="11" t="str">
        <f t="shared" si="58"/>
        <v>N/A</v>
      </c>
      <c r="M310" s="11" t="str">
        <f t="shared" si="38"/>
        <v>N/A</v>
      </c>
      <c r="N310" s="11" t="str">
        <f t="shared" si="59"/>
        <v>N/A</v>
      </c>
      <c r="O310" s="11" t="str">
        <f t="shared" si="39"/>
        <v>N/A</v>
      </c>
      <c r="P310" s="11" t="str">
        <f t="shared" si="40"/>
        <v>N/A</v>
      </c>
      <c r="Q310" s="11" t="str">
        <f t="shared" si="52"/>
        <v>N/A</v>
      </c>
      <c r="R310" s="11" t="str">
        <f t="shared" si="53"/>
        <v>N/A</v>
      </c>
    </row>
    <row r="311" spans="1:18">
      <c r="A311" s="3" t="s">
        <v>497</v>
      </c>
      <c r="B311" s="3"/>
      <c r="C311" s="11" t="s">
        <v>229</v>
      </c>
      <c r="D311" s="14" t="s">
        <v>498</v>
      </c>
      <c r="E311" s="11"/>
      <c r="F311" s="11" t="str">
        <f t="shared" si="54"/>
        <v>N/A</v>
      </c>
      <c r="G311" s="11" t="str">
        <f t="shared" si="55"/>
        <v>N/A</v>
      </c>
      <c r="H311" s="11"/>
      <c r="I311" s="11" t="str">
        <f t="shared" si="56"/>
        <v>N/A</v>
      </c>
      <c r="J311" s="11" t="str">
        <f t="shared" si="60"/>
        <v>N/A</v>
      </c>
      <c r="K311" s="11">
        <f t="shared" si="57"/>
        <v>13.326905935817672</v>
      </c>
      <c r="L311" s="11" t="str">
        <f t="shared" si="58"/>
        <v>N/A</v>
      </c>
      <c r="M311" s="11">
        <f>IF(MIN($F311:$L311)=0,"N/A", MIN($F311:$L311))</f>
        <v>13.326905935817672</v>
      </c>
      <c r="N311" s="11">
        <f t="shared" si="59"/>
        <v>13.326905935817672</v>
      </c>
      <c r="O311" s="11">
        <f>IF(M311="N/A","N/A", IF($I$29=0,$M311/$G78,$M311/$O78))</f>
        <v>30.903123201725268</v>
      </c>
      <c r="P311" s="11">
        <f>IF(N311="N/A","N/A", IF($I$29=0,N311/$G78,N311/$O78))</f>
        <v>30.903123201725268</v>
      </c>
      <c r="Q311" s="11">
        <f t="shared" si="52"/>
        <v>7.422682968068796E-3</v>
      </c>
      <c r="R311" s="11">
        <f t="shared" si="53"/>
        <v>7.422682968068796E-3</v>
      </c>
    </row>
    <row r="312" spans="1:18">
      <c r="A312" s="3" t="s">
        <v>499</v>
      </c>
      <c r="B312" s="3"/>
      <c r="C312" s="11" t="s">
        <v>231</v>
      </c>
      <c r="D312" s="14" t="s">
        <v>500</v>
      </c>
      <c r="E312" s="11"/>
      <c r="F312" s="11" t="str">
        <f t="shared" si="54"/>
        <v>N/A</v>
      </c>
      <c r="G312" s="11" t="str">
        <f t="shared" si="55"/>
        <v>N/A</v>
      </c>
      <c r="H312" s="11"/>
      <c r="I312" s="11" t="str">
        <f t="shared" si="56"/>
        <v>N/A</v>
      </c>
      <c r="J312" s="11" t="str">
        <f t="shared" si="60"/>
        <v>N/A</v>
      </c>
      <c r="K312" s="11" t="str">
        <f t="shared" si="57"/>
        <v>N/A</v>
      </c>
      <c r="L312" s="11" t="str">
        <f t="shared" si="58"/>
        <v>N/A</v>
      </c>
      <c r="M312" s="11" t="str">
        <f t="shared" si="38"/>
        <v>N/A</v>
      </c>
      <c r="N312" s="11" t="str">
        <f t="shared" si="59"/>
        <v>N/A</v>
      </c>
      <c r="O312" s="11" t="str">
        <f t="shared" si="39"/>
        <v>N/A</v>
      </c>
      <c r="P312" s="11" t="str">
        <f t="shared" si="40"/>
        <v>N/A</v>
      </c>
      <c r="Q312" s="11" t="str">
        <f t="shared" si="52"/>
        <v>N/A</v>
      </c>
      <c r="R312" s="11" t="str">
        <f t="shared" si="53"/>
        <v>N/A</v>
      </c>
    </row>
    <row r="313" spans="1:18">
      <c r="A313" s="3" t="s">
        <v>501</v>
      </c>
      <c r="B313" s="3"/>
      <c r="C313" s="11"/>
      <c r="D313" s="14" t="s">
        <v>500</v>
      </c>
      <c r="E313" s="11"/>
      <c r="F313" s="11" t="str">
        <f t="shared" si="54"/>
        <v>N/A</v>
      </c>
      <c r="G313" s="11" t="str">
        <f t="shared" si="55"/>
        <v>N/A</v>
      </c>
      <c r="H313" s="11"/>
      <c r="I313" s="11" t="str">
        <f t="shared" si="56"/>
        <v>N/A</v>
      </c>
      <c r="J313" s="11" t="str">
        <f t="shared" si="60"/>
        <v>N/A</v>
      </c>
      <c r="K313" s="11" t="str">
        <f t="shared" si="57"/>
        <v>N/A</v>
      </c>
      <c r="L313" s="11" t="str">
        <f t="shared" si="58"/>
        <v>N/A</v>
      </c>
      <c r="M313" s="11" t="str">
        <f t="shared" si="38"/>
        <v>N/A</v>
      </c>
      <c r="N313" s="11" t="str">
        <f t="shared" si="59"/>
        <v>N/A</v>
      </c>
      <c r="O313" s="11" t="str">
        <f t="shared" si="39"/>
        <v>N/A</v>
      </c>
      <c r="P313" s="11" t="str">
        <f t="shared" si="40"/>
        <v>N/A</v>
      </c>
      <c r="Q313" s="11" t="str">
        <f t="shared" si="52"/>
        <v>N/A</v>
      </c>
      <c r="R313" s="11" t="str">
        <f t="shared" si="53"/>
        <v>N/A</v>
      </c>
    </row>
    <row r="314" spans="1:18">
      <c r="A314" s="3" t="s">
        <v>502</v>
      </c>
      <c r="B314" s="3"/>
      <c r="C314" s="11" t="s">
        <v>231</v>
      </c>
      <c r="D314" s="11" t="s">
        <v>500</v>
      </c>
      <c r="E314" s="11"/>
      <c r="F314" s="11" t="str">
        <f t="shared" si="54"/>
        <v>N/A</v>
      </c>
      <c r="G314" s="11" t="str">
        <f t="shared" si="55"/>
        <v>N/A</v>
      </c>
      <c r="H314" s="11"/>
      <c r="I314" s="11" t="str">
        <f t="shared" si="56"/>
        <v>N/A</v>
      </c>
      <c r="J314" s="11" t="str">
        <f t="shared" si="60"/>
        <v>N/A</v>
      </c>
      <c r="K314" s="11" t="str">
        <f t="shared" si="57"/>
        <v>N/A</v>
      </c>
      <c r="L314" s="11" t="str">
        <f t="shared" si="58"/>
        <v>N/A</v>
      </c>
      <c r="M314" s="11" t="str">
        <f t="shared" si="38"/>
        <v>N/A</v>
      </c>
      <c r="N314" s="11" t="str">
        <f t="shared" si="59"/>
        <v>N/A</v>
      </c>
      <c r="O314" s="11" t="str">
        <f t="shared" si="39"/>
        <v>N/A</v>
      </c>
      <c r="P314" s="11" t="str">
        <f t="shared" si="40"/>
        <v>N/A</v>
      </c>
      <c r="Q314" s="11" t="str">
        <f t="shared" si="52"/>
        <v>N/A</v>
      </c>
      <c r="R314" s="11" t="str">
        <f t="shared" si="53"/>
        <v>N/A</v>
      </c>
    </row>
    <row r="315" spans="1:18">
      <c r="A315" s="3" t="s">
        <v>503</v>
      </c>
      <c r="B315" s="3"/>
      <c r="C315" s="11" t="s">
        <v>235</v>
      </c>
      <c r="D315" s="11" t="s">
        <v>504</v>
      </c>
      <c r="E315" s="11"/>
      <c r="F315" s="11" t="str">
        <f t="shared" si="54"/>
        <v>N/A</v>
      </c>
      <c r="G315" s="11" t="str">
        <f t="shared" si="55"/>
        <v>N/A</v>
      </c>
      <c r="H315" s="11"/>
      <c r="I315" s="11" t="str">
        <f t="shared" si="56"/>
        <v>N/A</v>
      </c>
      <c r="J315" s="11">
        <f t="shared" si="60"/>
        <v>0.20192490280723419</v>
      </c>
      <c r="K315" s="11" t="str">
        <f t="shared" si="57"/>
        <v>N/A</v>
      </c>
      <c r="L315" s="11" t="str">
        <f t="shared" si="58"/>
        <v>N/A</v>
      </c>
      <c r="M315" s="11">
        <f t="shared" si="38"/>
        <v>0.20192490280723419</v>
      </c>
      <c r="N315" s="11">
        <f t="shared" si="59"/>
        <v>0.20192490280723419</v>
      </c>
      <c r="O315" s="11">
        <f>IF(M315="N/A","N/A", IF($I$29=0,$M315/$G79,$M315/$O79))</f>
        <v>0.65231391152628315</v>
      </c>
      <c r="P315" s="11">
        <f>IF(N315="N/A","N/A", IF($I$29=0,N315/$G79,N315/$O79))</f>
        <v>0.65231391152628315</v>
      </c>
      <c r="Q315" s="11">
        <f t="shared" si="52"/>
        <v>1.56680583037321E-4</v>
      </c>
      <c r="R315" s="11">
        <f t="shared" si="53"/>
        <v>1.56680583037321E-4</v>
      </c>
    </row>
    <row r="316" spans="1:18">
      <c r="A316" s="3" t="s">
        <v>505</v>
      </c>
      <c r="B316" s="3"/>
      <c r="C316" s="11" t="s">
        <v>237</v>
      </c>
      <c r="D316" s="11" t="s">
        <v>506</v>
      </c>
      <c r="E316" s="11"/>
      <c r="F316" s="11" t="str">
        <f t="shared" si="54"/>
        <v>N/A</v>
      </c>
      <c r="G316" s="11" t="str">
        <f t="shared" si="55"/>
        <v>N/A</v>
      </c>
      <c r="H316" s="11"/>
      <c r="I316" s="11" t="str">
        <f t="shared" si="56"/>
        <v>N/A</v>
      </c>
      <c r="J316" s="11" t="str">
        <f t="shared" si="60"/>
        <v>N/A</v>
      </c>
      <c r="K316" s="11" t="str">
        <f t="shared" si="57"/>
        <v>N/A</v>
      </c>
      <c r="L316" s="11" t="str">
        <f t="shared" si="58"/>
        <v>N/A</v>
      </c>
      <c r="M316" s="11" t="str">
        <f t="shared" si="38"/>
        <v>N/A</v>
      </c>
      <c r="N316" s="11" t="str">
        <f t="shared" si="59"/>
        <v>N/A</v>
      </c>
      <c r="O316" s="11" t="str">
        <f t="shared" si="39"/>
        <v>N/A</v>
      </c>
      <c r="P316" s="11" t="str">
        <f t="shared" si="40"/>
        <v>N/A</v>
      </c>
      <c r="Q316" s="11" t="str">
        <f t="shared" si="52"/>
        <v>N/A</v>
      </c>
      <c r="R316" s="11" t="str">
        <f t="shared" si="53"/>
        <v>N/A</v>
      </c>
    </row>
    <row r="317" spans="1:18">
      <c r="A317" s="3" t="s">
        <v>507</v>
      </c>
      <c r="B317" s="3"/>
      <c r="C317" s="11" t="s">
        <v>239</v>
      </c>
      <c r="D317" s="11">
        <v>1092</v>
      </c>
      <c r="E317" s="11"/>
      <c r="F317" s="11" t="str">
        <f t="shared" si="54"/>
        <v>N/A</v>
      </c>
      <c r="G317" s="11" t="str">
        <f t="shared" si="55"/>
        <v>N/A</v>
      </c>
      <c r="H317" s="11"/>
      <c r="I317" s="11" t="str">
        <f t="shared" si="56"/>
        <v>N/A</v>
      </c>
      <c r="J317" s="11" t="str">
        <f t="shared" si="60"/>
        <v>N/A</v>
      </c>
      <c r="K317" s="11" t="str">
        <f t="shared" si="57"/>
        <v>N/A</v>
      </c>
      <c r="L317" s="11" t="str">
        <f t="shared" si="58"/>
        <v>N/A</v>
      </c>
      <c r="M317" s="11" t="str">
        <f t="shared" si="38"/>
        <v>N/A</v>
      </c>
      <c r="N317" s="11" t="str">
        <f t="shared" si="59"/>
        <v>N/A</v>
      </c>
      <c r="O317" s="11" t="str">
        <f>IF(M317="N/A","N/A", IF($I$29=0,$M317/$G80,$M317/$O80))</f>
        <v>N/A</v>
      </c>
      <c r="P317" s="11" t="str">
        <f>IF(N317="N/A","N/A", IF($I$29=0,N317/$G80,N317/$O80))</f>
        <v>N/A</v>
      </c>
      <c r="Q317" s="11" t="str">
        <f t="shared" si="52"/>
        <v>N/A</v>
      </c>
      <c r="R317" s="11" t="str">
        <f t="shared" si="53"/>
        <v>N/A</v>
      </c>
    </row>
    <row r="318" spans="1:18" s="20" customFormat="1">
      <c r="A318" s="3" t="s">
        <v>240</v>
      </c>
      <c r="B318" s="3"/>
      <c r="C318" s="11" t="s">
        <v>241</v>
      </c>
      <c r="D318" s="11" t="s">
        <v>508</v>
      </c>
      <c r="E318" s="11"/>
      <c r="F318" s="11" t="str">
        <f t="shared" si="54"/>
        <v>N/A</v>
      </c>
      <c r="G318" s="11" t="str">
        <f t="shared" si="55"/>
        <v>N/A</v>
      </c>
      <c r="H318" s="11"/>
      <c r="I318" s="11" t="str">
        <f t="shared" si="56"/>
        <v>N/A</v>
      </c>
      <c r="J318" s="11" t="str">
        <f t="shared" si="60"/>
        <v>N/A</v>
      </c>
      <c r="K318" s="11" t="str">
        <f t="shared" si="57"/>
        <v>N/A</v>
      </c>
      <c r="L318" s="11" t="str">
        <f t="shared" si="58"/>
        <v>N/A</v>
      </c>
      <c r="M318" s="11" t="str">
        <f t="shared" si="38"/>
        <v>N/A</v>
      </c>
      <c r="N318" s="11" t="str">
        <f>IF($M318="N/A","N/A",MAX($M318/1.5,MIN($L154:$Q154)))</f>
        <v>N/A</v>
      </c>
      <c r="O318" s="11" t="str">
        <f t="shared" ref="O318:P318" si="61" xml:space="preserve"> M318</f>
        <v>N/A</v>
      </c>
      <c r="P318" s="11" t="str">
        <f t="shared" si="61"/>
        <v>N/A</v>
      </c>
      <c r="Q318" s="11" t="str">
        <f t="shared" si="52"/>
        <v>N/A</v>
      </c>
      <c r="R318" s="11" t="str">
        <f t="shared" si="53"/>
        <v>N/A</v>
      </c>
    </row>
    <row r="319" spans="1:18">
      <c r="A319" s="6" t="s">
        <v>509</v>
      </c>
      <c r="B319" s="3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>
        <f t="shared" si="53"/>
        <v>0</v>
      </c>
    </row>
    <row r="320" spans="1:18">
      <c r="A320" s="3" t="s">
        <v>510</v>
      </c>
      <c r="B320" s="3"/>
      <c r="C320" s="11" t="s">
        <v>243</v>
      </c>
      <c r="D320" s="11" t="s">
        <v>511</v>
      </c>
      <c r="E320" s="11"/>
      <c r="F320" s="11" t="str">
        <f>IF($I$32=0, "N/A", IF($I155&lt;$L155, "N/A", IF($E155&gt;$L155, $L155, $L155+($L155-$E155)*$I$40/$I$22)))</f>
        <v>N/A</v>
      </c>
      <c r="G320" s="11" t="str">
        <f>IF($I$33=0, "N/A", IF($J155&lt;$M155, "N/A", IF($E155&gt;$M155, $M155, $M155+($M155-$E155)*$I$45/$I$22)))</f>
        <v>N/A</v>
      </c>
      <c r="H320" s="11"/>
      <c r="I320" s="11" t="str">
        <f>IF($J155&lt;$N155, "N/A", IF($E155&gt;$N155, $N155, $N155+($N155-$E155)*$I$45/$I$22))</f>
        <v>N/A</v>
      </c>
      <c r="J320" s="11" t="str">
        <f>IF($I$30=0, "N/A", IF($G155&lt;$O155, "N/A", $O155))</f>
        <v>N/A</v>
      </c>
      <c r="K320" s="11" t="str">
        <f>IF($I$31=0, "N/A", IF($J155&lt;$P155, "N/A", IF($E155&gt;$P155, $P155, $P155+($P155-$E155)*$I$45/$I$22)))</f>
        <v>N/A</v>
      </c>
      <c r="L320" s="11" t="str">
        <f>IF($K155&lt;$Q155, "N/A", IF($E155&gt;$Q155, $Q155, $Q155+($Q155-$E155)*$I$41/$I$22))</f>
        <v>N/A</v>
      </c>
      <c r="M320" s="11" t="str">
        <f t="shared" si="38"/>
        <v>N/A</v>
      </c>
      <c r="N320" s="11" t="str">
        <f>IF($M320="N/A","N/A",MAX($M320/1.5,MIN($L155:$Q155)))</f>
        <v>N/A</v>
      </c>
      <c r="O320" s="11" t="str">
        <f t="shared" si="39"/>
        <v>N/A</v>
      </c>
      <c r="P320" s="11" t="str">
        <f t="shared" si="40"/>
        <v>N/A</v>
      </c>
      <c r="Q320" s="11" t="str">
        <f>IF($O320="N/A","N/A", 8.34*$O320*$I$21/1000)</f>
        <v>N/A</v>
      </c>
      <c r="R320" s="11" t="str">
        <f t="shared" si="53"/>
        <v>N/A</v>
      </c>
    </row>
    <row r="321" spans="1:18">
      <c r="A321" s="6" t="s">
        <v>244</v>
      </c>
      <c r="B321" s="3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</row>
    <row r="322" spans="1:18">
      <c r="A322" s="3" t="s">
        <v>245</v>
      </c>
      <c r="B322" s="3"/>
      <c r="C322" s="11" t="s">
        <v>246</v>
      </c>
      <c r="D322" s="11" t="s">
        <v>512</v>
      </c>
      <c r="E322" s="11"/>
      <c r="F322" s="11" t="str">
        <f>IF($I$32=0, "N/A", IF($I157&lt;$L157, "N/A", IF($E157&gt;$L157, $L157, $L157+($L157-$E157)*$I$40/$I$22)))</f>
        <v>N/A</v>
      </c>
      <c r="G322" s="11" t="str">
        <f>IF($I$33=0, "N/A", IF($J157&lt;$M157, "N/A", IF($E157&gt;$M157, $M157, $M157+($M157-$E157)*$I$45/$I$22)))</f>
        <v>N/A</v>
      </c>
      <c r="H322" s="11"/>
      <c r="I322" s="11" t="str">
        <f>IF($J157&lt;$N157, "N/A", IF($E157&gt;$N157, $N157, $N157+($N157-$E157)*$I$45/$I$22))</f>
        <v>N/A</v>
      </c>
      <c r="J322" s="11" t="str">
        <f>IF($I$30=0, "N/A", IF($G157&lt;$O157, "N/A", $O157))</f>
        <v>N/A</v>
      </c>
      <c r="K322" s="11" t="str">
        <f>IF($I$31=0, "N/A", IF($J157&lt;$P157, "N/A", IF($E157&gt;$P157, $P157, $P157+($P157-$E157)*$I$45/$I$22)))</f>
        <v>N/A</v>
      </c>
      <c r="L322" s="11" t="str">
        <f>IF($K157&lt;$Q157, "N/A", IF($E157&gt;$Q157, $Q157, $Q157+($Q157-$E157)*$I$41/$I$22))</f>
        <v>N/A</v>
      </c>
      <c r="M322" s="11" t="str">
        <f t="shared" si="38"/>
        <v>N/A</v>
      </c>
      <c r="N322" s="11" t="str">
        <f>IF($M322="N/A","N/A",MAX($M322/1.5,MIN($L157:$Q157)))</f>
        <v>N/A</v>
      </c>
      <c r="O322" s="11" t="str">
        <f t="shared" si="39"/>
        <v>N/A</v>
      </c>
      <c r="P322" s="11" t="str">
        <f t="shared" si="40"/>
        <v>N/A</v>
      </c>
      <c r="Q322" s="11" t="str">
        <f>IF($O322="N/A","N/A", 8.34*$O322*$I$21/1000)</f>
        <v>N/A</v>
      </c>
      <c r="R322" s="11" t="str">
        <f>IF($P322="N/A","N/A", 8.34*$P322*$I$21/1000)</f>
        <v>N/A</v>
      </c>
    </row>
    <row r="323" spans="1:18">
      <c r="A323" s="3" t="s">
        <v>247</v>
      </c>
      <c r="B323" s="3"/>
      <c r="C323" s="11" t="s">
        <v>248</v>
      </c>
      <c r="D323" s="11" t="s">
        <v>513</v>
      </c>
      <c r="E323" s="11"/>
      <c r="F323" s="11" t="str">
        <f>IF($I$32=0, "N/A", IF($I158&lt;$L158, "N/A", IF($E158&gt;$L158, $L158, $L158+($L158-$E158)*$I$40/$I$22)))</f>
        <v>N/A</v>
      </c>
      <c r="G323" s="11" t="str">
        <f>IF($I$33=0, "N/A", IF($J158&lt;$M158, "N/A", IF($E158&gt;$M158, $M158, $M158+($M158-$E158)*$I$45/$I$22)))</f>
        <v>N/A</v>
      </c>
      <c r="H323" s="11"/>
      <c r="I323" s="11" t="str">
        <f>IF($J158&lt;$N158, "N/A", IF($E158&gt;$N158, $N158, $N158+($N158-$E158)*$I$45/$I$22))</f>
        <v>N/A</v>
      </c>
      <c r="J323" s="11" t="str">
        <f t="shared" ref="J323:J326" si="62">IF($I$30=0, "N/A", IF($G158&lt;$O158, "N/A", $O158))</f>
        <v>N/A</v>
      </c>
      <c r="K323" s="11" t="str">
        <f>IF($I$31=0, "N/A", IF($J158&lt;$P158, "N/A", IF($E158&gt;$P158, $P158, $P158+($P158-$E158)*$I$45/$I$22)))</f>
        <v>N/A</v>
      </c>
      <c r="L323" s="11" t="str">
        <f>IF($K158&lt;$Q158, "N/A", IF($E158&gt;$Q158, $Q158, $Q158+($Q158-$E158)*$I$41/$I$22))</f>
        <v>N/A</v>
      </c>
      <c r="M323" s="11" t="str">
        <f t="shared" si="38"/>
        <v>N/A</v>
      </c>
      <c r="N323" s="11" t="str">
        <f>IF($M323="N/A","N/A",MAX($M323/1.5,MIN($L158:$Q158)))</f>
        <v>N/A</v>
      </c>
      <c r="O323" s="11" t="str">
        <f t="shared" si="39"/>
        <v>N/A</v>
      </c>
      <c r="P323" s="11" t="str">
        <f t="shared" si="40"/>
        <v>N/A</v>
      </c>
      <c r="Q323" s="11" t="str">
        <f>IF($O323="N/A","N/A", 8.34*$O323*$I$21/1000)</f>
        <v>N/A</v>
      </c>
      <c r="R323" s="11" t="str">
        <f>IF($P323="N/A","N/A", 8.34*$P323*$I$21/1000)</f>
        <v>N/A</v>
      </c>
    </row>
    <row r="324" spans="1:18">
      <c r="A324" s="3" t="s">
        <v>249</v>
      </c>
      <c r="B324" s="3"/>
      <c r="C324" s="11" t="s">
        <v>250</v>
      </c>
      <c r="D324" s="11" t="s">
        <v>514</v>
      </c>
      <c r="E324" s="11"/>
      <c r="F324" s="11" t="str">
        <f>IF($I$32=0, "N/A", IF($I159&lt;$L159, "N/A", IF($E159&gt;$L159, $L159, $L159+($L159-$E159)*$I$40/$I$22)))</f>
        <v>N/A</v>
      </c>
      <c r="G324" s="11" t="str">
        <f>IF($I$33=0, "N/A", IF($J159&lt;$M159, "N/A", IF($E159&gt;$M159, $M159, $M159+($M159-$E159)*$I$45/$I$22)))</f>
        <v>N/A</v>
      </c>
      <c r="H324" s="11"/>
      <c r="I324" s="11" t="str">
        <f>IF($J159&lt;$N159, "N/A", IF($E159&gt;$N159, $N159, $N159+($N159-$E159)*$I$45/$I$22))</f>
        <v>N/A</v>
      </c>
      <c r="J324" s="11" t="str">
        <f t="shared" si="62"/>
        <v>N/A</v>
      </c>
      <c r="K324" s="11" t="str">
        <f>IF($I$31=0, "N/A", IF($J159&lt;$P159, "N/A", IF($E159&gt;$P159, $P159, $P159+($P159-$E159)*$I$45/$I$22)))</f>
        <v>N/A</v>
      </c>
      <c r="L324" s="11" t="str">
        <f>IF($K159&lt;$Q159, "N/A", IF($E159&gt;$Q159, $Q159, $Q159+($Q159-$E159)*$I$41/$I$22))</f>
        <v>N/A</v>
      </c>
      <c r="M324" s="11" t="str">
        <f t="shared" si="38"/>
        <v>N/A</v>
      </c>
      <c r="N324" s="11" t="str">
        <f>IF($M324="N/A","N/A",MAX($M324/1.5,MIN($L159:$Q159)))</f>
        <v>N/A</v>
      </c>
      <c r="O324" s="11" t="str">
        <f t="shared" si="39"/>
        <v>N/A</v>
      </c>
      <c r="P324" s="11" t="str">
        <f t="shared" si="40"/>
        <v>N/A</v>
      </c>
      <c r="Q324" s="11" t="str">
        <f>IF($O324="N/A","N/A", 8.34*$O324*$I$21/1000)</f>
        <v>N/A</v>
      </c>
      <c r="R324" s="11" t="str">
        <f>IF($P324="N/A","N/A", 8.34*$P324*$I$21/1000)</f>
        <v>N/A</v>
      </c>
    </row>
    <row r="325" spans="1:18">
      <c r="A325" s="3" t="s">
        <v>251</v>
      </c>
      <c r="B325" s="3"/>
      <c r="C325" s="11" t="s">
        <v>252</v>
      </c>
      <c r="D325" s="11" t="s">
        <v>515</v>
      </c>
      <c r="E325" s="11"/>
      <c r="F325" s="11" t="str">
        <f>IF($I$32=0, "N/A", IF($I160&lt;$L160, "N/A", IF($E160&gt;$L160, $L160, $L160+($L160-$E160)*$I$40/$I$22)))</f>
        <v>N/A</v>
      </c>
      <c r="G325" s="11" t="str">
        <f>IF($I$33=0, "N/A", IF($J160&lt;$M160, "N/A", IF($E160&gt;$M160, $M160, $M160+($M160-$E160)*$I$45/$I$22)))</f>
        <v>N/A</v>
      </c>
      <c r="H325" s="11"/>
      <c r="I325" s="11" t="str">
        <f>IF($J160&lt;$N160, "N/A", IF($E160&gt;$N160, $N160, $N160+($N160-$E160)*$I$45/$I$22))</f>
        <v>N/A</v>
      </c>
      <c r="J325" s="11" t="str">
        <f t="shared" si="62"/>
        <v>N/A</v>
      </c>
      <c r="K325" s="11" t="str">
        <f>IF($I$31=0, "N/A", IF($J160&lt;$P160, "N/A", IF($E160&gt;$P160, $P160, $P160+($P160-$E160)*$I$45/$I$22)))</f>
        <v>N/A</v>
      </c>
      <c r="L325" s="11" t="str">
        <f>IF($K160&lt;$Q160, "N/A", IF($E160&gt;$Q160, $Q160, $Q160+($Q160-$E160)*$I$41/$I$22))</f>
        <v>N/A</v>
      </c>
      <c r="M325" s="11" t="str">
        <f t="shared" si="38"/>
        <v>N/A</v>
      </c>
      <c r="N325" s="11" t="str">
        <f>IF($M325="N/A","N/A",MAX($M325/1.5,MIN($L160:$Q160)))</f>
        <v>N/A</v>
      </c>
      <c r="O325" s="11" t="str">
        <f t="shared" si="39"/>
        <v>N/A</v>
      </c>
      <c r="P325" s="11" t="str">
        <f t="shared" si="40"/>
        <v>N/A</v>
      </c>
      <c r="Q325" s="11" t="str">
        <f>IF($O325="N/A","N/A", 8.34*$O325*$I$21/1000)</f>
        <v>N/A</v>
      </c>
      <c r="R325" s="11" t="str">
        <f>IF($P325="N/A","N/A", 8.34*$P325*$I$21/1000)</f>
        <v>N/A</v>
      </c>
    </row>
    <row r="326" spans="1:18">
      <c r="A326" s="3" t="s">
        <v>253</v>
      </c>
      <c r="B326" s="3"/>
      <c r="C326" s="11" t="s">
        <v>254</v>
      </c>
      <c r="D326" s="11" t="s">
        <v>516</v>
      </c>
      <c r="E326" s="11"/>
      <c r="F326" s="11" t="str">
        <f>IF($I$32=0, "N/A", IF($I161&lt;$L161, "N/A", IF($E161&gt;$L161, $L161, $L161+($L161-$E161)*$I$40/$I$22)))</f>
        <v>N/A</v>
      </c>
      <c r="G326" s="11" t="str">
        <f>IF($I$33=0, "N/A", IF($J161&lt;$M161, "N/A", IF($E161&gt;$M161, $M161, $M161+($M161-$E161)*$I$45/$I$22)))</f>
        <v>N/A</v>
      </c>
      <c r="H326" s="11"/>
      <c r="I326" s="11" t="str">
        <f>IF($J161&lt;$N161, "N/A", IF($E161&gt;$N161, $N161, $N161+($N161-$E161)*$I$45/$I$22))</f>
        <v>N/A</v>
      </c>
      <c r="J326" s="11" t="str">
        <f t="shared" si="62"/>
        <v>N/A</v>
      </c>
      <c r="K326" s="11" t="str">
        <f>IF($I$31=0, "N/A", IF($J161&lt;$P161, "N/A", IF($E161&gt;$P161, $P161, $P161+($P161-$E161)*$I$45/$I$22)))</f>
        <v>N/A</v>
      </c>
      <c r="L326" s="11" t="str">
        <f>IF($K161&lt;$Q161, "N/A", IF($E161&gt;$Q161, $Q161, $Q161+($Q161-$E161)*$I$41/$I$22))</f>
        <v>N/A</v>
      </c>
      <c r="M326" s="11" t="str">
        <f t="shared" si="38"/>
        <v>N/A</v>
      </c>
      <c r="N326" s="11" t="str">
        <f>IF($M326="N/A","N/A",MAX($M326/1.5,MIN($L161:$Q161)))</f>
        <v>N/A</v>
      </c>
      <c r="O326" s="11" t="str">
        <f t="shared" si="39"/>
        <v>N/A</v>
      </c>
      <c r="P326" s="11" t="str">
        <f t="shared" si="40"/>
        <v>N/A</v>
      </c>
      <c r="Q326" s="11" t="str">
        <f>IF($O326="N/A","N/A", 8.34*$O326*$I$21/1000)</f>
        <v>N/A</v>
      </c>
      <c r="R326" s="11" t="str">
        <f>IF($P326="N/A","N/A", 8.34*$P326*$I$21/1000)</f>
        <v>N/A</v>
      </c>
    </row>
    <row r="327" spans="1:18">
      <c r="B327" s="3"/>
      <c r="C327" s="11"/>
      <c r="D327" s="11"/>
      <c r="E327" s="11"/>
      <c r="I327" s="11" t="s">
        <v>439</v>
      </c>
      <c r="J327" s="11" t="s">
        <v>113</v>
      </c>
      <c r="K327" s="11" t="s">
        <v>116</v>
      </c>
      <c r="L327" s="11" t="s">
        <v>217</v>
      </c>
      <c r="M327" s="11" t="s">
        <v>440</v>
      </c>
      <c r="N327" s="11" t="s">
        <v>441</v>
      </c>
      <c r="O327" s="11" t="s">
        <v>442</v>
      </c>
      <c r="P327" s="11" t="s">
        <v>443</v>
      </c>
      <c r="Q327" s="11" t="s">
        <v>440</v>
      </c>
      <c r="R327" s="11" t="s">
        <v>441</v>
      </c>
    </row>
    <row r="328" spans="1:18">
      <c r="A328" s="3" t="s">
        <v>152</v>
      </c>
      <c r="B328" s="3"/>
      <c r="C328" s="11" t="s">
        <v>165</v>
      </c>
      <c r="D328" s="11" t="s">
        <v>444</v>
      </c>
      <c r="E328" s="11"/>
      <c r="F328" s="11" t="s">
        <v>156</v>
      </c>
      <c r="G328" s="11" t="s">
        <v>157</v>
      </c>
      <c r="H328" s="11"/>
      <c r="I328" s="11" t="s">
        <v>445</v>
      </c>
      <c r="J328" s="11" t="s">
        <v>159</v>
      </c>
      <c r="K328" s="11" t="s">
        <v>159</v>
      </c>
      <c r="L328" s="11" t="s">
        <v>160</v>
      </c>
      <c r="M328" s="11" t="s">
        <v>446</v>
      </c>
      <c r="N328" s="11" t="s">
        <v>447</v>
      </c>
      <c r="O328" s="11" t="s">
        <v>448</v>
      </c>
      <c r="P328" s="11" t="s">
        <v>448</v>
      </c>
      <c r="Q328" s="11" t="s">
        <v>449</v>
      </c>
      <c r="R328" s="11" t="s">
        <v>450</v>
      </c>
    </row>
    <row r="329" spans="1:18">
      <c r="E329" s="11"/>
      <c r="F329" s="11" t="s">
        <v>451</v>
      </c>
      <c r="G329" s="11" t="s">
        <v>451</v>
      </c>
      <c r="H329" s="11"/>
      <c r="I329" s="11" t="s">
        <v>452</v>
      </c>
      <c r="J329" s="11" t="s">
        <v>451</v>
      </c>
      <c r="K329" s="11" t="s">
        <v>451</v>
      </c>
      <c r="L329" s="11" t="s">
        <v>451</v>
      </c>
      <c r="M329" s="11" t="s">
        <v>173</v>
      </c>
      <c r="N329" s="11" t="s">
        <v>173</v>
      </c>
      <c r="O329" s="11" t="s">
        <v>173</v>
      </c>
      <c r="P329" s="11" t="s">
        <v>173</v>
      </c>
      <c r="Q329" s="11" t="s">
        <v>453</v>
      </c>
      <c r="R329" s="11" t="s">
        <v>454</v>
      </c>
    </row>
    <row r="330" spans="1:18">
      <c r="A330" s="3" t="s">
        <v>255</v>
      </c>
      <c r="B330" s="3"/>
      <c r="C330" s="11" t="s">
        <v>256</v>
      </c>
      <c r="D330" s="11" t="s">
        <v>517</v>
      </c>
      <c r="E330" s="11"/>
      <c r="F330" s="11" t="str">
        <f t="shared" ref="F330:F348" si="63">IF($I$32=0, "N/A", IF($I162&lt;$L162, "N/A", IF($E162&gt;$L162, $L162, $L162+($L162-$E162)*$I$40/$I$22)))</f>
        <v>N/A</v>
      </c>
      <c r="G330" s="11" t="str">
        <f t="shared" ref="G330:G348" si="64">IF($I$33=0, "N/A", IF($J162&lt;$M162, "N/A", IF($E162&gt;$M162, $M162, $M162+($M162-$E162)*$I$45/$I$22)))</f>
        <v>N/A</v>
      </c>
      <c r="H330" s="11"/>
      <c r="I330" s="11" t="str">
        <f t="shared" ref="I330:I348" si="65">IF($J162&lt;$N162, "N/A", IF($E162&gt;$N162, $N162, $N162+($N162-$E162)*$I$45/$I$22))</f>
        <v>N/A</v>
      </c>
      <c r="J330" s="11" t="str">
        <f>IF($I$30=0, "N/A", IF($G162&lt;$O162, "N/A", $O162))</f>
        <v>N/A</v>
      </c>
      <c r="K330" s="11" t="str">
        <f t="shared" ref="K330:K348" si="66">IF($I$31=0, "N/A", IF($J162&lt;$P162, "N/A", IF($E162&gt;$P162, $P162, $P162+($P162-$E162)*$I$45/$I$22)))</f>
        <v>N/A</v>
      </c>
      <c r="L330" s="11" t="str">
        <f t="shared" ref="L330:L348" si="67">IF($K162&lt;$Q162, "N/A", IF($E162&gt;$Q162, $Q162, $Q162+($Q162-$E162)*$I$41/$I$22))</f>
        <v>N/A</v>
      </c>
      <c r="M330" s="11" t="str">
        <f t="shared" si="38"/>
        <v>N/A</v>
      </c>
      <c r="N330" s="11" t="str">
        <f t="shared" ref="N330:N348" si="68">IF($M330="N/A","N/A",MAX($M330/1.5,MIN($L162:$Q162)))</f>
        <v>N/A</v>
      </c>
      <c r="O330" s="11" t="str">
        <f t="shared" si="39"/>
        <v>N/A</v>
      </c>
      <c r="P330" s="11" t="str">
        <f t="shared" si="40"/>
        <v>N/A</v>
      </c>
      <c r="Q330" s="11" t="str">
        <f t="shared" ref="Q330:Q348" si="69">IF($O330="N/A","N/A", 8.34*$O330*$I$21/1000)</f>
        <v>N/A</v>
      </c>
      <c r="R330" s="11" t="str">
        <f t="shared" ref="R330:R348" si="70">IF($P330="N/A","N/A", 8.34*$P330*$I$21/1000)</f>
        <v>N/A</v>
      </c>
    </row>
    <row r="331" spans="1:18">
      <c r="A331" s="3" t="s">
        <v>257</v>
      </c>
      <c r="B331" s="3"/>
      <c r="C331" s="11" t="s">
        <v>258</v>
      </c>
      <c r="D331" s="11" t="s">
        <v>518</v>
      </c>
      <c r="E331" s="11"/>
      <c r="F331" s="11" t="str">
        <f t="shared" si="63"/>
        <v>N/A</v>
      </c>
      <c r="G331" s="11" t="str">
        <f t="shared" si="64"/>
        <v>N/A</v>
      </c>
      <c r="H331" s="11"/>
      <c r="I331" s="11" t="str">
        <f t="shared" si="65"/>
        <v>N/A</v>
      </c>
      <c r="J331" s="11" t="str">
        <f t="shared" ref="J331:J348" si="71">IF($I$30=0, "N/A", IF($G163&lt;$O163, "N/A", $O163))</f>
        <v>N/A</v>
      </c>
      <c r="K331" s="11" t="str">
        <f t="shared" si="66"/>
        <v>N/A</v>
      </c>
      <c r="L331" s="11" t="str">
        <f t="shared" si="67"/>
        <v>N/A</v>
      </c>
      <c r="M331" s="11" t="str">
        <f t="shared" si="38"/>
        <v>N/A</v>
      </c>
      <c r="N331" s="11" t="str">
        <f t="shared" si="68"/>
        <v>N/A</v>
      </c>
      <c r="O331" s="11" t="str">
        <f t="shared" si="39"/>
        <v>N/A</v>
      </c>
      <c r="P331" s="11" t="str">
        <f t="shared" si="40"/>
        <v>N/A</v>
      </c>
      <c r="Q331" s="11" t="str">
        <f t="shared" si="69"/>
        <v>N/A</v>
      </c>
      <c r="R331" s="11" t="str">
        <f t="shared" si="70"/>
        <v>N/A</v>
      </c>
    </row>
    <row r="332" spans="1:18">
      <c r="A332" s="3" t="s">
        <v>259</v>
      </c>
      <c r="B332" s="3"/>
      <c r="C332" s="11" t="s">
        <v>260</v>
      </c>
      <c r="D332" s="11" t="s">
        <v>519</v>
      </c>
      <c r="E332" s="11"/>
      <c r="F332" s="11" t="str">
        <f t="shared" si="63"/>
        <v>N/A</v>
      </c>
      <c r="G332" s="11" t="str">
        <f t="shared" si="64"/>
        <v>N/A</v>
      </c>
      <c r="H332" s="11"/>
      <c r="I332" s="11" t="str">
        <f t="shared" si="65"/>
        <v>N/A</v>
      </c>
      <c r="J332" s="11" t="str">
        <f t="shared" si="71"/>
        <v>N/A</v>
      </c>
      <c r="K332" s="11" t="str">
        <f t="shared" si="66"/>
        <v>N/A</v>
      </c>
      <c r="L332" s="11" t="str">
        <f t="shared" si="67"/>
        <v>N/A</v>
      </c>
      <c r="M332" s="11" t="str">
        <f t="shared" si="38"/>
        <v>N/A</v>
      </c>
      <c r="N332" s="11" t="str">
        <f t="shared" si="68"/>
        <v>N/A</v>
      </c>
      <c r="O332" s="11" t="str">
        <f t="shared" si="39"/>
        <v>N/A</v>
      </c>
      <c r="P332" s="11" t="str">
        <f t="shared" si="40"/>
        <v>N/A</v>
      </c>
      <c r="Q332" s="11" t="str">
        <f t="shared" si="69"/>
        <v>N/A</v>
      </c>
      <c r="R332" s="11" t="str">
        <f t="shared" si="70"/>
        <v>N/A</v>
      </c>
    </row>
    <row r="333" spans="1:18">
      <c r="A333" s="3" t="s">
        <v>261</v>
      </c>
      <c r="B333" s="3"/>
      <c r="C333" s="11" t="s">
        <v>262</v>
      </c>
      <c r="D333" s="11" t="s">
        <v>520</v>
      </c>
      <c r="E333" s="11"/>
      <c r="F333" s="11" t="str">
        <f t="shared" si="63"/>
        <v>N/A</v>
      </c>
      <c r="G333" s="11" t="str">
        <f t="shared" si="64"/>
        <v>N/A</v>
      </c>
      <c r="H333" s="11"/>
      <c r="I333" s="11" t="str">
        <f t="shared" si="65"/>
        <v>N/A</v>
      </c>
      <c r="J333" s="11" t="str">
        <f t="shared" si="71"/>
        <v>N/A</v>
      </c>
      <c r="K333" s="11" t="str">
        <f t="shared" si="66"/>
        <v>N/A</v>
      </c>
      <c r="L333" s="11" t="str">
        <f t="shared" si="67"/>
        <v>N/A</v>
      </c>
      <c r="M333" s="11" t="str">
        <f t="shared" si="38"/>
        <v>N/A</v>
      </c>
      <c r="N333" s="11" t="str">
        <f t="shared" si="68"/>
        <v>N/A</v>
      </c>
      <c r="O333" s="11" t="str">
        <f t="shared" si="39"/>
        <v>N/A</v>
      </c>
      <c r="P333" s="11" t="str">
        <f t="shared" si="40"/>
        <v>N/A</v>
      </c>
      <c r="Q333" s="11" t="str">
        <f t="shared" si="69"/>
        <v>N/A</v>
      </c>
      <c r="R333" s="11" t="str">
        <f t="shared" si="70"/>
        <v>N/A</v>
      </c>
    </row>
    <row r="334" spans="1:18">
      <c r="A334" s="3" t="s">
        <v>263</v>
      </c>
      <c r="B334" s="3"/>
      <c r="C334" s="11" t="s">
        <v>264</v>
      </c>
      <c r="D334" s="11" t="s">
        <v>521</v>
      </c>
      <c r="E334" s="11"/>
      <c r="F334" s="11" t="str">
        <f t="shared" si="63"/>
        <v>N/A</v>
      </c>
      <c r="G334" s="11" t="str">
        <f t="shared" si="64"/>
        <v>N/A</v>
      </c>
      <c r="H334" s="11"/>
      <c r="I334" s="11" t="str">
        <f t="shared" si="65"/>
        <v>N/A</v>
      </c>
      <c r="J334" s="11" t="str">
        <f t="shared" si="71"/>
        <v>N/A</v>
      </c>
      <c r="K334" s="11" t="str">
        <f t="shared" si="66"/>
        <v>N/A</v>
      </c>
      <c r="L334" s="11" t="str">
        <f t="shared" si="67"/>
        <v>N/A</v>
      </c>
      <c r="M334" s="11" t="str">
        <f t="shared" si="38"/>
        <v>N/A</v>
      </c>
      <c r="N334" s="11" t="str">
        <f t="shared" si="68"/>
        <v>N/A</v>
      </c>
      <c r="O334" s="11" t="str">
        <f t="shared" si="39"/>
        <v>N/A</v>
      </c>
      <c r="P334" s="11" t="str">
        <f t="shared" si="40"/>
        <v>N/A</v>
      </c>
      <c r="Q334" s="11" t="str">
        <f t="shared" si="69"/>
        <v>N/A</v>
      </c>
      <c r="R334" s="11" t="str">
        <f t="shared" si="70"/>
        <v>N/A</v>
      </c>
    </row>
    <row r="335" spans="1:18">
      <c r="A335" s="3" t="s">
        <v>265</v>
      </c>
      <c r="B335" s="3"/>
      <c r="C335" s="11" t="s">
        <v>266</v>
      </c>
      <c r="D335" s="11" t="s">
        <v>522</v>
      </c>
      <c r="E335" s="11"/>
      <c r="F335" s="11" t="str">
        <f t="shared" si="63"/>
        <v>N/A</v>
      </c>
      <c r="G335" s="11" t="str">
        <f t="shared" si="64"/>
        <v>N/A</v>
      </c>
      <c r="H335" s="11"/>
      <c r="I335" s="11" t="str">
        <f t="shared" si="65"/>
        <v>N/A</v>
      </c>
      <c r="J335" s="11" t="str">
        <f t="shared" si="71"/>
        <v>N/A</v>
      </c>
      <c r="K335" s="11" t="str">
        <f t="shared" si="66"/>
        <v>N/A</v>
      </c>
      <c r="L335" s="11" t="str">
        <f t="shared" si="67"/>
        <v>N/A</v>
      </c>
      <c r="M335" s="11" t="str">
        <f t="shared" si="38"/>
        <v>N/A</v>
      </c>
      <c r="N335" s="11" t="str">
        <f t="shared" si="68"/>
        <v>N/A</v>
      </c>
      <c r="O335" s="11" t="str">
        <f t="shared" si="39"/>
        <v>N/A</v>
      </c>
      <c r="P335" s="11" t="str">
        <f t="shared" si="40"/>
        <v>N/A</v>
      </c>
      <c r="Q335" s="11" t="str">
        <f t="shared" si="69"/>
        <v>N/A</v>
      </c>
      <c r="R335" s="11" t="str">
        <f t="shared" si="70"/>
        <v>N/A</v>
      </c>
    </row>
    <row r="336" spans="1:18">
      <c r="A336" s="3" t="s">
        <v>267</v>
      </c>
      <c r="B336" s="3"/>
      <c r="C336" s="11" t="s">
        <v>268</v>
      </c>
      <c r="D336" s="11" t="s">
        <v>523</v>
      </c>
      <c r="E336" s="11"/>
      <c r="F336" s="11" t="str">
        <f t="shared" si="63"/>
        <v>N/A</v>
      </c>
      <c r="G336" s="11" t="str">
        <f t="shared" si="64"/>
        <v>N/A</v>
      </c>
      <c r="H336" s="11"/>
      <c r="I336" s="11" t="str">
        <f t="shared" si="65"/>
        <v>N/A</v>
      </c>
      <c r="J336" s="11" t="str">
        <f t="shared" si="71"/>
        <v>N/A</v>
      </c>
      <c r="K336" s="11" t="str">
        <f t="shared" si="66"/>
        <v>N/A</v>
      </c>
      <c r="L336" s="11" t="str">
        <f t="shared" si="67"/>
        <v>N/A</v>
      </c>
      <c r="M336" s="11" t="str">
        <f t="shared" si="38"/>
        <v>N/A</v>
      </c>
      <c r="N336" s="11" t="str">
        <f t="shared" si="68"/>
        <v>N/A</v>
      </c>
      <c r="O336" s="11" t="str">
        <f t="shared" si="39"/>
        <v>N/A</v>
      </c>
      <c r="P336" s="11" t="str">
        <f t="shared" si="40"/>
        <v>N/A</v>
      </c>
      <c r="Q336" s="11" t="str">
        <f t="shared" si="69"/>
        <v>N/A</v>
      </c>
      <c r="R336" s="11" t="str">
        <f t="shared" si="70"/>
        <v>N/A</v>
      </c>
    </row>
    <row r="337" spans="1:18">
      <c r="A337" s="3" t="s">
        <v>269</v>
      </c>
      <c r="B337" s="3"/>
      <c r="C337" s="11" t="s">
        <v>270</v>
      </c>
      <c r="D337" s="11" t="s">
        <v>524</v>
      </c>
      <c r="E337" s="11"/>
      <c r="F337" s="11" t="str">
        <f t="shared" si="63"/>
        <v>N/A</v>
      </c>
      <c r="G337" s="11" t="str">
        <f t="shared" si="64"/>
        <v>N/A</v>
      </c>
      <c r="H337" s="11"/>
      <c r="I337" s="11" t="str">
        <f t="shared" si="65"/>
        <v>N/A</v>
      </c>
      <c r="J337" s="11" t="str">
        <f t="shared" si="71"/>
        <v>N/A</v>
      </c>
      <c r="K337" s="11" t="str">
        <f t="shared" si="66"/>
        <v>N/A</v>
      </c>
      <c r="L337" s="11" t="str">
        <f t="shared" si="67"/>
        <v>N/A</v>
      </c>
      <c r="M337" s="11" t="str">
        <f t="shared" si="38"/>
        <v>N/A</v>
      </c>
      <c r="N337" s="11" t="str">
        <f t="shared" si="68"/>
        <v>N/A</v>
      </c>
      <c r="O337" s="11" t="str">
        <f t="shared" si="39"/>
        <v>N/A</v>
      </c>
      <c r="P337" s="11" t="str">
        <f t="shared" si="40"/>
        <v>N/A</v>
      </c>
      <c r="Q337" s="11" t="str">
        <f t="shared" si="69"/>
        <v>N/A</v>
      </c>
      <c r="R337" s="11" t="str">
        <f t="shared" si="70"/>
        <v>N/A</v>
      </c>
    </row>
    <row r="338" spans="1:18">
      <c r="A338" s="3" t="s">
        <v>271</v>
      </c>
      <c r="B338" s="3"/>
      <c r="C338" s="11" t="s">
        <v>272</v>
      </c>
      <c r="D338" s="11" t="s">
        <v>525</v>
      </c>
      <c r="E338" s="11"/>
      <c r="F338" s="11" t="str">
        <f t="shared" si="63"/>
        <v>N/A</v>
      </c>
      <c r="G338" s="11" t="str">
        <f t="shared" si="64"/>
        <v>N/A</v>
      </c>
      <c r="H338" s="11"/>
      <c r="I338" s="11" t="str">
        <f t="shared" si="65"/>
        <v>N/A</v>
      </c>
      <c r="J338" s="11" t="str">
        <f t="shared" si="71"/>
        <v>N/A</v>
      </c>
      <c r="K338" s="11" t="str">
        <f t="shared" si="66"/>
        <v>N/A</v>
      </c>
      <c r="L338" s="11" t="str">
        <f t="shared" si="67"/>
        <v>N/A</v>
      </c>
      <c r="M338" s="11" t="str">
        <f t="shared" si="38"/>
        <v>N/A</v>
      </c>
      <c r="N338" s="11" t="str">
        <f t="shared" si="68"/>
        <v>N/A</v>
      </c>
      <c r="O338" s="11" t="str">
        <f t="shared" si="39"/>
        <v>N/A</v>
      </c>
      <c r="P338" s="11" t="str">
        <f t="shared" si="40"/>
        <v>N/A</v>
      </c>
      <c r="Q338" s="11" t="str">
        <f t="shared" si="69"/>
        <v>N/A</v>
      </c>
      <c r="R338" s="11" t="str">
        <f t="shared" si="70"/>
        <v>N/A</v>
      </c>
    </row>
    <row r="339" spans="1:18">
      <c r="A339" s="3" t="s">
        <v>273</v>
      </c>
      <c r="B339" s="3"/>
      <c r="C339" s="11" t="s">
        <v>274</v>
      </c>
      <c r="D339" s="11" t="s">
        <v>526</v>
      </c>
      <c r="E339" s="11"/>
      <c r="F339" s="11" t="str">
        <f t="shared" si="63"/>
        <v>N/A</v>
      </c>
      <c r="G339" s="11" t="str">
        <f t="shared" si="64"/>
        <v>N/A</v>
      </c>
      <c r="H339" s="11"/>
      <c r="I339" s="11" t="str">
        <f t="shared" si="65"/>
        <v>N/A</v>
      </c>
      <c r="J339" s="11" t="str">
        <f t="shared" si="71"/>
        <v>N/A</v>
      </c>
      <c r="K339" s="11" t="str">
        <f t="shared" si="66"/>
        <v>N/A</v>
      </c>
      <c r="L339" s="11" t="str">
        <f t="shared" si="67"/>
        <v>N/A</v>
      </c>
      <c r="M339" s="11" t="str">
        <f t="shared" si="38"/>
        <v>N/A</v>
      </c>
      <c r="N339" s="11" t="str">
        <f t="shared" si="68"/>
        <v>N/A</v>
      </c>
      <c r="O339" s="11" t="str">
        <f t="shared" si="39"/>
        <v>N/A</v>
      </c>
      <c r="P339" s="11" t="str">
        <f t="shared" si="40"/>
        <v>N/A</v>
      </c>
      <c r="Q339" s="11" t="str">
        <f t="shared" si="69"/>
        <v>N/A</v>
      </c>
      <c r="R339" s="11" t="str">
        <f t="shared" si="70"/>
        <v>N/A</v>
      </c>
    </row>
    <row r="340" spans="1:18">
      <c r="A340" s="3" t="s">
        <v>275</v>
      </c>
      <c r="B340" s="3"/>
      <c r="C340" s="11" t="s">
        <v>276</v>
      </c>
      <c r="D340" s="11" t="s">
        <v>527</v>
      </c>
      <c r="E340" s="11"/>
      <c r="F340" s="11" t="str">
        <f t="shared" si="63"/>
        <v>N/A</v>
      </c>
      <c r="G340" s="11" t="str">
        <f t="shared" si="64"/>
        <v>N/A</v>
      </c>
      <c r="H340" s="11"/>
      <c r="I340" s="11" t="str">
        <f t="shared" si="65"/>
        <v>N/A</v>
      </c>
      <c r="J340" s="11" t="str">
        <f t="shared" si="71"/>
        <v>N/A</v>
      </c>
      <c r="K340" s="11" t="str">
        <f t="shared" si="66"/>
        <v>N/A</v>
      </c>
      <c r="L340" s="11" t="str">
        <f t="shared" si="67"/>
        <v>N/A</v>
      </c>
      <c r="M340" s="11" t="str">
        <f t="shared" si="38"/>
        <v>N/A</v>
      </c>
      <c r="N340" s="11" t="str">
        <f t="shared" si="68"/>
        <v>N/A</v>
      </c>
      <c r="O340" s="11" t="str">
        <f t="shared" si="39"/>
        <v>N/A</v>
      </c>
      <c r="P340" s="11" t="str">
        <f t="shared" si="40"/>
        <v>N/A</v>
      </c>
      <c r="Q340" s="11" t="str">
        <f t="shared" si="69"/>
        <v>N/A</v>
      </c>
      <c r="R340" s="11" t="str">
        <f t="shared" si="70"/>
        <v>N/A</v>
      </c>
    </row>
    <row r="341" spans="1:18">
      <c r="A341" s="3" t="s">
        <v>277</v>
      </c>
      <c r="B341" s="3"/>
      <c r="C341" s="11" t="s">
        <v>278</v>
      </c>
      <c r="D341" s="11" t="s">
        <v>528</v>
      </c>
      <c r="E341" s="11"/>
      <c r="F341" s="11" t="str">
        <f t="shared" si="63"/>
        <v>N/A</v>
      </c>
      <c r="G341" s="11" t="str">
        <f t="shared" si="64"/>
        <v>N/A</v>
      </c>
      <c r="H341" s="11"/>
      <c r="I341" s="11" t="str">
        <f t="shared" si="65"/>
        <v>N/A</v>
      </c>
      <c r="J341" s="11" t="str">
        <f t="shared" si="71"/>
        <v>N/A</v>
      </c>
      <c r="K341" s="11" t="str">
        <f t="shared" si="66"/>
        <v>N/A</v>
      </c>
      <c r="L341" s="11" t="str">
        <f t="shared" si="67"/>
        <v>N/A</v>
      </c>
      <c r="M341" s="11" t="str">
        <f t="shared" si="38"/>
        <v>N/A</v>
      </c>
      <c r="N341" s="11" t="str">
        <f t="shared" si="68"/>
        <v>N/A</v>
      </c>
      <c r="O341" s="11" t="str">
        <f t="shared" si="39"/>
        <v>N/A</v>
      </c>
      <c r="P341" s="11" t="str">
        <f t="shared" si="40"/>
        <v>N/A</v>
      </c>
      <c r="Q341" s="11" t="str">
        <f t="shared" si="69"/>
        <v>N/A</v>
      </c>
      <c r="R341" s="11" t="str">
        <f t="shared" si="70"/>
        <v>N/A</v>
      </c>
    </row>
    <row r="342" spans="1:18">
      <c r="A342" s="3" t="s">
        <v>279</v>
      </c>
      <c r="B342" s="3"/>
      <c r="C342" s="11" t="s">
        <v>280</v>
      </c>
      <c r="D342" s="11" t="s">
        <v>529</v>
      </c>
      <c r="E342" s="11"/>
      <c r="F342" s="11" t="str">
        <f t="shared" si="63"/>
        <v>N/A</v>
      </c>
      <c r="G342" s="11" t="str">
        <f t="shared" si="64"/>
        <v>N/A</v>
      </c>
      <c r="H342" s="11"/>
      <c r="I342" s="11" t="str">
        <f t="shared" si="65"/>
        <v>N/A</v>
      </c>
      <c r="J342" s="11" t="str">
        <f t="shared" si="71"/>
        <v>N/A</v>
      </c>
      <c r="K342" s="11" t="str">
        <f t="shared" si="66"/>
        <v>N/A</v>
      </c>
      <c r="L342" s="11" t="str">
        <f t="shared" si="67"/>
        <v>N/A</v>
      </c>
      <c r="M342" s="11" t="str">
        <f t="shared" si="38"/>
        <v>N/A</v>
      </c>
      <c r="N342" s="11" t="str">
        <f t="shared" si="68"/>
        <v>N/A</v>
      </c>
      <c r="O342" s="11" t="str">
        <f t="shared" si="39"/>
        <v>N/A</v>
      </c>
      <c r="P342" s="11" t="str">
        <f t="shared" si="40"/>
        <v>N/A</v>
      </c>
      <c r="Q342" s="11" t="str">
        <f t="shared" si="69"/>
        <v>N/A</v>
      </c>
      <c r="R342" s="11" t="str">
        <f t="shared" si="70"/>
        <v>N/A</v>
      </c>
    </row>
    <row r="343" spans="1:18">
      <c r="A343" s="3" t="s">
        <v>281</v>
      </c>
      <c r="B343" s="3"/>
      <c r="C343" s="11" t="s">
        <v>282</v>
      </c>
      <c r="D343" s="11" t="s">
        <v>530</v>
      </c>
      <c r="E343" s="11"/>
      <c r="F343" s="11" t="str">
        <f t="shared" si="63"/>
        <v>N/A</v>
      </c>
      <c r="G343" s="11" t="str">
        <f t="shared" si="64"/>
        <v>N/A</v>
      </c>
      <c r="H343" s="11"/>
      <c r="I343" s="11" t="str">
        <f t="shared" si="65"/>
        <v>N/A</v>
      </c>
      <c r="J343" s="11" t="str">
        <f t="shared" si="71"/>
        <v>N/A</v>
      </c>
      <c r="K343" s="11" t="str">
        <f t="shared" si="66"/>
        <v>N/A</v>
      </c>
      <c r="L343" s="11" t="str">
        <f t="shared" si="67"/>
        <v>N/A</v>
      </c>
      <c r="M343" s="11" t="str">
        <f t="shared" si="38"/>
        <v>N/A</v>
      </c>
      <c r="N343" s="11" t="str">
        <f t="shared" si="68"/>
        <v>N/A</v>
      </c>
      <c r="O343" s="11" t="str">
        <f t="shared" si="39"/>
        <v>N/A</v>
      </c>
      <c r="P343" s="11" t="str">
        <f t="shared" si="40"/>
        <v>N/A</v>
      </c>
      <c r="Q343" s="11" t="str">
        <f t="shared" si="69"/>
        <v>N/A</v>
      </c>
      <c r="R343" s="11" t="str">
        <f t="shared" si="70"/>
        <v>N/A</v>
      </c>
    </row>
    <row r="344" spans="1:18">
      <c r="A344" s="3" t="s">
        <v>283</v>
      </c>
      <c r="B344" s="3"/>
      <c r="C344" s="11" t="s">
        <v>284</v>
      </c>
      <c r="D344" s="11" t="s">
        <v>531</v>
      </c>
      <c r="E344" s="11"/>
      <c r="F344" s="11" t="str">
        <f t="shared" si="63"/>
        <v>N/A</v>
      </c>
      <c r="G344" s="11" t="str">
        <f t="shared" si="64"/>
        <v>N/A</v>
      </c>
      <c r="H344" s="11"/>
      <c r="I344" s="11" t="str">
        <f t="shared" si="65"/>
        <v>N/A</v>
      </c>
      <c r="J344" s="11" t="str">
        <f t="shared" si="71"/>
        <v>N/A</v>
      </c>
      <c r="K344" s="11" t="str">
        <f t="shared" si="66"/>
        <v>N/A</v>
      </c>
      <c r="L344" s="11" t="str">
        <f t="shared" si="67"/>
        <v>N/A</v>
      </c>
      <c r="M344" s="11" t="str">
        <f t="shared" si="38"/>
        <v>N/A</v>
      </c>
      <c r="N344" s="11" t="str">
        <f t="shared" si="68"/>
        <v>N/A</v>
      </c>
      <c r="O344" s="11" t="str">
        <f t="shared" si="39"/>
        <v>N/A</v>
      </c>
      <c r="P344" s="11" t="str">
        <f t="shared" si="40"/>
        <v>N/A</v>
      </c>
      <c r="Q344" s="11" t="str">
        <f t="shared" si="69"/>
        <v>N/A</v>
      </c>
      <c r="R344" s="11" t="str">
        <f t="shared" si="70"/>
        <v>N/A</v>
      </c>
    </row>
    <row r="345" spans="1:18" s="20" customFormat="1">
      <c r="A345" s="3" t="s">
        <v>285</v>
      </c>
      <c r="B345" s="3"/>
      <c r="C345" s="11" t="s">
        <v>286</v>
      </c>
      <c r="D345" s="11"/>
      <c r="E345" s="11"/>
      <c r="F345" s="11" t="str">
        <f t="shared" si="63"/>
        <v>N/A</v>
      </c>
      <c r="G345" s="11" t="str">
        <f t="shared" si="64"/>
        <v>N/A</v>
      </c>
      <c r="H345" s="11"/>
      <c r="I345" s="11" t="str">
        <f t="shared" si="65"/>
        <v>N/A</v>
      </c>
      <c r="J345" s="11" t="str">
        <f t="shared" si="71"/>
        <v>N/A</v>
      </c>
      <c r="K345" s="11" t="str">
        <f t="shared" si="66"/>
        <v>N/A</v>
      </c>
      <c r="L345" s="11" t="str">
        <f t="shared" si="67"/>
        <v>N/A</v>
      </c>
      <c r="M345" s="11" t="str">
        <f t="shared" si="38"/>
        <v>N/A</v>
      </c>
      <c r="N345" s="11" t="str">
        <f t="shared" si="68"/>
        <v>N/A</v>
      </c>
      <c r="O345" s="11" t="str">
        <f t="shared" si="39"/>
        <v>N/A</v>
      </c>
      <c r="P345" s="11" t="str">
        <f t="shared" si="40"/>
        <v>N/A</v>
      </c>
      <c r="Q345" s="11" t="str">
        <f t="shared" si="69"/>
        <v>N/A</v>
      </c>
      <c r="R345" s="11" t="str">
        <f t="shared" si="70"/>
        <v>N/A</v>
      </c>
    </row>
    <row r="346" spans="1:18">
      <c r="A346" s="3" t="s">
        <v>287</v>
      </c>
      <c r="B346" s="3"/>
      <c r="C346" s="11" t="s">
        <v>288</v>
      </c>
      <c r="D346" s="11" t="s">
        <v>532</v>
      </c>
      <c r="E346" s="11"/>
      <c r="F346" s="11" t="str">
        <f t="shared" si="63"/>
        <v>N/A</v>
      </c>
      <c r="G346" s="11" t="str">
        <f t="shared" si="64"/>
        <v>N/A</v>
      </c>
      <c r="H346" s="11"/>
      <c r="I346" s="11" t="str">
        <f t="shared" si="65"/>
        <v>N/A</v>
      </c>
      <c r="J346" s="11" t="str">
        <f t="shared" si="71"/>
        <v>N/A</v>
      </c>
      <c r="K346" s="11" t="str">
        <f t="shared" si="66"/>
        <v>N/A</v>
      </c>
      <c r="L346" s="11" t="str">
        <f t="shared" si="67"/>
        <v>N/A</v>
      </c>
      <c r="M346" s="11" t="str">
        <f t="shared" ref="M346:M414" si="72">IF(MIN($F346:$L346)=0,"N/A", MIN($F346:$L346))</f>
        <v>N/A</v>
      </c>
      <c r="N346" s="11" t="str">
        <f t="shared" si="68"/>
        <v>N/A</v>
      </c>
      <c r="O346" s="11" t="str">
        <f t="shared" si="39"/>
        <v>N/A</v>
      </c>
      <c r="P346" s="11" t="str">
        <f t="shared" si="40"/>
        <v>N/A</v>
      </c>
      <c r="Q346" s="11" t="str">
        <f t="shared" si="69"/>
        <v>N/A</v>
      </c>
      <c r="R346" s="11" t="str">
        <f t="shared" si="70"/>
        <v>N/A</v>
      </c>
    </row>
    <row r="347" spans="1:18">
      <c r="A347" s="3" t="s">
        <v>289</v>
      </c>
      <c r="B347" s="3"/>
      <c r="C347" s="11" t="s">
        <v>290</v>
      </c>
      <c r="D347" s="11" t="s">
        <v>533</v>
      </c>
      <c r="E347" s="11"/>
      <c r="F347" s="11" t="str">
        <f t="shared" si="63"/>
        <v>N/A</v>
      </c>
      <c r="G347" s="11" t="str">
        <f t="shared" si="64"/>
        <v>N/A</v>
      </c>
      <c r="H347" s="11"/>
      <c r="I347" s="11" t="str">
        <f t="shared" si="65"/>
        <v>N/A</v>
      </c>
      <c r="J347" s="11" t="str">
        <f t="shared" si="71"/>
        <v>N/A</v>
      </c>
      <c r="K347" s="11" t="str">
        <f t="shared" si="66"/>
        <v>N/A</v>
      </c>
      <c r="L347" s="11" t="str">
        <f t="shared" si="67"/>
        <v>N/A</v>
      </c>
      <c r="M347" s="11" t="str">
        <f t="shared" si="72"/>
        <v>N/A</v>
      </c>
      <c r="N347" s="11" t="str">
        <f t="shared" si="68"/>
        <v>N/A</v>
      </c>
      <c r="O347" s="11" t="str">
        <f t="shared" ref="O347:O411" si="73" xml:space="preserve"> M347</f>
        <v>N/A</v>
      </c>
      <c r="P347" s="11" t="str">
        <f t="shared" ref="P347:P411" si="74" xml:space="preserve"> N347</f>
        <v>N/A</v>
      </c>
      <c r="Q347" s="11" t="str">
        <f t="shared" si="69"/>
        <v>N/A</v>
      </c>
      <c r="R347" s="11" t="str">
        <f t="shared" si="70"/>
        <v>N/A</v>
      </c>
    </row>
    <row r="348" spans="1:18">
      <c r="A348" s="3" t="s">
        <v>291</v>
      </c>
      <c r="B348" s="3"/>
      <c r="C348" s="11" t="s">
        <v>292</v>
      </c>
      <c r="D348" s="11" t="s">
        <v>534</v>
      </c>
      <c r="E348" s="11"/>
      <c r="F348" s="11" t="str">
        <f t="shared" si="63"/>
        <v>N/A</v>
      </c>
      <c r="G348" s="11" t="str">
        <f t="shared" si="64"/>
        <v>N/A</v>
      </c>
      <c r="H348" s="11"/>
      <c r="I348" s="11" t="str">
        <f t="shared" si="65"/>
        <v>N/A</v>
      </c>
      <c r="J348" s="11" t="str">
        <f t="shared" si="71"/>
        <v>N/A</v>
      </c>
      <c r="K348" s="11" t="str">
        <f t="shared" si="66"/>
        <v>N/A</v>
      </c>
      <c r="L348" s="11" t="str">
        <f t="shared" si="67"/>
        <v>N/A</v>
      </c>
      <c r="M348" s="11" t="str">
        <f t="shared" si="72"/>
        <v>N/A</v>
      </c>
      <c r="N348" s="11" t="str">
        <f t="shared" si="68"/>
        <v>N/A</v>
      </c>
      <c r="O348" s="11" t="str">
        <f t="shared" si="73"/>
        <v>N/A</v>
      </c>
      <c r="P348" s="11" t="str">
        <f t="shared" si="74"/>
        <v>N/A</v>
      </c>
      <c r="Q348" s="11" t="str">
        <f t="shared" si="69"/>
        <v>N/A</v>
      </c>
      <c r="R348" s="11" t="str">
        <f t="shared" si="70"/>
        <v>N/A</v>
      </c>
    </row>
    <row r="349" spans="1:18">
      <c r="A349" s="6" t="s">
        <v>293</v>
      </c>
      <c r="B349" s="3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</row>
    <row r="350" spans="1:18">
      <c r="A350" s="3" t="s">
        <v>294</v>
      </c>
      <c r="B350" s="3"/>
      <c r="C350" s="11" t="s">
        <v>295</v>
      </c>
      <c r="D350" s="11" t="s">
        <v>535</v>
      </c>
      <c r="E350" s="11"/>
      <c r="F350" s="11" t="str">
        <f>IF($I$32=0, "N/A", IF($I182&lt;$L182, "N/A", IF($E182&gt;$L182, $L182, $L182+($L182-$E182)*$I$40/$I$22)))</f>
        <v>N/A</v>
      </c>
      <c r="G350" s="11" t="str">
        <f>IF($I$33=0, "N/A", IF($J182&lt;$M182, "N/A", IF($E182&gt;$M182, $M182, $M182+($M182-$E182)*$I$45/$I$22)))</f>
        <v>N/A</v>
      </c>
      <c r="H350" s="11"/>
      <c r="I350" s="11" t="str">
        <f>IF($J182&lt;$N182, "N/A", IF($E182&gt;$N182, $N182, $N182+($N182-$E182)*$I$45/$I$22))</f>
        <v>N/A</v>
      </c>
      <c r="J350" s="11" t="str">
        <f>IF($I$30=0, "N/A", IF($G182&lt;$O182, "N/A", $O182))</f>
        <v>N/A</v>
      </c>
      <c r="K350" s="11" t="str">
        <f>IF($I$31=0, "N/A", IF($J182&lt;$P182, "N/A", IF($E182&gt;$P182, $P182, $P182+($P182-$E182)*$I$45/$I$22)))</f>
        <v>N/A</v>
      </c>
      <c r="L350" s="11" t="str">
        <f>IF($K182&lt;$Q182, "N/A", IF($E182&gt;$Q182, $Q182, $Q182+($Q182-$E182)*$I$41/$I$22))</f>
        <v>N/A</v>
      </c>
      <c r="M350" s="11" t="str">
        <f t="shared" si="72"/>
        <v>N/A</v>
      </c>
      <c r="N350" s="11" t="str">
        <f>IF($M350="N/A","N/A",MAX($M350/1.5,MIN($L182:$Q182)))</f>
        <v>N/A</v>
      </c>
      <c r="O350" s="11" t="str">
        <f t="shared" si="73"/>
        <v>N/A</v>
      </c>
      <c r="P350" s="11" t="str">
        <f t="shared" si="74"/>
        <v>N/A</v>
      </c>
      <c r="Q350" s="11" t="str">
        <f t="shared" ref="Q350:Q357" si="75">IF($O350="N/A","N/A", 8.34*$O350*$I$21/1000)</f>
        <v>N/A</v>
      </c>
      <c r="R350" s="11" t="str">
        <f t="shared" ref="R350:R357" si="76">IF($P350="N/A","N/A", 8.34*$P350*$I$21/1000)</f>
        <v>N/A</v>
      </c>
    </row>
    <row r="351" spans="1:18">
      <c r="A351" s="3" t="s">
        <v>296</v>
      </c>
      <c r="B351" s="3"/>
      <c r="C351" s="11" t="s">
        <v>297</v>
      </c>
      <c r="D351" s="11" t="s">
        <v>536</v>
      </c>
      <c r="E351" s="11"/>
      <c r="F351" s="11" t="str">
        <f>IF($I$32=0, "N/A", IF($I183&lt;$L183, "N/A", IF($E183&gt;$L183, $L183, $L183+($L183-$E183)*$I$40/$I$22)))</f>
        <v>N/A</v>
      </c>
      <c r="G351" s="11" t="str">
        <f>IF($I$33=0, "N/A", IF($J183&lt;$M183, "N/A", IF($E183&gt;$M183, $M183, $M183+($M183-$E183)*$I$45/$I$22)))</f>
        <v>N/A</v>
      </c>
      <c r="H351" s="11"/>
      <c r="I351" s="11" t="str">
        <f>IF($J183&lt;$N183, "N/A", IF($E183&gt;$N183, $N183, $N183+($N183-$E183)*$I$45/$I$22))</f>
        <v>N/A</v>
      </c>
      <c r="J351" s="11" t="str">
        <f t="shared" ref="J351:J353" si="77">IF($I$30=0, "N/A", IF($G183&lt;$O183, "N/A", $O183))</f>
        <v>N/A</v>
      </c>
      <c r="K351" s="11" t="str">
        <f>IF($I$31=0, "N/A", IF($J183&lt;$P183, "N/A", IF($E183&gt;$P183, $P183, $P183+($P183-$E183)*$I$45/$I$22)))</f>
        <v>N/A</v>
      </c>
      <c r="L351" s="11" t="str">
        <f>IF($K183&lt;$Q183, "N/A", IF($E183&gt;$Q183, $Q183, $Q183+($Q183-$E183)*$I$41/$I$22))</f>
        <v>N/A</v>
      </c>
      <c r="M351" s="11" t="str">
        <f t="shared" si="72"/>
        <v>N/A</v>
      </c>
      <c r="N351" s="11" t="str">
        <f>IF($M351="N/A","N/A",MAX($M351/1.5,MIN($L183:$Q183)))</f>
        <v>N/A</v>
      </c>
      <c r="O351" s="11" t="str">
        <f t="shared" si="73"/>
        <v>N/A</v>
      </c>
      <c r="P351" s="11" t="str">
        <f t="shared" si="74"/>
        <v>N/A</v>
      </c>
      <c r="Q351" s="11" t="str">
        <f t="shared" si="75"/>
        <v>N/A</v>
      </c>
      <c r="R351" s="11" t="str">
        <f t="shared" si="76"/>
        <v>N/A</v>
      </c>
    </row>
    <row r="352" spans="1:18">
      <c r="A352" s="3" t="s">
        <v>298</v>
      </c>
      <c r="B352" s="3"/>
      <c r="C352" s="11" t="s">
        <v>299</v>
      </c>
      <c r="D352" s="11" t="s">
        <v>537</v>
      </c>
      <c r="E352" s="11"/>
      <c r="F352" s="11" t="str">
        <f>IF($I$32=0, "N/A", IF($I184&lt;$L184, "N/A", IF($E184&gt;$L184, $L184, $L184+($L184-$E184)*$I$40/$I$22)))</f>
        <v>N/A</v>
      </c>
      <c r="G352" s="11" t="str">
        <f>IF($I$33=0, "N/A", IF($J184&lt;$M184, "N/A", IF($E184&gt;$M184, $M184, $M184+($M184-$E184)*$I$45/$I$22)))</f>
        <v>N/A</v>
      </c>
      <c r="H352" s="11"/>
      <c r="I352" s="11" t="str">
        <f>IF($J184&lt;$N184, "N/A", IF($E184&gt;$N184, $N184, $N184+($N184-$E184)*$I$45/$I$22))</f>
        <v>N/A</v>
      </c>
      <c r="J352" s="11" t="str">
        <f t="shared" si="77"/>
        <v>N/A</v>
      </c>
      <c r="K352" s="11" t="str">
        <f>IF($I$31=0, "N/A", IF($J184&lt;$P184, "N/A", IF($E184&gt;$P184, $P184, $P184+($P184-$E184)*$I$45/$I$22)))</f>
        <v>N/A</v>
      </c>
      <c r="L352" s="11" t="str">
        <f>IF($K184&lt;$Q184, "N/A", IF($E184&gt;$Q184, $Q184, $Q184+($Q184-$E184)*$I$41/$I$22))</f>
        <v>N/A</v>
      </c>
      <c r="M352" s="11" t="str">
        <f t="shared" si="72"/>
        <v>N/A</v>
      </c>
      <c r="N352" s="11" t="str">
        <f>IF($M352="N/A","N/A",MAX($M352/1.5,MIN($L184:$Q184)))</f>
        <v>N/A</v>
      </c>
      <c r="O352" s="11" t="str">
        <f t="shared" si="73"/>
        <v>N/A</v>
      </c>
      <c r="P352" s="11" t="str">
        <f t="shared" si="74"/>
        <v>N/A</v>
      </c>
      <c r="Q352" s="11" t="str">
        <f t="shared" si="75"/>
        <v>N/A</v>
      </c>
      <c r="R352" s="11" t="str">
        <f t="shared" si="76"/>
        <v>N/A</v>
      </c>
    </row>
    <row r="353" spans="1:18">
      <c r="A353" s="3" t="s">
        <v>300</v>
      </c>
      <c r="B353" s="3"/>
      <c r="C353" s="11" t="s">
        <v>301</v>
      </c>
      <c r="D353" s="11" t="s">
        <v>538</v>
      </c>
      <c r="E353" s="11"/>
      <c r="F353" s="11" t="str">
        <f>IF($I$32=0, "N/A", IF($I185&lt;$L185, "N/A", IF($E185&gt;$L185, $L185, $L185+($L185-$E185)*$I$40/$I$22)))</f>
        <v>N/A</v>
      </c>
      <c r="G353" s="11" t="str">
        <f>IF($I$33=0, "N/A", IF($J185&lt;$M185, "N/A", IF($E185&gt;$M185, $M185, $M185+($M185-$E185)*$I$45/$I$22)))</f>
        <v>N/A</v>
      </c>
      <c r="H353" s="11"/>
      <c r="I353" s="11" t="str">
        <f>IF($J185&lt;$N185, "N/A", IF($E185&gt;$N185, $N185, $N185+($N185-$E185)*$I$45/$I$22))</f>
        <v>N/A</v>
      </c>
      <c r="J353" s="11" t="str">
        <f t="shared" si="77"/>
        <v>N/A</v>
      </c>
      <c r="K353" s="11" t="str">
        <f>IF($I$31=0, "N/A", IF($J185&lt;$P185, "N/A", IF($E185&gt;$P185, $P185, $P185+($P185-$E185)*$I$45/$I$22)))</f>
        <v>N/A</v>
      </c>
      <c r="L353" s="11" t="str">
        <f>IF($K185&lt;$Q185, "N/A", IF($E185&gt;$Q185, $Q185, $Q185+($Q185-$E185)*$I$41/$I$22))</f>
        <v>N/A</v>
      </c>
      <c r="M353" s="11" t="str">
        <f t="shared" si="72"/>
        <v>N/A</v>
      </c>
      <c r="N353" s="11" t="str">
        <f>IF($M353="N/A","N/A",MAX($M353/1.5,MIN($L185:$Q185)))</f>
        <v>N/A</v>
      </c>
      <c r="O353" s="11" t="str">
        <f t="shared" si="73"/>
        <v>N/A</v>
      </c>
      <c r="P353" s="11" t="str">
        <f t="shared" si="74"/>
        <v>N/A</v>
      </c>
      <c r="Q353" s="11" t="str">
        <f t="shared" si="75"/>
        <v>N/A</v>
      </c>
      <c r="R353" s="11" t="str">
        <f t="shared" si="76"/>
        <v>N/A</v>
      </c>
    </row>
    <row r="354" spans="1:18">
      <c r="A354" s="3" t="s">
        <v>302</v>
      </c>
      <c r="B354" s="3"/>
      <c r="C354" s="11" t="s">
        <v>303</v>
      </c>
      <c r="D354" s="11" t="s">
        <v>539</v>
      </c>
      <c r="E354" s="11"/>
      <c r="F354" s="11" t="str">
        <f>IF($I$32=0, "N/A", IF($I190&lt;$L190, "N/A", IF($E190&gt;$L190, $L190, $L190+($L190-$E190)*$I$40/$I$22)))</f>
        <v>N/A</v>
      </c>
      <c r="G354" s="11" t="str">
        <f>IF($I$33=0, "N/A", IF($J190&lt;$M190, "N/A", IF($E190&gt;$M190, $M190, $M190+($M190-$E190)*$I$45/$I$22)))</f>
        <v>N/A</v>
      </c>
      <c r="H354" s="11"/>
      <c r="I354" s="11" t="str">
        <f>IF($J190&lt;$N190, "N/A", IF($E190&gt;$N190, $N190, $N190+($N190-$E190)*$I$45/$I$22))</f>
        <v>N/A</v>
      </c>
      <c r="J354" s="11" t="str">
        <f>IF($I$30=0, "N/A", IF($G190&lt;$O190, "N/A", $O190))</f>
        <v>N/A</v>
      </c>
      <c r="K354" s="11" t="str">
        <f>IF($I$31=0, "N/A", IF($J190&lt;$P190, "N/A", IF($E190&gt;$P190, $P190, $P190+($P190-$E190)*$I$45/$I$22)))</f>
        <v>N/A</v>
      </c>
      <c r="L354" s="11" t="str">
        <f>IF($K190&lt;$Q190, "N/A", IF($E190&gt;$Q190, $Q190, $Q190+($Q190-$E190)*$I$41/$I$22))</f>
        <v>N/A</v>
      </c>
      <c r="M354" s="11" t="str">
        <f t="shared" si="72"/>
        <v>N/A</v>
      </c>
      <c r="N354" s="11" t="str">
        <f>IF($M354="N/A","N/A",MAX($M354/1.5,MIN($L190:$Q190)))</f>
        <v>N/A</v>
      </c>
      <c r="O354" s="11" t="str">
        <f t="shared" si="73"/>
        <v>N/A</v>
      </c>
      <c r="P354" s="11" t="str">
        <f t="shared" si="74"/>
        <v>N/A</v>
      </c>
      <c r="Q354" s="11" t="str">
        <f t="shared" si="75"/>
        <v>N/A</v>
      </c>
      <c r="R354" s="11" t="str">
        <f t="shared" si="76"/>
        <v>N/A</v>
      </c>
    </row>
    <row r="355" spans="1:18">
      <c r="A355" s="3" t="s">
        <v>304</v>
      </c>
      <c r="B355" s="3"/>
      <c r="C355" s="11" t="s">
        <v>305</v>
      </c>
      <c r="D355" s="11" t="s">
        <v>540</v>
      </c>
      <c r="E355" s="11"/>
      <c r="F355" s="11" t="str">
        <f>IF($I$32=0, "N/A", IF($I191&lt;$L191, "N/A", IF($E191&gt;$L191, $L191, $L191+($L191-$E191)*$I$40/$I$22)))</f>
        <v>N/A</v>
      </c>
      <c r="G355" s="11" t="str">
        <f>IF($I$33=0, "N/A", IF($J191&lt;$M191, "N/A", IF($E191&gt;$M191, $M191, $M191+($M191-$E191)*$I$45/$I$22)))</f>
        <v>N/A</v>
      </c>
      <c r="H355" s="11"/>
      <c r="I355" s="11" t="str">
        <f>IF($J191&lt;$N191, "N/A", IF($E191&gt;$N191, $N191, $N191+($N191-$E191)*$I$45/$I$22))</f>
        <v>N/A</v>
      </c>
      <c r="J355" s="11" t="str">
        <f t="shared" ref="J355:J357" si="78">IF($I$30=0, "N/A", IF($G191&lt;$O191, "N/A", $O191))</f>
        <v>N/A</v>
      </c>
      <c r="K355" s="11" t="str">
        <f>IF($I$31=0, "N/A", IF($J191&lt;$P191, "N/A", IF($E191&gt;$P191, $P191, $P191+($P191-$E191)*$I$45/$I$22)))</f>
        <v>N/A</v>
      </c>
      <c r="L355" s="11" t="str">
        <f>IF($K191&lt;$Q191, "N/A", IF($E191&gt;$Q191, $Q191, $Q191+($Q191-$E191)*$I$41/$I$22))</f>
        <v>N/A</v>
      </c>
      <c r="M355" s="11" t="str">
        <f t="shared" si="72"/>
        <v>N/A</v>
      </c>
      <c r="N355" s="11" t="str">
        <f>IF($M355="N/A","N/A",MAX($M355/1.5,MIN($L191:$Q191)))</f>
        <v>N/A</v>
      </c>
      <c r="O355" s="11" t="str">
        <f t="shared" si="73"/>
        <v>N/A</v>
      </c>
      <c r="P355" s="11" t="str">
        <f t="shared" si="74"/>
        <v>N/A</v>
      </c>
      <c r="Q355" s="11" t="str">
        <f t="shared" si="75"/>
        <v>N/A</v>
      </c>
      <c r="R355" s="11" t="str">
        <f t="shared" si="76"/>
        <v>N/A</v>
      </c>
    </row>
    <row r="356" spans="1:18">
      <c r="A356" s="3" t="s">
        <v>306</v>
      </c>
      <c r="B356" s="3"/>
      <c r="C356" s="11" t="s">
        <v>307</v>
      </c>
      <c r="D356" s="11" t="s">
        <v>541</v>
      </c>
      <c r="E356" s="11"/>
      <c r="F356" s="11" t="str">
        <f>IF($I$32=0, "N/A", IF($I192&lt;$L192, "N/A", IF($E192&gt;$L192, $L192, $L192+($L192-$E192)*$I$40/$I$22)))</f>
        <v>N/A</v>
      </c>
      <c r="G356" s="11" t="str">
        <f>IF($I$33=0, "N/A", IF($J192&lt;$M192, "N/A", IF($E192&gt;$M192, $M192, $M192+($M192-$E192)*$I$45/$I$22)))</f>
        <v>N/A</v>
      </c>
      <c r="H356" s="11"/>
      <c r="I356" s="11" t="str">
        <f>IF($J192&lt;$N192, "N/A", IF($E192&gt;$N192, $N192, $N192+($N192-$E192)*$I$45/$I$22))</f>
        <v>N/A</v>
      </c>
      <c r="J356" s="11" t="str">
        <f t="shared" si="78"/>
        <v>N/A</v>
      </c>
      <c r="K356" s="11" t="str">
        <f>IF($I$31=0, "N/A", IF($J192&lt;$P192, "N/A", IF($E192&gt;$P192, $P192, $P192+($P192-$E192)*$I$45/$I$22)))</f>
        <v>N/A</v>
      </c>
      <c r="L356" s="11" t="str">
        <f>IF($K192&lt;$Q192, "N/A", IF($E192&gt;$Q192, $Q192, $Q192+($Q192-$E192)*$I$41/$I$22))</f>
        <v>N/A</v>
      </c>
      <c r="M356" s="11" t="str">
        <f t="shared" si="72"/>
        <v>N/A</v>
      </c>
      <c r="N356" s="11" t="str">
        <f>IF($M356="N/A","N/A",MAX($M356/1.5,MIN($L192:$Q192)))</f>
        <v>N/A</v>
      </c>
      <c r="O356" s="11" t="str">
        <f t="shared" si="73"/>
        <v>N/A</v>
      </c>
      <c r="P356" s="11" t="str">
        <f t="shared" si="74"/>
        <v>N/A</v>
      </c>
      <c r="Q356" s="11" t="str">
        <f t="shared" si="75"/>
        <v>N/A</v>
      </c>
      <c r="R356" s="11" t="str">
        <f t="shared" si="76"/>
        <v>N/A</v>
      </c>
    </row>
    <row r="357" spans="1:18">
      <c r="A357" s="3" t="s">
        <v>308</v>
      </c>
      <c r="B357" s="3"/>
      <c r="C357" s="11" t="s">
        <v>309</v>
      </c>
      <c r="D357" s="11" t="s">
        <v>542</v>
      </c>
      <c r="E357" s="11"/>
      <c r="F357" s="11" t="str">
        <f>IF($I$32=0, "N/A", IF($I193&lt;$L193, "N/A", IF($E193&gt;$L193, $L193, $L193+($L193-$E193)*$I$40/$I$22)))</f>
        <v>N/A</v>
      </c>
      <c r="G357" s="11" t="str">
        <f>IF($I$33=0, "N/A", IF($J193&lt;$M193, "N/A", IF($E193&gt;$M193, $M193, $M193+($M193-$E193)*$I$45/$I$22)))</f>
        <v>N/A</v>
      </c>
      <c r="H357" s="11"/>
      <c r="I357" s="11" t="str">
        <f>IF($J193&lt;$N193, "N/A", IF($E193&gt;$N193, $N193, $N193+($N193-$E193)*$I$45/$I$22))</f>
        <v>N/A</v>
      </c>
      <c r="J357" s="11" t="str">
        <f t="shared" si="78"/>
        <v>N/A</v>
      </c>
      <c r="K357" s="11" t="str">
        <f>IF($I$31=0, "N/A", IF($J193&lt;$P193, "N/A", IF($E193&gt;$P193, $P193, $P193+($P193-$E193)*$I$45/$I$22)))</f>
        <v>N/A</v>
      </c>
      <c r="L357" s="11" t="str">
        <f>IF($K193&lt;$Q193, "N/A", IF($E193&gt;$Q193, $Q193, $Q193+($Q193-$E193)*$I$41/$I$22))</f>
        <v>N/A</v>
      </c>
      <c r="M357" s="11" t="str">
        <f t="shared" si="72"/>
        <v>N/A</v>
      </c>
      <c r="N357" s="11" t="str">
        <f>IF($M357="N/A","N/A",MAX($M357/1.5,MIN($L193:$Q193)))</f>
        <v>N/A</v>
      </c>
      <c r="O357" s="11" t="str">
        <f t="shared" si="73"/>
        <v>N/A</v>
      </c>
      <c r="P357" s="11" t="str">
        <f t="shared" si="74"/>
        <v>N/A</v>
      </c>
      <c r="Q357" s="11" t="str">
        <f t="shared" si="75"/>
        <v>N/A</v>
      </c>
      <c r="R357" s="11" t="str">
        <f t="shared" si="76"/>
        <v>N/A</v>
      </c>
    </row>
    <row r="358" spans="1:18">
      <c r="A358" s="6" t="s">
        <v>310</v>
      </c>
      <c r="B358" s="3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</row>
    <row r="359" spans="1:18">
      <c r="A359" s="3" t="s">
        <v>311</v>
      </c>
      <c r="B359" s="3"/>
      <c r="C359" s="11" t="s">
        <v>312</v>
      </c>
      <c r="D359" s="11" t="s">
        <v>543</v>
      </c>
      <c r="E359" s="11"/>
      <c r="F359" s="11" t="str">
        <f t="shared" ref="F359:F373" si="79">IF($I$32=0, "N/A", IF($I195&lt;$L195, "N/A", IF($E195&gt;$L195, $L195, $L195+($L195-$E195)*$I$40/$I$22)))</f>
        <v>N/A</v>
      </c>
      <c r="G359" s="11" t="str">
        <f t="shared" ref="G359:G373" si="80">IF($I$33=0, "N/A", IF($J195&lt;$M195, "N/A", IF($E195&gt;$M195, $M195, $M195+($M195-$E195)*$I$45/$I$22)))</f>
        <v>N/A</v>
      </c>
      <c r="H359" s="11"/>
      <c r="I359" s="11" t="str">
        <f t="shared" ref="I359:I373" si="81">IF($J195&lt;$N195, "N/A", IF($E195&gt;$N195, $N195, $N195+($N195-$E195)*$I$45/$I$22))</f>
        <v>N/A</v>
      </c>
      <c r="J359" s="11" t="str">
        <f>IF($I$30=0, "N/A", IF($G195&lt;$O195, "N/A", $O195))</f>
        <v>N/A</v>
      </c>
      <c r="K359" s="11" t="str">
        <f t="shared" ref="K359:K373" si="82">IF($I$31=0, "N/A", IF($J195&lt;$P195, "N/A", IF($E195&gt;$P195, $P195, $P195+($P195-$E195)*$I$45/$I$22)))</f>
        <v>N/A</v>
      </c>
      <c r="L359" s="11" t="str">
        <f t="shared" ref="L359:L373" si="83">IF($K195&lt;$Q195, "N/A", IF($E195&gt;$Q195, $Q195, $Q195+($Q195-$E195)*$I$41/$I$22))</f>
        <v>N/A</v>
      </c>
      <c r="M359" s="11" t="str">
        <f t="shared" si="72"/>
        <v>N/A</v>
      </c>
      <c r="N359" s="11" t="str">
        <f t="shared" ref="N359:N373" si="84">IF($M359="N/A","N/A",MAX($M359/1.5,MIN($L195:$Q195)))</f>
        <v>N/A</v>
      </c>
      <c r="O359" s="11" t="str">
        <f t="shared" si="73"/>
        <v>N/A</v>
      </c>
      <c r="P359" s="11" t="str">
        <f t="shared" si="74"/>
        <v>N/A</v>
      </c>
      <c r="Q359" s="11" t="str">
        <f t="shared" ref="Q359:Q373" si="85">IF($O359="N/A","N/A", 8.34*$O359*$I$21/1000)</f>
        <v>N/A</v>
      </c>
      <c r="R359" s="11" t="str">
        <f t="shared" ref="R359:R373" si="86">IF($P359="N/A","N/A", 8.34*$P359*$I$21/1000)</f>
        <v>N/A</v>
      </c>
    </row>
    <row r="360" spans="1:18">
      <c r="A360" s="3" t="s">
        <v>313</v>
      </c>
      <c r="B360" s="3"/>
      <c r="C360" s="11" t="s">
        <v>314</v>
      </c>
      <c r="D360" s="11" t="s">
        <v>544</v>
      </c>
      <c r="E360" s="11"/>
      <c r="F360" s="11" t="str">
        <f t="shared" si="79"/>
        <v>N/A</v>
      </c>
      <c r="G360" s="11" t="str">
        <f t="shared" si="80"/>
        <v>N/A</v>
      </c>
      <c r="H360" s="11"/>
      <c r="I360" s="11" t="str">
        <f t="shared" si="81"/>
        <v>N/A</v>
      </c>
      <c r="J360" s="11" t="str">
        <f t="shared" ref="J360:J373" si="87">IF($I$30=0, "N/A", IF($G196&lt;$O196, "N/A", $O196))</f>
        <v>N/A</v>
      </c>
      <c r="K360" s="11" t="str">
        <f t="shared" si="82"/>
        <v>N/A</v>
      </c>
      <c r="L360" s="11" t="str">
        <f t="shared" si="83"/>
        <v>N/A</v>
      </c>
      <c r="M360" s="11" t="str">
        <f t="shared" si="72"/>
        <v>N/A</v>
      </c>
      <c r="N360" s="11" t="str">
        <f t="shared" si="84"/>
        <v>N/A</v>
      </c>
      <c r="O360" s="11" t="str">
        <f t="shared" si="73"/>
        <v>N/A</v>
      </c>
      <c r="P360" s="11" t="str">
        <f t="shared" si="74"/>
        <v>N/A</v>
      </c>
      <c r="Q360" s="11" t="str">
        <f t="shared" si="85"/>
        <v>N/A</v>
      </c>
      <c r="R360" s="11" t="str">
        <f t="shared" si="86"/>
        <v>N/A</v>
      </c>
    </row>
    <row r="361" spans="1:18">
      <c r="A361" s="3" t="s">
        <v>315</v>
      </c>
      <c r="B361" s="3"/>
      <c r="C361" s="11" t="s">
        <v>316</v>
      </c>
      <c r="D361" s="11" t="s">
        <v>545</v>
      </c>
      <c r="E361" s="11"/>
      <c r="F361" s="11" t="str">
        <f t="shared" si="79"/>
        <v>N/A</v>
      </c>
      <c r="G361" s="11" t="str">
        <f t="shared" si="80"/>
        <v>N/A</v>
      </c>
      <c r="H361" s="11"/>
      <c r="I361" s="11" t="str">
        <f t="shared" si="81"/>
        <v>N/A</v>
      </c>
      <c r="J361" s="11" t="str">
        <f t="shared" si="87"/>
        <v>N/A</v>
      </c>
      <c r="K361" s="11" t="str">
        <f t="shared" si="82"/>
        <v>N/A</v>
      </c>
      <c r="L361" s="11" t="str">
        <f t="shared" si="83"/>
        <v>N/A</v>
      </c>
      <c r="M361" s="11" t="str">
        <f t="shared" si="72"/>
        <v>N/A</v>
      </c>
      <c r="N361" s="11" t="str">
        <f t="shared" si="84"/>
        <v>N/A</v>
      </c>
      <c r="O361" s="11" t="str">
        <f t="shared" si="73"/>
        <v>N/A</v>
      </c>
      <c r="P361" s="11" t="str">
        <f t="shared" si="74"/>
        <v>N/A</v>
      </c>
      <c r="Q361" s="11" t="str">
        <f t="shared" si="85"/>
        <v>N/A</v>
      </c>
      <c r="R361" s="11" t="str">
        <f t="shared" si="86"/>
        <v>N/A</v>
      </c>
    </row>
    <row r="362" spans="1:18">
      <c r="A362" s="3" t="s">
        <v>317</v>
      </c>
      <c r="B362" s="3"/>
      <c r="C362" s="11" t="s">
        <v>318</v>
      </c>
      <c r="D362" s="11" t="s">
        <v>546</v>
      </c>
      <c r="E362" s="11"/>
      <c r="F362" s="11" t="str">
        <f t="shared" si="79"/>
        <v>N/A</v>
      </c>
      <c r="G362" s="11" t="str">
        <f t="shared" si="80"/>
        <v>N/A</v>
      </c>
      <c r="H362" s="11"/>
      <c r="I362" s="11" t="str">
        <f t="shared" si="81"/>
        <v>N/A</v>
      </c>
      <c r="J362" s="11" t="str">
        <f t="shared" si="87"/>
        <v>N/A</v>
      </c>
      <c r="K362" s="11" t="str">
        <f t="shared" si="82"/>
        <v>N/A</v>
      </c>
      <c r="L362" s="11" t="str">
        <f t="shared" si="83"/>
        <v>N/A</v>
      </c>
      <c r="M362" s="11" t="str">
        <f t="shared" si="72"/>
        <v>N/A</v>
      </c>
      <c r="N362" s="11" t="str">
        <f t="shared" si="84"/>
        <v>N/A</v>
      </c>
      <c r="O362" s="11" t="str">
        <f t="shared" si="73"/>
        <v>N/A</v>
      </c>
      <c r="P362" s="11" t="str">
        <f t="shared" si="74"/>
        <v>N/A</v>
      </c>
      <c r="Q362" s="11" t="str">
        <f t="shared" si="85"/>
        <v>N/A</v>
      </c>
      <c r="R362" s="11" t="str">
        <f t="shared" si="86"/>
        <v>N/A</v>
      </c>
    </row>
    <row r="363" spans="1:18">
      <c r="A363" s="3" t="s">
        <v>319</v>
      </c>
      <c r="B363" s="3"/>
      <c r="C363" s="11" t="s">
        <v>320</v>
      </c>
      <c r="D363" s="11" t="s">
        <v>547</v>
      </c>
      <c r="E363" s="11"/>
      <c r="F363" s="11" t="str">
        <f t="shared" si="79"/>
        <v>N/A</v>
      </c>
      <c r="G363" s="11" t="str">
        <f t="shared" si="80"/>
        <v>N/A</v>
      </c>
      <c r="H363" s="11"/>
      <c r="I363" s="11" t="str">
        <f t="shared" si="81"/>
        <v>N/A</v>
      </c>
      <c r="J363" s="11" t="str">
        <f t="shared" si="87"/>
        <v>N/A</v>
      </c>
      <c r="K363" s="11" t="str">
        <f t="shared" si="82"/>
        <v>N/A</v>
      </c>
      <c r="L363" s="11" t="str">
        <f t="shared" si="83"/>
        <v>N/A</v>
      </c>
      <c r="M363" s="11" t="str">
        <f t="shared" si="72"/>
        <v>N/A</v>
      </c>
      <c r="N363" s="11" t="str">
        <f t="shared" si="84"/>
        <v>N/A</v>
      </c>
      <c r="O363" s="11" t="str">
        <f t="shared" si="73"/>
        <v>N/A</v>
      </c>
      <c r="P363" s="11" t="str">
        <f t="shared" si="74"/>
        <v>N/A</v>
      </c>
      <c r="Q363" s="11" t="str">
        <f t="shared" si="85"/>
        <v>N/A</v>
      </c>
      <c r="R363" s="11" t="str">
        <f t="shared" si="86"/>
        <v>N/A</v>
      </c>
    </row>
    <row r="364" spans="1:18">
      <c r="A364" s="3" t="s">
        <v>321</v>
      </c>
      <c r="B364" s="3"/>
      <c r="C364" s="11" t="s">
        <v>322</v>
      </c>
      <c r="D364" s="11" t="s">
        <v>548</v>
      </c>
      <c r="E364" s="11"/>
      <c r="F364" s="11" t="str">
        <f t="shared" si="79"/>
        <v>N/A</v>
      </c>
      <c r="G364" s="11" t="str">
        <f t="shared" si="80"/>
        <v>N/A</v>
      </c>
      <c r="H364" s="11"/>
      <c r="I364" s="11" t="str">
        <f t="shared" si="81"/>
        <v>N/A</v>
      </c>
      <c r="J364" s="11" t="str">
        <f t="shared" si="87"/>
        <v>N/A</v>
      </c>
      <c r="K364" s="11" t="str">
        <f t="shared" si="82"/>
        <v>N/A</v>
      </c>
      <c r="L364" s="11" t="str">
        <f t="shared" si="83"/>
        <v>N/A</v>
      </c>
      <c r="M364" s="11" t="str">
        <f t="shared" si="72"/>
        <v>N/A</v>
      </c>
      <c r="N364" s="11" t="str">
        <f t="shared" si="84"/>
        <v>N/A</v>
      </c>
      <c r="O364" s="11" t="str">
        <f t="shared" si="73"/>
        <v>N/A</v>
      </c>
      <c r="P364" s="11" t="str">
        <f t="shared" si="74"/>
        <v>N/A</v>
      </c>
      <c r="Q364" s="11" t="str">
        <f t="shared" si="85"/>
        <v>N/A</v>
      </c>
      <c r="R364" s="11" t="str">
        <f t="shared" si="86"/>
        <v>N/A</v>
      </c>
    </row>
    <row r="365" spans="1:18">
      <c r="A365" s="3" t="s">
        <v>323</v>
      </c>
      <c r="B365" s="3"/>
      <c r="C365" s="11" t="s">
        <v>324</v>
      </c>
      <c r="D365" s="11" t="s">
        <v>549</v>
      </c>
      <c r="E365" s="11"/>
      <c r="F365" s="11" t="str">
        <f t="shared" si="79"/>
        <v>N/A</v>
      </c>
      <c r="G365" s="11" t="str">
        <f t="shared" si="80"/>
        <v>N/A</v>
      </c>
      <c r="H365" s="11"/>
      <c r="I365" s="11" t="str">
        <f t="shared" si="81"/>
        <v>N/A</v>
      </c>
      <c r="J365" s="11" t="str">
        <f t="shared" si="87"/>
        <v>N/A</v>
      </c>
      <c r="K365" s="11" t="str">
        <f t="shared" si="82"/>
        <v>N/A</v>
      </c>
      <c r="L365" s="11" t="str">
        <f t="shared" si="83"/>
        <v>N/A</v>
      </c>
      <c r="M365" s="11" t="str">
        <f t="shared" si="72"/>
        <v>N/A</v>
      </c>
      <c r="N365" s="11" t="str">
        <f t="shared" si="84"/>
        <v>N/A</v>
      </c>
      <c r="O365" s="11" t="str">
        <f t="shared" si="73"/>
        <v>N/A</v>
      </c>
      <c r="P365" s="11" t="str">
        <f t="shared" si="74"/>
        <v>N/A</v>
      </c>
      <c r="Q365" s="11" t="str">
        <f t="shared" si="85"/>
        <v>N/A</v>
      </c>
      <c r="R365" s="11" t="str">
        <f t="shared" si="86"/>
        <v>N/A</v>
      </c>
    </row>
    <row r="366" spans="1:18">
      <c r="A366" s="3" t="s">
        <v>325</v>
      </c>
      <c r="B366" s="3"/>
      <c r="C366" s="11" t="s">
        <v>326</v>
      </c>
      <c r="D366" s="11" t="s">
        <v>550</v>
      </c>
      <c r="E366" s="11"/>
      <c r="F366" s="11" t="str">
        <f t="shared" si="79"/>
        <v>N/A</v>
      </c>
      <c r="G366" s="11" t="str">
        <f t="shared" si="80"/>
        <v>N/A</v>
      </c>
      <c r="H366" s="11"/>
      <c r="I366" s="11" t="str">
        <f t="shared" si="81"/>
        <v>N/A</v>
      </c>
      <c r="J366" s="11" t="str">
        <f t="shared" si="87"/>
        <v>N/A</v>
      </c>
      <c r="K366" s="11" t="str">
        <f t="shared" si="82"/>
        <v>N/A</v>
      </c>
      <c r="L366" s="11" t="str">
        <f t="shared" si="83"/>
        <v>N/A</v>
      </c>
      <c r="M366" s="11" t="str">
        <f t="shared" si="72"/>
        <v>N/A</v>
      </c>
      <c r="N366" s="11" t="str">
        <f t="shared" si="84"/>
        <v>N/A</v>
      </c>
      <c r="O366" s="11" t="str">
        <f t="shared" si="73"/>
        <v>N/A</v>
      </c>
      <c r="P366" s="11" t="str">
        <f t="shared" si="74"/>
        <v>N/A</v>
      </c>
      <c r="Q366" s="11" t="str">
        <f t="shared" si="85"/>
        <v>N/A</v>
      </c>
      <c r="R366" s="11" t="str">
        <f t="shared" si="86"/>
        <v>N/A</v>
      </c>
    </row>
    <row r="367" spans="1:18">
      <c r="A367" s="3" t="s">
        <v>327</v>
      </c>
      <c r="B367" s="3"/>
      <c r="C367" s="11" t="s">
        <v>328</v>
      </c>
      <c r="D367" s="11" t="s">
        <v>551</v>
      </c>
      <c r="E367" s="11"/>
      <c r="F367" s="11" t="str">
        <f t="shared" si="79"/>
        <v>N/A</v>
      </c>
      <c r="G367" s="11" t="str">
        <f t="shared" si="80"/>
        <v>N/A</v>
      </c>
      <c r="H367" s="11"/>
      <c r="I367" s="11" t="str">
        <f t="shared" si="81"/>
        <v>N/A</v>
      </c>
      <c r="J367" s="11" t="str">
        <f t="shared" si="87"/>
        <v>N/A</v>
      </c>
      <c r="K367" s="11" t="str">
        <f t="shared" si="82"/>
        <v>N/A</v>
      </c>
      <c r="L367" s="11" t="str">
        <f t="shared" si="83"/>
        <v>N/A</v>
      </c>
      <c r="M367" s="11" t="str">
        <f t="shared" si="72"/>
        <v>N/A</v>
      </c>
      <c r="N367" s="11" t="str">
        <f t="shared" si="84"/>
        <v>N/A</v>
      </c>
      <c r="O367" s="11" t="str">
        <f t="shared" si="73"/>
        <v>N/A</v>
      </c>
      <c r="P367" s="11" t="str">
        <f t="shared" si="74"/>
        <v>N/A</v>
      </c>
      <c r="Q367" s="11" t="str">
        <f t="shared" si="85"/>
        <v>N/A</v>
      </c>
      <c r="R367" s="11" t="str">
        <f t="shared" si="86"/>
        <v>N/A</v>
      </c>
    </row>
    <row r="368" spans="1:18">
      <c r="A368" s="3" t="s">
        <v>329</v>
      </c>
      <c r="B368" s="3"/>
      <c r="C368" s="11" t="s">
        <v>330</v>
      </c>
      <c r="D368" s="11" t="s">
        <v>552</v>
      </c>
      <c r="E368" s="11"/>
      <c r="F368" s="11" t="str">
        <f t="shared" si="79"/>
        <v>N/A</v>
      </c>
      <c r="G368" s="11" t="str">
        <f t="shared" si="80"/>
        <v>N/A</v>
      </c>
      <c r="H368" s="11"/>
      <c r="I368" s="11" t="str">
        <f t="shared" si="81"/>
        <v>N/A</v>
      </c>
      <c r="J368" s="11" t="str">
        <f t="shared" si="87"/>
        <v>N/A</v>
      </c>
      <c r="K368" s="11" t="str">
        <f t="shared" si="82"/>
        <v>N/A</v>
      </c>
      <c r="L368" s="11" t="str">
        <f t="shared" si="83"/>
        <v>N/A</v>
      </c>
      <c r="M368" s="11" t="str">
        <f t="shared" si="72"/>
        <v>N/A</v>
      </c>
      <c r="N368" s="11" t="str">
        <f t="shared" si="84"/>
        <v>N/A</v>
      </c>
      <c r="O368" s="11" t="str">
        <f t="shared" si="73"/>
        <v>N/A</v>
      </c>
      <c r="P368" s="11" t="str">
        <f t="shared" si="74"/>
        <v>N/A</v>
      </c>
      <c r="Q368" s="11" t="str">
        <f t="shared" si="85"/>
        <v>N/A</v>
      </c>
      <c r="R368" s="11" t="str">
        <f t="shared" si="86"/>
        <v>N/A</v>
      </c>
    </row>
    <row r="369" spans="1:18">
      <c r="A369" s="3" t="s">
        <v>331</v>
      </c>
      <c r="B369" s="3"/>
      <c r="C369" s="11" t="s">
        <v>332</v>
      </c>
      <c r="D369" s="11" t="s">
        <v>553</v>
      </c>
      <c r="E369" s="11"/>
      <c r="F369" s="11" t="str">
        <f t="shared" si="79"/>
        <v>N/A</v>
      </c>
      <c r="G369" s="11" t="str">
        <f t="shared" si="80"/>
        <v>N/A</v>
      </c>
      <c r="H369" s="11"/>
      <c r="I369" s="11" t="str">
        <f t="shared" si="81"/>
        <v>N/A</v>
      </c>
      <c r="J369" s="11" t="str">
        <f t="shared" si="87"/>
        <v>N/A</v>
      </c>
      <c r="K369" s="11" t="str">
        <f t="shared" si="82"/>
        <v>N/A</v>
      </c>
      <c r="L369" s="11" t="str">
        <f t="shared" si="83"/>
        <v>N/A</v>
      </c>
      <c r="M369" s="11" t="str">
        <f t="shared" si="72"/>
        <v>N/A</v>
      </c>
      <c r="N369" s="11" t="str">
        <f t="shared" si="84"/>
        <v>N/A</v>
      </c>
      <c r="O369" s="11" t="str">
        <f t="shared" si="73"/>
        <v>N/A</v>
      </c>
      <c r="P369" s="11" t="str">
        <f t="shared" si="74"/>
        <v>N/A</v>
      </c>
      <c r="Q369" s="11" t="str">
        <f t="shared" si="85"/>
        <v>N/A</v>
      </c>
      <c r="R369" s="11" t="str">
        <f t="shared" si="86"/>
        <v>N/A</v>
      </c>
    </row>
    <row r="370" spans="1:18">
      <c r="A370" s="3" t="s">
        <v>333</v>
      </c>
      <c r="B370" s="3"/>
      <c r="C370" s="11" t="s">
        <v>334</v>
      </c>
      <c r="D370" s="11" t="s">
        <v>554</v>
      </c>
      <c r="E370" s="11"/>
      <c r="F370" s="11" t="str">
        <f t="shared" si="79"/>
        <v>N/A</v>
      </c>
      <c r="G370" s="11" t="str">
        <f t="shared" si="80"/>
        <v>N/A</v>
      </c>
      <c r="H370" s="11"/>
      <c r="I370" s="11" t="str">
        <f t="shared" si="81"/>
        <v>N/A</v>
      </c>
      <c r="J370" s="11" t="str">
        <f t="shared" si="87"/>
        <v>N/A</v>
      </c>
      <c r="K370" s="11" t="str">
        <f t="shared" si="82"/>
        <v>N/A</v>
      </c>
      <c r="L370" s="11" t="str">
        <f t="shared" si="83"/>
        <v>N/A</v>
      </c>
      <c r="M370" s="11" t="str">
        <f t="shared" si="72"/>
        <v>N/A</v>
      </c>
      <c r="N370" s="11" t="str">
        <f t="shared" si="84"/>
        <v>N/A</v>
      </c>
      <c r="O370" s="11" t="str">
        <f t="shared" si="73"/>
        <v>N/A</v>
      </c>
      <c r="P370" s="11" t="str">
        <f t="shared" si="74"/>
        <v>N/A</v>
      </c>
      <c r="Q370" s="11" t="str">
        <f t="shared" si="85"/>
        <v>N/A</v>
      </c>
      <c r="R370" s="11" t="str">
        <f t="shared" si="86"/>
        <v>N/A</v>
      </c>
    </row>
    <row r="371" spans="1:18">
      <c r="A371" s="3" t="s">
        <v>335</v>
      </c>
      <c r="B371" s="3"/>
      <c r="C371" s="11" t="s">
        <v>336</v>
      </c>
      <c r="D371" s="11" t="s">
        <v>555</v>
      </c>
      <c r="E371" s="11"/>
      <c r="F371" s="11" t="str">
        <f t="shared" si="79"/>
        <v>N/A</v>
      </c>
      <c r="G371" s="11" t="str">
        <f t="shared" si="80"/>
        <v>N/A</v>
      </c>
      <c r="H371" s="11"/>
      <c r="I371" s="11" t="str">
        <f t="shared" si="81"/>
        <v>N/A</v>
      </c>
      <c r="J371" s="11" t="str">
        <f t="shared" si="87"/>
        <v>N/A</v>
      </c>
      <c r="K371" s="11" t="str">
        <f t="shared" si="82"/>
        <v>N/A</v>
      </c>
      <c r="L371" s="11" t="str">
        <f t="shared" si="83"/>
        <v>N/A</v>
      </c>
      <c r="M371" s="11" t="str">
        <f t="shared" si="72"/>
        <v>N/A</v>
      </c>
      <c r="N371" s="11" t="str">
        <f t="shared" si="84"/>
        <v>N/A</v>
      </c>
      <c r="O371" s="11" t="str">
        <f t="shared" si="73"/>
        <v>N/A</v>
      </c>
      <c r="P371" s="11" t="str">
        <f t="shared" si="74"/>
        <v>N/A</v>
      </c>
      <c r="Q371" s="11" t="str">
        <f t="shared" si="85"/>
        <v>N/A</v>
      </c>
      <c r="R371" s="11" t="str">
        <f t="shared" si="86"/>
        <v>N/A</v>
      </c>
    </row>
    <row r="372" spans="1:18">
      <c r="A372" s="3" t="s">
        <v>337</v>
      </c>
      <c r="B372" s="3"/>
      <c r="C372" s="11" t="s">
        <v>338</v>
      </c>
      <c r="D372" s="11" t="s">
        <v>556</v>
      </c>
      <c r="E372" s="11"/>
      <c r="F372" s="11" t="str">
        <f t="shared" si="79"/>
        <v>N/A</v>
      </c>
      <c r="G372" s="11" t="str">
        <f t="shared" si="80"/>
        <v>N/A</v>
      </c>
      <c r="H372" s="11"/>
      <c r="I372" s="11" t="str">
        <f t="shared" si="81"/>
        <v>N/A</v>
      </c>
      <c r="J372" s="11" t="str">
        <f t="shared" si="87"/>
        <v>N/A</v>
      </c>
      <c r="K372" s="11" t="str">
        <f t="shared" si="82"/>
        <v>N/A</v>
      </c>
      <c r="L372" s="11" t="str">
        <f t="shared" si="83"/>
        <v>N/A</v>
      </c>
      <c r="M372" s="11" t="str">
        <f t="shared" si="72"/>
        <v>N/A</v>
      </c>
      <c r="N372" s="11" t="str">
        <f t="shared" si="84"/>
        <v>N/A</v>
      </c>
      <c r="O372" s="11" t="str">
        <f t="shared" si="73"/>
        <v>N/A</v>
      </c>
      <c r="P372" s="11" t="str">
        <f t="shared" si="74"/>
        <v>N/A</v>
      </c>
      <c r="Q372" s="11" t="str">
        <f t="shared" si="85"/>
        <v>N/A</v>
      </c>
      <c r="R372" s="11" t="str">
        <f t="shared" si="86"/>
        <v>N/A</v>
      </c>
    </row>
    <row r="373" spans="1:18">
      <c r="A373" s="3" t="s">
        <v>339</v>
      </c>
      <c r="B373" s="3"/>
      <c r="C373" s="11" t="s">
        <v>340</v>
      </c>
      <c r="D373" s="11" t="s">
        <v>557</v>
      </c>
      <c r="E373" s="11"/>
      <c r="F373" s="11" t="str">
        <f t="shared" si="79"/>
        <v>N/A</v>
      </c>
      <c r="G373" s="11" t="str">
        <f t="shared" si="80"/>
        <v>N/A</v>
      </c>
      <c r="H373" s="11"/>
      <c r="I373" s="11" t="str">
        <f t="shared" si="81"/>
        <v>N/A</v>
      </c>
      <c r="J373" s="11" t="str">
        <f t="shared" si="87"/>
        <v>N/A</v>
      </c>
      <c r="K373" s="11" t="str">
        <f t="shared" si="82"/>
        <v>N/A</v>
      </c>
      <c r="L373" s="11" t="str">
        <f t="shared" si="83"/>
        <v>N/A</v>
      </c>
      <c r="M373" s="11" t="str">
        <f t="shared" si="72"/>
        <v>N/A</v>
      </c>
      <c r="N373" s="11" t="str">
        <f t="shared" si="84"/>
        <v>N/A</v>
      </c>
      <c r="O373" s="11" t="str">
        <f t="shared" si="73"/>
        <v>N/A</v>
      </c>
      <c r="P373" s="11" t="str">
        <f t="shared" si="74"/>
        <v>N/A</v>
      </c>
      <c r="Q373" s="11" t="str">
        <f t="shared" si="85"/>
        <v>N/A</v>
      </c>
      <c r="R373" s="11" t="str">
        <f t="shared" si="86"/>
        <v>N/A</v>
      </c>
    </row>
    <row r="374" spans="1:18">
      <c r="B374" s="3"/>
      <c r="C374" s="11"/>
      <c r="D374" s="11"/>
      <c r="E374" s="11"/>
      <c r="I374" s="11" t="s">
        <v>439</v>
      </c>
      <c r="J374" s="11" t="s">
        <v>113</v>
      </c>
      <c r="K374" s="11" t="s">
        <v>116</v>
      </c>
      <c r="L374" s="11" t="s">
        <v>217</v>
      </c>
      <c r="M374" s="11" t="s">
        <v>440</v>
      </c>
      <c r="N374" s="11" t="s">
        <v>441</v>
      </c>
      <c r="O374" s="11" t="s">
        <v>442</v>
      </c>
      <c r="P374" s="11" t="s">
        <v>443</v>
      </c>
      <c r="Q374" s="11" t="s">
        <v>440</v>
      </c>
      <c r="R374" s="11" t="s">
        <v>440</v>
      </c>
    </row>
    <row r="375" spans="1:18">
      <c r="A375" s="3" t="s">
        <v>152</v>
      </c>
      <c r="B375" s="3"/>
      <c r="C375" s="11" t="s">
        <v>165</v>
      </c>
      <c r="D375" s="11" t="s">
        <v>444</v>
      </c>
      <c r="E375" s="11"/>
      <c r="F375" s="11" t="s">
        <v>156</v>
      </c>
      <c r="G375" s="11" t="s">
        <v>157</v>
      </c>
      <c r="H375" s="11"/>
      <c r="I375" s="11" t="s">
        <v>445</v>
      </c>
      <c r="J375" s="11" t="s">
        <v>159</v>
      </c>
      <c r="K375" s="11" t="s">
        <v>159</v>
      </c>
      <c r="L375" s="11" t="s">
        <v>160</v>
      </c>
      <c r="M375" s="11" t="s">
        <v>446</v>
      </c>
      <c r="N375" s="11" t="s">
        <v>447</v>
      </c>
      <c r="O375" s="11" t="s">
        <v>448</v>
      </c>
      <c r="P375" s="11" t="s">
        <v>448</v>
      </c>
      <c r="Q375" s="11" t="s">
        <v>449</v>
      </c>
      <c r="R375" s="11" t="s">
        <v>450</v>
      </c>
    </row>
    <row r="376" spans="1:18">
      <c r="B376" s="3"/>
      <c r="E376" s="11"/>
      <c r="F376" s="11" t="s">
        <v>451</v>
      </c>
      <c r="G376" s="11" t="s">
        <v>451</v>
      </c>
      <c r="H376" s="11"/>
      <c r="I376" s="11" t="s">
        <v>452</v>
      </c>
      <c r="J376" s="11" t="s">
        <v>451</v>
      </c>
      <c r="K376" s="11" t="s">
        <v>451</v>
      </c>
      <c r="L376" s="11" t="s">
        <v>451</v>
      </c>
      <c r="M376" s="11" t="s">
        <v>173</v>
      </c>
      <c r="N376" s="11" t="s">
        <v>173</v>
      </c>
      <c r="O376" s="11" t="s">
        <v>173</v>
      </c>
      <c r="P376" s="11" t="s">
        <v>173</v>
      </c>
      <c r="Q376" s="11" t="s">
        <v>453</v>
      </c>
      <c r="R376" s="11" t="s">
        <v>453</v>
      </c>
    </row>
    <row r="377" spans="1:18">
      <c r="A377" s="3" t="s">
        <v>341</v>
      </c>
      <c r="B377" s="3"/>
      <c r="C377" s="11" t="s">
        <v>342</v>
      </c>
      <c r="D377" s="11" t="s">
        <v>558</v>
      </c>
      <c r="E377" s="11"/>
      <c r="F377" s="11" t="str">
        <f t="shared" ref="F377:F397" si="88">IF($I$32=0, "N/A", IF($I210&lt;$L210, "N/A", IF($E210&gt;$L210, $L210, $L210+($L210-$E210)*$I$40/$I$22)))</f>
        <v>N/A</v>
      </c>
      <c r="G377" s="11" t="str">
        <f t="shared" ref="G377:G397" si="89">IF($I$33=0, "N/A", IF($J210&lt;$M210, "N/A", IF($E210&gt;$M210, $M210, $M210+($M210-$E210)*$I$45/$I$22)))</f>
        <v>N/A</v>
      </c>
      <c r="H377" s="11"/>
      <c r="I377" s="11" t="str">
        <f t="shared" ref="I377:I397" si="90">IF($J210&lt;$N210, "N/A", IF($E210&gt;$N210, $N210, $N210+($N210-$E210)*$I$45/$I$22))</f>
        <v>N/A</v>
      </c>
      <c r="J377" s="11" t="str">
        <f t="shared" ref="J377:J397" si="91">IF($I$30=0, "N/A", IF($G210&lt;$O210, "N/A", $O210))</f>
        <v>N/A</v>
      </c>
      <c r="K377" s="11" t="str">
        <f t="shared" ref="K377:K397" si="92">IF($I$31=0, "N/A", IF($J210&lt;$P210, "N/A", IF($E210&gt;$P210, $P210, $P210+($P210-$E210)*$I$45/$I$22)))</f>
        <v>N/A</v>
      </c>
      <c r="L377" s="11" t="str">
        <f t="shared" ref="L377:L397" si="93">IF($K210&lt;$Q210, "N/A", IF($E210&gt;$Q210, $Q210, $Q210+($Q210-$E210)*$I$41/$I$22))</f>
        <v>N/A</v>
      </c>
      <c r="M377" s="11" t="str">
        <f t="shared" si="72"/>
        <v>N/A</v>
      </c>
      <c r="N377" s="11" t="str">
        <f t="shared" ref="N377:N399" si="94">IF($M377="N/A","N/A",MAX($M377/1.5,MIN($L210:$Q210)))</f>
        <v>N/A</v>
      </c>
      <c r="O377" s="11" t="str">
        <f t="shared" si="73"/>
        <v>N/A</v>
      </c>
      <c r="P377" s="11" t="str">
        <f t="shared" si="74"/>
        <v>N/A</v>
      </c>
      <c r="Q377" s="11" t="str">
        <f t="shared" ref="Q377:Q399" si="95">IF($O377="N/A","N/A", 8.34*$O377*$I$21/1000)</f>
        <v>N/A</v>
      </c>
      <c r="R377" s="11" t="str">
        <f t="shared" ref="R377:R399" si="96">IF($P377="N/A","N/A", 8.34*$P377*$I$21/1000)</f>
        <v>N/A</v>
      </c>
    </row>
    <row r="378" spans="1:18">
      <c r="A378" s="3" t="s">
        <v>343</v>
      </c>
      <c r="B378" s="3"/>
      <c r="C378" s="11" t="s">
        <v>344</v>
      </c>
      <c r="D378" s="11" t="s">
        <v>559</v>
      </c>
      <c r="E378" s="11"/>
      <c r="F378" s="11" t="str">
        <f t="shared" si="88"/>
        <v>N/A</v>
      </c>
      <c r="G378" s="11" t="str">
        <f t="shared" si="89"/>
        <v>N/A</v>
      </c>
      <c r="H378" s="11"/>
      <c r="I378" s="11" t="str">
        <f t="shared" si="90"/>
        <v>N/A</v>
      </c>
      <c r="J378" s="11" t="str">
        <f t="shared" si="91"/>
        <v>N/A</v>
      </c>
      <c r="K378" s="11" t="str">
        <f t="shared" si="92"/>
        <v>N/A</v>
      </c>
      <c r="L378" s="11" t="str">
        <f t="shared" si="93"/>
        <v>N/A</v>
      </c>
      <c r="M378" s="11" t="str">
        <f t="shared" si="72"/>
        <v>N/A</v>
      </c>
      <c r="N378" s="11" t="str">
        <f t="shared" si="94"/>
        <v>N/A</v>
      </c>
      <c r="O378" s="11" t="str">
        <f t="shared" si="73"/>
        <v>N/A</v>
      </c>
      <c r="P378" s="11" t="str">
        <f t="shared" si="74"/>
        <v>N/A</v>
      </c>
      <c r="Q378" s="11" t="str">
        <f t="shared" si="95"/>
        <v>N/A</v>
      </c>
      <c r="R378" s="11" t="str">
        <f t="shared" si="96"/>
        <v>N/A</v>
      </c>
    </row>
    <row r="379" spans="1:18">
      <c r="A379" s="3" t="s">
        <v>345</v>
      </c>
      <c r="B379" s="3"/>
      <c r="C379" s="11" t="s">
        <v>346</v>
      </c>
      <c r="D379" s="11" t="s">
        <v>560</v>
      </c>
      <c r="E379" s="11"/>
      <c r="F379" s="11" t="str">
        <f t="shared" si="88"/>
        <v>N/A</v>
      </c>
      <c r="G379" s="11" t="str">
        <f t="shared" si="89"/>
        <v>N/A</v>
      </c>
      <c r="H379" s="11"/>
      <c r="I379" s="11" t="str">
        <f t="shared" si="90"/>
        <v>N/A</v>
      </c>
      <c r="J379" s="11" t="str">
        <f t="shared" si="91"/>
        <v>N/A</v>
      </c>
      <c r="K379" s="11" t="str">
        <f t="shared" si="92"/>
        <v>N/A</v>
      </c>
      <c r="L379" s="11" t="str">
        <f t="shared" si="93"/>
        <v>N/A</v>
      </c>
      <c r="M379" s="11" t="str">
        <f t="shared" si="72"/>
        <v>N/A</v>
      </c>
      <c r="N379" s="11" t="str">
        <f t="shared" si="94"/>
        <v>N/A</v>
      </c>
      <c r="O379" s="11" t="str">
        <f t="shared" si="73"/>
        <v>N/A</v>
      </c>
      <c r="P379" s="11" t="str">
        <f t="shared" si="74"/>
        <v>N/A</v>
      </c>
      <c r="Q379" s="11" t="str">
        <f t="shared" si="95"/>
        <v>N/A</v>
      </c>
      <c r="R379" s="11" t="str">
        <f t="shared" si="96"/>
        <v>N/A</v>
      </c>
    </row>
    <row r="380" spans="1:18">
      <c r="A380" s="3" t="s">
        <v>347</v>
      </c>
      <c r="B380" s="3"/>
      <c r="C380" s="11" t="s">
        <v>348</v>
      </c>
      <c r="D380" s="11" t="s">
        <v>561</v>
      </c>
      <c r="E380" s="11"/>
      <c r="F380" s="11" t="str">
        <f t="shared" si="88"/>
        <v>N/A</v>
      </c>
      <c r="G380" s="11" t="str">
        <f t="shared" si="89"/>
        <v>N/A</v>
      </c>
      <c r="H380" s="11"/>
      <c r="I380" s="11" t="str">
        <f t="shared" si="90"/>
        <v>N/A</v>
      </c>
      <c r="J380" s="11" t="str">
        <f t="shared" si="91"/>
        <v>N/A</v>
      </c>
      <c r="K380" s="11" t="str">
        <f t="shared" si="92"/>
        <v>N/A</v>
      </c>
      <c r="L380" s="11" t="str">
        <f t="shared" si="93"/>
        <v>N/A</v>
      </c>
      <c r="M380" s="11" t="str">
        <f t="shared" si="72"/>
        <v>N/A</v>
      </c>
      <c r="N380" s="11" t="str">
        <f t="shared" si="94"/>
        <v>N/A</v>
      </c>
      <c r="O380" s="11" t="str">
        <f t="shared" si="73"/>
        <v>N/A</v>
      </c>
      <c r="P380" s="11" t="str">
        <f t="shared" si="74"/>
        <v>N/A</v>
      </c>
      <c r="Q380" s="11" t="str">
        <f t="shared" si="95"/>
        <v>N/A</v>
      </c>
      <c r="R380" s="11" t="str">
        <f t="shared" si="96"/>
        <v>N/A</v>
      </c>
    </row>
    <row r="381" spans="1:18">
      <c r="A381" s="3" t="s">
        <v>349</v>
      </c>
      <c r="B381" s="3"/>
      <c r="C381" s="11" t="s">
        <v>350</v>
      </c>
      <c r="D381" s="11" t="s">
        <v>562</v>
      </c>
      <c r="E381" s="11"/>
      <c r="F381" s="11" t="str">
        <f t="shared" si="88"/>
        <v>N/A</v>
      </c>
      <c r="G381" s="11" t="str">
        <f t="shared" si="89"/>
        <v>N/A</v>
      </c>
      <c r="H381" s="11"/>
      <c r="I381" s="11" t="str">
        <f t="shared" si="90"/>
        <v>N/A</v>
      </c>
      <c r="J381" s="11" t="str">
        <f t="shared" si="91"/>
        <v>N/A</v>
      </c>
      <c r="K381" s="11" t="str">
        <f t="shared" si="92"/>
        <v>N/A</v>
      </c>
      <c r="L381" s="11" t="str">
        <f t="shared" si="93"/>
        <v>N/A</v>
      </c>
      <c r="M381" s="11" t="str">
        <f t="shared" si="72"/>
        <v>N/A</v>
      </c>
      <c r="N381" s="11" t="str">
        <f t="shared" si="94"/>
        <v>N/A</v>
      </c>
      <c r="O381" s="11" t="str">
        <f t="shared" si="73"/>
        <v>N/A</v>
      </c>
      <c r="P381" s="11" t="str">
        <f t="shared" si="74"/>
        <v>N/A</v>
      </c>
      <c r="Q381" s="11" t="str">
        <f t="shared" si="95"/>
        <v>N/A</v>
      </c>
      <c r="R381" s="11" t="str">
        <f t="shared" si="96"/>
        <v>N/A</v>
      </c>
    </row>
    <row r="382" spans="1:18">
      <c r="A382" s="3" t="s">
        <v>351</v>
      </c>
      <c r="B382" s="3"/>
      <c r="C382" s="11" t="s">
        <v>352</v>
      </c>
      <c r="D382" s="11" t="s">
        <v>563</v>
      </c>
      <c r="E382" s="11"/>
      <c r="F382" s="11" t="str">
        <f t="shared" si="88"/>
        <v>N/A</v>
      </c>
      <c r="G382" s="11" t="str">
        <f t="shared" si="89"/>
        <v>N/A</v>
      </c>
      <c r="H382" s="11"/>
      <c r="I382" s="11" t="str">
        <f t="shared" si="90"/>
        <v>N/A</v>
      </c>
      <c r="J382" s="11" t="str">
        <f t="shared" si="91"/>
        <v>N/A</v>
      </c>
      <c r="K382" s="11" t="str">
        <f t="shared" si="92"/>
        <v>N/A</v>
      </c>
      <c r="L382" s="11" t="str">
        <f t="shared" si="93"/>
        <v>N/A</v>
      </c>
      <c r="M382" s="11" t="str">
        <f t="shared" si="72"/>
        <v>N/A</v>
      </c>
      <c r="N382" s="11" t="str">
        <f t="shared" si="94"/>
        <v>N/A</v>
      </c>
      <c r="O382" s="11" t="str">
        <f t="shared" si="73"/>
        <v>N/A</v>
      </c>
      <c r="P382" s="11" t="str">
        <f t="shared" si="74"/>
        <v>N/A</v>
      </c>
      <c r="Q382" s="11" t="str">
        <f t="shared" si="95"/>
        <v>N/A</v>
      </c>
      <c r="R382" s="11" t="str">
        <f t="shared" si="96"/>
        <v>N/A</v>
      </c>
    </row>
    <row r="383" spans="1:18">
      <c r="A383" s="3" t="s">
        <v>353</v>
      </c>
      <c r="B383" s="3"/>
      <c r="C383" s="11" t="s">
        <v>354</v>
      </c>
      <c r="D383" s="11" t="s">
        <v>564</v>
      </c>
      <c r="E383" s="11"/>
      <c r="F383" s="11" t="str">
        <f t="shared" si="88"/>
        <v>N/A</v>
      </c>
      <c r="G383" s="11" t="str">
        <f t="shared" si="89"/>
        <v>N/A</v>
      </c>
      <c r="H383" s="11"/>
      <c r="I383" s="11" t="str">
        <f t="shared" si="90"/>
        <v>N/A</v>
      </c>
      <c r="J383" s="11" t="str">
        <f t="shared" si="91"/>
        <v>N/A</v>
      </c>
      <c r="K383" s="11" t="str">
        <f t="shared" si="92"/>
        <v>N/A</v>
      </c>
      <c r="L383" s="11" t="str">
        <f t="shared" si="93"/>
        <v>N/A</v>
      </c>
      <c r="M383" s="11" t="str">
        <f t="shared" si="72"/>
        <v>N/A</v>
      </c>
      <c r="N383" s="11" t="str">
        <f t="shared" si="94"/>
        <v>N/A</v>
      </c>
      <c r="O383" s="11" t="str">
        <f t="shared" si="73"/>
        <v>N/A</v>
      </c>
      <c r="P383" s="11" t="str">
        <f t="shared" si="74"/>
        <v>N/A</v>
      </c>
      <c r="Q383" s="11" t="str">
        <f t="shared" si="95"/>
        <v>N/A</v>
      </c>
      <c r="R383" s="11" t="str">
        <f t="shared" si="96"/>
        <v>N/A</v>
      </c>
    </row>
    <row r="384" spans="1:18">
      <c r="A384" s="3" t="s">
        <v>355</v>
      </c>
      <c r="B384" s="3"/>
      <c r="C384" s="11" t="s">
        <v>356</v>
      </c>
      <c r="D384" s="11" t="s">
        <v>565</v>
      </c>
      <c r="E384" s="11"/>
      <c r="F384" s="11" t="str">
        <f t="shared" si="88"/>
        <v>N/A</v>
      </c>
      <c r="G384" s="11" t="str">
        <f t="shared" si="89"/>
        <v>N/A</v>
      </c>
      <c r="H384" s="11"/>
      <c r="I384" s="11" t="str">
        <f t="shared" si="90"/>
        <v>N/A</v>
      </c>
      <c r="J384" s="11" t="str">
        <f t="shared" si="91"/>
        <v>N/A</v>
      </c>
      <c r="K384" s="11" t="str">
        <f t="shared" si="92"/>
        <v>N/A</v>
      </c>
      <c r="L384" s="11" t="str">
        <f t="shared" si="93"/>
        <v>N/A</v>
      </c>
      <c r="M384" s="11" t="str">
        <f t="shared" si="72"/>
        <v>N/A</v>
      </c>
      <c r="N384" s="11" t="str">
        <f t="shared" si="94"/>
        <v>N/A</v>
      </c>
      <c r="O384" s="11" t="str">
        <f t="shared" si="73"/>
        <v>N/A</v>
      </c>
      <c r="P384" s="11" t="str">
        <f t="shared" si="74"/>
        <v>N/A</v>
      </c>
      <c r="Q384" s="11" t="str">
        <f t="shared" si="95"/>
        <v>N/A</v>
      </c>
      <c r="R384" s="11" t="str">
        <f t="shared" si="96"/>
        <v>N/A</v>
      </c>
    </row>
    <row r="385" spans="1:18">
      <c r="A385" s="3" t="s">
        <v>357</v>
      </c>
      <c r="B385" s="3"/>
      <c r="C385" s="11" t="s">
        <v>358</v>
      </c>
      <c r="D385" s="11" t="s">
        <v>566</v>
      </c>
      <c r="E385" s="11"/>
      <c r="F385" s="11" t="str">
        <f t="shared" si="88"/>
        <v>N/A</v>
      </c>
      <c r="G385" s="11" t="str">
        <f t="shared" si="89"/>
        <v>N/A</v>
      </c>
      <c r="H385" s="11"/>
      <c r="I385" s="11" t="str">
        <f t="shared" si="90"/>
        <v>N/A</v>
      </c>
      <c r="J385" s="11" t="str">
        <f t="shared" si="91"/>
        <v>N/A</v>
      </c>
      <c r="K385" s="11" t="str">
        <f t="shared" si="92"/>
        <v>N/A</v>
      </c>
      <c r="L385" s="11" t="str">
        <f t="shared" si="93"/>
        <v>N/A</v>
      </c>
      <c r="M385" s="11" t="str">
        <f t="shared" si="72"/>
        <v>N/A</v>
      </c>
      <c r="N385" s="11" t="str">
        <f t="shared" si="94"/>
        <v>N/A</v>
      </c>
      <c r="O385" s="11" t="str">
        <f t="shared" si="73"/>
        <v>N/A</v>
      </c>
      <c r="P385" s="11" t="str">
        <f t="shared" si="74"/>
        <v>N/A</v>
      </c>
      <c r="Q385" s="11" t="str">
        <f t="shared" si="95"/>
        <v>N/A</v>
      </c>
      <c r="R385" s="11" t="str">
        <f t="shared" si="96"/>
        <v>N/A</v>
      </c>
    </row>
    <row r="386" spans="1:18">
      <c r="A386" s="3" t="s">
        <v>359</v>
      </c>
      <c r="B386" s="3"/>
      <c r="C386" s="11" t="s">
        <v>360</v>
      </c>
      <c r="D386" s="11" t="s">
        <v>567</v>
      </c>
      <c r="E386" s="11"/>
      <c r="F386" s="11" t="str">
        <f t="shared" si="88"/>
        <v>N/A</v>
      </c>
      <c r="G386" s="11" t="str">
        <f t="shared" si="89"/>
        <v>N/A</v>
      </c>
      <c r="H386" s="11"/>
      <c r="I386" s="11" t="str">
        <f t="shared" si="90"/>
        <v>N/A</v>
      </c>
      <c r="J386" s="11" t="str">
        <f t="shared" si="91"/>
        <v>N/A</v>
      </c>
      <c r="K386" s="11" t="str">
        <f t="shared" si="92"/>
        <v>N/A</v>
      </c>
      <c r="L386" s="11" t="str">
        <f t="shared" si="93"/>
        <v>N/A</v>
      </c>
      <c r="M386" s="11" t="str">
        <f t="shared" si="72"/>
        <v>N/A</v>
      </c>
      <c r="N386" s="11" t="str">
        <f t="shared" si="94"/>
        <v>N/A</v>
      </c>
      <c r="O386" s="11" t="str">
        <f t="shared" si="73"/>
        <v>N/A</v>
      </c>
      <c r="P386" s="11" t="str">
        <f t="shared" si="74"/>
        <v>N/A</v>
      </c>
      <c r="Q386" s="11" t="str">
        <f t="shared" si="95"/>
        <v>N/A</v>
      </c>
      <c r="R386" s="11" t="str">
        <f t="shared" si="96"/>
        <v>N/A</v>
      </c>
    </row>
    <row r="387" spans="1:18">
      <c r="A387" s="3" t="s">
        <v>361</v>
      </c>
      <c r="B387" s="3"/>
      <c r="C387" s="11" t="s">
        <v>362</v>
      </c>
      <c r="D387" s="11" t="s">
        <v>568</v>
      </c>
      <c r="E387" s="11"/>
      <c r="F387" s="11" t="str">
        <f t="shared" si="88"/>
        <v>N/A</v>
      </c>
      <c r="G387" s="11" t="str">
        <f t="shared" si="89"/>
        <v>N/A</v>
      </c>
      <c r="H387" s="11"/>
      <c r="I387" s="11" t="str">
        <f t="shared" si="90"/>
        <v>N/A</v>
      </c>
      <c r="J387" s="11" t="str">
        <f t="shared" si="91"/>
        <v>N/A</v>
      </c>
      <c r="K387" s="11" t="str">
        <f t="shared" si="92"/>
        <v>N/A</v>
      </c>
      <c r="L387" s="11" t="str">
        <f t="shared" si="93"/>
        <v>N/A</v>
      </c>
      <c r="M387" s="11" t="str">
        <f t="shared" si="72"/>
        <v>N/A</v>
      </c>
      <c r="N387" s="11" t="str">
        <f t="shared" si="94"/>
        <v>N/A</v>
      </c>
      <c r="O387" s="11" t="str">
        <f t="shared" si="73"/>
        <v>N/A</v>
      </c>
      <c r="P387" s="11" t="str">
        <f t="shared" si="74"/>
        <v>N/A</v>
      </c>
      <c r="Q387" s="11" t="str">
        <f t="shared" si="95"/>
        <v>N/A</v>
      </c>
      <c r="R387" s="11" t="str">
        <f t="shared" si="96"/>
        <v>N/A</v>
      </c>
    </row>
    <row r="388" spans="1:18">
      <c r="A388" s="3" t="s">
        <v>363</v>
      </c>
      <c r="B388" s="3"/>
      <c r="C388" s="11" t="s">
        <v>364</v>
      </c>
      <c r="D388" s="11" t="s">
        <v>569</v>
      </c>
      <c r="E388" s="11"/>
      <c r="F388" s="11" t="str">
        <f t="shared" si="88"/>
        <v>N/A</v>
      </c>
      <c r="G388" s="11" t="str">
        <f t="shared" si="89"/>
        <v>N/A</v>
      </c>
      <c r="H388" s="11"/>
      <c r="I388" s="11" t="str">
        <f t="shared" si="90"/>
        <v>N/A</v>
      </c>
      <c r="J388" s="11" t="str">
        <f t="shared" si="91"/>
        <v>N/A</v>
      </c>
      <c r="K388" s="11" t="str">
        <f t="shared" si="92"/>
        <v>N/A</v>
      </c>
      <c r="L388" s="11" t="str">
        <f t="shared" si="93"/>
        <v>N/A</v>
      </c>
      <c r="M388" s="11" t="str">
        <f t="shared" si="72"/>
        <v>N/A</v>
      </c>
      <c r="N388" s="11" t="str">
        <f t="shared" si="94"/>
        <v>N/A</v>
      </c>
      <c r="O388" s="11" t="str">
        <f t="shared" si="73"/>
        <v>N/A</v>
      </c>
      <c r="P388" s="11" t="str">
        <f t="shared" si="74"/>
        <v>N/A</v>
      </c>
      <c r="Q388" s="11" t="str">
        <f t="shared" si="95"/>
        <v>N/A</v>
      </c>
      <c r="R388" s="11" t="str">
        <f t="shared" si="96"/>
        <v>N/A</v>
      </c>
    </row>
    <row r="389" spans="1:18">
      <c r="A389" s="3" t="s">
        <v>365</v>
      </c>
      <c r="B389" s="3"/>
      <c r="C389" s="11" t="s">
        <v>366</v>
      </c>
      <c r="D389" s="11" t="s">
        <v>570</v>
      </c>
      <c r="E389" s="11"/>
      <c r="F389" s="11" t="str">
        <f t="shared" si="88"/>
        <v>N/A</v>
      </c>
      <c r="G389" s="11" t="str">
        <f t="shared" si="89"/>
        <v>N/A</v>
      </c>
      <c r="H389" s="11"/>
      <c r="I389" s="11" t="str">
        <f t="shared" si="90"/>
        <v>N/A</v>
      </c>
      <c r="J389" s="11" t="str">
        <f t="shared" si="91"/>
        <v>N/A</v>
      </c>
      <c r="K389" s="11" t="str">
        <f t="shared" si="92"/>
        <v>N/A</v>
      </c>
      <c r="L389" s="11" t="str">
        <f t="shared" si="93"/>
        <v>N/A</v>
      </c>
      <c r="M389" s="11" t="str">
        <f t="shared" si="72"/>
        <v>N/A</v>
      </c>
      <c r="N389" s="11" t="str">
        <f t="shared" si="94"/>
        <v>N/A</v>
      </c>
      <c r="O389" s="11" t="str">
        <f t="shared" si="73"/>
        <v>N/A</v>
      </c>
      <c r="P389" s="11" t="str">
        <f t="shared" si="74"/>
        <v>N/A</v>
      </c>
      <c r="Q389" s="11" t="str">
        <f t="shared" si="95"/>
        <v>N/A</v>
      </c>
      <c r="R389" s="11" t="str">
        <f t="shared" si="96"/>
        <v>N/A</v>
      </c>
    </row>
    <row r="390" spans="1:18">
      <c r="A390" s="3" t="s">
        <v>367</v>
      </c>
      <c r="B390" s="3"/>
      <c r="C390" s="11" t="s">
        <v>368</v>
      </c>
      <c r="D390" s="11" t="s">
        <v>571</v>
      </c>
      <c r="E390" s="11"/>
      <c r="F390" s="11" t="str">
        <f t="shared" si="88"/>
        <v>N/A</v>
      </c>
      <c r="G390" s="11" t="str">
        <f t="shared" si="89"/>
        <v>N/A</v>
      </c>
      <c r="H390" s="11"/>
      <c r="I390" s="11" t="str">
        <f t="shared" si="90"/>
        <v>N/A</v>
      </c>
      <c r="J390" s="11" t="str">
        <f t="shared" si="91"/>
        <v>N/A</v>
      </c>
      <c r="K390" s="11" t="str">
        <f t="shared" si="92"/>
        <v>N/A</v>
      </c>
      <c r="L390" s="11" t="str">
        <f t="shared" si="93"/>
        <v>N/A</v>
      </c>
      <c r="M390" s="11" t="str">
        <f t="shared" si="72"/>
        <v>N/A</v>
      </c>
      <c r="N390" s="11" t="str">
        <f t="shared" si="94"/>
        <v>N/A</v>
      </c>
      <c r="O390" s="11" t="str">
        <f t="shared" si="73"/>
        <v>N/A</v>
      </c>
      <c r="P390" s="11" t="str">
        <f t="shared" si="74"/>
        <v>N/A</v>
      </c>
      <c r="Q390" s="11" t="str">
        <f t="shared" si="95"/>
        <v>N/A</v>
      </c>
      <c r="R390" s="11" t="str">
        <f t="shared" si="96"/>
        <v>N/A</v>
      </c>
    </row>
    <row r="391" spans="1:18">
      <c r="A391" s="3" t="s">
        <v>369</v>
      </c>
      <c r="B391" s="3"/>
      <c r="C391" s="11" t="s">
        <v>370</v>
      </c>
      <c r="D391" s="11" t="s">
        <v>572</v>
      </c>
      <c r="E391" s="11"/>
      <c r="F391" s="11" t="str">
        <f t="shared" si="88"/>
        <v>N/A</v>
      </c>
      <c r="G391" s="11" t="str">
        <f t="shared" si="89"/>
        <v>N/A</v>
      </c>
      <c r="H391" s="11"/>
      <c r="I391" s="11" t="str">
        <f t="shared" si="90"/>
        <v>N/A</v>
      </c>
      <c r="J391" s="11" t="str">
        <f t="shared" si="91"/>
        <v>N/A</v>
      </c>
      <c r="K391" s="11" t="str">
        <f t="shared" si="92"/>
        <v>N/A</v>
      </c>
      <c r="L391" s="11" t="str">
        <f t="shared" si="93"/>
        <v>N/A</v>
      </c>
      <c r="M391" s="11" t="str">
        <f t="shared" si="72"/>
        <v>N/A</v>
      </c>
      <c r="N391" s="11" t="str">
        <f t="shared" si="94"/>
        <v>N/A</v>
      </c>
      <c r="O391" s="11" t="str">
        <f t="shared" si="73"/>
        <v>N/A</v>
      </c>
      <c r="P391" s="11" t="str">
        <f t="shared" si="74"/>
        <v>N/A</v>
      </c>
      <c r="Q391" s="11" t="str">
        <f t="shared" si="95"/>
        <v>N/A</v>
      </c>
      <c r="R391" s="11" t="str">
        <f t="shared" si="96"/>
        <v>N/A</v>
      </c>
    </row>
    <row r="392" spans="1:18">
      <c r="A392" s="3" t="s">
        <v>371</v>
      </c>
      <c r="B392" s="3"/>
      <c r="C392" s="11" t="s">
        <v>372</v>
      </c>
      <c r="D392" s="11" t="s">
        <v>573</v>
      </c>
      <c r="E392" s="11"/>
      <c r="F392" s="11" t="str">
        <f t="shared" si="88"/>
        <v>N/A</v>
      </c>
      <c r="G392" s="11" t="str">
        <f t="shared" si="89"/>
        <v>N/A</v>
      </c>
      <c r="H392" s="11"/>
      <c r="I392" s="11" t="str">
        <f t="shared" si="90"/>
        <v>N/A</v>
      </c>
      <c r="J392" s="11" t="str">
        <f t="shared" si="91"/>
        <v>N/A</v>
      </c>
      <c r="K392" s="11" t="str">
        <f t="shared" si="92"/>
        <v>N/A</v>
      </c>
      <c r="L392" s="11" t="str">
        <f t="shared" si="93"/>
        <v>N/A</v>
      </c>
      <c r="M392" s="11" t="str">
        <f t="shared" si="72"/>
        <v>N/A</v>
      </c>
      <c r="N392" s="11" t="str">
        <f t="shared" si="94"/>
        <v>N/A</v>
      </c>
      <c r="O392" s="11" t="str">
        <f t="shared" si="73"/>
        <v>N/A</v>
      </c>
      <c r="P392" s="11" t="str">
        <f t="shared" si="74"/>
        <v>N/A</v>
      </c>
      <c r="Q392" s="11" t="str">
        <f t="shared" si="95"/>
        <v>N/A</v>
      </c>
      <c r="R392" s="11" t="str">
        <f t="shared" si="96"/>
        <v>N/A</v>
      </c>
    </row>
    <row r="393" spans="1:18">
      <c r="A393" s="3" t="s">
        <v>373</v>
      </c>
      <c r="B393" s="3"/>
      <c r="C393" s="11" t="s">
        <v>374</v>
      </c>
      <c r="D393" s="11" t="s">
        <v>574</v>
      </c>
      <c r="E393" s="11"/>
      <c r="F393" s="11" t="str">
        <f t="shared" si="88"/>
        <v>N/A</v>
      </c>
      <c r="G393" s="11" t="str">
        <f t="shared" si="89"/>
        <v>N/A</v>
      </c>
      <c r="H393" s="11"/>
      <c r="I393" s="11" t="str">
        <f t="shared" si="90"/>
        <v>N/A</v>
      </c>
      <c r="J393" s="11" t="str">
        <f t="shared" si="91"/>
        <v>N/A</v>
      </c>
      <c r="K393" s="11" t="str">
        <f t="shared" si="92"/>
        <v>N/A</v>
      </c>
      <c r="L393" s="11" t="str">
        <f t="shared" si="93"/>
        <v>N/A</v>
      </c>
      <c r="M393" s="11" t="str">
        <f t="shared" si="72"/>
        <v>N/A</v>
      </c>
      <c r="N393" s="11" t="str">
        <f t="shared" si="94"/>
        <v>N/A</v>
      </c>
      <c r="O393" s="11" t="str">
        <f t="shared" si="73"/>
        <v>N/A</v>
      </c>
      <c r="P393" s="11" t="str">
        <f t="shared" si="74"/>
        <v>N/A</v>
      </c>
      <c r="Q393" s="11" t="str">
        <f t="shared" si="95"/>
        <v>N/A</v>
      </c>
      <c r="R393" s="11" t="str">
        <f t="shared" si="96"/>
        <v>N/A</v>
      </c>
    </row>
    <row r="394" spans="1:18">
      <c r="A394" s="3" t="s">
        <v>375</v>
      </c>
      <c r="B394" s="3"/>
      <c r="C394" s="11" t="s">
        <v>376</v>
      </c>
      <c r="D394" s="11" t="s">
        <v>575</v>
      </c>
      <c r="E394" s="11"/>
      <c r="F394" s="11" t="str">
        <f t="shared" si="88"/>
        <v>N/A</v>
      </c>
      <c r="G394" s="11" t="str">
        <f t="shared" si="89"/>
        <v>N/A</v>
      </c>
      <c r="H394" s="11"/>
      <c r="I394" s="11" t="str">
        <f t="shared" si="90"/>
        <v>N/A</v>
      </c>
      <c r="J394" s="11" t="str">
        <f t="shared" si="91"/>
        <v>N/A</v>
      </c>
      <c r="K394" s="11" t="str">
        <f t="shared" si="92"/>
        <v>N/A</v>
      </c>
      <c r="L394" s="11" t="str">
        <f t="shared" si="93"/>
        <v>N/A</v>
      </c>
      <c r="M394" s="11" t="str">
        <f t="shared" si="72"/>
        <v>N/A</v>
      </c>
      <c r="N394" s="11" t="str">
        <f t="shared" si="94"/>
        <v>N/A</v>
      </c>
      <c r="O394" s="11" t="str">
        <f t="shared" si="73"/>
        <v>N/A</v>
      </c>
      <c r="P394" s="11" t="str">
        <f t="shared" si="74"/>
        <v>N/A</v>
      </c>
      <c r="Q394" s="11" t="str">
        <f t="shared" si="95"/>
        <v>N/A</v>
      </c>
      <c r="R394" s="11" t="str">
        <f t="shared" si="96"/>
        <v>N/A</v>
      </c>
    </row>
    <row r="395" spans="1:18">
      <c r="A395" s="3" t="s">
        <v>377</v>
      </c>
      <c r="B395" s="3"/>
      <c r="C395" s="11" t="s">
        <v>378</v>
      </c>
      <c r="D395" s="11" t="s">
        <v>576</v>
      </c>
      <c r="E395" s="11"/>
      <c r="F395" s="11" t="str">
        <f t="shared" si="88"/>
        <v>N/A</v>
      </c>
      <c r="G395" s="11" t="str">
        <f t="shared" si="89"/>
        <v>N/A</v>
      </c>
      <c r="H395" s="11"/>
      <c r="I395" s="11" t="str">
        <f t="shared" si="90"/>
        <v>N/A</v>
      </c>
      <c r="J395" s="11" t="str">
        <f t="shared" si="91"/>
        <v>N/A</v>
      </c>
      <c r="K395" s="11" t="str">
        <f t="shared" si="92"/>
        <v>N/A</v>
      </c>
      <c r="L395" s="11" t="str">
        <f t="shared" si="93"/>
        <v>N/A</v>
      </c>
      <c r="M395" s="11" t="str">
        <f t="shared" si="72"/>
        <v>N/A</v>
      </c>
      <c r="N395" s="11" t="str">
        <f t="shared" si="94"/>
        <v>N/A</v>
      </c>
      <c r="O395" s="11" t="str">
        <f t="shared" si="73"/>
        <v>N/A</v>
      </c>
      <c r="P395" s="11" t="str">
        <f t="shared" si="74"/>
        <v>N/A</v>
      </c>
      <c r="Q395" s="11" t="str">
        <f t="shared" si="95"/>
        <v>N/A</v>
      </c>
      <c r="R395" s="11" t="str">
        <f t="shared" si="96"/>
        <v>N/A</v>
      </c>
    </row>
    <row r="396" spans="1:18">
      <c r="A396" s="3" t="s">
        <v>379</v>
      </c>
      <c r="B396" s="3"/>
      <c r="C396" s="11" t="s">
        <v>380</v>
      </c>
      <c r="D396" s="11" t="s">
        <v>577</v>
      </c>
      <c r="E396" s="11"/>
      <c r="F396" s="11" t="str">
        <f t="shared" si="88"/>
        <v>N/A</v>
      </c>
      <c r="G396" s="11" t="str">
        <f t="shared" si="89"/>
        <v>N/A</v>
      </c>
      <c r="H396" s="11"/>
      <c r="I396" s="11" t="str">
        <f t="shared" si="90"/>
        <v>N/A</v>
      </c>
      <c r="J396" s="11" t="str">
        <f t="shared" si="91"/>
        <v>N/A</v>
      </c>
      <c r="K396" s="11" t="str">
        <f t="shared" si="92"/>
        <v>N/A</v>
      </c>
      <c r="L396" s="11" t="str">
        <f t="shared" si="93"/>
        <v>N/A</v>
      </c>
      <c r="M396" s="11" t="str">
        <f t="shared" si="72"/>
        <v>N/A</v>
      </c>
      <c r="N396" s="11" t="str">
        <f t="shared" si="94"/>
        <v>N/A</v>
      </c>
      <c r="O396" s="11" t="str">
        <f t="shared" si="73"/>
        <v>N/A</v>
      </c>
      <c r="P396" s="11" t="str">
        <f t="shared" si="74"/>
        <v>N/A</v>
      </c>
      <c r="Q396" s="11" t="str">
        <f t="shared" si="95"/>
        <v>N/A</v>
      </c>
      <c r="R396" s="11" t="str">
        <f t="shared" si="96"/>
        <v>N/A</v>
      </c>
    </row>
    <row r="397" spans="1:18">
      <c r="A397" s="3" t="s">
        <v>381</v>
      </c>
      <c r="B397" s="3"/>
      <c r="C397" s="11" t="s">
        <v>382</v>
      </c>
      <c r="D397" s="11"/>
      <c r="E397" s="11"/>
      <c r="F397" s="11" t="str">
        <f t="shared" si="88"/>
        <v>N/A</v>
      </c>
      <c r="G397" s="11" t="str">
        <f t="shared" si="89"/>
        <v>N/A</v>
      </c>
      <c r="H397" s="11"/>
      <c r="I397" s="11" t="str">
        <f t="shared" si="90"/>
        <v>N/A</v>
      </c>
      <c r="J397" s="11" t="str">
        <f t="shared" si="91"/>
        <v>N/A</v>
      </c>
      <c r="K397" s="11" t="str">
        <f t="shared" si="92"/>
        <v>N/A</v>
      </c>
      <c r="L397" s="11" t="str">
        <f t="shared" si="93"/>
        <v>N/A</v>
      </c>
      <c r="M397" s="11" t="str">
        <f t="shared" si="72"/>
        <v>N/A</v>
      </c>
      <c r="N397" s="11" t="str">
        <f t="shared" si="94"/>
        <v>N/A</v>
      </c>
      <c r="O397" s="11" t="str">
        <f t="shared" ref="O397" si="97" xml:space="preserve"> M397</f>
        <v>N/A</v>
      </c>
      <c r="P397" s="11" t="str">
        <f t="shared" ref="P397" si="98" xml:space="preserve"> N397</f>
        <v>N/A</v>
      </c>
      <c r="Q397" s="11" t="str">
        <f t="shared" si="95"/>
        <v>N/A</v>
      </c>
      <c r="R397" s="11" t="str">
        <f t="shared" si="96"/>
        <v>N/A</v>
      </c>
    </row>
    <row r="398" spans="1:18">
      <c r="A398" s="3" t="s">
        <v>383</v>
      </c>
      <c r="B398" s="3"/>
      <c r="C398" s="11" t="s">
        <v>384</v>
      </c>
      <c r="D398" s="11" t="s">
        <v>578</v>
      </c>
      <c r="E398" s="11"/>
      <c r="F398" s="11" t="str">
        <f t="shared" ref="F398:F399" si="99">IF($I$32=0, "N/A", IF($I231&lt;$L231, "N/A", IF($E231&gt;$L231, $L231, $L231+($L231-$E231)*$I$40/$I$22)))</f>
        <v>N/A</v>
      </c>
      <c r="G398" s="11" t="str">
        <f t="shared" ref="G398:G399" si="100">IF($I$33=0, "N/A", IF($J231&lt;$M231, "N/A", IF($E231&gt;$M231, $M231, $M231+($M231-$E231)*$I$45/$I$22)))</f>
        <v>N/A</v>
      </c>
      <c r="H398" s="11"/>
      <c r="I398" s="11" t="str">
        <f t="shared" ref="I398:I399" si="101">IF($J231&lt;$N231, "N/A", IF($E231&gt;$N231, $N231, $N231+($N231-$E231)*$I$45/$I$22))</f>
        <v>N/A</v>
      </c>
      <c r="J398" s="11" t="str">
        <f t="shared" ref="J398:J399" si="102">IF($I$30=0, "N/A", IF($G231&lt;$O231, "N/A", $O231))</f>
        <v>N/A</v>
      </c>
      <c r="K398" s="11" t="str">
        <f t="shared" ref="K398:K399" si="103">IF($I$31=0, "N/A", IF($J231&lt;$P231, "N/A", IF($E231&gt;$P231, $P231, $P231+($P231-$E231)*$I$45/$I$22)))</f>
        <v>N/A</v>
      </c>
      <c r="L398" s="11" t="str">
        <f t="shared" ref="L398:L399" si="104">IF($K231&lt;$Q231, "N/A", IF($E231&gt;$Q231, $Q231, $Q231+($Q231-$E231)*$I$41/$I$22))</f>
        <v>N/A</v>
      </c>
      <c r="M398" s="11" t="str">
        <f t="shared" si="72"/>
        <v>N/A</v>
      </c>
      <c r="N398" s="11" t="str">
        <f t="shared" si="94"/>
        <v>N/A</v>
      </c>
      <c r="O398" s="11" t="str">
        <f t="shared" si="73"/>
        <v>N/A</v>
      </c>
      <c r="P398" s="11" t="str">
        <f t="shared" si="74"/>
        <v>N/A</v>
      </c>
      <c r="Q398" s="11" t="str">
        <f t="shared" si="95"/>
        <v>N/A</v>
      </c>
      <c r="R398" s="11" t="str">
        <f t="shared" si="96"/>
        <v>N/A</v>
      </c>
    </row>
    <row r="399" spans="1:18">
      <c r="A399" s="3" t="s">
        <v>385</v>
      </c>
      <c r="B399" s="3"/>
      <c r="C399" s="11" t="s">
        <v>386</v>
      </c>
      <c r="D399" s="11" t="s">
        <v>579</v>
      </c>
      <c r="E399" s="11"/>
      <c r="F399" s="11" t="str">
        <f t="shared" si="99"/>
        <v>N/A</v>
      </c>
      <c r="G399" s="11" t="str">
        <f t="shared" si="100"/>
        <v>N/A</v>
      </c>
      <c r="H399" s="11"/>
      <c r="I399" s="11" t="str">
        <f t="shared" si="101"/>
        <v>N/A</v>
      </c>
      <c r="J399" s="11" t="str">
        <f t="shared" si="102"/>
        <v>N/A</v>
      </c>
      <c r="K399" s="11" t="str">
        <f t="shared" si="103"/>
        <v>N/A</v>
      </c>
      <c r="L399" s="11" t="str">
        <f t="shared" si="104"/>
        <v>N/A</v>
      </c>
      <c r="M399" s="11" t="str">
        <f t="shared" si="72"/>
        <v>N/A</v>
      </c>
      <c r="N399" s="11" t="str">
        <f t="shared" si="94"/>
        <v>N/A</v>
      </c>
      <c r="O399" s="11" t="str">
        <f t="shared" si="73"/>
        <v>N/A</v>
      </c>
      <c r="P399" s="11" t="str">
        <f t="shared" si="74"/>
        <v>N/A</v>
      </c>
      <c r="Q399" s="11" t="str">
        <f t="shared" si="95"/>
        <v>N/A</v>
      </c>
      <c r="R399" s="11" t="str">
        <f t="shared" si="96"/>
        <v>N/A</v>
      </c>
    </row>
    <row r="400" spans="1:18">
      <c r="A400" s="6" t="s">
        <v>387</v>
      </c>
      <c r="B400" s="3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</row>
    <row r="401" spans="1:18">
      <c r="A401" s="3" t="s">
        <v>388</v>
      </c>
      <c r="B401" s="3"/>
      <c r="C401" s="11" t="s">
        <v>389</v>
      </c>
      <c r="D401" s="11" t="s">
        <v>580</v>
      </c>
      <c r="E401" s="11"/>
      <c r="F401" s="11" t="str">
        <f t="shared" ref="F401:F417" si="105">IF($I$32=0, "N/A", IF($I238&lt;$L238, "N/A", IF($E238&gt;$L238, $L238, $L238+($L238-$E238)*$I$40/$I$22)))</f>
        <v>N/A</v>
      </c>
      <c r="G401" s="11" t="str">
        <f t="shared" ref="G401:G417" si="106">IF($I$33=0, "N/A", IF($J238&lt;$M238, "N/A", IF($E238&gt;$M238, $M238, $M238+($M238-$E238)*$I$45/$I$22)))</f>
        <v>N/A</v>
      </c>
      <c r="H401" s="11"/>
      <c r="I401" s="11" t="str">
        <f t="shared" ref="I401:I417" si="107">IF($J238&lt;$N238, "N/A", IF($E238&gt;$N238, $N238, $N238+($N238-$E238)*$I$45/$I$22))</f>
        <v>N/A</v>
      </c>
      <c r="J401" s="11" t="str">
        <f>IF($I$30=0, "N/A", IF($G238&lt;$O238, "N/A", $O238))</f>
        <v>N/A</v>
      </c>
      <c r="K401" s="11" t="str">
        <f t="shared" ref="K401:K417" si="108">IF($I$31=0, "N/A", IF($J238&lt;$P238, "N/A", IF($E238&gt;$P238, $P238, $P238+($P238-$E238)*$I$45/$I$22)))</f>
        <v>N/A</v>
      </c>
      <c r="L401" s="11" t="str">
        <f t="shared" ref="L401:L417" si="109">IF($K238&lt;$Q238, "N/A", IF($E238&gt;$Q238, $Q238, $Q238+($Q238-$E238)*$I$41/$I$22))</f>
        <v>N/A</v>
      </c>
      <c r="M401" s="11" t="str">
        <f t="shared" si="72"/>
        <v>N/A</v>
      </c>
      <c r="N401" s="11" t="str">
        <f t="shared" ref="N401:N417" si="110">IF($M401="N/A","N/A",MAX($M401/1.5,MIN($L238:$Q238)))</f>
        <v>N/A</v>
      </c>
      <c r="O401" s="11" t="str">
        <f t="shared" si="73"/>
        <v>N/A</v>
      </c>
      <c r="P401" s="11" t="str">
        <f t="shared" si="74"/>
        <v>N/A</v>
      </c>
      <c r="Q401" s="11" t="str">
        <f t="shared" ref="Q401:Q417" si="111">IF($O401="N/A","N/A", 8.34*$O401*$I$21/1000)</f>
        <v>N/A</v>
      </c>
      <c r="R401" s="11" t="str">
        <f t="shared" ref="R401:R417" si="112">IF($P401="N/A","N/A", 8.34*$P401*$I$21/1000)</f>
        <v>N/A</v>
      </c>
    </row>
    <row r="402" spans="1:18">
      <c r="A402" s="3" t="s">
        <v>390</v>
      </c>
      <c r="B402" s="3"/>
      <c r="C402" s="11" t="s">
        <v>391</v>
      </c>
      <c r="D402" s="11" t="s">
        <v>581</v>
      </c>
      <c r="E402" s="11"/>
      <c r="F402" s="11" t="str">
        <f t="shared" si="105"/>
        <v>N/A</v>
      </c>
      <c r="G402" s="11" t="str">
        <f t="shared" si="106"/>
        <v>N/A</v>
      </c>
      <c r="H402" s="11"/>
      <c r="I402" s="11" t="str">
        <f t="shared" si="107"/>
        <v>N/A</v>
      </c>
      <c r="J402" s="11" t="str">
        <f t="shared" ref="J402:J417" si="113">IF($I$30=0, "N/A", IF($G239&lt;$O239, "N/A", $O239))</f>
        <v>N/A</v>
      </c>
      <c r="K402" s="11" t="str">
        <f t="shared" si="108"/>
        <v>N/A</v>
      </c>
      <c r="L402" s="11" t="str">
        <f t="shared" si="109"/>
        <v>N/A</v>
      </c>
      <c r="M402" s="11" t="str">
        <f t="shared" si="72"/>
        <v>N/A</v>
      </c>
      <c r="N402" s="11" t="str">
        <f t="shared" si="110"/>
        <v>N/A</v>
      </c>
      <c r="O402" s="11" t="str">
        <f t="shared" si="73"/>
        <v>N/A</v>
      </c>
      <c r="P402" s="11" t="str">
        <f t="shared" si="74"/>
        <v>N/A</v>
      </c>
      <c r="Q402" s="11" t="str">
        <f t="shared" si="111"/>
        <v>N/A</v>
      </c>
      <c r="R402" s="11" t="str">
        <f t="shared" si="112"/>
        <v>N/A</v>
      </c>
    </row>
    <row r="403" spans="1:18">
      <c r="A403" s="3" t="s">
        <v>392</v>
      </c>
      <c r="B403" s="3"/>
      <c r="C403" s="11" t="s">
        <v>393</v>
      </c>
      <c r="D403" s="11" t="s">
        <v>582</v>
      </c>
      <c r="E403" s="11"/>
      <c r="F403" s="11" t="str">
        <f t="shared" si="105"/>
        <v>N/A</v>
      </c>
      <c r="G403" s="11" t="str">
        <f t="shared" si="106"/>
        <v>N/A</v>
      </c>
      <c r="H403" s="11"/>
      <c r="I403" s="11" t="str">
        <f t="shared" si="107"/>
        <v>N/A</v>
      </c>
      <c r="J403" s="11" t="str">
        <f t="shared" si="113"/>
        <v>N/A</v>
      </c>
      <c r="K403" s="11" t="str">
        <f t="shared" si="108"/>
        <v>N/A</v>
      </c>
      <c r="L403" s="11" t="str">
        <f t="shared" si="109"/>
        <v>N/A</v>
      </c>
      <c r="M403" s="11" t="str">
        <f t="shared" si="72"/>
        <v>N/A</v>
      </c>
      <c r="N403" s="11" t="str">
        <f t="shared" si="110"/>
        <v>N/A</v>
      </c>
      <c r="O403" s="11" t="str">
        <f t="shared" si="73"/>
        <v>N/A</v>
      </c>
      <c r="P403" s="11" t="str">
        <f t="shared" si="74"/>
        <v>N/A</v>
      </c>
      <c r="Q403" s="11" t="str">
        <f t="shared" si="111"/>
        <v>N/A</v>
      </c>
      <c r="R403" s="11" t="str">
        <f t="shared" si="112"/>
        <v>N/A</v>
      </c>
    </row>
    <row r="404" spans="1:18">
      <c r="A404" s="3" t="s">
        <v>394</v>
      </c>
      <c r="B404" s="3"/>
      <c r="C404" s="11" t="s">
        <v>395</v>
      </c>
      <c r="D404" s="11" t="s">
        <v>583</v>
      </c>
      <c r="E404" s="11"/>
      <c r="F404" s="11" t="str">
        <f t="shared" si="105"/>
        <v>N/A</v>
      </c>
      <c r="G404" s="11" t="str">
        <f t="shared" si="106"/>
        <v>N/A</v>
      </c>
      <c r="H404" s="11"/>
      <c r="I404" s="11" t="str">
        <f t="shared" si="107"/>
        <v>N/A</v>
      </c>
      <c r="J404" s="11" t="str">
        <f t="shared" si="113"/>
        <v>N/A</v>
      </c>
      <c r="K404" s="11" t="str">
        <f t="shared" si="108"/>
        <v>N/A</v>
      </c>
      <c r="L404" s="11" t="str">
        <f t="shared" si="109"/>
        <v>N/A</v>
      </c>
      <c r="M404" s="11" t="str">
        <f t="shared" si="72"/>
        <v>N/A</v>
      </c>
      <c r="N404" s="11" t="str">
        <f t="shared" si="110"/>
        <v>N/A</v>
      </c>
      <c r="O404" s="11" t="str">
        <f t="shared" si="73"/>
        <v>N/A</v>
      </c>
      <c r="P404" s="11" t="str">
        <f t="shared" si="74"/>
        <v>N/A</v>
      </c>
      <c r="Q404" s="11" t="str">
        <f t="shared" si="111"/>
        <v>N/A</v>
      </c>
      <c r="R404" s="11" t="str">
        <f t="shared" si="112"/>
        <v>N/A</v>
      </c>
    </row>
    <row r="405" spans="1:18">
      <c r="A405" s="3" t="s">
        <v>396</v>
      </c>
      <c r="B405" s="3"/>
      <c r="C405" s="11" t="s">
        <v>397</v>
      </c>
      <c r="D405" s="11" t="s">
        <v>584</v>
      </c>
      <c r="E405" s="11"/>
      <c r="F405" s="11" t="str">
        <f t="shared" si="105"/>
        <v>N/A</v>
      </c>
      <c r="G405" s="11" t="str">
        <f t="shared" si="106"/>
        <v>N/A</v>
      </c>
      <c r="H405" s="11"/>
      <c r="I405" s="11" t="str">
        <f t="shared" si="107"/>
        <v>N/A</v>
      </c>
      <c r="J405" s="11" t="str">
        <f t="shared" si="113"/>
        <v>N/A</v>
      </c>
      <c r="K405" s="11" t="str">
        <f t="shared" si="108"/>
        <v>N/A</v>
      </c>
      <c r="L405" s="11" t="str">
        <f t="shared" si="109"/>
        <v>N/A</v>
      </c>
      <c r="M405" s="11" t="str">
        <f t="shared" si="72"/>
        <v>N/A</v>
      </c>
      <c r="N405" s="11" t="str">
        <f t="shared" si="110"/>
        <v>N/A</v>
      </c>
      <c r="O405" s="11" t="str">
        <f t="shared" si="73"/>
        <v>N/A</v>
      </c>
      <c r="P405" s="11" t="str">
        <f t="shared" si="74"/>
        <v>N/A</v>
      </c>
      <c r="Q405" s="11" t="str">
        <f t="shared" si="111"/>
        <v>N/A</v>
      </c>
      <c r="R405" s="11" t="str">
        <f t="shared" si="112"/>
        <v>N/A</v>
      </c>
    </row>
    <row r="406" spans="1:18">
      <c r="A406" s="3" t="s">
        <v>398</v>
      </c>
      <c r="B406" s="3"/>
      <c r="C406" s="11" t="s">
        <v>399</v>
      </c>
      <c r="D406" s="11" t="s">
        <v>585</v>
      </c>
      <c r="E406" s="11"/>
      <c r="F406" s="11" t="str">
        <f t="shared" si="105"/>
        <v>N/A</v>
      </c>
      <c r="G406" s="11" t="str">
        <f t="shared" si="106"/>
        <v>N/A</v>
      </c>
      <c r="H406" s="11"/>
      <c r="I406" s="11" t="str">
        <f t="shared" si="107"/>
        <v>N/A</v>
      </c>
      <c r="J406" s="11" t="str">
        <f t="shared" si="113"/>
        <v>N/A</v>
      </c>
      <c r="K406" s="11" t="str">
        <f t="shared" si="108"/>
        <v>N/A</v>
      </c>
      <c r="L406" s="11" t="str">
        <f t="shared" si="109"/>
        <v>N/A</v>
      </c>
      <c r="M406" s="11" t="str">
        <f t="shared" si="72"/>
        <v>N/A</v>
      </c>
      <c r="N406" s="11" t="str">
        <f t="shared" si="110"/>
        <v>N/A</v>
      </c>
      <c r="O406" s="11" t="str">
        <f t="shared" si="73"/>
        <v>N/A</v>
      </c>
      <c r="P406" s="11" t="str">
        <f t="shared" si="74"/>
        <v>N/A</v>
      </c>
      <c r="Q406" s="11" t="str">
        <f t="shared" si="111"/>
        <v>N/A</v>
      </c>
      <c r="R406" s="11" t="str">
        <f t="shared" si="112"/>
        <v>N/A</v>
      </c>
    </row>
    <row r="407" spans="1:18">
      <c r="A407" s="3" t="s">
        <v>400</v>
      </c>
      <c r="B407" s="3"/>
      <c r="C407" s="11" t="s">
        <v>401</v>
      </c>
      <c r="D407" s="11" t="s">
        <v>586</v>
      </c>
      <c r="E407" s="11"/>
      <c r="F407" s="11" t="str">
        <f t="shared" si="105"/>
        <v>N/A</v>
      </c>
      <c r="G407" s="11" t="str">
        <f t="shared" si="106"/>
        <v>N/A</v>
      </c>
      <c r="H407" s="11"/>
      <c r="I407" s="11" t="str">
        <f t="shared" si="107"/>
        <v>N/A</v>
      </c>
      <c r="J407" s="11" t="str">
        <f t="shared" si="113"/>
        <v>N/A</v>
      </c>
      <c r="K407" s="11" t="str">
        <f t="shared" si="108"/>
        <v>N/A</v>
      </c>
      <c r="L407" s="11" t="str">
        <f t="shared" si="109"/>
        <v>N/A</v>
      </c>
      <c r="M407" s="11" t="str">
        <f t="shared" si="72"/>
        <v>N/A</v>
      </c>
      <c r="N407" s="11" t="str">
        <f t="shared" si="110"/>
        <v>N/A</v>
      </c>
      <c r="O407" s="11" t="str">
        <f t="shared" si="73"/>
        <v>N/A</v>
      </c>
      <c r="P407" s="11" t="str">
        <f t="shared" si="74"/>
        <v>N/A</v>
      </c>
      <c r="Q407" s="11" t="str">
        <f t="shared" si="111"/>
        <v>N/A</v>
      </c>
      <c r="R407" s="11" t="str">
        <f t="shared" si="112"/>
        <v>N/A</v>
      </c>
    </row>
    <row r="408" spans="1:18" s="20" customFormat="1">
      <c r="A408" s="3" t="s">
        <v>402</v>
      </c>
      <c r="B408" s="3"/>
      <c r="C408" s="11" t="s">
        <v>403</v>
      </c>
      <c r="D408" s="14" t="s">
        <v>587</v>
      </c>
      <c r="E408" s="11"/>
      <c r="F408" s="11" t="str">
        <f t="shared" si="105"/>
        <v>N/A</v>
      </c>
      <c r="G408" s="11" t="str">
        <f t="shared" si="106"/>
        <v>N/A</v>
      </c>
      <c r="H408" s="11"/>
      <c r="I408" s="11" t="str">
        <f t="shared" si="107"/>
        <v>N/A</v>
      </c>
      <c r="J408" s="11" t="str">
        <f t="shared" si="113"/>
        <v>N/A</v>
      </c>
      <c r="K408" s="11" t="str">
        <f t="shared" si="108"/>
        <v>N/A</v>
      </c>
      <c r="L408" s="11" t="str">
        <f t="shared" si="109"/>
        <v>N/A</v>
      </c>
      <c r="M408" s="11" t="str">
        <f t="shared" si="72"/>
        <v>N/A</v>
      </c>
      <c r="N408" s="11" t="str">
        <f t="shared" si="110"/>
        <v>N/A</v>
      </c>
      <c r="O408" s="11" t="str">
        <f t="shared" si="73"/>
        <v>N/A</v>
      </c>
      <c r="P408" s="11" t="str">
        <f t="shared" si="74"/>
        <v>N/A</v>
      </c>
      <c r="Q408" s="11" t="str">
        <f t="shared" si="111"/>
        <v>N/A</v>
      </c>
      <c r="R408" s="11" t="str">
        <f t="shared" si="112"/>
        <v>N/A</v>
      </c>
    </row>
    <row r="409" spans="1:18">
      <c r="A409" s="3" t="s">
        <v>404</v>
      </c>
      <c r="B409" s="3"/>
      <c r="C409" s="11" t="s">
        <v>405</v>
      </c>
      <c r="D409" s="11" t="s">
        <v>588</v>
      </c>
      <c r="E409" s="11"/>
      <c r="F409" s="11" t="str">
        <f t="shared" si="105"/>
        <v>N/A</v>
      </c>
      <c r="G409" s="11" t="str">
        <f t="shared" si="106"/>
        <v>N/A</v>
      </c>
      <c r="H409" s="11"/>
      <c r="I409" s="11" t="str">
        <f t="shared" si="107"/>
        <v>N/A</v>
      </c>
      <c r="J409" s="11" t="str">
        <f t="shared" si="113"/>
        <v>N/A</v>
      </c>
      <c r="K409" s="11" t="str">
        <f t="shared" si="108"/>
        <v>N/A</v>
      </c>
      <c r="L409" s="11" t="str">
        <f t="shared" si="109"/>
        <v>N/A</v>
      </c>
      <c r="M409" s="11" t="str">
        <f t="shared" si="72"/>
        <v>N/A</v>
      </c>
      <c r="N409" s="11" t="str">
        <f t="shared" si="110"/>
        <v>N/A</v>
      </c>
      <c r="O409" s="11" t="str">
        <f t="shared" si="73"/>
        <v>N/A</v>
      </c>
      <c r="P409" s="11" t="str">
        <f t="shared" si="74"/>
        <v>N/A</v>
      </c>
      <c r="Q409" s="11" t="str">
        <f t="shared" si="111"/>
        <v>N/A</v>
      </c>
      <c r="R409" s="11" t="str">
        <f t="shared" si="112"/>
        <v>N/A</v>
      </c>
    </row>
    <row r="410" spans="1:18">
      <c r="A410" s="3" t="s">
        <v>406</v>
      </c>
      <c r="B410" s="3"/>
      <c r="C410" s="11" t="s">
        <v>407</v>
      </c>
      <c r="D410" s="11" t="s">
        <v>589</v>
      </c>
      <c r="E410" s="11"/>
      <c r="F410" s="11" t="str">
        <f t="shared" si="105"/>
        <v>N/A</v>
      </c>
      <c r="G410" s="11" t="str">
        <f t="shared" si="106"/>
        <v>N/A</v>
      </c>
      <c r="H410" s="11"/>
      <c r="I410" s="11" t="str">
        <f t="shared" si="107"/>
        <v>N/A</v>
      </c>
      <c r="J410" s="11" t="str">
        <f t="shared" si="113"/>
        <v>N/A</v>
      </c>
      <c r="K410" s="11" t="str">
        <f t="shared" si="108"/>
        <v>N/A</v>
      </c>
      <c r="L410" s="11" t="str">
        <f t="shared" si="109"/>
        <v>N/A</v>
      </c>
      <c r="M410" s="11" t="str">
        <f t="shared" si="72"/>
        <v>N/A</v>
      </c>
      <c r="N410" s="11" t="str">
        <f t="shared" si="110"/>
        <v>N/A</v>
      </c>
      <c r="O410" s="11" t="str">
        <f t="shared" si="73"/>
        <v>N/A</v>
      </c>
      <c r="P410" s="11" t="str">
        <f t="shared" si="74"/>
        <v>N/A</v>
      </c>
      <c r="Q410" s="11" t="str">
        <f t="shared" si="111"/>
        <v>N/A</v>
      </c>
      <c r="R410" s="11" t="str">
        <f t="shared" si="112"/>
        <v>N/A</v>
      </c>
    </row>
    <row r="411" spans="1:18">
      <c r="A411" s="3" t="s">
        <v>408</v>
      </c>
      <c r="B411" s="3"/>
      <c r="C411" s="11" t="s">
        <v>409</v>
      </c>
      <c r="D411" s="11" t="s">
        <v>590</v>
      </c>
      <c r="E411" s="11"/>
      <c r="F411" s="11" t="str">
        <f t="shared" si="105"/>
        <v>N/A</v>
      </c>
      <c r="G411" s="11" t="str">
        <f t="shared" si="106"/>
        <v>N/A</v>
      </c>
      <c r="H411" s="11"/>
      <c r="I411" s="11" t="str">
        <f t="shared" si="107"/>
        <v>N/A</v>
      </c>
      <c r="J411" s="11" t="str">
        <f t="shared" si="113"/>
        <v>N/A</v>
      </c>
      <c r="K411" s="11" t="str">
        <f t="shared" si="108"/>
        <v>N/A</v>
      </c>
      <c r="L411" s="11" t="str">
        <f t="shared" si="109"/>
        <v>N/A</v>
      </c>
      <c r="M411" s="11" t="str">
        <f t="shared" si="72"/>
        <v>N/A</v>
      </c>
      <c r="N411" s="11" t="str">
        <f t="shared" si="110"/>
        <v>N/A</v>
      </c>
      <c r="O411" s="11" t="str">
        <f t="shared" si="73"/>
        <v>N/A</v>
      </c>
      <c r="P411" s="11" t="str">
        <f t="shared" si="74"/>
        <v>N/A</v>
      </c>
      <c r="Q411" s="11" t="str">
        <f t="shared" si="111"/>
        <v>N/A</v>
      </c>
      <c r="R411" s="11" t="str">
        <f t="shared" si="112"/>
        <v>N/A</v>
      </c>
    </row>
    <row r="412" spans="1:18">
      <c r="A412" s="3" t="s">
        <v>410</v>
      </c>
      <c r="B412" s="3"/>
      <c r="C412" s="11" t="s">
        <v>411</v>
      </c>
      <c r="D412" s="11" t="s">
        <v>591</v>
      </c>
      <c r="E412" s="11"/>
      <c r="F412" s="11" t="str">
        <f t="shared" si="105"/>
        <v>N/A</v>
      </c>
      <c r="G412" s="11" t="str">
        <f t="shared" si="106"/>
        <v>N/A</v>
      </c>
      <c r="H412" s="11"/>
      <c r="I412" s="11" t="str">
        <f t="shared" si="107"/>
        <v>N/A</v>
      </c>
      <c r="J412" s="11" t="str">
        <f t="shared" si="113"/>
        <v>N/A</v>
      </c>
      <c r="K412" s="11" t="str">
        <f t="shared" si="108"/>
        <v>N/A</v>
      </c>
      <c r="L412" s="11" t="str">
        <f t="shared" si="109"/>
        <v>N/A</v>
      </c>
      <c r="M412" s="11" t="str">
        <f t="shared" si="72"/>
        <v>N/A</v>
      </c>
      <c r="N412" s="11" t="str">
        <f t="shared" si="110"/>
        <v>N/A</v>
      </c>
      <c r="O412" s="11" t="str">
        <f t="shared" ref="O412:O417" si="114" xml:space="preserve"> M412</f>
        <v>N/A</v>
      </c>
      <c r="P412" s="11" t="str">
        <f t="shared" ref="P412:P417" si="115" xml:space="preserve"> N412</f>
        <v>N/A</v>
      </c>
      <c r="Q412" s="11" t="str">
        <f t="shared" si="111"/>
        <v>N/A</v>
      </c>
      <c r="R412" s="11" t="str">
        <f t="shared" si="112"/>
        <v>N/A</v>
      </c>
    </row>
    <row r="413" spans="1:18">
      <c r="A413" s="3" t="s">
        <v>412</v>
      </c>
      <c r="B413" s="3"/>
      <c r="C413" s="11" t="s">
        <v>413</v>
      </c>
      <c r="D413" s="11" t="s">
        <v>592</v>
      </c>
      <c r="E413" s="11"/>
      <c r="F413" s="11" t="str">
        <f t="shared" si="105"/>
        <v>N/A</v>
      </c>
      <c r="G413" s="11" t="str">
        <f t="shared" si="106"/>
        <v>N/A</v>
      </c>
      <c r="H413" s="11"/>
      <c r="I413" s="11" t="str">
        <f t="shared" si="107"/>
        <v>N/A</v>
      </c>
      <c r="J413" s="11" t="str">
        <f t="shared" si="113"/>
        <v>N/A</v>
      </c>
      <c r="K413" s="11" t="str">
        <f t="shared" si="108"/>
        <v>N/A</v>
      </c>
      <c r="L413" s="11" t="str">
        <f t="shared" si="109"/>
        <v>N/A</v>
      </c>
      <c r="M413" s="11" t="str">
        <f t="shared" si="72"/>
        <v>N/A</v>
      </c>
      <c r="N413" s="11" t="str">
        <f t="shared" si="110"/>
        <v>N/A</v>
      </c>
      <c r="O413" s="11" t="str">
        <f t="shared" si="114"/>
        <v>N/A</v>
      </c>
      <c r="P413" s="11" t="str">
        <f t="shared" si="115"/>
        <v>N/A</v>
      </c>
      <c r="Q413" s="11" t="str">
        <f t="shared" si="111"/>
        <v>N/A</v>
      </c>
      <c r="R413" s="11" t="str">
        <f t="shared" si="112"/>
        <v>N/A</v>
      </c>
    </row>
    <row r="414" spans="1:18">
      <c r="A414" s="3" t="s">
        <v>414</v>
      </c>
      <c r="B414" s="3"/>
      <c r="C414" s="11" t="s">
        <v>415</v>
      </c>
      <c r="D414" s="11" t="s">
        <v>593</v>
      </c>
      <c r="E414" s="11"/>
      <c r="F414" s="11" t="str">
        <f t="shared" si="105"/>
        <v>N/A</v>
      </c>
      <c r="G414" s="11" t="str">
        <f t="shared" si="106"/>
        <v>N/A</v>
      </c>
      <c r="H414" s="11"/>
      <c r="I414" s="11" t="str">
        <f t="shared" si="107"/>
        <v>N/A</v>
      </c>
      <c r="J414" s="11" t="str">
        <f t="shared" si="113"/>
        <v>N/A</v>
      </c>
      <c r="K414" s="11" t="str">
        <f t="shared" si="108"/>
        <v>N/A</v>
      </c>
      <c r="L414" s="11" t="str">
        <f t="shared" si="109"/>
        <v>N/A</v>
      </c>
      <c r="M414" s="11" t="str">
        <f t="shared" si="72"/>
        <v>N/A</v>
      </c>
      <c r="N414" s="11" t="str">
        <f t="shared" si="110"/>
        <v>N/A</v>
      </c>
      <c r="O414" s="11" t="str">
        <f t="shared" si="114"/>
        <v>N/A</v>
      </c>
      <c r="P414" s="11" t="str">
        <f t="shared" si="115"/>
        <v>N/A</v>
      </c>
      <c r="Q414" s="11" t="str">
        <f t="shared" si="111"/>
        <v>N/A</v>
      </c>
      <c r="R414" s="11" t="str">
        <f t="shared" si="112"/>
        <v>N/A</v>
      </c>
    </row>
    <row r="415" spans="1:18">
      <c r="A415" s="3" t="s">
        <v>416</v>
      </c>
      <c r="B415" s="3"/>
      <c r="C415" s="11" t="s">
        <v>417</v>
      </c>
      <c r="D415" s="11" t="s">
        <v>594</v>
      </c>
      <c r="E415" s="11"/>
      <c r="F415" s="11" t="str">
        <f t="shared" si="105"/>
        <v>N/A</v>
      </c>
      <c r="G415" s="11" t="str">
        <f t="shared" si="106"/>
        <v>N/A</v>
      </c>
      <c r="H415" s="11"/>
      <c r="I415" s="11" t="str">
        <f t="shared" si="107"/>
        <v>N/A</v>
      </c>
      <c r="J415" s="11" t="str">
        <f t="shared" si="113"/>
        <v>N/A</v>
      </c>
      <c r="K415" s="11" t="str">
        <f t="shared" si="108"/>
        <v>N/A</v>
      </c>
      <c r="L415" s="11" t="str">
        <f t="shared" si="109"/>
        <v>N/A</v>
      </c>
      <c r="M415" s="11" t="str">
        <f>IF(MIN($F415:$L415)=0,"N/A", MIN($F415:$L415))</f>
        <v>N/A</v>
      </c>
      <c r="N415" s="11" t="str">
        <f t="shared" si="110"/>
        <v>N/A</v>
      </c>
      <c r="O415" s="11" t="str">
        <f t="shared" si="114"/>
        <v>N/A</v>
      </c>
      <c r="P415" s="11" t="str">
        <f t="shared" si="115"/>
        <v>N/A</v>
      </c>
      <c r="Q415" s="11" t="str">
        <f t="shared" si="111"/>
        <v>N/A</v>
      </c>
      <c r="R415" s="11" t="str">
        <f t="shared" si="112"/>
        <v>N/A</v>
      </c>
    </row>
    <row r="416" spans="1:18">
      <c r="A416" s="3" t="s">
        <v>418</v>
      </c>
      <c r="B416" s="3"/>
      <c r="C416" s="11" t="s">
        <v>419</v>
      </c>
      <c r="D416" s="11" t="s">
        <v>595</v>
      </c>
      <c r="E416" s="11"/>
      <c r="F416" s="11" t="str">
        <f t="shared" si="105"/>
        <v>N/A</v>
      </c>
      <c r="G416" s="11" t="str">
        <f t="shared" si="106"/>
        <v>N/A</v>
      </c>
      <c r="H416" s="11"/>
      <c r="I416" s="11" t="str">
        <f t="shared" si="107"/>
        <v>N/A</v>
      </c>
      <c r="J416" s="11" t="str">
        <f t="shared" si="113"/>
        <v>N/A</v>
      </c>
      <c r="K416" s="11" t="str">
        <f t="shared" si="108"/>
        <v>N/A</v>
      </c>
      <c r="L416" s="11" t="str">
        <f t="shared" si="109"/>
        <v>N/A</v>
      </c>
      <c r="M416" s="11" t="str">
        <f>IF(MIN($F416:$L416)=0,"N/A", MIN($F416:$L416))</f>
        <v>N/A</v>
      </c>
      <c r="N416" s="11" t="str">
        <f t="shared" si="110"/>
        <v>N/A</v>
      </c>
      <c r="O416" s="11" t="str">
        <f t="shared" si="114"/>
        <v>N/A</v>
      </c>
      <c r="P416" s="11" t="str">
        <f t="shared" si="115"/>
        <v>N/A</v>
      </c>
      <c r="Q416" s="11" t="str">
        <f t="shared" si="111"/>
        <v>N/A</v>
      </c>
      <c r="R416" s="11" t="str">
        <f t="shared" si="112"/>
        <v>N/A</v>
      </c>
    </row>
    <row r="417" spans="1:18">
      <c r="A417" s="3" t="s">
        <v>420</v>
      </c>
      <c r="B417" s="3"/>
      <c r="C417" s="11" t="s">
        <v>421</v>
      </c>
      <c r="D417" s="11" t="s">
        <v>596</v>
      </c>
      <c r="E417" s="11"/>
      <c r="F417" s="11" t="str">
        <f t="shared" si="105"/>
        <v>N/A</v>
      </c>
      <c r="G417" s="11" t="str">
        <f t="shared" si="106"/>
        <v>N/A</v>
      </c>
      <c r="H417" s="11"/>
      <c r="I417" s="11" t="str">
        <f t="shared" si="107"/>
        <v>N/A</v>
      </c>
      <c r="J417" s="11" t="str">
        <f t="shared" si="113"/>
        <v>N/A</v>
      </c>
      <c r="K417" s="11" t="str">
        <f t="shared" si="108"/>
        <v>N/A</v>
      </c>
      <c r="L417" s="11" t="str">
        <f t="shared" si="109"/>
        <v>N/A</v>
      </c>
      <c r="M417" s="11" t="str">
        <f>IF(MIN($F417:$L417)=0,"N/A", MIN($F417:$L417))</f>
        <v>N/A</v>
      </c>
      <c r="N417" s="11" t="str">
        <f t="shared" si="110"/>
        <v>N/A</v>
      </c>
      <c r="O417" s="11" t="str">
        <f t="shared" si="114"/>
        <v>N/A</v>
      </c>
      <c r="P417" s="11" t="str">
        <f t="shared" si="115"/>
        <v>N/A</v>
      </c>
      <c r="Q417" s="11" t="str">
        <f t="shared" si="111"/>
        <v>N/A</v>
      </c>
      <c r="R417" s="11" t="str">
        <f t="shared" si="112"/>
        <v>N/A</v>
      </c>
    </row>
    <row r="418" spans="1:18"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8"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8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8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8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8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</sheetData>
  <phoneticPr fontId="0" type="noConversion"/>
  <pageMargins left="0.5" right="0.5" top="0.5" bottom="0.5" header="0" footer="0"/>
  <pageSetup scale="74" orientation="landscape" r:id="rId1"/>
  <headerFooter alignWithMargins="0">
    <oddHeader>&amp;C&amp;P</oddHeader>
  </headerFooter>
  <rowBreaks count="8" manualBreakCount="8">
    <brk id="45" max="17" man="1"/>
    <brk id="88" max="16383" man="1"/>
    <brk id="137" max="17" man="1"/>
    <brk id="185" max="17" man="1"/>
    <brk id="232" max="16383" man="1"/>
    <brk id="277" max="16383" man="1"/>
    <brk id="373" max="17" man="1"/>
    <brk id="4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B9F1-F245-4FA5-94A1-C2F5DB1AC185}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2022-08-24T14:39:43+00:00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  <lcf76f155ced4ddcb4097134ff3c332f xmlns="92953017-96f5-40cd-8d9e-826506a80b1b">
      <Terms xmlns="http://schemas.microsoft.com/office/infopath/2007/PartnerControls"/>
    </lcf76f155ced4ddcb4097134ff3c332f>
    <Current_x0020_Approver xmlns="92953017-96f5-40cd-8d9e-826506a80b1b" xsi:nil="true"/>
    <Track_x0020_Routing_x0020_List_x0020_ID xmlns="92953017-96f5-40cd-8d9e-826506a80b1b" xsi:nil="true"/>
    <Run_x0020_Send_x0020_To xmlns="92953017-96f5-40cd-8d9e-826506a80b1b" xsi:nil="true"/>
    <Link_x0020_to_x0020_Approvers_x0020_List xmlns="92953017-96f5-40cd-8d9e-826506a80b1b">
      <Url xsi:nil="true"/>
      <Description xsi:nil="true"/>
    </Link_x0020_to_x0020_Approvers_x0020_List>
    <pRouting_x0020_History xmlns="92953017-96f5-40cd-8d9e-826506a80b1b" xsi:nil="true"/>
    <Status xmlns="92953017-96f5-40cd-8d9e-826506a80b1b" xsi:nil="true"/>
    <Step xmlns="92953017-96f5-40cd-8d9e-826506a80b1b" xsi:nil="true"/>
    <Originator xmlns="92953017-96f5-40cd-8d9e-826506a80b1b">
      <UserInfo>
        <DisplayName/>
        <AccountId xsi:nil="true"/>
        <AccountType/>
      </UserInfo>
    </Originator>
    <Run_x0020_Skip_x0020_Step xmlns="92953017-96f5-40cd-8d9e-826506a80b1b" xsi:nil="true"/>
    <Routing_x0020_History xmlns="92953017-96f5-40cd-8d9e-826506a80b1b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4A490502BCE94B94B40D182DF629A7" ma:contentTypeVersion="29" ma:contentTypeDescription="Create a new document." ma:contentTypeScope="" ma:versionID="ad3b85edce72eba15f1119b5cab852ac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92953017-96f5-40cd-8d9e-826506a80b1b" xmlns:ns6="9fc000db-11b0-40bf-9452-f6a3041727fd" targetNamespace="http://schemas.microsoft.com/office/2006/metadata/properties" ma:root="true" ma:fieldsID="d13c6728cd6183a6eb1ffdc687774590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92953017-96f5-40cd-8d9e-826506a80b1b"/>
    <xsd:import namespace="9fc000db-11b0-40bf-9452-f6a3041727fd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Step" minOccurs="0"/>
                <xsd:element ref="ns5:Status" minOccurs="0"/>
                <xsd:element ref="ns5:Run_x0020_Send_x0020_To" minOccurs="0"/>
                <xsd:element ref="ns5:Run_x0020_Skip_x0020_Step" minOccurs="0"/>
                <xsd:element ref="ns5:Current_x0020_Approver" minOccurs="0"/>
                <xsd:element ref="ns5:Routing_x0020_History" minOccurs="0"/>
                <xsd:element ref="ns5:pRouting_x0020_History" minOccurs="0"/>
                <xsd:element ref="ns5:Originator" minOccurs="0"/>
                <xsd:element ref="ns5:Link_x0020_to_x0020_Approvers_x0020_List" minOccurs="0"/>
                <xsd:element ref="ns5:Track_x0020_Routing_x0020_List_x0020_ID" minOccurs="0"/>
                <xsd:element ref="ns5:MediaServiceObjectDetectorVersions" minOccurs="0"/>
                <xsd:element ref="ns5:MediaServiceSearchProperties" minOccurs="0"/>
                <xsd:element ref="ns5:MediaServiceDateTaken" minOccurs="0"/>
                <xsd:element ref="ns5:MediaLengthInSeconds" minOccurs="0"/>
                <xsd:element ref="ns5:MediaServiceBillingMetadata" minOccurs="0"/>
                <xsd:element ref="ns5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  <xsd:element name="_ip_UnifiedCompliancePolicyProperties" ma:index="5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5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a45ac557-38ed-4ade-b93a-ad24173452b6}" ma:internalName="TaxCatchAllLabel" ma:readOnly="true" ma:showField="CatchAllDataLabel" ma:web="9fc000db-11b0-40bf-9452-f6a3041727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a45ac557-38ed-4ade-b93a-ad24173452b6}" ma:internalName="TaxCatchAll" ma:showField="CatchAllData" ma:web="9fc000db-11b0-40bf-9452-f6a3041727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53017-96f5-40cd-8d9e-826506a80b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33" nillable="true" ma:taxonomy="true" ma:internalName="lcf76f155ced4ddcb4097134ff3c332f" ma:taxonomyFieldName="MediaServiceImageTags" ma:displayName="Image Tags" ma:readOnly="false" ma:fieldId="{5cf76f15-5ced-4ddc-b409-7134ff3c332f}" ma:taxonomyMulti="true" ma:sspId="29f62856-1543-49d4-a736-4569d363f5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Step" ma:index="37" nillable="true" ma:displayName="Step" ma:internalName="Step">
      <xsd:simpleType>
        <xsd:restriction base="dms:Choice">
          <xsd:enumeration value="Step 1"/>
          <xsd:enumeration value="Step 2"/>
          <xsd:enumeration value="Step 3"/>
          <xsd:enumeration value="Step 4"/>
          <xsd:enumeration value="Step 5"/>
          <xsd:enumeration value="Step 6"/>
          <xsd:enumeration value="Step 7"/>
          <xsd:enumeration value="Step 8"/>
          <xsd:enumeration value="Step 9"/>
          <xsd:enumeration value="Step 10"/>
          <xsd:enumeration value="End"/>
          <xsd:enumeration value="Start"/>
          <xsd:enumeration value="test"/>
          <xsd:enumeration value="admin"/>
          <xsd:enumeration value="Archive"/>
          <xsd:enumeration value="Sent to Originator"/>
        </xsd:restriction>
      </xsd:simpleType>
    </xsd:element>
    <xsd:element name="Status" ma:index="38" nillable="true" ma:displayName="Status" ma:internalName="Status">
      <xsd:simpleType>
        <xsd:restriction base="dms:Choice">
          <xsd:enumeration value="Not Started"/>
          <xsd:enumeration value="Routing"/>
          <xsd:enumeration value="Complete"/>
          <xsd:enumeration value="Terminated"/>
          <xsd:enumeration value="Error"/>
        </xsd:restriction>
      </xsd:simpleType>
    </xsd:element>
    <xsd:element name="Run_x0020_Send_x0020_To" ma:index="39" nillable="true" ma:displayName="Run Send To" ma:internalName="Run_x0020_Send_x0020_To">
      <xsd:simpleType>
        <xsd:restriction base="dms:Text"/>
      </xsd:simpleType>
    </xsd:element>
    <xsd:element name="Run_x0020_Skip_x0020_Step" ma:index="40" nillable="true" ma:displayName="Run Skip Step" ma:internalName="Run_x0020_Skip_x0020_Step">
      <xsd:simpleType>
        <xsd:restriction base="dms:Text"/>
      </xsd:simpleType>
    </xsd:element>
    <xsd:element name="Current_x0020_Approver" ma:index="41" nillable="true" ma:displayName="Current Approver" ma:internalName="Current_x0020_Approver">
      <xsd:simpleType>
        <xsd:restriction base="dms:Text"/>
      </xsd:simpleType>
    </xsd:element>
    <xsd:element name="Routing_x0020_History" ma:index="42" nillable="true" ma:displayName="Routing History" ma:internalName="Routing_x0020_History">
      <xsd:simpleType>
        <xsd:restriction base="dms:Note">
          <xsd:maxLength value="255"/>
        </xsd:restriction>
      </xsd:simpleType>
    </xsd:element>
    <xsd:element name="pRouting_x0020_History" ma:index="43" nillable="true" ma:displayName="pRouting History" ma:internalName="pRouting_x0020_History">
      <xsd:simpleType>
        <xsd:restriction base="dms:Note">
          <xsd:maxLength value="255"/>
        </xsd:restriction>
      </xsd:simpleType>
    </xsd:element>
    <xsd:element name="Originator" ma:index="44" nillable="true" ma:displayName="Originator" ma:list="UserInfo" ma:internalName="Originat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_x0020_to_x0020_Approvers_x0020_List" ma:index="45" nillable="true" ma:displayName="Link to Approvers List" ma:internalName="Link_x0020_to_x0020_Approvers_x0020_Lis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rack_x0020_Routing_x0020_List_x0020_ID" ma:index="46" nillable="true" ma:displayName="Track Routing List ID" ma:internalName="Track_x0020_Routing_x0020_List_x0020_ID">
      <xsd:simpleType>
        <xsd:restriction base="dms:Text"/>
      </xsd:simpleType>
    </xsd:element>
    <xsd:element name="MediaServiceObjectDetectorVersions" ma:index="4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5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5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5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c000db-11b0-40bf-9452-f6a3041727fd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29f62856-1543-49d4-a736-4569d363f533" ContentTypeId="0x0101" PreviousValue="false"/>
</file>

<file path=customXml/itemProps1.xml><?xml version="1.0" encoding="utf-8"?>
<ds:datastoreItem xmlns:ds="http://schemas.openxmlformats.org/officeDocument/2006/customXml" ds:itemID="{D39C7CAB-BFCA-4B6A-AA58-8AABAA804175}"/>
</file>

<file path=customXml/itemProps2.xml><?xml version="1.0" encoding="utf-8"?>
<ds:datastoreItem xmlns:ds="http://schemas.openxmlformats.org/officeDocument/2006/customXml" ds:itemID="{487A77D1-A375-4011-AA47-37F1E8E3262F}"/>
</file>

<file path=customXml/itemProps3.xml><?xml version="1.0" encoding="utf-8"?>
<ds:datastoreItem xmlns:ds="http://schemas.openxmlformats.org/officeDocument/2006/customXml" ds:itemID="{F85E02D8-56CD-4505-B1A2-473D89F241F6}"/>
</file>

<file path=customXml/itemProps4.xml><?xml version="1.0" encoding="utf-8"?>
<ds:datastoreItem xmlns:ds="http://schemas.openxmlformats.org/officeDocument/2006/customXml" ds:itemID="{9D106802-D587-4A0D-BCB6-B0B3D77B5F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Isaac Chen/R6/USEPA/US</dc:creator>
  <cp:keywords/>
  <dc:description/>
  <cp:lastModifiedBy/>
  <cp:revision/>
  <dcterms:created xsi:type="dcterms:W3CDTF">2005-05-24T20:49:56Z</dcterms:created>
  <dcterms:modified xsi:type="dcterms:W3CDTF">2026-08-06T18:51:48Z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e006667a5e42470dab090f2d0b50279b</vt:lpwstr>
  </property>
  <property fmtid="{D5CDD505-2E9C-101B-9397-08002B2CF9AE}" pid="3" name="ContentTypeId">
    <vt:lpwstr>0x010100564A490502BCE94B94B40D182DF629A7</vt:lpwstr>
  </property>
  <property fmtid="{D5CDD505-2E9C-101B-9397-08002B2CF9AE}" pid="4" name="TaxKeyword">
    <vt:lpwstr/>
  </property>
  <property fmtid="{D5CDD505-2E9C-101B-9397-08002B2CF9AE}" pid="5" name="e3f09c3df709400db2417a7161762d62">
    <vt:lpwstr/>
  </property>
  <property fmtid="{D5CDD505-2E9C-101B-9397-08002B2CF9AE}" pid="6" name="EPA_x0020_Subject">
    <vt:lpwstr/>
  </property>
  <property fmtid="{D5CDD505-2E9C-101B-9397-08002B2CF9AE}" pid="7" name="Document Type">
    <vt:lpwstr/>
  </property>
  <property fmtid="{D5CDD505-2E9C-101B-9397-08002B2CF9AE}" pid="8" name="EPA Subject">
    <vt:lpwstr/>
  </property>
  <property fmtid="{D5CDD505-2E9C-101B-9397-08002B2CF9AE}" pid="9" name="MediaServiceImageTags">
    <vt:lpwstr/>
  </property>
  <property fmtid="{D5CDD505-2E9C-101B-9397-08002B2CF9AE}" pid="10" name="Document_x0020_Type">
    <vt:lpwstr/>
  </property>
</Properties>
</file>