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5.xml" ContentType="application/vnd.openxmlformats-officedocument.drawing+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chart64.xml" ContentType="application/vnd.openxmlformats-officedocument.drawingml.chart+xml"/>
  <Override PartName="/xl/charts/style63.xml" ContentType="application/vnd.ms-office.chartstyle+xml"/>
  <Override PartName="/xl/charts/colors63.xml" ContentType="application/vnd.ms-office.chartcolorstyle+xml"/>
  <Override PartName="/xl/charts/chart65.xml" ContentType="application/vnd.openxmlformats-officedocument.drawingml.chart+xml"/>
  <Override PartName="/xl/charts/chart66.xml" ContentType="application/vnd.openxmlformats-officedocument.drawingml.chart+xml"/>
  <Override PartName="/xl/charts/style64.xml" ContentType="application/vnd.ms-office.chartstyle+xml"/>
  <Override PartName="/xl/charts/colors64.xml" ContentType="application/vnd.ms-office.chartcolorstyle+xml"/>
  <Override PartName="/xl/charts/chart67.xml" ContentType="application/vnd.openxmlformats-officedocument.drawingml.chart+xml"/>
  <Override PartName="/xl/charts/style65.xml" ContentType="application/vnd.ms-office.chartstyle+xml"/>
  <Override PartName="/xl/charts/colors65.xml" ContentType="application/vnd.ms-office.chartcolorstyle+xml"/>
  <Override PartName="/xl/charts/chart68.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6.xml" ContentType="application/vnd.openxmlformats-officedocument.drawing+xml"/>
  <Override PartName="/xl/charts/chart69.xml" ContentType="application/vnd.openxmlformats-officedocument.drawingml.chart+xml"/>
  <Override PartName="/xl/charts/style67.xml" ContentType="application/vnd.ms-office.chartstyle+xml"/>
  <Override PartName="/xl/charts/colors67.xml" ContentType="application/vnd.ms-office.chartcolorstyle+xml"/>
  <Override PartName="/xl/charts/chart70.xml" ContentType="application/vnd.openxmlformats-officedocument.drawingml.chart+xml"/>
  <Override PartName="/xl/charts/style68.xml" ContentType="application/vnd.ms-office.chartstyle+xml"/>
  <Override PartName="/xl/charts/colors68.xml" ContentType="application/vnd.ms-office.chartcolorstyle+xml"/>
  <Override PartName="/xl/charts/chart71.xml" ContentType="application/vnd.openxmlformats-officedocument.drawingml.chart+xml"/>
  <Override PartName="/xl/charts/style69.xml" ContentType="application/vnd.ms-office.chartstyle+xml"/>
  <Override PartName="/xl/charts/colors6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johnston_carey_epa_gov/Documents/Carey Work/Files/OECA/NPDES Electronic Reporting Rule/Implementation Activities/Training and Outreach/Webpage/"/>
    </mc:Choice>
  </mc:AlternateContent>
  <xr:revisionPtr revIDLastSave="325" documentId="8_{64DD73E1-9F22-4211-B158-B2D306933D91}" xr6:coauthVersionLast="47" xr6:coauthVersionMax="47" xr10:uidLastSave="{252F8BAA-459B-41AE-BCA7-17963A3F2C82}"/>
  <bookViews>
    <workbookView xWindow="28680" yWindow="-120" windowWidth="29040" windowHeight="15720" tabRatio="897" activeTab="1" xr2:uid="{00000000-000D-0000-FFFF-FFFF00000000}"/>
  </bookViews>
  <sheets>
    <sheet name="Overview" sheetId="15" r:id="rId1"/>
    <sheet name="NeT Roadmap" sheetId="8" r:id="rId2"/>
    <sheet name="State &amp; Regional NeT GP View" sheetId="9" r:id="rId3"/>
    <sheet name="State &amp; Regional NeT PR View" sheetId="12" r:id="rId4"/>
    <sheet name="NeT GP View" sheetId="3" r:id="rId5"/>
    <sheet name="NeT PR View" sheetId="7" r:id="rId6"/>
    <sheet name="NeT GP Contacts" sheetId="2" r:id="rId7"/>
    <sheet name="NeT PR Contacts" sheetId="4" r:id="rId8"/>
    <sheet name="NeT GP Proxy Cards" sheetId="14" r:id="rId9"/>
    <sheet name="ELMS Categories" sheetId="16" r:id="rId10"/>
    <sheet name="NeT GP - table_export" sheetId="1" r:id="rId11"/>
    <sheet name="NeT PR - table_export" sheetId="5" r:id="rId12"/>
  </sheets>
  <definedNames>
    <definedName name="_xlnm._FilterDatabase" localSheetId="10" hidden="1">'NeT GP - table_export'!$A$1:$AE$956</definedName>
    <definedName name="_xlnm._FilterDatabase" localSheetId="6" hidden="1">'NeT GP Contacts'!$A$4:$U$26</definedName>
    <definedName name="_xlnm._FilterDatabase" localSheetId="8" hidden="1">'NeT GP Proxy Cards'!$A$1:$I$95</definedName>
    <definedName name="_xlnm._FilterDatabase" localSheetId="11" hidden="1">'NeT PR - table_export'!$A$1:$O$414</definedName>
    <definedName name="_xlnm._FilterDatabase" localSheetId="2" hidden="1">'State &amp; Regional NeT GP View'!$B$5:$V$67</definedName>
    <definedName name="_xlnm._FilterDatabase" localSheetId="3" hidden="1">'State &amp; Regional NeT PR View'!$B$5:$U$67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2" i="12" l="1"/>
  <c r="D112" i="12"/>
  <c r="F112" i="12" s="1"/>
  <c r="E111" i="12"/>
  <c r="D111" i="12"/>
  <c r="E110" i="12"/>
  <c r="D110" i="12"/>
  <c r="E109" i="12"/>
  <c r="D109" i="12"/>
  <c r="F109" i="12" s="1"/>
  <c r="E108" i="12"/>
  <c r="D108" i="12"/>
  <c r="F108" i="12" s="1"/>
  <c r="E107" i="12"/>
  <c r="D107" i="12"/>
  <c r="E106" i="12"/>
  <c r="D106" i="12"/>
  <c r="F106" i="12" s="1"/>
  <c r="E105" i="12"/>
  <c r="D105" i="12"/>
  <c r="F105" i="12" s="1"/>
  <c r="E104" i="12"/>
  <c r="D104" i="12"/>
  <c r="E103" i="12"/>
  <c r="D103" i="12"/>
  <c r="F103" i="12" s="1"/>
  <c r="E102" i="12"/>
  <c r="D102" i="12"/>
  <c r="F102" i="12" s="1"/>
  <c r="E101" i="12"/>
  <c r="D101" i="12"/>
  <c r="E100" i="12"/>
  <c r="D100" i="12"/>
  <c r="F100" i="12" s="1"/>
  <c r="E99" i="12"/>
  <c r="D99" i="12"/>
  <c r="F99" i="12" s="1"/>
  <c r="E98" i="12"/>
  <c r="D98" i="12"/>
  <c r="E97" i="12"/>
  <c r="D97" i="12"/>
  <c r="F97" i="12" s="1"/>
  <c r="E91" i="12"/>
  <c r="D91" i="12"/>
  <c r="F91" i="12" s="1"/>
  <c r="E90" i="12"/>
  <c r="D90" i="12"/>
  <c r="E89" i="12"/>
  <c r="D89" i="12"/>
  <c r="F89" i="12" s="1"/>
  <c r="E88" i="12"/>
  <c r="D88" i="12"/>
  <c r="E87" i="12"/>
  <c r="D87" i="12"/>
  <c r="E86" i="12"/>
  <c r="D86" i="12"/>
  <c r="F86" i="12" s="1"/>
  <c r="E85" i="12"/>
  <c r="D85" i="12"/>
  <c r="F85" i="12" s="1"/>
  <c r="E84" i="12"/>
  <c r="D84" i="12"/>
  <c r="E83" i="12"/>
  <c r="D83" i="12"/>
  <c r="E82" i="12"/>
  <c r="D82" i="12"/>
  <c r="E81" i="12"/>
  <c r="D81" i="12"/>
  <c r="E80" i="12"/>
  <c r="D80" i="12"/>
  <c r="F80" i="12" s="1"/>
  <c r="E79" i="12"/>
  <c r="D79" i="12"/>
  <c r="F79" i="12" s="1"/>
  <c r="E78" i="12"/>
  <c r="D78" i="12"/>
  <c r="E77" i="12"/>
  <c r="D77" i="12"/>
  <c r="E76" i="12"/>
  <c r="D76" i="12"/>
  <c r="E96" i="12"/>
  <c r="D96" i="12"/>
  <c r="E75" i="12"/>
  <c r="D75" i="12"/>
  <c r="U67" i="12"/>
  <c r="T67" i="12"/>
  <c r="S67" i="12"/>
  <c r="R67" i="12"/>
  <c r="P67" i="12"/>
  <c r="O67" i="12"/>
  <c r="M67" i="12"/>
  <c r="L67" i="12"/>
  <c r="K67" i="12"/>
  <c r="J67" i="12"/>
  <c r="H67" i="12"/>
  <c r="G67" i="12"/>
  <c r="F67" i="12"/>
  <c r="U66" i="12"/>
  <c r="T66" i="12"/>
  <c r="S66" i="12"/>
  <c r="R66" i="12"/>
  <c r="P66" i="12"/>
  <c r="O66" i="12"/>
  <c r="N66" i="12" s="1"/>
  <c r="M66" i="12"/>
  <c r="L66" i="12"/>
  <c r="K66" i="12"/>
  <c r="J66" i="12"/>
  <c r="H66" i="12"/>
  <c r="G66" i="12"/>
  <c r="F66" i="12"/>
  <c r="U65" i="12"/>
  <c r="T65" i="12"/>
  <c r="S65" i="12"/>
  <c r="R65" i="12"/>
  <c r="P65" i="12"/>
  <c r="O65" i="12"/>
  <c r="M65" i="12"/>
  <c r="L65" i="12"/>
  <c r="K65" i="12"/>
  <c r="J65" i="12"/>
  <c r="H65" i="12"/>
  <c r="G65" i="12"/>
  <c r="F65" i="12"/>
  <c r="U64" i="12"/>
  <c r="T64" i="12"/>
  <c r="S64" i="12"/>
  <c r="R64" i="12"/>
  <c r="Q64" i="12" s="1"/>
  <c r="P64" i="12"/>
  <c r="O64" i="12"/>
  <c r="M64" i="12"/>
  <c r="L64" i="12"/>
  <c r="K64" i="12"/>
  <c r="J64" i="12"/>
  <c r="H64" i="12"/>
  <c r="G64" i="12"/>
  <c r="F64" i="12"/>
  <c r="U63" i="12"/>
  <c r="T63" i="12"/>
  <c r="S63" i="12"/>
  <c r="R63" i="12"/>
  <c r="Q63" i="12" s="1"/>
  <c r="P63" i="12"/>
  <c r="O63" i="12"/>
  <c r="N63" i="12" s="1"/>
  <c r="M63" i="12"/>
  <c r="L63" i="12"/>
  <c r="K63" i="12"/>
  <c r="J63" i="12"/>
  <c r="H63" i="12"/>
  <c r="G63" i="12"/>
  <c r="F63" i="12"/>
  <c r="U62" i="12"/>
  <c r="T62" i="12"/>
  <c r="S62" i="12"/>
  <c r="R62" i="12"/>
  <c r="P62" i="12"/>
  <c r="O62" i="12"/>
  <c r="M62" i="12"/>
  <c r="L62" i="12"/>
  <c r="K62" i="12"/>
  <c r="J62" i="12"/>
  <c r="H62" i="12"/>
  <c r="G62" i="12"/>
  <c r="F62" i="12"/>
  <c r="U61" i="12"/>
  <c r="T61" i="12"/>
  <c r="S61" i="12"/>
  <c r="R61" i="12"/>
  <c r="P61" i="12"/>
  <c r="O61" i="12"/>
  <c r="M61" i="12"/>
  <c r="L61" i="12"/>
  <c r="I61" i="12" s="1"/>
  <c r="K61" i="12"/>
  <c r="J61" i="12"/>
  <c r="H61" i="12"/>
  <c r="G61" i="12"/>
  <c r="F61" i="12"/>
  <c r="U60" i="12"/>
  <c r="T60" i="12"/>
  <c r="S60" i="12"/>
  <c r="R60" i="12"/>
  <c r="P60" i="12"/>
  <c r="O60" i="12"/>
  <c r="M60" i="12"/>
  <c r="L60" i="12"/>
  <c r="K60" i="12"/>
  <c r="J60" i="12"/>
  <c r="H60" i="12"/>
  <c r="G60" i="12"/>
  <c r="F60" i="12"/>
  <c r="U59" i="12"/>
  <c r="T59" i="12"/>
  <c r="S59" i="12"/>
  <c r="R59" i="12"/>
  <c r="P59" i="12"/>
  <c r="O59" i="12"/>
  <c r="N59" i="12" s="1"/>
  <c r="M59" i="12"/>
  <c r="L59" i="12"/>
  <c r="K59" i="12"/>
  <c r="J59" i="12"/>
  <c r="H59" i="12"/>
  <c r="G59" i="12"/>
  <c r="F59" i="12"/>
  <c r="U58" i="12"/>
  <c r="T58" i="12"/>
  <c r="S58" i="12"/>
  <c r="R58" i="12"/>
  <c r="P58" i="12"/>
  <c r="O58" i="12"/>
  <c r="M58" i="12"/>
  <c r="L58" i="12"/>
  <c r="K58" i="12"/>
  <c r="J58" i="12"/>
  <c r="H58" i="12"/>
  <c r="G58" i="12"/>
  <c r="F58" i="12"/>
  <c r="U57" i="12"/>
  <c r="T57" i="12"/>
  <c r="S57" i="12"/>
  <c r="R57" i="12"/>
  <c r="P57" i="12"/>
  <c r="O57" i="12"/>
  <c r="M57" i="12"/>
  <c r="L57" i="12"/>
  <c r="K57" i="12"/>
  <c r="J57" i="12"/>
  <c r="H57" i="12"/>
  <c r="G57" i="12"/>
  <c r="F57" i="12"/>
  <c r="U56" i="12"/>
  <c r="T56" i="12"/>
  <c r="S56" i="12"/>
  <c r="R56" i="12"/>
  <c r="P56" i="12"/>
  <c r="O56" i="12"/>
  <c r="M56" i="12"/>
  <c r="L56" i="12"/>
  <c r="K56" i="12"/>
  <c r="J56" i="12"/>
  <c r="H56" i="12"/>
  <c r="G56" i="12"/>
  <c r="F56" i="12"/>
  <c r="U55" i="12"/>
  <c r="T55" i="12"/>
  <c r="S55" i="12"/>
  <c r="R55" i="12"/>
  <c r="P55" i="12"/>
  <c r="O55" i="12"/>
  <c r="M55" i="12"/>
  <c r="L55" i="12"/>
  <c r="K55" i="12"/>
  <c r="J55" i="12"/>
  <c r="H55" i="12"/>
  <c r="G55" i="12"/>
  <c r="F55" i="12"/>
  <c r="U54" i="12"/>
  <c r="T54" i="12"/>
  <c r="S54" i="12"/>
  <c r="R54" i="12"/>
  <c r="P54" i="12"/>
  <c r="O54" i="12"/>
  <c r="M54" i="12"/>
  <c r="L54" i="12"/>
  <c r="K54" i="12"/>
  <c r="J54" i="12"/>
  <c r="H54" i="12"/>
  <c r="G54" i="12"/>
  <c r="F54" i="12"/>
  <c r="U53" i="12"/>
  <c r="T53" i="12"/>
  <c r="S53" i="12"/>
  <c r="R53" i="12"/>
  <c r="P53" i="12"/>
  <c r="O53" i="12"/>
  <c r="M53" i="12"/>
  <c r="L53" i="12"/>
  <c r="K53" i="12"/>
  <c r="J53" i="12"/>
  <c r="H53" i="12"/>
  <c r="G53" i="12"/>
  <c r="F53" i="12"/>
  <c r="U52" i="12"/>
  <c r="T52" i="12"/>
  <c r="S52" i="12"/>
  <c r="R52" i="12"/>
  <c r="Q52" i="12" s="1"/>
  <c r="P52" i="12"/>
  <c r="O52" i="12"/>
  <c r="M52" i="12"/>
  <c r="L52" i="12"/>
  <c r="K52" i="12"/>
  <c r="J52" i="12"/>
  <c r="H52" i="12"/>
  <c r="G52" i="12"/>
  <c r="F52" i="12"/>
  <c r="U51" i="12"/>
  <c r="T51" i="12"/>
  <c r="S51" i="12"/>
  <c r="R51" i="12"/>
  <c r="P51" i="12"/>
  <c r="O51" i="12"/>
  <c r="M51" i="12"/>
  <c r="L51" i="12"/>
  <c r="K51" i="12"/>
  <c r="J51" i="12"/>
  <c r="H51" i="12"/>
  <c r="G51" i="12"/>
  <c r="F51" i="12"/>
  <c r="U50" i="12"/>
  <c r="T50" i="12"/>
  <c r="S50" i="12"/>
  <c r="R50" i="12"/>
  <c r="P50" i="12"/>
  <c r="O50" i="12"/>
  <c r="M50" i="12"/>
  <c r="L50" i="12"/>
  <c r="K50" i="12"/>
  <c r="J50" i="12"/>
  <c r="H50" i="12"/>
  <c r="G50" i="12"/>
  <c r="F50" i="12"/>
  <c r="U49" i="12"/>
  <c r="T49" i="12"/>
  <c r="S49" i="12"/>
  <c r="R49" i="12"/>
  <c r="P49" i="12"/>
  <c r="O49" i="12"/>
  <c r="M49" i="12"/>
  <c r="L49" i="12"/>
  <c r="K49" i="12"/>
  <c r="J49" i="12"/>
  <c r="H49" i="12"/>
  <c r="G49" i="12"/>
  <c r="F49" i="12"/>
  <c r="U48" i="12"/>
  <c r="T48" i="12"/>
  <c r="S48" i="12"/>
  <c r="R48" i="12"/>
  <c r="P48" i="12"/>
  <c r="O48" i="12"/>
  <c r="M48" i="12"/>
  <c r="L48" i="12"/>
  <c r="K48" i="12"/>
  <c r="J48" i="12"/>
  <c r="H48" i="12"/>
  <c r="G48" i="12"/>
  <c r="F48" i="12"/>
  <c r="U47" i="12"/>
  <c r="T47" i="12"/>
  <c r="S47" i="12"/>
  <c r="R47" i="12"/>
  <c r="P47" i="12"/>
  <c r="O47" i="12"/>
  <c r="M47" i="12"/>
  <c r="L47" i="12"/>
  <c r="K47" i="12"/>
  <c r="J47" i="12"/>
  <c r="H47" i="12"/>
  <c r="G47" i="12"/>
  <c r="F47" i="12"/>
  <c r="U46" i="12"/>
  <c r="T46" i="12"/>
  <c r="S46" i="12"/>
  <c r="R46" i="12"/>
  <c r="Q46" i="12" s="1"/>
  <c r="P46" i="12"/>
  <c r="O46" i="12"/>
  <c r="M46" i="12"/>
  <c r="L46" i="12"/>
  <c r="K46" i="12"/>
  <c r="J46" i="12"/>
  <c r="H46" i="12"/>
  <c r="G46" i="12"/>
  <c r="F46" i="12"/>
  <c r="U45" i="12"/>
  <c r="T45" i="12"/>
  <c r="S45" i="12"/>
  <c r="R45" i="12"/>
  <c r="P45" i="12"/>
  <c r="O45" i="12"/>
  <c r="M45" i="12"/>
  <c r="L45" i="12"/>
  <c r="K45" i="12"/>
  <c r="J45" i="12"/>
  <c r="H45" i="12"/>
  <c r="G45" i="12"/>
  <c r="F45" i="12"/>
  <c r="U44" i="12"/>
  <c r="T44" i="12"/>
  <c r="S44" i="12"/>
  <c r="R44" i="12"/>
  <c r="P44" i="12"/>
  <c r="O44" i="12"/>
  <c r="M44" i="12"/>
  <c r="L44" i="12"/>
  <c r="K44" i="12"/>
  <c r="J44" i="12"/>
  <c r="H44" i="12"/>
  <c r="G44" i="12"/>
  <c r="F44" i="12"/>
  <c r="U43" i="12"/>
  <c r="T43" i="12"/>
  <c r="S43" i="12"/>
  <c r="R43" i="12"/>
  <c r="P43" i="12"/>
  <c r="O43" i="12"/>
  <c r="M43" i="12"/>
  <c r="L43" i="12"/>
  <c r="K43" i="12"/>
  <c r="J43" i="12"/>
  <c r="H43" i="12"/>
  <c r="G43" i="12"/>
  <c r="F43" i="12"/>
  <c r="U42" i="12"/>
  <c r="T42" i="12"/>
  <c r="S42" i="12"/>
  <c r="R42" i="12"/>
  <c r="P42" i="12"/>
  <c r="O42" i="12"/>
  <c r="M42" i="12"/>
  <c r="L42" i="12"/>
  <c r="K42" i="12"/>
  <c r="J42" i="12"/>
  <c r="H42" i="12"/>
  <c r="G42" i="12"/>
  <c r="F42" i="12"/>
  <c r="U41" i="12"/>
  <c r="T41" i="12"/>
  <c r="S41" i="12"/>
  <c r="R41" i="12"/>
  <c r="Q41" i="12" s="1"/>
  <c r="P41" i="12"/>
  <c r="O41" i="12"/>
  <c r="N41" i="12" s="1"/>
  <c r="M41" i="12"/>
  <c r="L41" i="12"/>
  <c r="K41" i="12"/>
  <c r="J41" i="12"/>
  <c r="H41" i="12"/>
  <c r="G41" i="12"/>
  <c r="F41" i="12"/>
  <c r="U40" i="12"/>
  <c r="T40" i="12"/>
  <c r="S40" i="12"/>
  <c r="R40" i="12"/>
  <c r="P40" i="12"/>
  <c r="O40" i="12"/>
  <c r="M40" i="12"/>
  <c r="L40" i="12"/>
  <c r="K40" i="12"/>
  <c r="J40" i="12"/>
  <c r="H40" i="12"/>
  <c r="G40" i="12"/>
  <c r="F40" i="12"/>
  <c r="U39" i="12"/>
  <c r="T39" i="12"/>
  <c r="S39" i="12"/>
  <c r="R39" i="12"/>
  <c r="P39" i="12"/>
  <c r="O39" i="12"/>
  <c r="M39" i="12"/>
  <c r="L39" i="12"/>
  <c r="K39" i="12"/>
  <c r="J39" i="12"/>
  <c r="H39" i="12"/>
  <c r="G39" i="12"/>
  <c r="F39" i="12"/>
  <c r="U38" i="12"/>
  <c r="T38" i="12"/>
  <c r="S38" i="12"/>
  <c r="R38" i="12"/>
  <c r="P38" i="12"/>
  <c r="O38" i="12"/>
  <c r="M38" i="12"/>
  <c r="L38" i="12"/>
  <c r="K38" i="12"/>
  <c r="J38" i="12"/>
  <c r="H38" i="12"/>
  <c r="G38" i="12"/>
  <c r="F38" i="12"/>
  <c r="U37" i="12"/>
  <c r="T37" i="12"/>
  <c r="S37" i="12"/>
  <c r="R37" i="12"/>
  <c r="P37" i="12"/>
  <c r="O37" i="12"/>
  <c r="M37" i="12"/>
  <c r="L37" i="12"/>
  <c r="K37" i="12"/>
  <c r="J37" i="12"/>
  <c r="H37" i="12"/>
  <c r="G37" i="12"/>
  <c r="F37" i="12"/>
  <c r="U36" i="12"/>
  <c r="T36" i="12"/>
  <c r="S36" i="12"/>
  <c r="R36" i="12"/>
  <c r="P36" i="12"/>
  <c r="O36" i="12"/>
  <c r="M36" i="12"/>
  <c r="L36" i="12"/>
  <c r="K36" i="12"/>
  <c r="J36" i="12"/>
  <c r="H36" i="12"/>
  <c r="G36" i="12"/>
  <c r="F36" i="12"/>
  <c r="U35" i="12"/>
  <c r="T35" i="12"/>
  <c r="S35" i="12"/>
  <c r="R35" i="12"/>
  <c r="P35" i="12"/>
  <c r="O35" i="12"/>
  <c r="M35" i="12"/>
  <c r="L35" i="12"/>
  <c r="K35" i="12"/>
  <c r="J35" i="12"/>
  <c r="H35" i="12"/>
  <c r="G35" i="12"/>
  <c r="F35" i="12"/>
  <c r="U34" i="12"/>
  <c r="T34" i="12"/>
  <c r="S34" i="12"/>
  <c r="R34" i="12"/>
  <c r="Q34" i="12" s="1"/>
  <c r="P34" i="12"/>
  <c r="O34" i="12"/>
  <c r="M34" i="12"/>
  <c r="L34" i="12"/>
  <c r="K34" i="12"/>
  <c r="J34" i="12"/>
  <c r="H34" i="12"/>
  <c r="G34" i="12"/>
  <c r="F34" i="12"/>
  <c r="U33" i="12"/>
  <c r="T33" i="12"/>
  <c r="S33" i="12"/>
  <c r="R33" i="12"/>
  <c r="P33" i="12"/>
  <c r="O33" i="12"/>
  <c r="M33" i="12"/>
  <c r="L33" i="12"/>
  <c r="K33" i="12"/>
  <c r="J33" i="12"/>
  <c r="H33" i="12"/>
  <c r="G33" i="12"/>
  <c r="F33" i="12"/>
  <c r="U32" i="12"/>
  <c r="T32" i="12"/>
  <c r="S32" i="12"/>
  <c r="R32" i="12"/>
  <c r="P32" i="12"/>
  <c r="O32" i="12"/>
  <c r="M32" i="12"/>
  <c r="L32" i="12"/>
  <c r="K32" i="12"/>
  <c r="J32" i="12"/>
  <c r="H32" i="12"/>
  <c r="G32" i="12"/>
  <c r="F32" i="12"/>
  <c r="U31" i="12"/>
  <c r="T31" i="12"/>
  <c r="S31" i="12"/>
  <c r="R31" i="12"/>
  <c r="P31" i="12"/>
  <c r="O31" i="12"/>
  <c r="M31" i="12"/>
  <c r="L31" i="12"/>
  <c r="K31" i="12"/>
  <c r="J31" i="12"/>
  <c r="H31" i="12"/>
  <c r="G31" i="12"/>
  <c r="F31" i="12"/>
  <c r="U30" i="12"/>
  <c r="T30" i="12"/>
  <c r="S30" i="12"/>
  <c r="R30" i="12"/>
  <c r="P30" i="12"/>
  <c r="O30" i="12"/>
  <c r="M30" i="12"/>
  <c r="L30" i="12"/>
  <c r="K30" i="12"/>
  <c r="J30" i="12"/>
  <c r="H30" i="12"/>
  <c r="G30" i="12"/>
  <c r="F30" i="12"/>
  <c r="U29" i="12"/>
  <c r="T29" i="12"/>
  <c r="S29" i="12"/>
  <c r="R29" i="12"/>
  <c r="P29" i="12"/>
  <c r="O29" i="12"/>
  <c r="M29" i="12"/>
  <c r="L29" i="12"/>
  <c r="K29" i="12"/>
  <c r="J29" i="12"/>
  <c r="H29" i="12"/>
  <c r="G29" i="12"/>
  <c r="F29" i="12"/>
  <c r="U28" i="12"/>
  <c r="T28" i="12"/>
  <c r="S28" i="12"/>
  <c r="R28" i="12"/>
  <c r="P28" i="12"/>
  <c r="O28" i="12"/>
  <c r="M28" i="12"/>
  <c r="L28" i="12"/>
  <c r="K28" i="12"/>
  <c r="J28" i="12"/>
  <c r="H28" i="12"/>
  <c r="G28" i="12"/>
  <c r="F28" i="12"/>
  <c r="U27" i="12"/>
  <c r="T27" i="12"/>
  <c r="S27" i="12"/>
  <c r="R27" i="12"/>
  <c r="P27" i="12"/>
  <c r="O27" i="12"/>
  <c r="M27" i="12"/>
  <c r="L27" i="12"/>
  <c r="K27" i="12"/>
  <c r="J27" i="12"/>
  <c r="H27" i="12"/>
  <c r="G27" i="12"/>
  <c r="F27" i="12"/>
  <c r="U26" i="12"/>
  <c r="T26" i="12"/>
  <c r="S26" i="12"/>
  <c r="R26" i="12"/>
  <c r="P26" i="12"/>
  <c r="O26" i="12"/>
  <c r="M26" i="12"/>
  <c r="L26" i="12"/>
  <c r="K26" i="12"/>
  <c r="J26" i="12"/>
  <c r="H26" i="12"/>
  <c r="G26" i="12"/>
  <c r="F26" i="12"/>
  <c r="U25" i="12"/>
  <c r="T25" i="12"/>
  <c r="S25" i="12"/>
  <c r="R25" i="12"/>
  <c r="P25" i="12"/>
  <c r="O25" i="12"/>
  <c r="M25" i="12"/>
  <c r="L25" i="12"/>
  <c r="K25" i="12"/>
  <c r="J25" i="12"/>
  <c r="H25" i="12"/>
  <c r="G25" i="12"/>
  <c r="F25" i="12"/>
  <c r="U24" i="12"/>
  <c r="T24" i="12"/>
  <c r="S24" i="12"/>
  <c r="R24" i="12"/>
  <c r="P24" i="12"/>
  <c r="O24" i="12"/>
  <c r="M24" i="12"/>
  <c r="L24" i="12"/>
  <c r="K24" i="12"/>
  <c r="J24" i="12"/>
  <c r="H24" i="12"/>
  <c r="G24" i="12"/>
  <c r="F24" i="12"/>
  <c r="U23" i="12"/>
  <c r="T23" i="12"/>
  <c r="S23" i="12"/>
  <c r="R23" i="12"/>
  <c r="P23" i="12"/>
  <c r="O23" i="12"/>
  <c r="M23" i="12"/>
  <c r="L23" i="12"/>
  <c r="K23" i="12"/>
  <c r="J23" i="12"/>
  <c r="H23" i="12"/>
  <c r="G23" i="12"/>
  <c r="F23" i="12"/>
  <c r="U22" i="12"/>
  <c r="T22" i="12"/>
  <c r="S22" i="12"/>
  <c r="R22" i="12"/>
  <c r="P22" i="12"/>
  <c r="O22" i="12"/>
  <c r="M22" i="12"/>
  <c r="L22" i="12"/>
  <c r="K22" i="12"/>
  <c r="J22" i="12"/>
  <c r="H22" i="12"/>
  <c r="G22" i="12"/>
  <c r="F22" i="12"/>
  <c r="U21" i="12"/>
  <c r="T21" i="12"/>
  <c r="S21" i="12"/>
  <c r="R21" i="12"/>
  <c r="P21" i="12"/>
  <c r="O21" i="12"/>
  <c r="M21" i="12"/>
  <c r="L21" i="12"/>
  <c r="K21" i="12"/>
  <c r="J21" i="12"/>
  <c r="H21" i="12"/>
  <c r="G21" i="12"/>
  <c r="F21" i="12"/>
  <c r="U20" i="12"/>
  <c r="T20" i="12"/>
  <c r="S20" i="12"/>
  <c r="R20" i="12"/>
  <c r="P20" i="12"/>
  <c r="O20" i="12"/>
  <c r="M20" i="12"/>
  <c r="L20" i="12"/>
  <c r="K20" i="12"/>
  <c r="J20" i="12"/>
  <c r="H20" i="12"/>
  <c r="G20" i="12"/>
  <c r="F20" i="12"/>
  <c r="U19" i="12"/>
  <c r="T19" i="12"/>
  <c r="S19" i="12"/>
  <c r="R19" i="12"/>
  <c r="P19" i="12"/>
  <c r="O19" i="12"/>
  <c r="M19" i="12"/>
  <c r="L19" i="12"/>
  <c r="K19" i="12"/>
  <c r="J19" i="12"/>
  <c r="H19" i="12"/>
  <c r="G19" i="12"/>
  <c r="F19" i="12"/>
  <c r="U18" i="12"/>
  <c r="T18" i="12"/>
  <c r="S18" i="12"/>
  <c r="R18" i="12"/>
  <c r="P18" i="12"/>
  <c r="O18" i="12"/>
  <c r="M18" i="12"/>
  <c r="L18" i="12"/>
  <c r="K18" i="12"/>
  <c r="J18" i="12"/>
  <c r="H18" i="12"/>
  <c r="G18" i="12"/>
  <c r="F18" i="12"/>
  <c r="U17" i="12"/>
  <c r="T17" i="12"/>
  <c r="S17" i="12"/>
  <c r="R17" i="12"/>
  <c r="P17" i="12"/>
  <c r="O17" i="12"/>
  <c r="M17" i="12"/>
  <c r="L17" i="12"/>
  <c r="K17" i="12"/>
  <c r="J17" i="12"/>
  <c r="H17" i="12"/>
  <c r="G17" i="12"/>
  <c r="F17" i="12"/>
  <c r="U16" i="12"/>
  <c r="T16" i="12"/>
  <c r="S16" i="12"/>
  <c r="R16" i="12"/>
  <c r="P16" i="12"/>
  <c r="O16" i="12"/>
  <c r="M16" i="12"/>
  <c r="L16" i="12"/>
  <c r="K16" i="12"/>
  <c r="J16" i="12"/>
  <c r="H16" i="12"/>
  <c r="G16" i="12"/>
  <c r="F16" i="12"/>
  <c r="U15" i="12"/>
  <c r="T15" i="12"/>
  <c r="S15" i="12"/>
  <c r="R15" i="12"/>
  <c r="P15" i="12"/>
  <c r="O15" i="12"/>
  <c r="M15" i="12"/>
  <c r="L15" i="12"/>
  <c r="K15" i="12"/>
  <c r="J15" i="12"/>
  <c r="H15" i="12"/>
  <c r="G15" i="12"/>
  <c r="F15" i="12"/>
  <c r="U14" i="12"/>
  <c r="T14" i="12"/>
  <c r="S14" i="12"/>
  <c r="R14" i="12"/>
  <c r="P14" i="12"/>
  <c r="O14" i="12"/>
  <c r="M14" i="12"/>
  <c r="L14" i="12"/>
  <c r="K14" i="12"/>
  <c r="J14" i="12"/>
  <c r="H14" i="12"/>
  <c r="G14" i="12"/>
  <c r="F14" i="12"/>
  <c r="U13" i="12"/>
  <c r="T13" i="12"/>
  <c r="S13" i="12"/>
  <c r="R13" i="12"/>
  <c r="P13" i="12"/>
  <c r="O13" i="12"/>
  <c r="M13" i="12"/>
  <c r="L13" i="12"/>
  <c r="K13" i="12"/>
  <c r="J13" i="12"/>
  <c r="H13" i="12"/>
  <c r="G13" i="12"/>
  <c r="F13" i="12"/>
  <c r="U12" i="12"/>
  <c r="T12" i="12"/>
  <c r="S12" i="12"/>
  <c r="R12" i="12"/>
  <c r="P12" i="12"/>
  <c r="O12" i="12"/>
  <c r="M12" i="12"/>
  <c r="L12" i="12"/>
  <c r="K12" i="12"/>
  <c r="J12" i="12"/>
  <c r="H12" i="12"/>
  <c r="G12" i="12"/>
  <c r="F12" i="12"/>
  <c r="U11" i="12"/>
  <c r="T11" i="12"/>
  <c r="S11" i="12"/>
  <c r="R11" i="12"/>
  <c r="P11" i="12"/>
  <c r="O11" i="12"/>
  <c r="N11" i="12" s="1"/>
  <c r="M11" i="12"/>
  <c r="L11" i="12"/>
  <c r="K11" i="12"/>
  <c r="J11" i="12"/>
  <c r="H11" i="12"/>
  <c r="G11" i="12"/>
  <c r="F11" i="12"/>
  <c r="U10" i="12"/>
  <c r="T10" i="12"/>
  <c r="S10" i="12"/>
  <c r="R10" i="12"/>
  <c r="P10" i="12"/>
  <c r="O10" i="12"/>
  <c r="M10" i="12"/>
  <c r="L10" i="12"/>
  <c r="K10" i="12"/>
  <c r="J10" i="12"/>
  <c r="H10" i="12"/>
  <c r="G10" i="12"/>
  <c r="F10" i="12"/>
  <c r="U9" i="12"/>
  <c r="T9" i="12"/>
  <c r="S9" i="12"/>
  <c r="R9" i="12"/>
  <c r="P9" i="12"/>
  <c r="O9" i="12"/>
  <c r="M9" i="12"/>
  <c r="L9" i="12"/>
  <c r="K9" i="12"/>
  <c r="J9" i="12"/>
  <c r="H9" i="12"/>
  <c r="G9" i="12"/>
  <c r="F9" i="12"/>
  <c r="U8" i="12"/>
  <c r="T8" i="12"/>
  <c r="S8" i="12"/>
  <c r="R8" i="12"/>
  <c r="Q8" i="12" s="1"/>
  <c r="P8" i="12"/>
  <c r="O8" i="12"/>
  <c r="M8" i="12"/>
  <c r="L8" i="12"/>
  <c r="K8" i="12"/>
  <c r="J8" i="12"/>
  <c r="H8" i="12"/>
  <c r="G8" i="12"/>
  <c r="F8" i="12"/>
  <c r="U7" i="12"/>
  <c r="T7" i="12"/>
  <c r="S7" i="12"/>
  <c r="R7" i="12"/>
  <c r="P7" i="12"/>
  <c r="O7" i="12"/>
  <c r="M7" i="12"/>
  <c r="L7" i="12"/>
  <c r="K7" i="12"/>
  <c r="J7" i="12"/>
  <c r="H7" i="12"/>
  <c r="G7" i="12"/>
  <c r="F7" i="12"/>
  <c r="F6" i="12"/>
  <c r="G6" i="12"/>
  <c r="H6" i="12"/>
  <c r="J6" i="12"/>
  <c r="K6" i="12"/>
  <c r="L6" i="12"/>
  <c r="M6" i="12"/>
  <c r="O6" i="12"/>
  <c r="P6" i="12"/>
  <c r="R6" i="12"/>
  <c r="S6" i="12"/>
  <c r="T6" i="12"/>
  <c r="U6" i="12"/>
  <c r="E78" i="9"/>
  <c r="D78" i="9"/>
  <c r="D116" i="9"/>
  <c r="E97" i="9"/>
  <c r="D97" i="9"/>
  <c r="A22" i="2"/>
  <c r="I18" i="14"/>
  <c r="H18" i="14"/>
  <c r="G18" i="14"/>
  <c r="E18" i="14"/>
  <c r="F18" i="14" s="1"/>
  <c r="D18" i="14"/>
  <c r="B18" i="14"/>
  <c r="I76" i="14"/>
  <c r="H76" i="14"/>
  <c r="G76" i="14"/>
  <c r="E76" i="14"/>
  <c r="F76" i="14" s="1"/>
  <c r="D76" i="14"/>
  <c r="B76" i="14"/>
  <c r="I88" i="14"/>
  <c r="H88" i="14"/>
  <c r="G88" i="14"/>
  <c r="E88" i="14"/>
  <c r="F88" i="14" s="1"/>
  <c r="D88" i="14"/>
  <c r="B88" i="14"/>
  <c r="I87" i="14"/>
  <c r="H87" i="14"/>
  <c r="G87" i="14"/>
  <c r="E87" i="14"/>
  <c r="F87" i="14" s="1"/>
  <c r="D87" i="14"/>
  <c r="B87" i="14"/>
  <c r="I86" i="14"/>
  <c r="H86" i="14"/>
  <c r="G86" i="14"/>
  <c r="E86" i="14"/>
  <c r="F86" i="14" s="1"/>
  <c r="D86" i="14"/>
  <c r="B86" i="14"/>
  <c r="I85" i="14"/>
  <c r="H85" i="14"/>
  <c r="G85" i="14"/>
  <c r="E85" i="14"/>
  <c r="F85" i="14" s="1"/>
  <c r="D85" i="14"/>
  <c r="B85" i="14"/>
  <c r="I49" i="14"/>
  <c r="H49" i="14"/>
  <c r="G49" i="14"/>
  <c r="E49" i="14"/>
  <c r="F49" i="14" s="1"/>
  <c r="D49" i="14"/>
  <c r="B49" i="14"/>
  <c r="I39" i="14"/>
  <c r="H39" i="14"/>
  <c r="G39" i="14"/>
  <c r="E39" i="14"/>
  <c r="F39" i="14" s="1"/>
  <c r="D39" i="14"/>
  <c r="B39" i="14"/>
  <c r="I30" i="14"/>
  <c r="H30" i="14"/>
  <c r="G30" i="14"/>
  <c r="E30" i="14"/>
  <c r="F30" i="14" s="1"/>
  <c r="D30" i="14"/>
  <c r="B30" i="14"/>
  <c r="I17" i="14"/>
  <c r="H17" i="14"/>
  <c r="G17" i="14"/>
  <c r="E17" i="14"/>
  <c r="F17" i="14" s="1"/>
  <c r="D17" i="14"/>
  <c r="B17" i="14"/>
  <c r="I84" i="14"/>
  <c r="H84" i="14"/>
  <c r="G84" i="14"/>
  <c r="E84" i="14"/>
  <c r="F84" i="14" s="1"/>
  <c r="D84" i="14"/>
  <c r="B84" i="14"/>
  <c r="I83" i="14"/>
  <c r="H83" i="14"/>
  <c r="G83" i="14"/>
  <c r="E83" i="14"/>
  <c r="F83" i="14" s="1"/>
  <c r="D83" i="14"/>
  <c r="B83" i="14"/>
  <c r="I29" i="14"/>
  <c r="H29" i="14"/>
  <c r="G29" i="14"/>
  <c r="E29" i="14"/>
  <c r="F29" i="14" s="1"/>
  <c r="D29" i="14"/>
  <c r="I28" i="14"/>
  <c r="H28" i="14"/>
  <c r="G28" i="14"/>
  <c r="D28" i="14"/>
  <c r="E28" i="14"/>
  <c r="F28" i="14" s="1"/>
  <c r="B29" i="14"/>
  <c r="B28" i="14"/>
  <c r="B95" i="14"/>
  <c r="B94" i="14"/>
  <c r="B93" i="14"/>
  <c r="B92" i="14"/>
  <c r="B91" i="14"/>
  <c r="B90" i="14"/>
  <c r="B89" i="14"/>
  <c r="B82" i="14"/>
  <c r="B81" i="14"/>
  <c r="B80" i="14"/>
  <c r="B79" i="14"/>
  <c r="B78" i="14"/>
  <c r="B77"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8" i="14"/>
  <c r="B47" i="14"/>
  <c r="B46" i="14"/>
  <c r="B45" i="14"/>
  <c r="B44" i="14"/>
  <c r="B43" i="14"/>
  <c r="B42" i="14"/>
  <c r="B41" i="14"/>
  <c r="B40" i="14"/>
  <c r="B38" i="14"/>
  <c r="B37" i="14"/>
  <c r="B36" i="14"/>
  <c r="B35" i="14"/>
  <c r="B34" i="14"/>
  <c r="B33" i="14"/>
  <c r="B32" i="14"/>
  <c r="B31" i="14"/>
  <c r="B27" i="14"/>
  <c r="B26" i="14"/>
  <c r="B25" i="14"/>
  <c r="B24" i="14"/>
  <c r="B23" i="14"/>
  <c r="B22" i="14"/>
  <c r="B21" i="14"/>
  <c r="B20" i="14"/>
  <c r="B19" i="14"/>
  <c r="B16" i="14"/>
  <c r="B15" i="14"/>
  <c r="B14" i="14"/>
  <c r="B13" i="14"/>
  <c r="B12" i="14"/>
  <c r="B11" i="14"/>
  <c r="B10" i="14"/>
  <c r="B9" i="14"/>
  <c r="B8" i="14"/>
  <c r="B7" i="14"/>
  <c r="B6" i="14"/>
  <c r="B5" i="14"/>
  <c r="B4" i="14"/>
  <c r="B3" i="14"/>
  <c r="B2" i="14"/>
  <c r="F78" i="12" l="1"/>
  <c r="F84" i="12"/>
  <c r="F90" i="12"/>
  <c r="F101" i="12"/>
  <c r="F107" i="12"/>
  <c r="Q22" i="12"/>
  <c r="N35" i="12"/>
  <c r="Q13" i="12"/>
  <c r="N16" i="12"/>
  <c r="F96" i="12"/>
  <c r="F81" i="12"/>
  <c r="F87" i="12"/>
  <c r="F98" i="12"/>
  <c r="F104" i="12"/>
  <c r="F110" i="12"/>
  <c r="F76" i="12"/>
  <c r="F82" i="12"/>
  <c r="F88" i="12"/>
  <c r="F111" i="12"/>
  <c r="F77" i="12"/>
  <c r="F83" i="12"/>
  <c r="N8" i="12"/>
  <c r="N33" i="12"/>
  <c r="I36" i="12"/>
  <c r="Q42" i="12"/>
  <c r="N44" i="12"/>
  <c r="I14" i="12"/>
  <c r="E17" i="12"/>
  <c r="I26" i="12"/>
  <c r="E29" i="12"/>
  <c r="Q56" i="12"/>
  <c r="E32" i="12"/>
  <c r="I39" i="12"/>
  <c r="I41" i="12"/>
  <c r="I51" i="12"/>
  <c r="N38" i="12"/>
  <c r="I42" i="12"/>
  <c r="E46" i="12"/>
  <c r="I33" i="12"/>
  <c r="I44" i="12"/>
  <c r="E38" i="12"/>
  <c r="Q66" i="12"/>
  <c r="E116" i="9"/>
  <c r="F116" i="9" s="1"/>
  <c r="F78" i="9"/>
  <c r="N17" i="12"/>
  <c r="E23" i="12"/>
  <c r="Q25" i="12"/>
  <c r="Q27" i="12"/>
  <c r="N39" i="12"/>
  <c r="E56" i="12"/>
  <c r="I66" i="12"/>
  <c r="E13" i="12"/>
  <c r="E25" i="12"/>
  <c r="E58" i="12"/>
  <c r="I45" i="12"/>
  <c r="Q62" i="12"/>
  <c r="E15" i="12"/>
  <c r="Q18" i="12"/>
  <c r="Q38" i="12"/>
  <c r="I46" i="12"/>
  <c r="E49" i="12"/>
  <c r="N53" i="12"/>
  <c r="N65" i="12"/>
  <c r="E6" i="12"/>
  <c r="N43" i="12"/>
  <c r="N45" i="12"/>
  <c r="E52" i="12"/>
  <c r="N56" i="12"/>
  <c r="Q6" i="12"/>
  <c r="I16" i="12"/>
  <c r="Q33" i="12"/>
  <c r="I38" i="12"/>
  <c r="E9" i="12"/>
  <c r="E20" i="12"/>
  <c r="I29" i="12"/>
  <c r="I8" i="12"/>
  <c r="N14" i="12"/>
  <c r="N47" i="12"/>
  <c r="N48" i="12"/>
  <c r="E8" i="12"/>
  <c r="Q10" i="12"/>
  <c r="Q17" i="12"/>
  <c r="Q29" i="12"/>
  <c r="N31" i="12"/>
  <c r="Q49" i="12"/>
  <c r="N50" i="12"/>
  <c r="E57" i="12"/>
  <c r="Q58" i="12"/>
  <c r="N20" i="12"/>
  <c r="E37" i="12"/>
  <c r="E47" i="12"/>
  <c r="I55" i="12"/>
  <c r="E59" i="12"/>
  <c r="F75" i="12"/>
  <c r="N23" i="12"/>
  <c r="I37" i="12"/>
  <c r="I9" i="12"/>
  <c r="Q20" i="12"/>
  <c r="Q53" i="12"/>
  <c r="E12" i="12"/>
  <c r="I60" i="12"/>
  <c r="N25" i="12"/>
  <c r="N26" i="12"/>
  <c r="N36" i="12"/>
  <c r="Q44" i="12"/>
  <c r="N46" i="12"/>
  <c r="I50" i="12"/>
  <c r="Q7" i="12"/>
  <c r="I40" i="12"/>
  <c r="E14" i="12"/>
  <c r="Q16" i="12"/>
  <c r="I20" i="12"/>
  <c r="N28" i="12"/>
  <c r="Q36" i="12"/>
  <c r="I63" i="12"/>
  <c r="E24" i="12"/>
  <c r="N29" i="12"/>
  <c r="E44" i="12"/>
  <c r="E67" i="12"/>
  <c r="E11" i="12"/>
  <c r="Q35" i="12"/>
  <c r="N37" i="12"/>
  <c r="N55" i="12"/>
  <c r="I11" i="12"/>
  <c r="N21" i="12"/>
  <c r="E26" i="12"/>
  <c r="Q26" i="12"/>
  <c r="Q28" i="12"/>
  <c r="E35" i="12"/>
  <c r="Q37" i="12"/>
  <c r="N57" i="12"/>
  <c r="E62" i="12"/>
  <c r="Q65" i="12"/>
  <c r="N67" i="12"/>
  <c r="I24" i="12"/>
  <c r="I34" i="12"/>
  <c r="I52" i="12"/>
  <c r="I6" i="12"/>
  <c r="E7" i="12"/>
  <c r="N9" i="12"/>
  <c r="I12" i="12"/>
  <c r="I17" i="12"/>
  <c r="E18" i="12"/>
  <c r="Q21" i="12"/>
  <c r="I25" i="12"/>
  <c r="E27" i="12"/>
  <c r="N40" i="12"/>
  <c r="E45" i="12"/>
  <c r="E54" i="12"/>
  <c r="Q57" i="12"/>
  <c r="Q67" i="12"/>
  <c r="N6" i="12"/>
  <c r="E10" i="12"/>
  <c r="N10" i="12"/>
  <c r="E19" i="12"/>
  <c r="N32" i="12"/>
  <c r="I35" i="12"/>
  <c r="Q39" i="12"/>
  <c r="Q48" i="12"/>
  <c r="I53" i="12"/>
  <c r="I62" i="12"/>
  <c r="E30" i="12"/>
  <c r="Q32" i="12"/>
  <c r="N34" i="12"/>
  <c r="Q40" i="12"/>
  <c r="N52" i="12"/>
  <c r="N60" i="12"/>
  <c r="Q50" i="12"/>
  <c r="Q59" i="12"/>
  <c r="N61" i="12"/>
  <c r="Q43" i="12"/>
  <c r="I47" i="12"/>
  <c r="I57" i="12"/>
  <c r="Q61" i="12"/>
  <c r="N62" i="12"/>
  <c r="N13" i="12"/>
  <c r="N18" i="12"/>
  <c r="N27" i="12"/>
  <c r="I31" i="12"/>
  <c r="I48" i="12"/>
  <c r="E50" i="12"/>
  <c r="N54" i="12"/>
  <c r="E60" i="12"/>
  <c r="I30" i="12"/>
  <c r="Q47" i="12"/>
  <c r="I54" i="12"/>
  <c r="I7" i="12"/>
  <c r="Q9" i="12"/>
  <c r="Q19" i="12"/>
  <c r="I22" i="12"/>
  <c r="Q23" i="12"/>
  <c r="Q24" i="12"/>
  <c r="E28" i="12"/>
  <c r="I32" i="12"/>
  <c r="E33" i="12"/>
  <c r="E42" i="12"/>
  <c r="N49" i="12"/>
  <c r="N15" i="12"/>
  <c r="I21" i="12"/>
  <c r="N30" i="12"/>
  <c r="E43" i="12"/>
  <c r="E48" i="12"/>
  <c r="E63" i="12"/>
  <c r="I15" i="12"/>
  <c r="E53" i="12"/>
  <c r="I56" i="12"/>
  <c r="I13" i="12"/>
  <c r="Q15" i="12"/>
  <c r="I23" i="12"/>
  <c r="I28" i="12"/>
  <c r="Q30" i="12"/>
  <c r="E34" i="12"/>
  <c r="Q54" i="12"/>
  <c r="E64" i="12"/>
  <c r="N7" i="12"/>
  <c r="Q14" i="12"/>
  <c r="N22" i="12"/>
  <c r="I27" i="12"/>
  <c r="Q31" i="12"/>
  <c r="E39" i="12"/>
  <c r="I43" i="12"/>
  <c r="Q45" i="12"/>
  <c r="Q55" i="12"/>
  <c r="E65" i="12"/>
  <c r="N12" i="12"/>
  <c r="E40" i="12"/>
  <c r="N51" i="12"/>
  <c r="E66" i="12"/>
  <c r="I19" i="12"/>
  <c r="I58" i="12"/>
  <c r="Q60" i="12"/>
  <c r="I64" i="12"/>
  <c r="I10" i="12"/>
  <c r="Q11" i="12"/>
  <c r="Q12" i="12"/>
  <c r="E16" i="12"/>
  <c r="I18" i="12"/>
  <c r="E31" i="12"/>
  <c r="E36" i="12"/>
  <c r="N42" i="12"/>
  <c r="I49" i="12"/>
  <c r="Q51" i="12"/>
  <c r="E55" i="12"/>
  <c r="I65" i="12"/>
  <c r="E21" i="12"/>
  <c r="E41" i="12"/>
  <c r="I59" i="12"/>
  <c r="I67" i="12"/>
  <c r="N19" i="12"/>
  <c r="E22" i="12"/>
  <c r="N24" i="12"/>
  <c r="E51" i="12"/>
  <c r="N58" i="12"/>
  <c r="E61" i="12"/>
  <c r="N64" i="12"/>
  <c r="F97" i="9"/>
  <c r="D26" i="2" a="1"/>
  <c r="D26" i="2" s="1"/>
  <c r="D25" i="2" a="1"/>
  <c r="D25" i="2" s="1"/>
  <c r="D24" i="2" a="1"/>
  <c r="D24" i="2" s="1"/>
  <c r="D23" i="2" a="1"/>
  <c r="D23" i="2" s="1"/>
  <c r="D22" i="2" a="1"/>
  <c r="D22" i="2" s="1"/>
  <c r="D21" i="2" a="1"/>
  <c r="D21" i="2" s="1"/>
  <c r="D20" i="2" a="1"/>
  <c r="D20" i="2" s="1"/>
  <c r="D19" i="2" a="1"/>
  <c r="D19" i="2" s="1"/>
  <c r="D18" i="2" a="1"/>
  <c r="D18" i="2" s="1"/>
  <c r="D17" i="2" a="1"/>
  <c r="D17" i="2" s="1"/>
  <c r="D16" i="2" a="1"/>
  <c r="D16" i="2" s="1"/>
  <c r="D15" i="2" a="1"/>
  <c r="D15" i="2" s="1"/>
  <c r="D14" i="2" a="1"/>
  <c r="D14" i="2" s="1"/>
  <c r="D13" i="2" a="1"/>
  <c r="D13" i="2" s="1"/>
  <c r="D12" i="2" a="1"/>
  <c r="D12" i="2" s="1"/>
  <c r="D11" i="2" a="1"/>
  <c r="D11" i="2" s="1"/>
  <c r="D10" i="2" a="1"/>
  <c r="D10" i="2" s="1"/>
  <c r="D9" i="2" a="1"/>
  <c r="D9" i="2" s="1"/>
  <c r="D8" i="2" a="1"/>
  <c r="D8" i="2" s="1"/>
  <c r="D7" i="2" a="1"/>
  <c r="D7" i="2" s="1"/>
  <c r="D6" i="2" a="1"/>
  <c r="D6" i="2" s="1"/>
  <c r="D5" i="2" a="1"/>
  <c r="D5" i="2" s="1"/>
  <c r="E104" i="9"/>
  <c r="D104" i="9"/>
  <c r="E103" i="9"/>
  <c r="D103" i="9"/>
  <c r="E102" i="9"/>
  <c r="D102" i="9"/>
  <c r="E101" i="9"/>
  <c r="D101" i="9"/>
  <c r="E100" i="9"/>
  <c r="D100" i="9"/>
  <c r="E99" i="9"/>
  <c r="D99" i="9"/>
  <c r="E98" i="9"/>
  <c r="D98" i="9"/>
  <c r="E96" i="9"/>
  <c r="D96" i="9"/>
  <c r="E95" i="9"/>
  <c r="D95" i="9"/>
  <c r="E94" i="9"/>
  <c r="D94" i="9"/>
  <c r="E93" i="9"/>
  <c r="D93" i="9"/>
  <c r="E85" i="9"/>
  <c r="D85" i="9"/>
  <c r="E84" i="9"/>
  <c r="D84" i="9"/>
  <c r="E83" i="9"/>
  <c r="D83" i="9"/>
  <c r="E82" i="9"/>
  <c r="D82" i="9"/>
  <c r="E81" i="9"/>
  <c r="D81" i="9"/>
  <c r="E80" i="9"/>
  <c r="D80" i="9"/>
  <c r="E79" i="9"/>
  <c r="D79" i="9"/>
  <c r="E77" i="9"/>
  <c r="D77" i="9"/>
  <c r="E76" i="9"/>
  <c r="D76" i="9"/>
  <c r="E75" i="9"/>
  <c r="D75" i="9"/>
  <c r="E74" i="9"/>
  <c r="D74" i="9"/>
  <c r="D3" i="9"/>
  <c r="D3" i="12"/>
  <c r="C2" i="7"/>
  <c r="C2" i="2"/>
  <c r="C2" i="4"/>
  <c r="C2" i="3"/>
  <c r="T15" i="8"/>
  <c r="T14" i="8"/>
  <c r="T13" i="8"/>
  <c r="T12" i="8"/>
  <c r="T11" i="8"/>
  <c r="T10" i="8"/>
  <c r="T9" i="8"/>
  <c r="T8" i="8"/>
  <c r="T7" i="8"/>
  <c r="R15" i="8"/>
  <c r="B15" i="8"/>
  <c r="F15" i="8" s="1"/>
  <c r="R14" i="8"/>
  <c r="B14" i="8"/>
  <c r="K14" i="8" s="1"/>
  <c r="R13" i="8"/>
  <c r="B13" i="8"/>
  <c r="E13" i="8" s="1"/>
  <c r="R12" i="8"/>
  <c r="B12" i="8"/>
  <c r="I12" i="8" s="1"/>
  <c r="R11" i="8"/>
  <c r="B11" i="8"/>
  <c r="R10" i="8"/>
  <c r="B10" i="8"/>
  <c r="G10" i="8" s="1"/>
  <c r="R9" i="8"/>
  <c r="B9" i="8"/>
  <c r="L9" i="8" s="1"/>
  <c r="R8" i="8"/>
  <c r="B8" i="8"/>
  <c r="R7" i="8"/>
  <c r="B7" i="8"/>
  <c r="J7" i="8" s="1"/>
  <c r="F103" i="9" l="1"/>
  <c r="F98" i="9"/>
  <c r="F104" i="9"/>
  <c r="F84" i="9"/>
  <c r="F75" i="9"/>
  <c r="F82" i="9"/>
  <c r="F95" i="9"/>
  <c r="F76" i="9"/>
  <c r="F83" i="9"/>
  <c r="F96" i="9"/>
  <c r="F79" i="9"/>
  <c r="F85" i="9"/>
  <c r="F99" i="9"/>
  <c r="F80" i="9"/>
  <c r="F93" i="9"/>
  <c r="F100" i="9"/>
  <c r="F77" i="9"/>
  <c r="F74" i="9"/>
  <c r="F81" i="9"/>
  <c r="F94" i="9"/>
  <c r="F101" i="9"/>
  <c r="F102" i="9"/>
  <c r="E11" i="8"/>
  <c r="G14" i="8"/>
  <c r="F11" i="8"/>
  <c r="F8" i="8"/>
  <c r="G11" i="8"/>
  <c r="L8" i="8"/>
  <c r="K11" i="8"/>
  <c r="I14" i="8"/>
  <c r="H14" i="8" s="1"/>
  <c r="J9" i="8"/>
  <c r="E12" i="8"/>
  <c r="G12" i="8"/>
  <c r="J12" i="8"/>
  <c r="L13" i="8"/>
  <c r="E7" i="8"/>
  <c r="G8" i="8"/>
  <c r="D11" i="8"/>
  <c r="D12" i="8"/>
  <c r="I11" i="8"/>
  <c r="K12" i="8"/>
  <c r="H12" i="8" s="1"/>
  <c r="L14" i="8"/>
  <c r="F7" i="8"/>
  <c r="G7" i="8"/>
  <c r="G9" i="8"/>
  <c r="J11" i="8"/>
  <c r="L12" i="8"/>
  <c r="K7" i="8"/>
  <c r="L7" i="8"/>
  <c r="L11" i="8"/>
  <c r="G15" i="8"/>
  <c r="F13" i="8"/>
  <c r="G13" i="8"/>
  <c r="AA13" i="8" s="1"/>
  <c r="I15" i="8"/>
  <c r="I10" i="8"/>
  <c r="J15" i="8"/>
  <c r="J10" i="8"/>
  <c r="I13" i="8"/>
  <c r="D14" i="8"/>
  <c r="K15" i="8"/>
  <c r="I8" i="8"/>
  <c r="D9" i="8"/>
  <c r="K10" i="8"/>
  <c r="J8" i="8"/>
  <c r="E9" i="8"/>
  <c r="L10" i="8"/>
  <c r="D7" i="8"/>
  <c r="C7" i="8" s="1"/>
  <c r="K8" i="8"/>
  <c r="F9" i="8"/>
  <c r="J13" i="8"/>
  <c r="E14" i="8"/>
  <c r="L15" i="8"/>
  <c r="K13" i="8"/>
  <c r="F14" i="8"/>
  <c r="I9" i="8"/>
  <c r="D10" i="8"/>
  <c r="F12" i="8"/>
  <c r="E10" i="8"/>
  <c r="AA10" i="8" s="1"/>
  <c r="D15" i="8"/>
  <c r="C15" i="8" s="1"/>
  <c r="I7" i="8"/>
  <c r="D8" i="8"/>
  <c r="K9" i="8"/>
  <c r="F10" i="8"/>
  <c r="J14" i="8"/>
  <c r="E15" i="8"/>
  <c r="E8" i="8"/>
  <c r="D13" i="8"/>
  <c r="B6" i="8"/>
  <c r="L6" i="8" s="1"/>
  <c r="B33" i="8"/>
  <c r="B6" i="16"/>
  <c r="B7" i="16" s="1"/>
  <c r="B8" i="16" s="1"/>
  <c r="B9" i="16" s="1"/>
  <c r="B10" i="16" s="1"/>
  <c r="B11" i="16" s="1"/>
  <c r="B12" i="16" s="1"/>
  <c r="B13" i="16" s="1"/>
  <c r="B14" i="16" s="1"/>
  <c r="C70" i="7"/>
  <c r="F76" i="7"/>
  <c r="E76" i="7"/>
  <c r="D76" i="7"/>
  <c r="C76" i="7"/>
  <c r="F75" i="7"/>
  <c r="E75" i="7"/>
  <c r="D75" i="7"/>
  <c r="C75" i="7"/>
  <c r="F74" i="7"/>
  <c r="E74" i="7"/>
  <c r="D74" i="7"/>
  <c r="C74" i="7"/>
  <c r="F73" i="7"/>
  <c r="E73" i="7"/>
  <c r="D73" i="7"/>
  <c r="C73" i="7"/>
  <c r="F72" i="7"/>
  <c r="E72" i="7"/>
  <c r="D72" i="7"/>
  <c r="C72" i="7"/>
  <c r="F71" i="7"/>
  <c r="E71" i="7"/>
  <c r="D71" i="7"/>
  <c r="C71" i="7"/>
  <c r="F70" i="7"/>
  <c r="E70" i="7"/>
  <c r="D70" i="7"/>
  <c r="I24" i="4"/>
  <c r="H24" i="4"/>
  <c r="F24" i="4"/>
  <c r="E24" i="4"/>
  <c r="I23" i="4"/>
  <c r="H23" i="4"/>
  <c r="F23" i="4"/>
  <c r="E23" i="4"/>
  <c r="I22" i="4"/>
  <c r="H22" i="4"/>
  <c r="F22" i="4"/>
  <c r="E22" i="4"/>
  <c r="I21" i="4"/>
  <c r="H21" i="4"/>
  <c r="F21" i="4"/>
  <c r="E21" i="4"/>
  <c r="I20" i="4"/>
  <c r="H20" i="4"/>
  <c r="F20" i="4"/>
  <c r="E20" i="4"/>
  <c r="I19" i="4"/>
  <c r="H19" i="4"/>
  <c r="F19" i="4"/>
  <c r="E19" i="4"/>
  <c r="I18" i="4"/>
  <c r="H18" i="4"/>
  <c r="F18" i="4"/>
  <c r="E18" i="4"/>
  <c r="F87" i="7"/>
  <c r="E87" i="7"/>
  <c r="D87" i="7"/>
  <c r="C87" i="7"/>
  <c r="F86" i="7"/>
  <c r="E86" i="7"/>
  <c r="D86" i="7"/>
  <c r="C86" i="7"/>
  <c r="F85" i="7"/>
  <c r="E85" i="7"/>
  <c r="D85" i="7"/>
  <c r="C85" i="7"/>
  <c r="F84" i="7"/>
  <c r="E84" i="7"/>
  <c r="D84" i="7"/>
  <c r="C84" i="7"/>
  <c r="F83" i="7"/>
  <c r="E83" i="7"/>
  <c r="D83" i="7"/>
  <c r="C83" i="7"/>
  <c r="F82" i="7"/>
  <c r="E82" i="7"/>
  <c r="D82" i="7"/>
  <c r="C82" i="7"/>
  <c r="F81" i="7"/>
  <c r="E81" i="7"/>
  <c r="D81" i="7"/>
  <c r="C81" i="7"/>
  <c r="E133" i="12"/>
  <c r="E119" i="12"/>
  <c r="S23" i="8"/>
  <c r="U23" i="8" s="1"/>
  <c r="S28" i="8"/>
  <c r="U28" i="8" s="1"/>
  <c r="S27" i="8"/>
  <c r="U27" i="8" s="1"/>
  <c r="S26" i="8"/>
  <c r="U26" i="8" s="1"/>
  <c r="S25" i="8"/>
  <c r="U25" i="8" s="1"/>
  <c r="S24" i="8"/>
  <c r="U24" i="8" s="1"/>
  <c r="S22" i="8"/>
  <c r="Q28" i="8"/>
  <c r="Q27" i="8"/>
  <c r="Q26" i="8"/>
  <c r="Q25" i="8"/>
  <c r="Q24" i="8"/>
  <c r="Q23" i="8"/>
  <c r="Q22" i="8"/>
  <c r="M28" i="8"/>
  <c r="M27" i="8"/>
  <c r="M26" i="8"/>
  <c r="M25" i="8"/>
  <c r="M24" i="8"/>
  <c r="M23" i="8"/>
  <c r="M22" i="8"/>
  <c r="K28" i="8"/>
  <c r="K27" i="8"/>
  <c r="K26" i="8"/>
  <c r="K25" i="8"/>
  <c r="K24" i="8"/>
  <c r="K23" i="8"/>
  <c r="K22" i="8"/>
  <c r="H28" i="8"/>
  <c r="H27" i="8"/>
  <c r="H26" i="8"/>
  <c r="H25" i="8"/>
  <c r="H24" i="8"/>
  <c r="H23" i="8"/>
  <c r="H22" i="8"/>
  <c r="F28" i="8"/>
  <c r="F27" i="8"/>
  <c r="F26" i="8"/>
  <c r="F25" i="8"/>
  <c r="F24" i="8"/>
  <c r="F23" i="8"/>
  <c r="F22" i="8"/>
  <c r="I63" i="14"/>
  <c r="H63" i="14"/>
  <c r="G63" i="14"/>
  <c r="E63" i="14"/>
  <c r="F63" i="14" s="1"/>
  <c r="D63" i="14"/>
  <c r="I38" i="14"/>
  <c r="H38" i="14"/>
  <c r="G38" i="14"/>
  <c r="E38" i="14"/>
  <c r="F38" i="14" s="1"/>
  <c r="D38" i="14"/>
  <c r="I8" i="14"/>
  <c r="H8" i="14"/>
  <c r="G8" i="14"/>
  <c r="E8" i="14"/>
  <c r="F8" i="14" s="1"/>
  <c r="D8" i="14"/>
  <c r="I62" i="14"/>
  <c r="H62" i="14"/>
  <c r="G62" i="14"/>
  <c r="D62" i="14"/>
  <c r="E62" i="14"/>
  <c r="F62" i="14" s="1"/>
  <c r="I78" i="14"/>
  <c r="H78" i="14"/>
  <c r="G78" i="14"/>
  <c r="E78" i="14"/>
  <c r="F78" i="14" s="1"/>
  <c r="D78" i="14"/>
  <c r="H11" i="8" l="1"/>
  <c r="C11" i="8"/>
  <c r="C13" i="8"/>
  <c r="AA11" i="8"/>
  <c r="C8" i="8"/>
  <c r="AA14" i="8"/>
  <c r="AA9" i="8"/>
  <c r="AA15" i="8"/>
  <c r="C12" i="8"/>
  <c r="AA12" i="8"/>
  <c r="C10" i="8"/>
  <c r="AA8" i="8"/>
  <c r="AA7" i="8"/>
  <c r="H7" i="8"/>
  <c r="C9" i="8"/>
  <c r="H8" i="8"/>
  <c r="H10" i="8"/>
  <c r="H9" i="8"/>
  <c r="H15" i="8"/>
  <c r="C14" i="8"/>
  <c r="H13" i="8"/>
  <c r="D6" i="8"/>
  <c r="E6" i="8"/>
  <c r="F6" i="8"/>
  <c r="G6" i="8"/>
  <c r="I6" i="8"/>
  <c r="J6" i="8"/>
  <c r="K6" i="8"/>
  <c r="I79" i="14"/>
  <c r="I74" i="14"/>
  <c r="I75" i="14"/>
  <c r="I77" i="14"/>
  <c r="I82" i="14"/>
  <c r="I41" i="14"/>
  <c r="I48" i="14"/>
  <c r="I47" i="14"/>
  <c r="I46" i="14"/>
  <c r="I45" i="14"/>
  <c r="I44" i="14"/>
  <c r="I43" i="14"/>
  <c r="I42" i="14"/>
  <c r="I40" i="14"/>
  <c r="I81" i="14"/>
  <c r="I80" i="14"/>
  <c r="I73" i="14"/>
  <c r="I72" i="14"/>
  <c r="I71" i="14"/>
  <c r="I70" i="14"/>
  <c r="I69" i="14"/>
  <c r="I68" i="14"/>
  <c r="I67" i="14"/>
  <c r="I66" i="14"/>
  <c r="I65" i="14"/>
  <c r="I64" i="14"/>
  <c r="I95" i="14"/>
  <c r="I94" i="14"/>
  <c r="I93" i="14"/>
  <c r="I92" i="14"/>
  <c r="I91" i="14"/>
  <c r="I90" i="14"/>
  <c r="I89" i="14"/>
  <c r="I61" i="14"/>
  <c r="I60" i="14"/>
  <c r="I59" i="14"/>
  <c r="I58" i="14"/>
  <c r="I57" i="14"/>
  <c r="I56" i="14"/>
  <c r="I55" i="14"/>
  <c r="I54" i="14"/>
  <c r="I53" i="14"/>
  <c r="I52" i="14"/>
  <c r="I51" i="14"/>
  <c r="I50" i="14"/>
  <c r="I37" i="14"/>
  <c r="I36" i="14"/>
  <c r="I35" i="14"/>
  <c r="I34" i="14"/>
  <c r="I33" i="14"/>
  <c r="I32" i="14"/>
  <c r="I31" i="14"/>
  <c r="I20" i="14"/>
  <c r="I19" i="14"/>
  <c r="I27" i="14"/>
  <c r="I26" i="14"/>
  <c r="I25" i="14"/>
  <c r="I24" i="14"/>
  <c r="I23" i="14"/>
  <c r="I22" i="14"/>
  <c r="I21" i="14"/>
  <c r="I16" i="14"/>
  <c r="I15" i="14"/>
  <c r="I14" i="14"/>
  <c r="I13" i="14"/>
  <c r="I12" i="14"/>
  <c r="I11" i="14"/>
  <c r="I10" i="14"/>
  <c r="I9" i="14"/>
  <c r="I7" i="14"/>
  <c r="I6" i="14"/>
  <c r="I5" i="14"/>
  <c r="I4" i="14"/>
  <c r="I3" i="14"/>
  <c r="I2" i="14"/>
  <c r="H79" i="14"/>
  <c r="H74" i="14"/>
  <c r="H75" i="14"/>
  <c r="H77" i="14"/>
  <c r="H82" i="14"/>
  <c r="H41" i="14"/>
  <c r="H48" i="14"/>
  <c r="H47" i="14"/>
  <c r="H46" i="14"/>
  <c r="H45" i="14"/>
  <c r="H44" i="14"/>
  <c r="H43" i="14"/>
  <c r="H42" i="14"/>
  <c r="H40" i="14"/>
  <c r="H81" i="14"/>
  <c r="H80" i="14"/>
  <c r="H73" i="14"/>
  <c r="H72" i="14"/>
  <c r="H71" i="14"/>
  <c r="H70" i="14"/>
  <c r="H69" i="14"/>
  <c r="H68" i="14"/>
  <c r="H67" i="14"/>
  <c r="H66" i="14"/>
  <c r="H65" i="14"/>
  <c r="H64" i="14"/>
  <c r="H95" i="14"/>
  <c r="H94" i="14"/>
  <c r="H93" i="14"/>
  <c r="H92" i="14"/>
  <c r="H91" i="14"/>
  <c r="H90" i="14"/>
  <c r="H89" i="14"/>
  <c r="H61" i="14"/>
  <c r="H60" i="14"/>
  <c r="H59" i="14"/>
  <c r="H58" i="14"/>
  <c r="H57" i="14"/>
  <c r="H56" i="14"/>
  <c r="H55" i="14"/>
  <c r="H54" i="14"/>
  <c r="H53" i="14"/>
  <c r="H52" i="14"/>
  <c r="H51" i="14"/>
  <c r="H50" i="14"/>
  <c r="H37" i="14"/>
  <c r="H36" i="14"/>
  <c r="H35" i="14"/>
  <c r="H34" i="14"/>
  <c r="H33" i="14"/>
  <c r="H32" i="14"/>
  <c r="H31" i="14"/>
  <c r="H20" i="14"/>
  <c r="H19" i="14"/>
  <c r="H27" i="14"/>
  <c r="H26" i="14"/>
  <c r="H25" i="14"/>
  <c r="H24" i="14"/>
  <c r="H23" i="14"/>
  <c r="H22" i="14"/>
  <c r="H21" i="14"/>
  <c r="H16" i="14"/>
  <c r="H15" i="14"/>
  <c r="H14" i="14"/>
  <c r="H13" i="14"/>
  <c r="H12" i="14"/>
  <c r="H11" i="14"/>
  <c r="H10" i="14"/>
  <c r="H9" i="14"/>
  <c r="H7" i="14"/>
  <c r="H6" i="14"/>
  <c r="H5" i="14"/>
  <c r="H4" i="14"/>
  <c r="H3" i="14"/>
  <c r="H2" i="14"/>
  <c r="D79" i="14"/>
  <c r="D74" i="14"/>
  <c r="D75" i="14"/>
  <c r="D77" i="14"/>
  <c r="D82" i="14"/>
  <c r="D41" i="14"/>
  <c r="D48" i="14"/>
  <c r="D46" i="14"/>
  <c r="D45" i="14"/>
  <c r="D44" i="14"/>
  <c r="D43" i="14"/>
  <c r="D42" i="14"/>
  <c r="D47" i="14"/>
  <c r="D40" i="14"/>
  <c r="D81" i="14"/>
  <c r="D80" i="14"/>
  <c r="D73" i="14"/>
  <c r="D72" i="14"/>
  <c r="D71" i="14"/>
  <c r="D70" i="14"/>
  <c r="D69" i="14"/>
  <c r="D68" i="14"/>
  <c r="D67" i="14"/>
  <c r="D66" i="14"/>
  <c r="D65" i="14"/>
  <c r="D64" i="14"/>
  <c r="D95" i="14"/>
  <c r="D94" i="14"/>
  <c r="D93" i="14"/>
  <c r="D92" i="14"/>
  <c r="D91" i="14"/>
  <c r="D90" i="14"/>
  <c r="D89" i="14"/>
  <c r="D61" i="14"/>
  <c r="D55" i="14"/>
  <c r="D56" i="14"/>
  <c r="D54" i="14"/>
  <c r="D60" i="14"/>
  <c r="D59" i="14"/>
  <c r="D58" i="14"/>
  <c r="D57" i="14"/>
  <c r="D53" i="14"/>
  <c r="D52" i="14"/>
  <c r="D51" i="14"/>
  <c r="D50" i="14"/>
  <c r="D37" i="14"/>
  <c r="D36" i="14"/>
  <c r="D35" i="14"/>
  <c r="D34" i="14"/>
  <c r="D33" i="14"/>
  <c r="D32" i="14"/>
  <c r="D31" i="14"/>
  <c r="D19" i="14"/>
  <c r="D20" i="14"/>
  <c r="D25" i="14"/>
  <c r="D27" i="14"/>
  <c r="D26" i="14"/>
  <c r="D24" i="14"/>
  <c r="D23" i="14"/>
  <c r="D22" i="14"/>
  <c r="D21" i="14"/>
  <c r="D16" i="14"/>
  <c r="D11" i="14"/>
  <c r="D12" i="14"/>
  <c r="D10" i="14"/>
  <c r="D15" i="14"/>
  <c r="D13" i="14"/>
  <c r="D14" i="14"/>
  <c r="D9" i="14"/>
  <c r="D7" i="14"/>
  <c r="D3" i="14"/>
  <c r="D6" i="14"/>
  <c r="D4" i="14"/>
  <c r="D5" i="14"/>
  <c r="D2" i="14"/>
  <c r="L28" i="8"/>
  <c r="J28" i="8"/>
  <c r="L27" i="8"/>
  <c r="J27" i="8"/>
  <c r="L26" i="8"/>
  <c r="J26" i="8"/>
  <c r="L25" i="8"/>
  <c r="J25" i="8"/>
  <c r="L24" i="8"/>
  <c r="J24" i="8"/>
  <c r="L23" i="8"/>
  <c r="J23" i="8"/>
  <c r="L22" i="8"/>
  <c r="G28" i="8"/>
  <c r="E28" i="8"/>
  <c r="G27" i="8"/>
  <c r="E27" i="8"/>
  <c r="G26" i="8"/>
  <c r="E26" i="8"/>
  <c r="G25" i="8"/>
  <c r="E25" i="8"/>
  <c r="G24" i="8"/>
  <c r="E24" i="8"/>
  <c r="G23" i="8"/>
  <c r="E23" i="8"/>
  <c r="G22" i="8"/>
  <c r="E73" i="9"/>
  <c r="D73" i="9"/>
  <c r="V67" i="9"/>
  <c r="U67" i="9"/>
  <c r="T67" i="9"/>
  <c r="S67" i="9"/>
  <c r="Q67" i="9"/>
  <c r="P67" i="9"/>
  <c r="N67" i="9"/>
  <c r="M67" i="9"/>
  <c r="L67" i="9"/>
  <c r="K67" i="9"/>
  <c r="I67" i="9"/>
  <c r="H67" i="9"/>
  <c r="F67" i="9"/>
  <c r="V66" i="9"/>
  <c r="U66" i="9"/>
  <c r="T66" i="9"/>
  <c r="S66" i="9"/>
  <c r="Q66" i="9"/>
  <c r="P66" i="9"/>
  <c r="N66" i="9"/>
  <c r="M66" i="9"/>
  <c r="L66" i="9"/>
  <c r="K66" i="9"/>
  <c r="I66" i="9"/>
  <c r="H66" i="9"/>
  <c r="F66" i="9"/>
  <c r="V65" i="9"/>
  <c r="U65" i="9"/>
  <c r="T65" i="9"/>
  <c r="S65" i="9"/>
  <c r="Q65" i="9"/>
  <c r="P65" i="9"/>
  <c r="N65" i="9"/>
  <c r="M65" i="9"/>
  <c r="L65" i="9"/>
  <c r="K65" i="9"/>
  <c r="I65" i="9"/>
  <c r="H65" i="9"/>
  <c r="F65" i="9"/>
  <c r="V64" i="9"/>
  <c r="U64" i="9"/>
  <c r="T64" i="9"/>
  <c r="S64" i="9"/>
  <c r="Q64" i="9"/>
  <c r="P64" i="9"/>
  <c r="N64" i="9"/>
  <c r="M64" i="9"/>
  <c r="L64" i="9"/>
  <c r="K64" i="9"/>
  <c r="I64" i="9"/>
  <c r="H64" i="9"/>
  <c r="F64" i="9"/>
  <c r="V63" i="9"/>
  <c r="U63" i="9"/>
  <c r="T63" i="9"/>
  <c r="S63" i="9"/>
  <c r="Q63" i="9"/>
  <c r="P63" i="9"/>
  <c r="N63" i="9"/>
  <c r="M63" i="9"/>
  <c r="L63" i="9"/>
  <c r="K63" i="9"/>
  <c r="I63" i="9"/>
  <c r="H63" i="9"/>
  <c r="F63" i="9"/>
  <c r="V62" i="9"/>
  <c r="U62" i="9"/>
  <c r="T62" i="9"/>
  <c r="S62" i="9"/>
  <c r="Q62" i="9"/>
  <c r="P62" i="9"/>
  <c r="N62" i="9"/>
  <c r="M62" i="9"/>
  <c r="L62" i="9"/>
  <c r="K62" i="9"/>
  <c r="I62" i="9"/>
  <c r="H62" i="9"/>
  <c r="F62" i="9"/>
  <c r="V61" i="9"/>
  <c r="U61" i="9"/>
  <c r="T61" i="9"/>
  <c r="S61" i="9"/>
  <c r="Q61" i="9"/>
  <c r="P61" i="9"/>
  <c r="N61" i="9"/>
  <c r="M61" i="9"/>
  <c r="L61" i="9"/>
  <c r="K61" i="9"/>
  <c r="I61" i="9"/>
  <c r="H61" i="9"/>
  <c r="F61" i="9"/>
  <c r="V60" i="9"/>
  <c r="U60" i="9"/>
  <c r="T60" i="9"/>
  <c r="S60" i="9"/>
  <c r="Q60" i="9"/>
  <c r="P60" i="9"/>
  <c r="N60" i="9"/>
  <c r="M60" i="9"/>
  <c r="L60" i="9"/>
  <c r="K60" i="9"/>
  <c r="I60" i="9"/>
  <c r="H60" i="9"/>
  <c r="F60" i="9"/>
  <c r="V59" i="9"/>
  <c r="U59" i="9"/>
  <c r="T59" i="9"/>
  <c r="S59" i="9"/>
  <c r="Q59" i="9"/>
  <c r="P59" i="9"/>
  <c r="N59" i="9"/>
  <c r="M59" i="9"/>
  <c r="L59" i="9"/>
  <c r="K59" i="9"/>
  <c r="I59" i="9"/>
  <c r="H59" i="9"/>
  <c r="F59" i="9"/>
  <c r="V58" i="9"/>
  <c r="U58" i="9"/>
  <c r="T58" i="9"/>
  <c r="S58" i="9"/>
  <c r="Q58" i="9"/>
  <c r="P58" i="9"/>
  <c r="N58" i="9"/>
  <c r="M58" i="9"/>
  <c r="L58" i="9"/>
  <c r="K58" i="9"/>
  <c r="I58" i="9"/>
  <c r="H58" i="9"/>
  <c r="F58" i="9"/>
  <c r="V57" i="9"/>
  <c r="U57" i="9"/>
  <c r="T57" i="9"/>
  <c r="S57" i="9"/>
  <c r="Q57" i="9"/>
  <c r="P57" i="9"/>
  <c r="N57" i="9"/>
  <c r="M57" i="9"/>
  <c r="L57" i="9"/>
  <c r="K57" i="9"/>
  <c r="I57" i="9"/>
  <c r="H57" i="9"/>
  <c r="F57" i="9"/>
  <c r="V56" i="9"/>
  <c r="U56" i="9"/>
  <c r="T56" i="9"/>
  <c r="S56" i="9"/>
  <c r="Q56" i="9"/>
  <c r="P56" i="9"/>
  <c r="N56" i="9"/>
  <c r="M56" i="9"/>
  <c r="L56" i="9"/>
  <c r="K56" i="9"/>
  <c r="I56" i="9"/>
  <c r="H56" i="9"/>
  <c r="F56" i="9"/>
  <c r="V55" i="9"/>
  <c r="U55" i="9"/>
  <c r="T55" i="9"/>
  <c r="S55" i="9"/>
  <c r="Q55" i="9"/>
  <c r="P55" i="9"/>
  <c r="N55" i="9"/>
  <c r="M55" i="9"/>
  <c r="L55" i="9"/>
  <c r="K55" i="9"/>
  <c r="I55" i="9"/>
  <c r="H55" i="9"/>
  <c r="F55" i="9"/>
  <c r="V54" i="9"/>
  <c r="U54" i="9"/>
  <c r="T54" i="9"/>
  <c r="S54" i="9"/>
  <c r="Q54" i="9"/>
  <c r="P54" i="9"/>
  <c r="N54" i="9"/>
  <c r="M54" i="9"/>
  <c r="L54" i="9"/>
  <c r="K54" i="9"/>
  <c r="I54" i="9"/>
  <c r="H54" i="9"/>
  <c r="F54" i="9"/>
  <c r="V53" i="9"/>
  <c r="U53" i="9"/>
  <c r="T53" i="9"/>
  <c r="S53" i="9"/>
  <c r="Q53" i="9"/>
  <c r="P53" i="9"/>
  <c r="N53" i="9"/>
  <c r="M53" i="9"/>
  <c r="L53" i="9"/>
  <c r="K53" i="9"/>
  <c r="I53" i="9"/>
  <c r="H53" i="9"/>
  <c r="F53" i="9"/>
  <c r="V52" i="9"/>
  <c r="U52" i="9"/>
  <c r="T52" i="9"/>
  <c r="S52" i="9"/>
  <c r="Q52" i="9"/>
  <c r="P52" i="9"/>
  <c r="N52" i="9"/>
  <c r="M52" i="9"/>
  <c r="L52" i="9"/>
  <c r="K52" i="9"/>
  <c r="I52" i="9"/>
  <c r="H52" i="9"/>
  <c r="F52" i="9"/>
  <c r="V51" i="9"/>
  <c r="U51" i="9"/>
  <c r="T51" i="9"/>
  <c r="S51" i="9"/>
  <c r="Q51" i="9"/>
  <c r="P51" i="9"/>
  <c r="N51" i="9"/>
  <c r="M51" i="9"/>
  <c r="L51" i="9"/>
  <c r="K51" i="9"/>
  <c r="I51" i="9"/>
  <c r="H51" i="9"/>
  <c r="F51" i="9"/>
  <c r="V50" i="9"/>
  <c r="U50" i="9"/>
  <c r="T50" i="9"/>
  <c r="S50" i="9"/>
  <c r="Q50" i="9"/>
  <c r="P50" i="9"/>
  <c r="N50" i="9"/>
  <c r="M50" i="9"/>
  <c r="L50" i="9"/>
  <c r="K50" i="9"/>
  <c r="I50" i="9"/>
  <c r="H50" i="9"/>
  <c r="F50" i="9"/>
  <c r="V49" i="9"/>
  <c r="U49" i="9"/>
  <c r="T49" i="9"/>
  <c r="S49" i="9"/>
  <c r="Q49" i="9"/>
  <c r="P49" i="9"/>
  <c r="N49" i="9"/>
  <c r="M49" i="9"/>
  <c r="L49" i="9"/>
  <c r="K49" i="9"/>
  <c r="I49" i="9"/>
  <c r="H49" i="9"/>
  <c r="F49" i="9"/>
  <c r="V48" i="9"/>
  <c r="U48" i="9"/>
  <c r="T48" i="9"/>
  <c r="S48" i="9"/>
  <c r="Q48" i="9"/>
  <c r="P48" i="9"/>
  <c r="N48" i="9"/>
  <c r="M48" i="9"/>
  <c r="L48" i="9"/>
  <c r="K48" i="9"/>
  <c r="I48" i="9"/>
  <c r="H48" i="9"/>
  <c r="F48" i="9"/>
  <c r="V47" i="9"/>
  <c r="U47" i="9"/>
  <c r="T47" i="9"/>
  <c r="S47" i="9"/>
  <c r="Q47" i="9"/>
  <c r="P47" i="9"/>
  <c r="N47" i="9"/>
  <c r="M47" i="9"/>
  <c r="L47" i="9"/>
  <c r="K47" i="9"/>
  <c r="I47" i="9"/>
  <c r="H47" i="9"/>
  <c r="F47" i="9"/>
  <c r="V46" i="9"/>
  <c r="U46" i="9"/>
  <c r="T46" i="9"/>
  <c r="S46" i="9"/>
  <c r="Q46" i="9"/>
  <c r="P46" i="9"/>
  <c r="N46" i="9"/>
  <c r="M46" i="9"/>
  <c r="L46" i="9"/>
  <c r="K46" i="9"/>
  <c r="I46" i="9"/>
  <c r="H46" i="9"/>
  <c r="F46" i="9"/>
  <c r="V45" i="9"/>
  <c r="U45" i="9"/>
  <c r="T45" i="9"/>
  <c r="S45" i="9"/>
  <c r="Q45" i="9"/>
  <c r="P45" i="9"/>
  <c r="N45" i="9"/>
  <c r="M45" i="9"/>
  <c r="L45" i="9"/>
  <c r="K45" i="9"/>
  <c r="I45" i="9"/>
  <c r="H45" i="9"/>
  <c r="F45" i="9"/>
  <c r="V44" i="9"/>
  <c r="U44" i="9"/>
  <c r="T44" i="9"/>
  <c r="S44" i="9"/>
  <c r="Q44" i="9"/>
  <c r="P44" i="9"/>
  <c r="N44" i="9"/>
  <c r="M44" i="9"/>
  <c r="L44" i="9"/>
  <c r="K44" i="9"/>
  <c r="I44" i="9"/>
  <c r="H44" i="9"/>
  <c r="F44" i="9"/>
  <c r="V43" i="9"/>
  <c r="U43" i="9"/>
  <c r="T43" i="9"/>
  <c r="S43" i="9"/>
  <c r="Q43" i="9"/>
  <c r="P43" i="9"/>
  <c r="N43" i="9"/>
  <c r="M43" i="9"/>
  <c r="L43" i="9"/>
  <c r="K43" i="9"/>
  <c r="I43" i="9"/>
  <c r="H43" i="9"/>
  <c r="F43" i="9"/>
  <c r="V42" i="9"/>
  <c r="U42" i="9"/>
  <c r="T42" i="9"/>
  <c r="S42" i="9"/>
  <c r="Q42" i="9"/>
  <c r="P42" i="9"/>
  <c r="N42" i="9"/>
  <c r="M42" i="9"/>
  <c r="L42" i="9"/>
  <c r="K42" i="9"/>
  <c r="I42" i="9"/>
  <c r="H42" i="9"/>
  <c r="F42" i="9"/>
  <c r="V41" i="9"/>
  <c r="U41" i="9"/>
  <c r="T41" i="9"/>
  <c r="S41" i="9"/>
  <c r="Q41" i="9"/>
  <c r="P41" i="9"/>
  <c r="N41" i="9"/>
  <c r="M41" i="9"/>
  <c r="L41" i="9"/>
  <c r="K41" i="9"/>
  <c r="I41" i="9"/>
  <c r="H41" i="9"/>
  <c r="F41" i="9"/>
  <c r="V40" i="9"/>
  <c r="U40" i="9"/>
  <c r="T40" i="9"/>
  <c r="S40" i="9"/>
  <c r="Q40" i="9"/>
  <c r="P40" i="9"/>
  <c r="N40" i="9"/>
  <c r="M40" i="9"/>
  <c r="L40" i="9"/>
  <c r="K40" i="9"/>
  <c r="I40" i="9"/>
  <c r="H40" i="9"/>
  <c r="F40" i="9"/>
  <c r="V39" i="9"/>
  <c r="U39" i="9"/>
  <c r="T39" i="9"/>
  <c r="S39" i="9"/>
  <c r="Q39" i="9"/>
  <c r="P39" i="9"/>
  <c r="N39" i="9"/>
  <c r="M39" i="9"/>
  <c r="L39" i="9"/>
  <c r="K39" i="9"/>
  <c r="I39" i="9"/>
  <c r="H39" i="9"/>
  <c r="F39" i="9"/>
  <c r="V38" i="9"/>
  <c r="U38" i="9"/>
  <c r="T38" i="9"/>
  <c r="S38" i="9"/>
  <c r="Q38" i="9"/>
  <c r="P38" i="9"/>
  <c r="N38" i="9"/>
  <c r="M38" i="9"/>
  <c r="L38" i="9"/>
  <c r="K38" i="9"/>
  <c r="I38" i="9"/>
  <c r="H38" i="9"/>
  <c r="F38" i="9"/>
  <c r="V37" i="9"/>
  <c r="U37" i="9"/>
  <c r="T37" i="9"/>
  <c r="S37" i="9"/>
  <c r="Q37" i="9"/>
  <c r="P37" i="9"/>
  <c r="N37" i="9"/>
  <c r="M37" i="9"/>
  <c r="L37" i="9"/>
  <c r="K37" i="9"/>
  <c r="I37" i="9"/>
  <c r="H37" i="9"/>
  <c r="F37" i="9"/>
  <c r="V36" i="9"/>
  <c r="U36" i="9"/>
  <c r="T36" i="9"/>
  <c r="S36" i="9"/>
  <c r="Q36" i="9"/>
  <c r="P36" i="9"/>
  <c r="N36" i="9"/>
  <c r="M36" i="9"/>
  <c r="L36" i="9"/>
  <c r="K36" i="9"/>
  <c r="I36" i="9"/>
  <c r="H36" i="9"/>
  <c r="F36" i="9"/>
  <c r="V35" i="9"/>
  <c r="U35" i="9"/>
  <c r="T35" i="9"/>
  <c r="S35" i="9"/>
  <c r="Q35" i="9"/>
  <c r="P35" i="9"/>
  <c r="N35" i="9"/>
  <c r="M35" i="9"/>
  <c r="L35" i="9"/>
  <c r="K35" i="9"/>
  <c r="I35" i="9"/>
  <c r="H35" i="9"/>
  <c r="F35" i="9"/>
  <c r="V34" i="9"/>
  <c r="U34" i="9"/>
  <c r="T34" i="9"/>
  <c r="S34" i="9"/>
  <c r="Q34" i="9"/>
  <c r="P34" i="9"/>
  <c r="N34" i="9"/>
  <c r="M34" i="9"/>
  <c r="L34" i="9"/>
  <c r="K34" i="9"/>
  <c r="I34" i="9"/>
  <c r="H34" i="9"/>
  <c r="F34" i="9"/>
  <c r="V33" i="9"/>
  <c r="U33" i="9"/>
  <c r="T33" i="9"/>
  <c r="S33" i="9"/>
  <c r="Q33" i="9"/>
  <c r="P33" i="9"/>
  <c r="N33" i="9"/>
  <c r="M33" i="9"/>
  <c r="L33" i="9"/>
  <c r="K33" i="9"/>
  <c r="I33" i="9"/>
  <c r="H33" i="9"/>
  <c r="F33" i="9"/>
  <c r="V32" i="9"/>
  <c r="U32" i="9"/>
  <c r="T32" i="9"/>
  <c r="S32" i="9"/>
  <c r="Q32" i="9"/>
  <c r="P32" i="9"/>
  <c r="N32" i="9"/>
  <c r="M32" i="9"/>
  <c r="L32" i="9"/>
  <c r="K32" i="9"/>
  <c r="I32" i="9"/>
  <c r="H32" i="9"/>
  <c r="F32" i="9"/>
  <c r="V31" i="9"/>
  <c r="U31" i="9"/>
  <c r="T31" i="9"/>
  <c r="S31" i="9"/>
  <c r="Q31" i="9"/>
  <c r="P31" i="9"/>
  <c r="N31" i="9"/>
  <c r="M31" i="9"/>
  <c r="L31" i="9"/>
  <c r="K31" i="9"/>
  <c r="I31" i="9"/>
  <c r="H31" i="9"/>
  <c r="F31" i="9"/>
  <c r="V30" i="9"/>
  <c r="U30" i="9"/>
  <c r="T30" i="9"/>
  <c r="S30" i="9"/>
  <c r="Q30" i="9"/>
  <c r="P30" i="9"/>
  <c r="N30" i="9"/>
  <c r="M30" i="9"/>
  <c r="L30" i="9"/>
  <c r="K30" i="9"/>
  <c r="I30" i="9"/>
  <c r="H30" i="9"/>
  <c r="F30" i="9"/>
  <c r="V29" i="9"/>
  <c r="U29" i="9"/>
  <c r="T29" i="9"/>
  <c r="S29" i="9"/>
  <c r="Q29" i="9"/>
  <c r="P29" i="9"/>
  <c r="N29" i="9"/>
  <c r="M29" i="9"/>
  <c r="L29" i="9"/>
  <c r="K29" i="9"/>
  <c r="I29" i="9"/>
  <c r="H29" i="9"/>
  <c r="F29" i="9"/>
  <c r="V28" i="9"/>
  <c r="U28" i="9"/>
  <c r="T28" i="9"/>
  <c r="S28" i="9"/>
  <c r="Q28" i="9"/>
  <c r="P28" i="9"/>
  <c r="N28" i="9"/>
  <c r="M28" i="9"/>
  <c r="L28" i="9"/>
  <c r="K28" i="9"/>
  <c r="I28" i="9"/>
  <c r="H28" i="9"/>
  <c r="F28" i="9"/>
  <c r="V27" i="9"/>
  <c r="U27" i="9"/>
  <c r="T27" i="9"/>
  <c r="S27" i="9"/>
  <c r="Q27" i="9"/>
  <c r="P27" i="9"/>
  <c r="N27" i="9"/>
  <c r="M27" i="9"/>
  <c r="L27" i="9"/>
  <c r="K27" i="9"/>
  <c r="I27" i="9"/>
  <c r="H27" i="9"/>
  <c r="F27" i="9"/>
  <c r="V26" i="9"/>
  <c r="U26" i="9"/>
  <c r="T26" i="9"/>
  <c r="S26" i="9"/>
  <c r="Q26" i="9"/>
  <c r="P26" i="9"/>
  <c r="N26" i="9"/>
  <c r="M26" i="9"/>
  <c r="L26" i="9"/>
  <c r="K26" i="9"/>
  <c r="I26" i="9"/>
  <c r="H26" i="9"/>
  <c r="F26" i="9"/>
  <c r="V25" i="9"/>
  <c r="U25" i="9"/>
  <c r="T25" i="9"/>
  <c r="S25" i="9"/>
  <c r="Q25" i="9"/>
  <c r="P25" i="9"/>
  <c r="N25" i="9"/>
  <c r="M25" i="9"/>
  <c r="L25" i="9"/>
  <c r="K25" i="9"/>
  <c r="I25" i="9"/>
  <c r="H25" i="9"/>
  <c r="F25" i="9"/>
  <c r="V24" i="9"/>
  <c r="U24" i="9"/>
  <c r="T24" i="9"/>
  <c r="S24" i="9"/>
  <c r="Q24" i="9"/>
  <c r="P24" i="9"/>
  <c r="N24" i="9"/>
  <c r="M24" i="9"/>
  <c r="L24" i="9"/>
  <c r="K24" i="9"/>
  <c r="I24" i="9"/>
  <c r="H24" i="9"/>
  <c r="F24" i="9"/>
  <c r="V23" i="9"/>
  <c r="U23" i="9"/>
  <c r="T23" i="9"/>
  <c r="S23" i="9"/>
  <c r="Q23" i="9"/>
  <c r="P23" i="9"/>
  <c r="N23" i="9"/>
  <c r="M23" i="9"/>
  <c r="L23" i="9"/>
  <c r="K23" i="9"/>
  <c r="I23" i="9"/>
  <c r="H23" i="9"/>
  <c r="F23" i="9"/>
  <c r="V22" i="9"/>
  <c r="U22" i="9"/>
  <c r="T22" i="9"/>
  <c r="S22" i="9"/>
  <c r="Q22" i="9"/>
  <c r="P22" i="9"/>
  <c r="N22" i="9"/>
  <c r="M22" i="9"/>
  <c r="L22" i="9"/>
  <c r="K22" i="9"/>
  <c r="I22" i="9"/>
  <c r="H22" i="9"/>
  <c r="F22" i="9"/>
  <c r="V21" i="9"/>
  <c r="U21" i="9"/>
  <c r="T21" i="9"/>
  <c r="S21" i="9"/>
  <c r="Q21" i="9"/>
  <c r="P21" i="9"/>
  <c r="N21" i="9"/>
  <c r="M21" i="9"/>
  <c r="L21" i="9"/>
  <c r="K21" i="9"/>
  <c r="I21" i="9"/>
  <c r="H21" i="9"/>
  <c r="F21" i="9"/>
  <c r="V20" i="9"/>
  <c r="U20" i="9"/>
  <c r="T20" i="9"/>
  <c r="S20" i="9"/>
  <c r="Q20" i="9"/>
  <c r="P20" i="9"/>
  <c r="N20" i="9"/>
  <c r="M20" i="9"/>
  <c r="L20" i="9"/>
  <c r="K20" i="9"/>
  <c r="I20" i="9"/>
  <c r="H20" i="9"/>
  <c r="F20" i="9"/>
  <c r="V19" i="9"/>
  <c r="U19" i="9"/>
  <c r="T19" i="9"/>
  <c r="S19" i="9"/>
  <c r="Q19" i="9"/>
  <c r="P19" i="9"/>
  <c r="N19" i="9"/>
  <c r="M19" i="9"/>
  <c r="L19" i="9"/>
  <c r="K19" i="9"/>
  <c r="I19" i="9"/>
  <c r="H19" i="9"/>
  <c r="F19" i="9"/>
  <c r="V18" i="9"/>
  <c r="U18" i="9"/>
  <c r="T18" i="9"/>
  <c r="S18" i="9"/>
  <c r="Q18" i="9"/>
  <c r="P18" i="9"/>
  <c r="N18" i="9"/>
  <c r="M18" i="9"/>
  <c r="L18" i="9"/>
  <c r="K18" i="9"/>
  <c r="I18" i="9"/>
  <c r="H18" i="9"/>
  <c r="F18" i="9"/>
  <c r="V17" i="9"/>
  <c r="U17" i="9"/>
  <c r="T17" i="9"/>
  <c r="S17" i="9"/>
  <c r="Q17" i="9"/>
  <c r="P17" i="9"/>
  <c r="N17" i="9"/>
  <c r="M17" i="9"/>
  <c r="L17" i="9"/>
  <c r="K17" i="9"/>
  <c r="I17" i="9"/>
  <c r="H17" i="9"/>
  <c r="F17" i="9"/>
  <c r="V16" i="9"/>
  <c r="U16" i="9"/>
  <c r="T16" i="9"/>
  <c r="S16" i="9"/>
  <c r="Q16" i="9"/>
  <c r="P16" i="9"/>
  <c r="N16" i="9"/>
  <c r="M16" i="9"/>
  <c r="L16" i="9"/>
  <c r="K16" i="9"/>
  <c r="I16" i="9"/>
  <c r="H16" i="9"/>
  <c r="F16" i="9"/>
  <c r="V15" i="9"/>
  <c r="U15" i="9"/>
  <c r="T15" i="9"/>
  <c r="S15" i="9"/>
  <c r="Q15" i="9"/>
  <c r="P15" i="9"/>
  <c r="N15" i="9"/>
  <c r="M15" i="9"/>
  <c r="L15" i="9"/>
  <c r="K15" i="9"/>
  <c r="I15" i="9"/>
  <c r="H15" i="9"/>
  <c r="F15" i="9"/>
  <c r="V14" i="9"/>
  <c r="U14" i="9"/>
  <c r="T14" i="9"/>
  <c r="S14" i="9"/>
  <c r="Q14" i="9"/>
  <c r="P14" i="9"/>
  <c r="N14" i="9"/>
  <c r="M14" i="9"/>
  <c r="L14" i="9"/>
  <c r="K14" i="9"/>
  <c r="I14" i="9"/>
  <c r="H14" i="9"/>
  <c r="F14" i="9"/>
  <c r="V13" i="9"/>
  <c r="U13" i="9"/>
  <c r="T13" i="9"/>
  <c r="S13" i="9"/>
  <c r="Q13" i="9"/>
  <c r="P13" i="9"/>
  <c r="N13" i="9"/>
  <c r="M13" i="9"/>
  <c r="L13" i="9"/>
  <c r="K13" i="9"/>
  <c r="I13" i="9"/>
  <c r="H13" i="9"/>
  <c r="F13" i="9"/>
  <c r="V12" i="9"/>
  <c r="U12" i="9"/>
  <c r="T12" i="9"/>
  <c r="S12" i="9"/>
  <c r="Q12" i="9"/>
  <c r="P12" i="9"/>
  <c r="N12" i="9"/>
  <c r="M12" i="9"/>
  <c r="L12" i="9"/>
  <c r="K12" i="9"/>
  <c r="I12" i="9"/>
  <c r="H12" i="9"/>
  <c r="F12" i="9"/>
  <c r="V11" i="9"/>
  <c r="U11" i="9"/>
  <c r="T11" i="9"/>
  <c r="S11" i="9"/>
  <c r="Q11" i="9"/>
  <c r="P11" i="9"/>
  <c r="N11" i="9"/>
  <c r="M11" i="9"/>
  <c r="L11" i="9"/>
  <c r="K11" i="9"/>
  <c r="I11" i="9"/>
  <c r="H11" i="9"/>
  <c r="F11" i="9"/>
  <c r="V10" i="9"/>
  <c r="U10" i="9"/>
  <c r="T10" i="9"/>
  <c r="S10" i="9"/>
  <c r="Q10" i="9"/>
  <c r="P10" i="9"/>
  <c r="N10" i="9"/>
  <c r="M10" i="9"/>
  <c r="L10" i="9"/>
  <c r="K10" i="9"/>
  <c r="I10" i="9"/>
  <c r="H10" i="9"/>
  <c r="F10" i="9"/>
  <c r="V9" i="9"/>
  <c r="U9" i="9"/>
  <c r="T9" i="9"/>
  <c r="S9" i="9"/>
  <c r="Q9" i="9"/>
  <c r="P9" i="9"/>
  <c r="N9" i="9"/>
  <c r="M9" i="9"/>
  <c r="L9" i="9"/>
  <c r="K9" i="9"/>
  <c r="I9" i="9"/>
  <c r="H9" i="9"/>
  <c r="F9" i="9"/>
  <c r="V8" i="9"/>
  <c r="U8" i="9"/>
  <c r="T8" i="9"/>
  <c r="S8" i="9"/>
  <c r="Q8" i="9"/>
  <c r="P8" i="9"/>
  <c r="N8" i="9"/>
  <c r="M8" i="9"/>
  <c r="L8" i="9"/>
  <c r="K8" i="9"/>
  <c r="I8" i="9"/>
  <c r="H8" i="9"/>
  <c r="F8" i="9"/>
  <c r="V7" i="9"/>
  <c r="U7" i="9"/>
  <c r="T7" i="9"/>
  <c r="S7" i="9"/>
  <c r="Q7" i="9"/>
  <c r="P7" i="9"/>
  <c r="N7" i="9"/>
  <c r="M7" i="9"/>
  <c r="L7" i="9"/>
  <c r="K7" i="9"/>
  <c r="I7" i="9"/>
  <c r="H7" i="9"/>
  <c r="F7" i="9"/>
  <c r="F6" i="9"/>
  <c r="I124" i="3"/>
  <c r="I123" i="3"/>
  <c r="I122" i="3"/>
  <c r="I121" i="3"/>
  <c r="I120" i="3"/>
  <c r="I119" i="3"/>
  <c r="I118" i="3"/>
  <c r="E124" i="3"/>
  <c r="E123" i="3"/>
  <c r="E122" i="3"/>
  <c r="E121" i="3"/>
  <c r="E120" i="3"/>
  <c r="E119" i="3"/>
  <c r="E118" i="3"/>
  <c r="J26" i="2"/>
  <c r="I26" i="2"/>
  <c r="G26" i="2"/>
  <c r="F26" i="2"/>
  <c r="J25" i="2"/>
  <c r="I25" i="2"/>
  <c r="G25" i="2"/>
  <c r="F25" i="2"/>
  <c r="J24" i="2"/>
  <c r="I24" i="2"/>
  <c r="G24" i="2"/>
  <c r="F24" i="2"/>
  <c r="J23" i="2"/>
  <c r="I23" i="2"/>
  <c r="G23" i="2"/>
  <c r="F23" i="2"/>
  <c r="J22" i="2"/>
  <c r="I22" i="2"/>
  <c r="G22" i="2"/>
  <c r="F22" i="2"/>
  <c r="J21" i="2"/>
  <c r="I21" i="2"/>
  <c r="G21" i="2"/>
  <c r="F21" i="2"/>
  <c r="J20" i="2"/>
  <c r="I20" i="2"/>
  <c r="G20" i="2"/>
  <c r="F20" i="2"/>
  <c r="J19" i="2"/>
  <c r="I19" i="2"/>
  <c r="G19" i="2"/>
  <c r="F19" i="2"/>
  <c r="J18" i="2"/>
  <c r="I18" i="2"/>
  <c r="G18" i="2"/>
  <c r="F18" i="2"/>
  <c r="J17" i="2"/>
  <c r="I17" i="2"/>
  <c r="G17" i="2"/>
  <c r="F17" i="2"/>
  <c r="J16" i="2"/>
  <c r="I16" i="2"/>
  <c r="G16" i="2"/>
  <c r="F16" i="2"/>
  <c r="J15" i="2"/>
  <c r="I15" i="2"/>
  <c r="G15" i="2"/>
  <c r="F15" i="2"/>
  <c r="J14" i="2"/>
  <c r="I14" i="2"/>
  <c r="G14" i="2"/>
  <c r="F14" i="2"/>
  <c r="J13" i="2"/>
  <c r="I13" i="2"/>
  <c r="G13" i="2"/>
  <c r="F13" i="2"/>
  <c r="J12" i="2"/>
  <c r="I12" i="2"/>
  <c r="G12" i="2"/>
  <c r="F12" i="2"/>
  <c r="J11" i="2"/>
  <c r="I11" i="2"/>
  <c r="G11" i="2"/>
  <c r="F11" i="2"/>
  <c r="J10" i="2"/>
  <c r="I10" i="2"/>
  <c r="G10" i="2"/>
  <c r="F10" i="2"/>
  <c r="J9" i="2"/>
  <c r="I9" i="2"/>
  <c r="G9" i="2"/>
  <c r="F9" i="2"/>
  <c r="J8" i="2"/>
  <c r="I8" i="2"/>
  <c r="G8" i="2"/>
  <c r="F8" i="2"/>
  <c r="J7" i="2"/>
  <c r="I7" i="2"/>
  <c r="G7" i="2"/>
  <c r="F7" i="2"/>
  <c r="J6" i="2"/>
  <c r="I6" i="2"/>
  <c r="G6" i="2"/>
  <c r="F6" i="2"/>
  <c r="J5" i="2"/>
  <c r="I5" i="2"/>
  <c r="G5" i="2"/>
  <c r="F5" i="2"/>
  <c r="G95" i="14"/>
  <c r="E95" i="14"/>
  <c r="F95" i="14" s="1"/>
  <c r="G79" i="14"/>
  <c r="E79" i="14"/>
  <c r="F79" i="14"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8" i="2"/>
  <c r="S8" i="2" s="1"/>
  <c r="R7" i="2"/>
  <c r="S7" i="2" s="1"/>
  <c r="R6" i="2"/>
  <c r="S6" i="2" s="1"/>
  <c r="R5" i="2"/>
  <c r="S5" i="2" s="1"/>
  <c r="D23" i="4" l="1"/>
  <c r="D28" i="8"/>
  <c r="D21" i="4"/>
  <c r="I97" i="14"/>
  <c r="H97" i="14"/>
  <c r="J16" i="9"/>
  <c r="J18" i="9"/>
  <c r="J22" i="9"/>
  <c r="J26" i="9"/>
  <c r="R26" i="9"/>
  <c r="J30" i="9"/>
  <c r="E6" i="2"/>
  <c r="E8" i="2"/>
  <c r="G20" i="4"/>
  <c r="G22" i="4"/>
  <c r="G24" i="4"/>
  <c r="Z22" i="8"/>
  <c r="Z25" i="8"/>
  <c r="D27" i="8"/>
  <c r="G23" i="4"/>
  <c r="Z27" i="8"/>
  <c r="D19" i="4"/>
  <c r="D24" i="8"/>
  <c r="D25" i="8"/>
  <c r="I23" i="8"/>
  <c r="D22" i="4"/>
  <c r="D24" i="4"/>
  <c r="I26" i="4"/>
  <c r="D23" i="8"/>
  <c r="D26" i="8"/>
  <c r="I25" i="8"/>
  <c r="I26" i="8"/>
  <c r="I28" i="8"/>
  <c r="D20" i="4"/>
  <c r="J38" i="9"/>
  <c r="J42" i="9"/>
  <c r="J46" i="9"/>
  <c r="J62" i="9"/>
  <c r="G67" i="9"/>
  <c r="G51" i="9"/>
  <c r="G55" i="9"/>
  <c r="G59" i="9"/>
  <c r="G63" i="9"/>
  <c r="E19" i="2"/>
  <c r="J56" i="9"/>
  <c r="G61" i="9"/>
  <c r="G65" i="9"/>
  <c r="R27" i="9"/>
  <c r="J29" i="9"/>
  <c r="J33" i="9"/>
  <c r="J45" i="9"/>
  <c r="J49" i="9"/>
  <c r="R59" i="9"/>
  <c r="G11" i="9"/>
  <c r="G28" i="9"/>
  <c r="G32" i="9"/>
  <c r="G44" i="9"/>
  <c r="G48" i="9"/>
  <c r="G60" i="9"/>
  <c r="G64" i="9"/>
  <c r="E11" i="2"/>
  <c r="E13" i="2"/>
  <c r="E15" i="2"/>
  <c r="E17" i="2"/>
  <c r="J11" i="9"/>
  <c r="J15" i="9"/>
  <c r="J54" i="9"/>
  <c r="J58" i="9"/>
  <c r="R58" i="9"/>
  <c r="E25" i="2"/>
  <c r="J8" i="9"/>
  <c r="G9" i="9"/>
  <c r="G10" i="9"/>
  <c r="J10" i="9"/>
  <c r="J14" i="9"/>
  <c r="J24" i="9"/>
  <c r="G29" i="9"/>
  <c r="G33" i="9"/>
  <c r="J40" i="9"/>
  <c r="G45" i="9"/>
  <c r="G49" i="9"/>
  <c r="E20" i="2"/>
  <c r="E22" i="2"/>
  <c r="G15" i="9"/>
  <c r="G19" i="9"/>
  <c r="G23" i="9"/>
  <c r="G35" i="9"/>
  <c r="G39" i="9"/>
  <c r="G43" i="9"/>
  <c r="G47" i="9"/>
  <c r="J64" i="9"/>
  <c r="J67" i="9"/>
  <c r="E12" i="2"/>
  <c r="E14" i="2"/>
  <c r="E16" i="2"/>
  <c r="E21" i="2"/>
  <c r="E23" i="2"/>
  <c r="E24" i="2"/>
  <c r="O7" i="9"/>
  <c r="G22" i="9"/>
  <c r="G24" i="9"/>
  <c r="G27" i="9"/>
  <c r="G31" i="9"/>
  <c r="E7" i="2"/>
  <c r="E9" i="2"/>
  <c r="G7" i="9"/>
  <c r="J9" i="9"/>
  <c r="J13" i="9"/>
  <c r="G18" i="9"/>
  <c r="J20" i="9"/>
  <c r="J31" i="9"/>
  <c r="J36" i="9"/>
  <c r="J47" i="9"/>
  <c r="J52" i="9"/>
  <c r="G8" i="9"/>
  <c r="G12" i="9"/>
  <c r="J12" i="9"/>
  <c r="O14" i="9"/>
  <c r="O19" i="9"/>
  <c r="R24" i="9"/>
  <c r="G26" i="9"/>
  <c r="J28" i="9"/>
  <c r="O28" i="9"/>
  <c r="G30" i="9"/>
  <c r="J32" i="9"/>
  <c r="J34" i="9"/>
  <c r="J35" i="9"/>
  <c r="O35" i="9"/>
  <c r="G42" i="9"/>
  <c r="J44" i="9"/>
  <c r="G46" i="9"/>
  <c r="J48" i="9"/>
  <c r="J50" i="9"/>
  <c r="J51" i="9"/>
  <c r="R56" i="9"/>
  <c r="G58" i="9"/>
  <c r="J60" i="9"/>
  <c r="O60" i="9"/>
  <c r="G62" i="9"/>
  <c r="H7" i="2"/>
  <c r="H8" i="2"/>
  <c r="E10" i="2"/>
  <c r="H15" i="2"/>
  <c r="H16" i="2"/>
  <c r="E18" i="2"/>
  <c r="E26" i="2"/>
  <c r="O13" i="9"/>
  <c r="G25" i="9"/>
  <c r="G41" i="9"/>
  <c r="O51" i="9"/>
  <c r="G57" i="9"/>
  <c r="J61" i="9"/>
  <c r="J63" i="9"/>
  <c r="J66" i="9"/>
  <c r="J7" i="9"/>
  <c r="R13" i="9"/>
  <c r="G17" i="9"/>
  <c r="G21" i="9"/>
  <c r="J25" i="9"/>
  <c r="J27" i="9"/>
  <c r="O27" i="9"/>
  <c r="R35" i="9"/>
  <c r="G37" i="9"/>
  <c r="G38" i="9"/>
  <c r="G40" i="9"/>
  <c r="J41" i="9"/>
  <c r="J43" i="9"/>
  <c r="R44" i="9"/>
  <c r="O45" i="9"/>
  <c r="G53" i="9"/>
  <c r="G54" i="9"/>
  <c r="G56" i="9"/>
  <c r="J57" i="9"/>
  <c r="J59" i="9"/>
  <c r="O59" i="9"/>
  <c r="J65" i="9"/>
  <c r="O12" i="9"/>
  <c r="G13" i="9"/>
  <c r="G14" i="9"/>
  <c r="G16" i="9"/>
  <c r="J17" i="9"/>
  <c r="R18" i="9"/>
  <c r="J19" i="9"/>
  <c r="G20" i="9"/>
  <c r="J21" i="9"/>
  <c r="R22" i="9"/>
  <c r="J23" i="9"/>
  <c r="O23" i="9"/>
  <c r="R32" i="9"/>
  <c r="G34" i="9"/>
  <c r="G36" i="9"/>
  <c r="J37" i="9"/>
  <c r="J39" i="9"/>
  <c r="R40" i="9"/>
  <c r="R45" i="9"/>
  <c r="O46" i="9"/>
  <c r="G50" i="9"/>
  <c r="G52" i="9"/>
  <c r="J53" i="9"/>
  <c r="J55" i="9"/>
  <c r="O55" i="9"/>
  <c r="G66" i="9"/>
  <c r="O67" i="9"/>
  <c r="G19" i="4"/>
  <c r="G21" i="4"/>
  <c r="I24" i="8"/>
  <c r="I27" i="8"/>
  <c r="O37" i="9"/>
  <c r="R50" i="9"/>
  <c r="R54" i="9"/>
  <c r="R65" i="9"/>
  <c r="H9" i="2"/>
  <c r="H10" i="2"/>
  <c r="H17" i="2"/>
  <c r="H18" i="2"/>
  <c r="H23" i="2"/>
  <c r="H24" i="2"/>
  <c r="R8" i="9"/>
  <c r="R16" i="9"/>
  <c r="R20" i="9"/>
  <c r="R30" i="9"/>
  <c r="O31" i="9"/>
  <c r="R37" i="9"/>
  <c r="O38" i="9"/>
  <c r="R48" i="9"/>
  <c r="R52" i="9"/>
  <c r="R62" i="9"/>
  <c r="O63" i="9"/>
  <c r="R10" i="9"/>
  <c r="O11" i="9"/>
  <c r="R12" i="9"/>
  <c r="O22" i="9"/>
  <c r="R34" i="9"/>
  <c r="O36" i="9"/>
  <c r="R42" i="9"/>
  <c r="O43" i="9"/>
  <c r="O54" i="9"/>
  <c r="O21" i="9"/>
  <c r="O53" i="9"/>
  <c r="R11" i="9"/>
  <c r="R21" i="9"/>
  <c r="R28" i="9"/>
  <c r="O29" i="9"/>
  <c r="R38" i="9"/>
  <c r="O39" i="9"/>
  <c r="R43" i="9"/>
  <c r="O44" i="9"/>
  <c r="R53" i="9"/>
  <c r="R60" i="9"/>
  <c r="O61" i="9"/>
  <c r="H22" i="2"/>
  <c r="R14" i="9"/>
  <c r="O15" i="9"/>
  <c r="R19" i="9"/>
  <c r="O20" i="9"/>
  <c r="R29" i="9"/>
  <c r="O30" i="9"/>
  <c r="R36" i="9"/>
  <c r="R46" i="9"/>
  <c r="O47" i="9"/>
  <c r="R51" i="9"/>
  <c r="O52" i="9"/>
  <c r="R61" i="9"/>
  <c r="O62" i="9"/>
  <c r="O64" i="9"/>
  <c r="R64" i="9"/>
  <c r="O9" i="9"/>
  <c r="O17" i="9"/>
  <c r="O25" i="9"/>
  <c r="O33" i="9"/>
  <c r="O41" i="9"/>
  <c r="O49" i="9"/>
  <c r="O57" i="9"/>
  <c r="H11" i="2"/>
  <c r="H12" i="2"/>
  <c r="H19" i="2"/>
  <c r="H20" i="2"/>
  <c r="H25" i="2"/>
  <c r="H26" i="2"/>
  <c r="R7" i="9"/>
  <c r="O8" i="9"/>
  <c r="R9" i="9"/>
  <c r="O10" i="9"/>
  <c r="R15" i="9"/>
  <c r="O16" i="9"/>
  <c r="R17" i="9"/>
  <c r="O18" i="9"/>
  <c r="R23" i="9"/>
  <c r="O24" i="9"/>
  <c r="R25" i="9"/>
  <c r="O26" i="9"/>
  <c r="R31" i="9"/>
  <c r="O32" i="9"/>
  <c r="R33" i="9"/>
  <c r="O34" i="9"/>
  <c r="R39" i="9"/>
  <c r="O40" i="9"/>
  <c r="R41" i="9"/>
  <c r="O42" i="9"/>
  <c r="R47" i="9"/>
  <c r="O48" i="9"/>
  <c r="R49" i="9"/>
  <c r="O50" i="9"/>
  <c r="R55" i="9"/>
  <c r="O56" i="9"/>
  <c r="R57" i="9"/>
  <c r="O58" i="9"/>
  <c r="R63" i="9"/>
  <c r="O65" i="9"/>
  <c r="O66" i="9"/>
  <c r="R66" i="9"/>
  <c r="H6" i="2"/>
  <c r="H13" i="2"/>
  <c r="H14" i="2"/>
  <c r="H21" i="2"/>
  <c r="R67" i="9"/>
  <c r="H6" i="8"/>
  <c r="C6" i="8"/>
  <c r="H5" i="2"/>
  <c r="E5" i="2"/>
  <c r="H26" i="4"/>
  <c r="G18" i="4"/>
  <c r="F26" i="4"/>
  <c r="E26" i="4"/>
  <c r="D18" i="4"/>
  <c r="G73" i="14"/>
  <c r="E73" i="14"/>
  <c r="F73" i="14" s="1"/>
  <c r="G72" i="14"/>
  <c r="E72" i="14"/>
  <c r="F72" i="14" s="1"/>
  <c r="G71" i="14"/>
  <c r="E71" i="14"/>
  <c r="F71" i="14" s="1"/>
  <c r="G70" i="14"/>
  <c r="E70" i="14"/>
  <c r="F70" i="14" s="1"/>
  <c r="G69" i="14"/>
  <c r="E69" i="14"/>
  <c r="F69" i="14" s="1"/>
  <c r="G41" i="14"/>
  <c r="E41" i="14"/>
  <c r="F41" i="14" s="1"/>
  <c r="G48" i="14"/>
  <c r="E48" i="14"/>
  <c r="F48" i="14" s="1"/>
  <c r="C37" i="8" l="1"/>
  <c r="D37" i="8"/>
  <c r="G26" i="4"/>
  <c r="D26" i="4"/>
  <c r="G61" i="14"/>
  <c r="E61" i="14"/>
  <c r="F61" i="14" s="1"/>
  <c r="E191" i="9" l="1"/>
  <c r="D191" i="9"/>
  <c r="E186" i="9"/>
  <c r="D186" i="9"/>
  <c r="T6" i="8"/>
  <c r="R6" i="8"/>
  <c r="P28" i="8"/>
  <c r="P27" i="8"/>
  <c r="P26" i="8"/>
  <c r="P25" i="8"/>
  <c r="P24" i="8"/>
  <c r="P23" i="8"/>
  <c r="P22" i="8"/>
  <c r="R28" i="8"/>
  <c r="R27" i="8"/>
  <c r="R26" i="8"/>
  <c r="R25" i="8"/>
  <c r="R24" i="8"/>
  <c r="R23" i="8"/>
  <c r="U22" i="8"/>
  <c r="R22" i="8"/>
  <c r="D133" i="12"/>
  <c r="D119" i="12"/>
  <c r="B134" i="12"/>
  <c r="E134" i="12" s="1"/>
  <c r="B120" i="12"/>
  <c r="E120" i="12" s="1"/>
  <c r="E155" i="9"/>
  <c r="E154" i="9"/>
  <c r="E153" i="9"/>
  <c r="E152" i="9"/>
  <c r="E151" i="9"/>
  <c r="E150" i="9"/>
  <c r="E149" i="9"/>
  <c r="E148" i="9"/>
  <c r="E147" i="9"/>
  <c r="E146" i="9"/>
  <c r="E140" i="9"/>
  <c r="E139" i="9"/>
  <c r="E138" i="9"/>
  <c r="E137" i="9"/>
  <c r="E136" i="9"/>
  <c r="E135" i="9"/>
  <c r="E134" i="9"/>
  <c r="E133" i="9"/>
  <c r="E132" i="9"/>
  <c r="E131" i="9"/>
  <c r="D155" i="9"/>
  <c r="D154" i="9"/>
  <c r="D153" i="9"/>
  <c r="D152" i="9"/>
  <c r="D151" i="9"/>
  <c r="D150" i="9"/>
  <c r="D149" i="9"/>
  <c r="D148" i="9"/>
  <c r="D147" i="9"/>
  <c r="D146" i="9"/>
  <c r="D140" i="9"/>
  <c r="D139" i="9"/>
  <c r="D138" i="9"/>
  <c r="D137" i="9"/>
  <c r="D136" i="9"/>
  <c r="D135" i="9"/>
  <c r="D134" i="9"/>
  <c r="D133" i="9"/>
  <c r="D132" i="9"/>
  <c r="D131" i="9"/>
  <c r="G74" i="14"/>
  <c r="G75" i="14"/>
  <c r="G77" i="14"/>
  <c r="G82" i="14"/>
  <c r="G46" i="14"/>
  <c r="G45" i="14"/>
  <c r="G44" i="14"/>
  <c r="G43" i="14"/>
  <c r="G42" i="14"/>
  <c r="G47" i="14"/>
  <c r="G40" i="14"/>
  <c r="G81" i="14"/>
  <c r="G80" i="14"/>
  <c r="G68" i="14"/>
  <c r="G67" i="14"/>
  <c r="G66" i="14"/>
  <c r="G65" i="14"/>
  <c r="G64" i="14"/>
  <c r="G94" i="14"/>
  <c r="G93" i="14"/>
  <c r="G92" i="14"/>
  <c r="G91" i="14"/>
  <c r="G90" i="14"/>
  <c r="G89" i="14"/>
  <c r="G55" i="14"/>
  <c r="G56" i="14"/>
  <c r="G54" i="14"/>
  <c r="G60" i="14"/>
  <c r="G59" i="14"/>
  <c r="G58" i="14"/>
  <c r="G57" i="14"/>
  <c r="G53" i="14"/>
  <c r="G52" i="14"/>
  <c r="G51" i="14"/>
  <c r="G50" i="14"/>
  <c r="G37" i="14"/>
  <c r="G36" i="14"/>
  <c r="G35" i="14"/>
  <c r="G34" i="14"/>
  <c r="G33" i="14"/>
  <c r="G32" i="14"/>
  <c r="G31" i="14"/>
  <c r="G19" i="14"/>
  <c r="G20" i="14"/>
  <c r="G25" i="14"/>
  <c r="G27" i="14"/>
  <c r="G26" i="14"/>
  <c r="G24" i="14"/>
  <c r="G23" i="14"/>
  <c r="G22" i="14"/>
  <c r="G21" i="14"/>
  <c r="G16" i="14"/>
  <c r="G11" i="14"/>
  <c r="G12" i="14"/>
  <c r="G10" i="14"/>
  <c r="G15" i="14"/>
  <c r="G13" i="14"/>
  <c r="G14" i="14"/>
  <c r="G9" i="14"/>
  <c r="G7" i="14"/>
  <c r="G3" i="14"/>
  <c r="G6" i="14"/>
  <c r="G4" i="14"/>
  <c r="G5" i="14"/>
  <c r="G2" i="14"/>
  <c r="E74" i="14"/>
  <c r="F74" i="14" s="1"/>
  <c r="E75" i="14"/>
  <c r="F75" i="14" s="1"/>
  <c r="E77" i="14"/>
  <c r="F77" i="14" s="1"/>
  <c r="E82" i="14"/>
  <c r="F82" i="14" s="1"/>
  <c r="E46" i="14"/>
  <c r="F46" i="14" s="1"/>
  <c r="E45" i="14"/>
  <c r="F45" i="14" s="1"/>
  <c r="E44" i="14"/>
  <c r="F44" i="14" s="1"/>
  <c r="E43" i="14"/>
  <c r="F43" i="14" s="1"/>
  <c r="E42" i="14"/>
  <c r="F42" i="14" s="1"/>
  <c r="E47" i="14"/>
  <c r="F47" i="14" s="1"/>
  <c r="E40" i="14"/>
  <c r="F40" i="14" s="1"/>
  <c r="E81" i="14"/>
  <c r="F81" i="14" s="1"/>
  <c r="E80" i="14"/>
  <c r="F80" i="14" s="1"/>
  <c r="E68" i="14"/>
  <c r="F68" i="14" s="1"/>
  <c r="E67" i="14"/>
  <c r="F67" i="14" s="1"/>
  <c r="E66" i="14"/>
  <c r="F66" i="14" s="1"/>
  <c r="E65" i="14"/>
  <c r="F65" i="14" s="1"/>
  <c r="E64" i="14"/>
  <c r="F64" i="14" s="1"/>
  <c r="E94" i="14"/>
  <c r="F94" i="14" s="1"/>
  <c r="E93" i="14"/>
  <c r="F93" i="14" s="1"/>
  <c r="E92" i="14"/>
  <c r="F92" i="14" s="1"/>
  <c r="E91" i="14"/>
  <c r="F91" i="14" s="1"/>
  <c r="E90" i="14"/>
  <c r="F90" i="14" s="1"/>
  <c r="E89" i="14"/>
  <c r="F89" i="14" s="1"/>
  <c r="E55" i="14"/>
  <c r="F55" i="14" s="1"/>
  <c r="E56" i="14"/>
  <c r="F56" i="14" s="1"/>
  <c r="E54" i="14"/>
  <c r="F54" i="14" s="1"/>
  <c r="E60" i="14"/>
  <c r="F60" i="14" s="1"/>
  <c r="E59" i="14"/>
  <c r="F59" i="14" s="1"/>
  <c r="E58" i="14"/>
  <c r="F58" i="14" s="1"/>
  <c r="E57" i="14"/>
  <c r="F57" i="14" s="1"/>
  <c r="E53" i="14"/>
  <c r="F53" i="14" s="1"/>
  <c r="E52" i="14"/>
  <c r="F52" i="14" s="1"/>
  <c r="E51" i="14"/>
  <c r="F51" i="14" s="1"/>
  <c r="E50" i="14"/>
  <c r="F50" i="14" s="1"/>
  <c r="E37" i="14"/>
  <c r="F37" i="14" s="1"/>
  <c r="E36" i="14"/>
  <c r="F36" i="14" s="1"/>
  <c r="E35" i="14"/>
  <c r="F35" i="14" s="1"/>
  <c r="E34" i="14"/>
  <c r="F34" i="14" s="1"/>
  <c r="E33" i="14"/>
  <c r="F33" i="14" s="1"/>
  <c r="E32" i="14"/>
  <c r="F32" i="14" s="1"/>
  <c r="E31" i="14"/>
  <c r="F31" i="14" s="1"/>
  <c r="E19" i="14"/>
  <c r="E20" i="14"/>
  <c r="F20" i="14" s="1"/>
  <c r="E25" i="14"/>
  <c r="F25" i="14" s="1"/>
  <c r="E27" i="14"/>
  <c r="F27" i="14" s="1"/>
  <c r="E26" i="14"/>
  <c r="F26" i="14" s="1"/>
  <c r="E24" i="14"/>
  <c r="F24" i="14" s="1"/>
  <c r="E23" i="14"/>
  <c r="F23" i="14" s="1"/>
  <c r="E22" i="14"/>
  <c r="F22" i="14" s="1"/>
  <c r="E21" i="14"/>
  <c r="F21" i="14" s="1"/>
  <c r="E16" i="14"/>
  <c r="F16" i="14" s="1"/>
  <c r="E11" i="14"/>
  <c r="F11" i="14" s="1"/>
  <c r="E12" i="14"/>
  <c r="F12" i="14" s="1"/>
  <c r="E10" i="14"/>
  <c r="F10" i="14" s="1"/>
  <c r="E15" i="14"/>
  <c r="F15" i="14" s="1"/>
  <c r="E13" i="14"/>
  <c r="F13" i="14" s="1"/>
  <c r="E14" i="14"/>
  <c r="F14" i="14" s="1"/>
  <c r="E9" i="14"/>
  <c r="F9" i="14" s="1"/>
  <c r="E7" i="14"/>
  <c r="F7" i="14" s="1"/>
  <c r="E3" i="14"/>
  <c r="F3" i="14" s="1"/>
  <c r="E6" i="14"/>
  <c r="F6" i="14" s="1"/>
  <c r="E4" i="14"/>
  <c r="F4" i="14" s="1"/>
  <c r="E5" i="14"/>
  <c r="F5" i="14" s="1"/>
  <c r="E2" i="14"/>
  <c r="F2" i="14" s="1"/>
  <c r="E69" i="9"/>
  <c r="F19" i="14" l="1"/>
  <c r="D120" i="9" s="1"/>
  <c r="D114" i="9"/>
  <c r="E118" i="9"/>
  <c r="E119" i="9"/>
  <c r="E122" i="9"/>
  <c r="E92" i="9"/>
  <c r="D92" i="9"/>
  <c r="E127" i="14"/>
  <c r="B127" i="14"/>
  <c r="D120" i="14"/>
  <c r="B120" i="14"/>
  <c r="D127" i="14"/>
  <c r="C127" i="14"/>
  <c r="E120" i="14"/>
  <c r="C120" i="14"/>
  <c r="E128" i="14"/>
  <c r="E121" i="14"/>
  <c r="C121" i="14"/>
  <c r="D128" i="14"/>
  <c r="C128" i="14"/>
  <c r="B128" i="14"/>
  <c r="D121" i="14"/>
  <c r="B121" i="14"/>
  <c r="E114" i="14"/>
  <c r="D114" i="14"/>
  <c r="C114" i="14"/>
  <c r="B114" i="14"/>
  <c r="D113" i="14"/>
  <c r="D102" i="14"/>
  <c r="C102" i="14"/>
  <c r="B102" i="14"/>
  <c r="C113" i="14"/>
  <c r="D105" i="14"/>
  <c r="C105" i="14"/>
  <c r="B105" i="14"/>
  <c r="E113" i="14"/>
  <c r="B113" i="14"/>
  <c r="D103" i="14"/>
  <c r="C103" i="14"/>
  <c r="B103" i="14"/>
  <c r="D104" i="14"/>
  <c r="C104" i="14"/>
  <c r="B104" i="14"/>
  <c r="E130" i="3"/>
  <c r="B121" i="12"/>
  <c r="E121" i="12" s="1"/>
  <c r="D120" i="12"/>
  <c r="F120" i="12" s="1"/>
  <c r="D134" i="12"/>
  <c r="F134" i="12" s="1"/>
  <c r="B135" i="12"/>
  <c r="E135" i="12" s="1"/>
  <c r="E129" i="3"/>
  <c r="F119" i="12"/>
  <c r="F133" i="12"/>
  <c r="E162" i="9"/>
  <c r="E161" i="9"/>
  <c r="E163" i="9"/>
  <c r="D111" i="9"/>
  <c r="E111" i="9"/>
  <c r="D163" i="9"/>
  <c r="F131" i="9"/>
  <c r="F140" i="9"/>
  <c r="F135" i="9"/>
  <c r="F139" i="9"/>
  <c r="F132" i="9"/>
  <c r="F136" i="9"/>
  <c r="F148" i="9"/>
  <c r="F150" i="9"/>
  <c r="F152" i="9"/>
  <c r="F154" i="9"/>
  <c r="F153" i="9"/>
  <c r="F147" i="9"/>
  <c r="F149" i="9"/>
  <c r="F155" i="9"/>
  <c r="F146" i="9"/>
  <c r="E92" i="12"/>
  <c r="G148" i="12" s="1"/>
  <c r="D153" i="12" s="1"/>
  <c r="E113" i="12"/>
  <c r="I148" i="12" s="1"/>
  <c r="D158" i="12" s="1"/>
  <c r="D92" i="12"/>
  <c r="D113" i="12"/>
  <c r="E148" i="12" s="1"/>
  <c r="F151" i="9"/>
  <c r="D161" i="9" l="1"/>
  <c r="E123" i="9"/>
  <c r="E117" i="9"/>
  <c r="D162" i="9"/>
  <c r="E112" i="9"/>
  <c r="E113" i="9"/>
  <c r="E121" i="9"/>
  <c r="E115" i="9"/>
  <c r="E120" i="9"/>
  <c r="F120" i="9" s="1"/>
  <c r="D118" i="9"/>
  <c r="F118" i="9" s="1"/>
  <c r="E114" i="9"/>
  <c r="F114" i="9" s="1"/>
  <c r="D121" i="9"/>
  <c r="D117" i="9"/>
  <c r="D122" i="9"/>
  <c r="F122" i="9" s="1"/>
  <c r="D113" i="9"/>
  <c r="D112" i="9"/>
  <c r="D115" i="9"/>
  <c r="D119" i="9"/>
  <c r="F119" i="9" s="1"/>
  <c r="D123" i="9"/>
  <c r="E115" i="14"/>
  <c r="D129" i="14"/>
  <c r="B122" i="14"/>
  <c r="C122" i="14"/>
  <c r="E122" i="14"/>
  <c r="D122" i="14"/>
  <c r="C129" i="14"/>
  <c r="B129" i="14"/>
  <c r="E129" i="14"/>
  <c r="C115" i="14"/>
  <c r="D115" i="14"/>
  <c r="B107" i="14"/>
  <c r="C107" i="14"/>
  <c r="B115" i="14"/>
  <c r="D107" i="14"/>
  <c r="D109" i="14" s="1"/>
  <c r="B136" i="12"/>
  <c r="E136" i="12" s="1"/>
  <c r="D135" i="12"/>
  <c r="B122" i="12"/>
  <c r="E122" i="12" s="1"/>
  <c r="D121" i="12"/>
  <c r="F113" i="12"/>
  <c r="J148" i="12" s="1"/>
  <c r="E158" i="12" s="1"/>
  <c r="E132" i="3"/>
  <c r="F163" i="9"/>
  <c r="F92" i="12"/>
  <c r="H148" i="12" s="1"/>
  <c r="E153" i="12" s="1"/>
  <c r="D148" i="12"/>
  <c r="F162" i="9"/>
  <c r="F161" i="9"/>
  <c r="F111" i="9"/>
  <c r="E164" i="9"/>
  <c r="D164" i="9"/>
  <c r="F134" i="9"/>
  <c r="F137" i="9"/>
  <c r="F133" i="9"/>
  <c r="F138" i="9"/>
  <c r="F123" i="9" l="1"/>
  <c r="F112" i="9"/>
  <c r="F117" i="9"/>
  <c r="F113" i="9"/>
  <c r="F121" i="9"/>
  <c r="F115" i="9"/>
  <c r="F135" i="12"/>
  <c r="B123" i="12"/>
  <c r="E123" i="12" s="1"/>
  <c r="D122" i="12"/>
  <c r="F121" i="12"/>
  <c r="B137" i="12"/>
  <c r="E137" i="12" s="1"/>
  <c r="D136" i="12"/>
  <c r="E165" i="9"/>
  <c r="D165" i="9"/>
  <c r="F164" i="9"/>
  <c r="F136" i="12" l="1"/>
  <c r="F122" i="12"/>
  <c r="B124" i="12"/>
  <c r="E124" i="12" s="1"/>
  <c r="D123" i="12"/>
  <c r="B138" i="12"/>
  <c r="E138" i="12" s="1"/>
  <c r="D137" i="12"/>
  <c r="E166" i="9"/>
  <c r="D166" i="9"/>
  <c r="F165" i="9"/>
  <c r="F137" i="12" l="1"/>
  <c r="F123" i="12"/>
  <c r="B125" i="12"/>
  <c r="E125" i="12" s="1"/>
  <c r="D124" i="12"/>
  <c r="B139" i="12"/>
  <c r="E139" i="12" s="1"/>
  <c r="D138" i="12"/>
  <c r="E167" i="9"/>
  <c r="D167" i="9"/>
  <c r="F166" i="9"/>
  <c r="F124" i="12" l="1"/>
  <c r="F138" i="12"/>
  <c r="B126" i="12"/>
  <c r="E126" i="12" s="1"/>
  <c r="D125" i="12"/>
  <c r="B140" i="12"/>
  <c r="E140" i="12" s="1"/>
  <c r="D139" i="12"/>
  <c r="F167" i="9"/>
  <c r="E168" i="9"/>
  <c r="D168" i="9"/>
  <c r="F139" i="12" l="1"/>
  <c r="B141" i="12"/>
  <c r="E141" i="12" s="1"/>
  <c r="D140" i="12"/>
  <c r="F125" i="12"/>
  <c r="B127" i="12"/>
  <c r="E127" i="12" s="1"/>
  <c r="D126" i="12"/>
  <c r="E169" i="9"/>
  <c r="D169" i="9"/>
  <c r="F168" i="9"/>
  <c r="F140" i="12" l="1"/>
  <c r="F126" i="12"/>
  <c r="B128" i="12"/>
  <c r="E128" i="12" s="1"/>
  <c r="D127" i="12"/>
  <c r="B142" i="12"/>
  <c r="E142" i="12" s="1"/>
  <c r="D141" i="12"/>
  <c r="E170" i="9"/>
  <c r="D170" i="9"/>
  <c r="F169" i="9"/>
  <c r="F127" i="12" l="1"/>
  <c r="F141" i="12"/>
  <c r="E143" i="12"/>
  <c r="I147" i="12" s="1"/>
  <c r="D142" i="12"/>
  <c r="E129" i="12"/>
  <c r="G147" i="12" s="1"/>
  <c r="D128" i="12"/>
  <c r="E171" i="9"/>
  <c r="D171" i="9"/>
  <c r="F170" i="9"/>
  <c r="F142" i="12" l="1"/>
  <c r="G149" i="12"/>
  <c r="D152" i="12"/>
  <c r="D154" i="12" s="1"/>
  <c r="F128" i="12"/>
  <c r="D129" i="12"/>
  <c r="D157" i="12"/>
  <c r="D159" i="12" s="1"/>
  <c r="I149" i="12"/>
  <c r="D143" i="12"/>
  <c r="F171" i="9"/>
  <c r="F129" i="12" l="1"/>
  <c r="H147" i="12" s="1"/>
  <c r="D147" i="12"/>
  <c r="D149" i="12" s="1"/>
  <c r="F143" i="12"/>
  <c r="J147" i="12" s="1"/>
  <c r="E147" i="12"/>
  <c r="E149" i="12" s="1"/>
  <c r="S30" i="8"/>
  <c r="J37" i="8" s="1"/>
  <c r="Q30" i="8"/>
  <c r="H37" i="8" s="1"/>
  <c r="P30" i="8"/>
  <c r="G37" i="8" s="1"/>
  <c r="F37" i="8" l="1"/>
  <c r="E152" i="12"/>
  <c r="E154" i="12" s="1"/>
  <c r="H149" i="12"/>
  <c r="E157" i="12"/>
  <c r="E159" i="12" s="1"/>
  <c r="J149" i="12"/>
  <c r="K147" i="12"/>
  <c r="K148" i="12"/>
  <c r="D163" i="12" s="1"/>
  <c r="F147" i="12"/>
  <c r="L147" i="12" l="1"/>
  <c r="D162" i="12"/>
  <c r="D164" i="12" s="1"/>
  <c r="E104" i="7" s="1"/>
  <c r="K149" i="12"/>
  <c r="C54" i="8"/>
  <c r="E162" i="12" l="1"/>
  <c r="Q6" i="9"/>
  <c r="P6" i="9"/>
  <c r="V6" i="9"/>
  <c r="U6" i="9"/>
  <c r="T6" i="9"/>
  <c r="S6" i="9"/>
  <c r="I6" i="9"/>
  <c r="H6" i="9"/>
  <c r="N6" i="9"/>
  <c r="L6" i="9"/>
  <c r="M6" i="9"/>
  <c r="K6" i="9"/>
  <c r="Q69" i="9" l="1"/>
  <c r="H69" i="12"/>
  <c r="D115" i="12" s="1"/>
  <c r="L69" i="9"/>
  <c r="F73" i="9"/>
  <c r="E86" i="9"/>
  <c r="O69" i="12"/>
  <c r="T69" i="12"/>
  <c r="V69" i="9"/>
  <c r="P69" i="9"/>
  <c r="G69" i="12"/>
  <c r="J69" i="12"/>
  <c r="L69" i="12"/>
  <c r="P69" i="12"/>
  <c r="U69" i="12"/>
  <c r="R69" i="12"/>
  <c r="F69" i="12"/>
  <c r="S69" i="12"/>
  <c r="N69" i="9"/>
  <c r="S69" i="9"/>
  <c r="K69" i="9"/>
  <c r="T69" i="9"/>
  <c r="M69" i="9"/>
  <c r="U69" i="9"/>
  <c r="K69" i="12"/>
  <c r="M69" i="12"/>
  <c r="H69" i="9"/>
  <c r="I69" i="9"/>
  <c r="O6" i="9"/>
  <c r="R6" i="9"/>
  <c r="G6" i="9"/>
  <c r="J6" i="9"/>
  <c r="E88" i="9" l="1"/>
  <c r="D86" i="9"/>
  <c r="D88" i="9" s="1"/>
  <c r="F69" i="9"/>
  <c r="C107" i="9" s="1"/>
  <c r="F92" i="9"/>
  <c r="D124" i="9"/>
  <c r="E124" i="9"/>
  <c r="E105" i="9"/>
  <c r="E107" i="9" s="1"/>
  <c r="F86" i="9"/>
  <c r="D105" i="9"/>
  <c r="D107" i="9" s="1"/>
  <c r="I69" i="12"/>
  <c r="Q69" i="12"/>
  <c r="O69" i="9"/>
  <c r="R69" i="9"/>
  <c r="N69" i="12"/>
  <c r="E69" i="12"/>
  <c r="G69" i="9"/>
  <c r="J69" i="9"/>
  <c r="I36" i="8" l="1"/>
  <c r="D126" i="9"/>
  <c r="J36" i="8"/>
  <c r="J38" i="8" s="1"/>
  <c r="E126" i="9"/>
  <c r="C126" i="9"/>
  <c r="C88" i="9"/>
  <c r="F105" i="9"/>
  <c r="F124" i="9"/>
  <c r="J22" i="8"/>
  <c r="E22" i="8"/>
  <c r="D22" i="8" s="1"/>
  <c r="I11" i="4"/>
  <c r="I10" i="4"/>
  <c r="I9" i="4"/>
  <c r="I8" i="4"/>
  <c r="I7" i="4"/>
  <c r="I6" i="4"/>
  <c r="I5" i="4"/>
  <c r="H11" i="4"/>
  <c r="H10" i="4"/>
  <c r="H9" i="4"/>
  <c r="H8" i="4"/>
  <c r="H7" i="4"/>
  <c r="H6" i="4"/>
  <c r="H5" i="4"/>
  <c r="F11" i="4"/>
  <c r="E11" i="4"/>
  <c r="F10" i="4"/>
  <c r="E10" i="4"/>
  <c r="F9" i="4"/>
  <c r="E9" i="4"/>
  <c r="F8" i="4"/>
  <c r="E8" i="4"/>
  <c r="F7" i="4"/>
  <c r="E7" i="4"/>
  <c r="F6" i="4"/>
  <c r="E6" i="4"/>
  <c r="F5" i="4"/>
  <c r="G10" i="4" l="1"/>
  <c r="F64" i="7" s="1"/>
  <c r="G11" i="4"/>
  <c r="F65" i="7" s="1"/>
  <c r="G6" i="4"/>
  <c r="F60" i="7" s="1"/>
  <c r="G7" i="4"/>
  <c r="F61" i="7" s="1"/>
  <c r="G9" i="4"/>
  <c r="F63" i="7" s="1"/>
  <c r="I22" i="8"/>
  <c r="G8" i="4"/>
  <c r="F62" i="7" s="1"/>
  <c r="G5" i="4"/>
  <c r="F59" i="7" s="1"/>
  <c r="H146" i="3" l="1"/>
  <c r="H145" i="3"/>
  <c r="G146" i="3"/>
  <c r="G145" i="3"/>
  <c r="D146" i="3"/>
  <c r="D145" i="3"/>
  <c r="C146" i="3"/>
  <c r="C145" i="3"/>
  <c r="A19" i="4"/>
  <c r="A20" i="4" s="1"/>
  <c r="A21" i="4" s="1"/>
  <c r="A22" i="4" s="1"/>
  <c r="A23" i="4" s="1"/>
  <c r="A24" i="4" s="1"/>
  <c r="E5" i="4"/>
  <c r="H147" i="3" l="1"/>
  <c r="G147" i="3"/>
  <c r="D147" i="3"/>
  <c r="C147" i="3"/>
  <c r="N28" i="8"/>
  <c r="O28" i="8" s="1"/>
  <c r="N27" i="8"/>
  <c r="O27" i="8" s="1"/>
  <c r="N26" i="8"/>
  <c r="O26" i="8" s="1"/>
  <c r="N25" i="8"/>
  <c r="O25" i="8" s="1"/>
  <c r="N24" i="8"/>
  <c r="O24" i="8" s="1"/>
  <c r="N23" i="8"/>
  <c r="O23" i="8" s="1"/>
  <c r="A23" i="8"/>
  <c r="E130" i="9" l="1"/>
  <c r="E141" i="9" s="1"/>
  <c r="E145" i="9"/>
  <c r="E156" i="9" s="1"/>
  <c r="D130" i="9"/>
  <c r="D145" i="9"/>
  <c r="AA6" i="8"/>
  <c r="A24" i="8"/>
  <c r="A25" i="8" s="1"/>
  <c r="A26" i="8" s="1"/>
  <c r="A27" i="8" s="1"/>
  <c r="A28" i="8" s="1"/>
  <c r="C149" i="3"/>
  <c r="I30" i="8"/>
  <c r="G149" i="3"/>
  <c r="G30" i="8"/>
  <c r="J30" i="8"/>
  <c r="K30" i="8"/>
  <c r="F30" i="8"/>
  <c r="H30" i="8"/>
  <c r="L30" i="8"/>
  <c r="E30" i="8"/>
  <c r="N22" i="8"/>
  <c r="M30" i="8"/>
  <c r="D30" i="8"/>
  <c r="K17" i="8"/>
  <c r="E178" i="9" s="1"/>
  <c r="C17" i="8"/>
  <c r="J17" i="8"/>
  <c r="G17" i="8"/>
  <c r="G178" i="9" s="1"/>
  <c r="D183" i="9" s="1"/>
  <c r="E17" i="8"/>
  <c r="C36" i="8" l="1"/>
  <c r="C38" i="8" s="1"/>
  <c r="D36" i="8"/>
  <c r="D38" i="8" s="1"/>
  <c r="D58" i="8"/>
  <c r="C58" i="8"/>
  <c r="H99" i="14"/>
  <c r="B117" i="14"/>
  <c r="B109" i="14"/>
  <c r="C49" i="8"/>
  <c r="D49" i="8" s="1"/>
  <c r="C44" i="8"/>
  <c r="D44" i="8" s="1"/>
  <c r="C43" i="8"/>
  <c r="G177" i="9"/>
  <c r="E172" i="9"/>
  <c r="H36" i="8" s="1"/>
  <c r="I177" i="9"/>
  <c r="F145" i="9"/>
  <c r="F156" i="9" s="1"/>
  <c r="D156" i="9"/>
  <c r="D141" i="9"/>
  <c r="F130" i="9"/>
  <c r="F141" i="9" s="1"/>
  <c r="R30" i="8"/>
  <c r="I37" i="8" s="1"/>
  <c r="O22" i="8"/>
  <c r="O30" i="8" s="1"/>
  <c r="D5" i="4"/>
  <c r="C59" i="7" s="1"/>
  <c r="A6" i="4"/>
  <c r="A7" i="4" s="1"/>
  <c r="A8" i="4" s="1"/>
  <c r="A9" i="4" s="1"/>
  <c r="A10" i="4" s="1"/>
  <c r="A11" i="4" s="1"/>
  <c r="F36" i="8" l="1"/>
  <c r="H38" i="8"/>
  <c r="I38" i="8"/>
  <c r="E37" i="8"/>
  <c r="C53" i="8"/>
  <c r="C55" i="8" s="1"/>
  <c r="C45" i="8"/>
  <c r="D187" i="9"/>
  <c r="D182" i="9"/>
  <c r="D184" i="9" s="1"/>
  <c r="G179" i="9"/>
  <c r="F148" i="12"/>
  <c r="D43" i="8"/>
  <c r="D45" i="8" s="1"/>
  <c r="D9" i="4"/>
  <c r="C63" i="7" s="1"/>
  <c r="D11" i="4"/>
  <c r="C65" i="7" s="1"/>
  <c r="D6" i="4"/>
  <c r="C60" i="7" s="1"/>
  <c r="D8" i="4"/>
  <c r="C62" i="7" s="1"/>
  <c r="D10" i="4"/>
  <c r="C64" i="7" s="1"/>
  <c r="D7" i="4"/>
  <c r="C61" i="7" s="1"/>
  <c r="H17" i="8"/>
  <c r="D17" i="8"/>
  <c r="D177" i="9" s="1"/>
  <c r="F17" i="8"/>
  <c r="D178" i="9" s="1"/>
  <c r="H178" i="9" s="1"/>
  <c r="E183" i="9" s="1"/>
  <c r="I28" i="2"/>
  <c r="I17" i="8"/>
  <c r="E177" i="9" s="1"/>
  <c r="J28" i="2"/>
  <c r="L17" i="8"/>
  <c r="F67" i="7"/>
  <c r="F78" i="7"/>
  <c r="F99" i="7" s="1"/>
  <c r="F89" i="7"/>
  <c r="F93" i="7" s="1"/>
  <c r="D105" i="7" s="1"/>
  <c r="E89" i="7"/>
  <c r="F92" i="7" s="1"/>
  <c r="E78" i="7"/>
  <c r="F98" i="7" s="1"/>
  <c r="C89" i="7"/>
  <c r="C92" i="7" s="1"/>
  <c r="D89" i="7"/>
  <c r="D78" i="7"/>
  <c r="C99" i="7" s="1"/>
  <c r="G13" i="4"/>
  <c r="I13" i="4"/>
  <c r="E13" i="4"/>
  <c r="F13" i="4"/>
  <c r="H13" i="4"/>
  <c r="F28" i="2"/>
  <c r="G28" i="2"/>
  <c r="I98" i="3"/>
  <c r="H98" i="3"/>
  <c r="E98" i="3"/>
  <c r="D98" i="3"/>
  <c r="I97" i="3"/>
  <c r="H97" i="3"/>
  <c r="E97" i="3"/>
  <c r="D97" i="3"/>
  <c r="I96" i="3"/>
  <c r="H96" i="3"/>
  <c r="E96" i="3"/>
  <c r="D96" i="3"/>
  <c r="I95" i="3"/>
  <c r="H95" i="3"/>
  <c r="E95" i="3"/>
  <c r="D95" i="3"/>
  <c r="I94" i="3"/>
  <c r="H94" i="3"/>
  <c r="E94" i="3"/>
  <c r="D94" i="3"/>
  <c r="I93" i="3"/>
  <c r="H93" i="3"/>
  <c r="E93" i="3"/>
  <c r="D93" i="3"/>
  <c r="I92" i="3"/>
  <c r="H92" i="3"/>
  <c r="E92" i="3"/>
  <c r="D92" i="3"/>
  <c r="C98" i="3"/>
  <c r="C97" i="3"/>
  <c r="C96" i="3"/>
  <c r="C95" i="3"/>
  <c r="C94" i="3"/>
  <c r="C93" i="3"/>
  <c r="C92" i="3"/>
  <c r="F38" i="8" l="1"/>
  <c r="B131" i="14"/>
  <c r="B124" i="14"/>
  <c r="I99" i="14"/>
  <c r="C109" i="14"/>
  <c r="F92" i="3"/>
  <c r="F93" i="3"/>
  <c r="F94" i="3"/>
  <c r="F96" i="3"/>
  <c r="F97" i="3"/>
  <c r="C104" i="7"/>
  <c r="D104" i="7"/>
  <c r="D107" i="7" s="1"/>
  <c r="J177" i="9"/>
  <c r="E179" i="9"/>
  <c r="D179" i="9"/>
  <c r="H177" i="9"/>
  <c r="I178" i="9"/>
  <c r="C48" i="8"/>
  <c r="C50" i="8" s="1"/>
  <c r="D54" i="8"/>
  <c r="L148" i="12"/>
  <c r="F149" i="12"/>
  <c r="F172" i="9"/>
  <c r="D172" i="9"/>
  <c r="J93" i="3"/>
  <c r="J94" i="3"/>
  <c r="J95" i="3"/>
  <c r="J96" i="3"/>
  <c r="J97" i="3"/>
  <c r="J98" i="3"/>
  <c r="J92" i="3"/>
  <c r="F95" i="3"/>
  <c r="G98" i="3"/>
  <c r="K98" i="3"/>
  <c r="F98" i="3"/>
  <c r="G93" i="3"/>
  <c r="G94" i="3"/>
  <c r="G97" i="3"/>
  <c r="G92" i="3"/>
  <c r="G95" i="3"/>
  <c r="G96" i="3"/>
  <c r="K92" i="3"/>
  <c r="K93" i="3"/>
  <c r="K94" i="3"/>
  <c r="K95" i="3"/>
  <c r="K96" i="3"/>
  <c r="K97" i="3"/>
  <c r="F101" i="7"/>
  <c r="C67" i="7"/>
  <c r="D13" i="4"/>
  <c r="F95" i="7"/>
  <c r="C93" i="7"/>
  <c r="C100" i="3"/>
  <c r="I100" i="3"/>
  <c r="H136" i="3" s="1"/>
  <c r="H100" i="3"/>
  <c r="H135" i="3" s="1"/>
  <c r="D100" i="3"/>
  <c r="C135" i="3" s="1"/>
  <c r="E100" i="3"/>
  <c r="C136" i="3" s="1"/>
  <c r="H124" i="3"/>
  <c r="H123" i="3"/>
  <c r="H122" i="3"/>
  <c r="H121" i="3"/>
  <c r="H120" i="3"/>
  <c r="H119" i="3"/>
  <c r="H118" i="3"/>
  <c r="D124" i="3"/>
  <c r="D123" i="3"/>
  <c r="D122" i="3"/>
  <c r="D121" i="3"/>
  <c r="D120" i="3"/>
  <c r="D119" i="3"/>
  <c r="D118" i="3"/>
  <c r="C124" i="3"/>
  <c r="C123" i="3"/>
  <c r="C122" i="3"/>
  <c r="C121" i="3"/>
  <c r="C120" i="3"/>
  <c r="C119" i="3"/>
  <c r="C118" i="3"/>
  <c r="G111" i="3"/>
  <c r="G110" i="3"/>
  <c r="G109" i="3"/>
  <c r="G108" i="3"/>
  <c r="G107" i="3"/>
  <c r="G106" i="3"/>
  <c r="G105" i="3"/>
  <c r="D111" i="3"/>
  <c r="D110" i="3"/>
  <c r="D109" i="3"/>
  <c r="D108" i="3"/>
  <c r="D107" i="3"/>
  <c r="D106" i="3"/>
  <c r="D105" i="3"/>
  <c r="C111" i="3"/>
  <c r="C110" i="3"/>
  <c r="C109" i="3"/>
  <c r="C108" i="3"/>
  <c r="C107" i="3"/>
  <c r="C106" i="3"/>
  <c r="C105" i="3"/>
  <c r="N10" i="8" l="1"/>
  <c r="O6" i="8"/>
  <c r="Q6" i="8"/>
  <c r="P10" i="8"/>
  <c r="P7" i="8"/>
  <c r="N14" i="8"/>
  <c r="N6" i="8"/>
  <c r="P8" i="8"/>
  <c r="P13" i="8"/>
  <c r="N9" i="8"/>
  <c r="N7" i="8"/>
  <c r="P15" i="8"/>
  <c r="P9" i="8"/>
  <c r="P6" i="8"/>
  <c r="N8" i="8"/>
  <c r="N13" i="8"/>
  <c r="N11" i="8"/>
  <c r="N15" i="8"/>
  <c r="N12" i="8"/>
  <c r="P12" i="8"/>
  <c r="P14" i="8"/>
  <c r="P11" i="8"/>
  <c r="O14" i="8"/>
  <c r="Q12" i="8"/>
  <c r="Q13" i="8"/>
  <c r="Q14" i="8"/>
  <c r="Q11" i="8"/>
  <c r="Q9" i="8"/>
  <c r="O13" i="8"/>
  <c r="Q7" i="8"/>
  <c r="O7" i="8"/>
  <c r="O11" i="8"/>
  <c r="O10" i="8"/>
  <c r="Q15" i="8"/>
  <c r="O9" i="8"/>
  <c r="O15" i="8"/>
  <c r="Q10" i="8"/>
  <c r="Q8" i="8"/>
  <c r="O8" i="8"/>
  <c r="O12" i="8"/>
  <c r="G36" i="8"/>
  <c r="C95" i="7"/>
  <c r="C105" i="7"/>
  <c r="C107" i="7" s="1"/>
  <c r="H179" i="9"/>
  <c r="E182" i="9"/>
  <c r="E184" i="9" s="1"/>
  <c r="E163" i="12"/>
  <c r="E164" i="12" s="1"/>
  <c r="E105" i="7" s="1"/>
  <c r="E107" i="7" s="1"/>
  <c r="L149" i="12"/>
  <c r="D188" i="9"/>
  <c r="D189" i="9" s="1"/>
  <c r="J178" i="9"/>
  <c r="E188" i="9" s="1"/>
  <c r="I179" i="9"/>
  <c r="D48" i="8"/>
  <c r="D50" i="8" s="1"/>
  <c r="E187" i="9"/>
  <c r="C138" i="3"/>
  <c r="H138" i="3"/>
  <c r="H126" i="3"/>
  <c r="D129" i="3" s="1"/>
  <c r="I126" i="3"/>
  <c r="D130" i="3" s="1"/>
  <c r="E126" i="3"/>
  <c r="C130" i="3" s="1"/>
  <c r="D126" i="3"/>
  <c r="C129" i="3" s="1"/>
  <c r="C126" i="3"/>
  <c r="G113" i="3"/>
  <c r="D113" i="3"/>
  <c r="C113" i="3"/>
  <c r="M10" i="8" l="1"/>
  <c r="M9" i="8"/>
  <c r="M15" i="8"/>
  <c r="M13" i="8"/>
  <c r="M8" i="8"/>
  <c r="P17" i="8"/>
  <c r="F178" i="9" s="1"/>
  <c r="M7" i="8"/>
  <c r="M12" i="8"/>
  <c r="N17" i="8"/>
  <c r="F177" i="9" s="1"/>
  <c r="M6" i="8"/>
  <c r="M14" i="8"/>
  <c r="M11" i="8"/>
  <c r="O17" i="8"/>
  <c r="K177" i="9" s="1"/>
  <c r="Q17" i="8"/>
  <c r="K178" i="9" s="1"/>
  <c r="D193" i="9" s="1"/>
  <c r="E36" i="8"/>
  <c r="D53" i="8" s="1"/>
  <c r="D55" i="8" s="1"/>
  <c r="G38" i="8"/>
  <c r="J179" i="9"/>
  <c r="D132" i="3"/>
  <c r="E189" i="9"/>
  <c r="C132" i="3"/>
  <c r="C140" i="3" s="1"/>
  <c r="F119" i="3"/>
  <c r="J121" i="3"/>
  <c r="J123" i="3"/>
  <c r="K120" i="3"/>
  <c r="K123" i="3"/>
  <c r="K121" i="3"/>
  <c r="J122" i="3"/>
  <c r="J124" i="3"/>
  <c r="J120" i="3"/>
  <c r="J119" i="3"/>
  <c r="K122" i="3"/>
  <c r="K124" i="3"/>
  <c r="K119" i="3"/>
  <c r="K118" i="3"/>
  <c r="G119" i="3"/>
  <c r="G118" i="3"/>
  <c r="G123" i="3"/>
  <c r="F121" i="3"/>
  <c r="G122" i="3"/>
  <c r="F122" i="3"/>
  <c r="G120" i="3"/>
  <c r="F120" i="3"/>
  <c r="F123" i="3"/>
  <c r="G124" i="3"/>
  <c r="F124" i="3"/>
  <c r="G121" i="3"/>
  <c r="F118" i="3"/>
  <c r="E110" i="3"/>
  <c r="J118" i="3"/>
  <c r="E108" i="3"/>
  <c r="E111" i="3"/>
  <c r="E105" i="3"/>
  <c r="F105" i="3" s="1"/>
  <c r="H111" i="3"/>
  <c r="H109" i="3"/>
  <c r="H107" i="3"/>
  <c r="H110" i="3"/>
  <c r="H106" i="3"/>
  <c r="H108" i="3"/>
  <c r="H105" i="3"/>
  <c r="E107" i="3"/>
  <c r="E106" i="3"/>
  <c r="E109" i="3"/>
  <c r="A6" i="2"/>
  <c r="A7" i="2" s="1"/>
  <c r="A8" i="2" s="1"/>
  <c r="A9" i="2" s="1"/>
  <c r="A10" i="2" s="1"/>
  <c r="A11" i="2" s="1"/>
  <c r="A12" i="2" s="1"/>
  <c r="A13" i="2" s="1"/>
  <c r="A14" i="2" s="1"/>
  <c r="A15" i="2" s="1"/>
  <c r="A16" i="2" s="1"/>
  <c r="A17" i="2" s="1"/>
  <c r="A18" i="2" s="1"/>
  <c r="A19" i="2" s="1"/>
  <c r="A20" i="2" s="1"/>
  <c r="A21" i="2" s="1"/>
  <c r="A23" i="2" s="1"/>
  <c r="A24" i="2" s="1"/>
  <c r="L177" i="9" l="1"/>
  <c r="E192" i="9" s="1"/>
  <c r="F179" i="9"/>
  <c r="L178" i="9"/>
  <c r="E193" i="9" s="1"/>
  <c r="K179" i="9"/>
  <c r="D192" i="9"/>
  <c r="D194" i="9" s="1"/>
  <c r="M17" i="8"/>
  <c r="H140" i="3"/>
  <c r="E38" i="8"/>
  <c r="A25" i="2"/>
  <c r="A26" i="2" s="1"/>
  <c r="F110" i="3"/>
  <c r="F107" i="3"/>
  <c r="I111" i="3"/>
  <c r="I105" i="3"/>
  <c r="I110" i="3"/>
  <c r="I108" i="3"/>
  <c r="I106" i="3"/>
  <c r="I109" i="3"/>
  <c r="I107" i="3"/>
  <c r="F108" i="3"/>
  <c r="F109" i="3"/>
  <c r="F111" i="3"/>
  <c r="F106" i="3"/>
  <c r="H28" i="2"/>
  <c r="E28" i="2"/>
  <c r="C78" i="7"/>
  <c r="C98" i="7" s="1"/>
  <c r="C101" i="7" s="1"/>
  <c r="L179" i="9" l="1"/>
  <c r="E19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<sst xmlns="http://schemas.openxmlformats.org/spreadsheetml/2006/main" count="30146" uniqueCount="3325">
  <si>
    <t>EPA Region</t>
  </si>
  <si>
    <t>Phase 2 Roadmap Category</t>
  </si>
  <si>
    <t>Notes</t>
  </si>
  <si>
    <t>AK</t>
  </si>
  <si>
    <t>[insert link when available]</t>
  </si>
  <si>
    <t>-</t>
  </si>
  <si>
    <t>Yes</t>
  </si>
  <si>
    <t>Oil and Gas Extraction</t>
  </si>
  <si>
    <t>E</t>
  </si>
  <si>
    <t>EPA Regional permit using NeT</t>
  </si>
  <si>
    <t>No</t>
  </si>
  <si>
    <t>OIL AND GAS EXTRACTION</t>
  </si>
  <si>
    <t>AKG285100</t>
  </si>
  <si>
    <t>AKG524000</t>
  </si>
  <si>
    <t>OFFSHORE SEAFOOD PROCESSORS IN ALASKA</t>
  </si>
  <si>
    <t>SEAFOOD PROCESSING</t>
  </si>
  <si>
    <t>Seafood Processing</t>
  </si>
  <si>
    <t>C</t>
  </si>
  <si>
    <t>AKG870000</t>
  </si>
  <si>
    <t>PESTICIDE APPLICATION</t>
  </si>
  <si>
    <t>Pesticide Application</t>
  </si>
  <si>
    <t>D</t>
  </si>
  <si>
    <t>EPA National Permit using NeT</t>
  </si>
  <si>
    <t>STORMWATER - CONSTRUCTION</t>
  </si>
  <si>
    <t>Stormwater - Construction</t>
  </si>
  <si>
    <t>A</t>
  </si>
  <si>
    <t>Finished</t>
  </si>
  <si>
    <t>STORMWATER - INDUSTRIAL</t>
  </si>
  <si>
    <t>Stormwater - Industrial</t>
  </si>
  <si>
    <t>ALG87000E</t>
  </si>
  <si>
    <t>AL</t>
  </si>
  <si>
    <t>ALR10I000</t>
  </si>
  <si>
    <t>ASG870000</t>
  </si>
  <si>
    <t>AS</t>
  </si>
  <si>
    <t>ASR050000</t>
  </si>
  <si>
    <t>IDENTIFIER FOR MULTI-SECTOR GENERAL PERMIT FOR STORMWATER DISCHARGES ASSOCIATED WITH INDUSTRIAL ACTIVITY - ISLANDS OF AMERICAN SAMOA</t>
  </si>
  <si>
    <t>ASR100000</t>
  </si>
  <si>
    <t>AZG87000E</t>
  </si>
  <si>
    <t>AZ</t>
  </si>
  <si>
    <t>AZR10I000</t>
  </si>
  <si>
    <t>CAG87000E</t>
  </si>
  <si>
    <t>CA</t>
  </si>
  <si>
    <t>CAG280000</t>
  </si>
  <si>
    <t>CAR10I000</t>
  </si>
  <si>
    <t>IDENTIFIER FOR MULTI-SECTOR GENERAL PERMIT FOR STORMWATER DISCHARGES ASSOCIATED WITH INDUSTRIAL ACTIVITY - INDIAN COUNTRY WITHIN THE STATE OF CALIFORNIA</t>
  </si>
  <si>
    <t>COG87000E</t>
  </si>
  <si>
    <t>CO</t>
  </si>
  <si>
    <t>DOMESTIC WASTEWATER TREATMENT FACILITIES</t>
  </si>
  <si>
    <t>Domestic Wastewater Treatment Facilities</t>
  </si>
  <si>
    <t>B</t>
  </si>
  <si>
    <t>State has elected to use EPA's NeT</t>
  </si>
  <si>
    <t>Started</t>
  </si>
  <si>
    <t>Stormwater - MS4</t>
  </si>
  <si>
    <t>CT</t>
  </si>
  <si>
    <t>TEMPORARY DISCHARGES</t>
  </si>
  <si>
    <t>Temporary Discharges</t>
  </si>
  <si>
    <t>F</t>
  </si>
  <si>
    <t>CTG87000E</t>
  </si>
  <si>
    <t>CTG100000</t>
  </si>
  <si>
    <t>POINT SOURCE DISCHARGES TO WATERS OF THE STATE FROM THE APPLICATION OF PESTICIDES</t>
  </si>
  <si>
    <t>OTHER</t>
  </si>
  <si>
    <t>Pools, Spas, and Chlorinated Discharges</t>
  </si>
  <si>
    <t>Miscellaneous Discharges</t>
  </si>
  <si>
    <t>DISCHARGE OF STORMWATER ASSOCIATED WITH COMMERCIAL ACTIVITY</t>
  </si>
  <si>
    <t>DISCHARGE OF STORMWATER AND DEWATERING WASTEWATERS ASSOCIATED WITH CONSTRUCTION ACTIVITIES</t>
  </si>
  <si>
    <t>DISCHARGE OF STORMWATER FROM SMALL MS4S</t>
  </si>
  <si>
    <t>GROUNDWATER REMEDIATION</t>
  </si>
  <si>
    <t>CONTAMINATED GROUNDWATER TREATMENT - PETROLEUM ; CONTAMINATED GROUNDWATER TREATMENT - NON-PETROLEUM</t>
  </si>
  <si>
    <t>Groundwater Remediation</t>
  </si>
  <si>
    <t>COMPREHENSIVE GENERAL PERMIT FOR DISCHARGES TO SURFACE WATER AND GROUNDWATER</t>
  </si>
  <si>
    <t>CTR10I000</t>
  </si>
  <si>
    <t>IDENTIFIER FOR MULTI-SECTOR GENERAL PERMIT FOR STORMWATER DISCHARGES ASSOCIATED WITH INDUSTRIAL ACTIVITY - INDIAN COUNTRY WITHIN THE STATE OF CONNECTICUT</t>
  </si>
  <si>
    <t>DCG870000</t>
  </si>
  <si>
    <t>DC</t>
  </si>
  <si>
    <t>DCR050000</t>
  </si>
  <si>
    <t>IDENTIFIER FOR MULTI-SECTOR GENERAL PERMIT FOR STORMWATER DISCHARGES ASSOCIATED WITH INDUSTRIAL ACTIVITY - DISTRICT OF COLUMBIA</t>
  </si>
  <si>
    <t>DCR100000</t>
  </si>
  <si>
    <t>DEG87000E</t>
  </si>
  <si>
    <t>DE</t>
  </si>
  <si>
    <t>ME</t>
  </si>
  <si>
    <t>CONSTRUCTION ACTIVITY</t>
  </si>
  <si>
    <t>https://www.maine.gov/dep/land/stormwater/construction.html</t>
  </si>
  <si>
    <t>DER10F000</t>
  </si>
  <si>
    <t>IDENTIFIER FOR MULTI-SECTOR GENERAL PERMIT FOR STORMWATER DISCHARGES ASSOCIATED WITH INDUSTRIAL ACTIVITY - FEDERAL FACILITIES WITHIN THE STATE OF DELAWARE</t>
  </si>
  <si>
    <t>FLG87000E</t>
  </si>
  <si>
    <t>FL</t>
  </si>
  <si>
    <t>FLR10I000</t>
  </si>
  <si>
    <t>GEG460000</t>
  </si>
  <si>
    <t>GE</t>
  </si>
  <si>
    <t>OFFSHORE OIL AND GAS ACTIVITIES IN THE EASTERN GULF OF MEXICO</t>
  </si>
  <si>
    <t>https://www.epa.gov/npdes-permits/public-notice-federal-register-final-permit-issuance-offshore-oil-gas-activities</t>
  </si>
  <si>
    <t>GMG290000</t>
  </si>
  <si>
    <t>GM</t>
  </si>
  <si>
    <t>OUTER CONTINENTAL SHELF- WESTERN</t>
  </si>
  <si>
    <t>https://www.epa.gov/npdes-permits/support-documents-npdes-general-permit-offshore-oil-and-gas-operations-western-gulf</t>
  </si>
  <si>
    <t>GUG870000</t>
  </si>
  <si>
    <t>GU</t>
  </si>
  <si>
    <t>GUR050000</t>
  </si>
  <si>
    <t>IDENTIFIER FOR MULTI-SECTOR GENERAL PERMIT FOR STORMWATER DISCHARGES ASSOCIATED WITH INDUSTRIAL ACTIVITY - ISLAND OF GUAM</t>
  </si>
  <si>
    <t>GUR100000</t>
  </si>
  <si>
    <t>IAG87000E</t>
  </si>
  <si>
    <t>IA</t>
  </si>
  <si>
    <t>IAR10I000</t>
  </si>
  <si>
    <t>IDG010000</t>
  </si>
  <si>
    <t>ID</t>
  </si>
  <si>
    <t>CONCENTRATED ANIMAL FEEDING OPERATIONS (CAFOS)</t>
  </si>
  <si>
    <t>Concentrated Animal Feeding Operations (CAFOs)</t>
  </si>
  <si>
    <t>IDG130000</t>
  </si>
  <si>
    <t>AQUACULTURE FACILITIES WITH WLA</t>
  </si>
  <si>
    <t>AQUACULTURE</t>
  </si>
  <si>
    <t>Aquaculture</t>
  </si>
  <si>
    <t>IDG131000</t>
  </si>
  <si>
    <t>IDG132000</t>
  </si>
  <si>
    <t>FISH PROCESSORS ASSOCIATED WITH AQUACULTURE</t>
  </si>
  <si>
    <t>MINING AND QUARRIES</t>
  </si>
  <si>
    <t>Mining and Quarries</t>
  </si>
  <si>
    <t>WATER TREATMENT FACILITY (POTABLE AND NON-POTABLE)</t>
  </si>
  <si>
    <t>Drinking Water Treatment</t>
  </si>
  <si>
    <t>ILA010000</t>
  </si>
  <si>
    <t>IL</t>
  </si>
  <si>
    <t>GENERAL PERMIT FOR CAFOS</t>
  </si>
  <si>
    <t>http://www.epa.state.il.us/water/permits/cafo/general-npdes-permit.pdf</t>
  </si>
  <si>
    <t>ILG551000</t>
  </si>
  <si>
    <t>MECHANICAL DOMESTIC SEWAGE TP</t>
  </si>
  <si>
    <t>http://www.epa.state.il.us/public-notices/2013/lagoon-general-npdes-permit/index.pdf</t>
  </si>
  <si>
    <t>ILG580000</t>
  </si>
  <si>
    <t>DOMESTIC- MUNICIPALLY OWNED WWT</t>
  </si>
  <si>
    <t>http://www.epa.state.il.us/public-notices/2013/lagoon-general-npdes-permit/permit-ilg580.pdf</t>
  </si>
  <si>
    <t>ILG582000</t>
  </si>
  <si>
    <t>SEWAGE TREATMENT SYSTEMS DISCHARGE (&lt;.5 MGD)</t>
  </si>
  <si>
    <t>http://www.epa.state.il.us/public-notices/2013/lagoon-general-npdes-permit/permit-ilg582.pdf</t>
  </si>
  <si>
    <t>PRIVATE HOUSEHOLD</t>
  </si>
  <si>
    <t>ILG640000</t>
  </si>
  <si>
    <t>PUBLIC WATER SUPPLY</t>
  </si>
  <si>
    <t>http://www.epa.state.il.us/water/permits/pws-facilities/general-npdes-permit.pdf</t>
  </si>
  <si>
    <t>ILG670000</t>
  </si>
  <si>
    <t>HYDROSTATIC TESTING</t>
  </si>
  <si>
    <t>https://www2.illinois.gov/epa/topics/forms/water-permits/Pages/hydrostatic-testing.aspx</t>
  </si>
  <si>
    <t>Hydrostatic Testing</t>
  </si>
  <si>
    <t>ILG840000</t>
  </si>
  <si>
    <t>MINING ACTIVITIES (NON-COAL MINING)</t>
  </si>
  <si>
    <t>http://www.epa.state.il.us/water/permits/non-coal-mines/general-npdes-permit.pdf</t>
  </si>
  <si>
    <t>ILG870000</t>
  </si>
  <si>
    <t>GENERAL NPDES PERMIT FOR PESTICIDE APPLICATION POINT SOURCE DISCHARGES</t>
  </si>
  <si>
    <t>ILM580000</t>
  </si>
  <si>
    <t>COMBINED SEWER OVERFLOWS / SANITARY SEWER OVERFLOWS</t>
  </si>
  <si>
    <t>Sewer Overflows</t>
  </si>
  <si>
    <t>G</t>
  </si>
  <si>
    <t>ILR000000</t>
  </si>
  <si>
    <t>STORMWATER DISCHARGES FROM INDUSTRIAL ACTIVITIES</t>
  </si>
  <si>
    <t>http://www.epa.state.il.us/water/permits/storm-water/general-industrial-permit.pdf</t>
  </si>
  <si>
    <t>ILR100000</t>
  </si>
  <si>
    <t>STORMWATER DISCHARGES FROM CONSTRUCTION SITE ACTIVITIES</t>
  </si>
  <si>
    <t>http://www.epa.state.il.us/water/permits/storm-water/general-construction-permit.pdf</t>
  </si>
  <si>
    <t>ILR400000</t>
  </si>
  <si>
    <t>STORMWATER DISCHARGES FROM SMALL MS4S</t>
  </si>
  <si>
    <t>JAG870000</t>
  </si>
  <si>
    <t>JA</t>
  </si>
  <si>
    <t>JAR050000</t>
  </si>
  <si>
    <t>IDENTIFIER FOR MULTI-SECTOR GENERAL PERMIT FOR STORMWATER DISCHARGES ASSOCIATED WITH INDUSTRIAL ACTIVITY - JOHNSTON ATOLL</t>
  </si>
  <si>
    <t>JAR100000</t>
  </si>
  <si>
    <t>KSG87000E</t>
  </si>
  <si>
    <t>KS</t>
  </si>
  <si>
    <t>KSR10I000</t>
  </si>
  <si>
    <t>LAG87000E</t>
  </si>
  <si>
    <t>LA</t>
  </si>
  <si>
    <t>LAR10I000</t>
  </si>
  <si>
    <t>IDENTIFIER FOR MULTI-SECTOR GENERAL PERMIT FOR STORMWATER DISCHARGES ASSOCIATED WITH INDUSTRIAL ACTIVITY - INDIAN COUNTRY WITHIN THE STATE OF LOUISIANA</t>
  </si>
  <si>
    <t>MA</t>
  </si>
  <si>
    <t>CONSTRUCTION DEWATERING</t>
  </si>
  <si>
    <t>Construction Dewatering</t>
  </si>
  <si>
    <t>MAG250000</t>
  </si>
  <si>
    <t>NON-CONTACT COOLING WATER (NCCW)</t>
  </si>
  <si>
    <t>NON-CONTACT COOLING WATER</t>
  </si>
  <si>
    <t>Non-Contact Cooling Water</t>
  </si>
  <si>
    <t>MAG360000</t>
  </si>
  <si>
    <t>HYDROELECTRIC GENERATING FACILITIES GP</t>
  </si>
  <si>
    <t>ELECTRIC GENERATING FACILITIES</t>
  </si>
  <si>
    <t>Electric Generating Facilities</t>
  </si>
  <si>
    <t>MAG580000</t>
  </si>
  <si>
    <t>MAG640000</t>
  </si>
  <si>
    <t>POTABLE WATER TREATMENT FACILITIES GP</t>
  </si>
  <si>
    <t>MAG870000</t>
  </si>
  <si>
    <t>MAG910000</t>
  </si>
  <si>
    <t>CONTAMINATED GROUNDWATER TREATMENT - PETROLEUM ; CONTAMINATED GROUNDWATER TREATMENT - NON-PETROLEUM ; CONSTRUCTION DEWATERING</t>
  </si>
  <si>
    <t>MDG340000</t>
  </si>
  <si>
    <t>MD</t>
  </si>
  <si>
    <t>STORMWATER AND HYDROSTATIC TEST WATER FROM OIL TERMINALS</t>
  </si>
  <si>
    <t>MDG490000</t>
  </si>
  <si>
    <t>MINERAL MINES, QUARRIES, BORROW PITS, CONCRETE &amp; ASPHALT</t>
  </si>
  <si>
    <t>MINING AND QUARRIES ; VEHICLE WASH AND SERVICE ; CONCRETE, GYPSUM AND PLASTER PRODUCTS</t>
  </si>
  <si>
    <t>MDG520000</t>
  </si>
  <si>
    <t>MDG670000</t>
  </si>
  <si>
    <t>HYDROSTATIC TESTING OF TANKS, ETC, OTHER THAN OIL TERMINALS</t>
  </si>
  <si>
    <t>MDG760000</t>
  </si>
  <si>
    <t>SWIMMING POOLS AND SPAS</t>
  </si>
  <si>
    <t>POOLS, SPAS, AND CHLORINATED DISCHARGES</t>
  </si>
  <si>
    <t>MDG850000</t>
  </si>
  <si>
    <t>SURFACE COAL MINING &amp; RELATED ACTIVITIES</t>
  </si>
  <si>
    <t>MDG910000</t>
  </si>
  <si>
    <t>TREATED GROUNDWATER FROM OIL CONTAMINATED GW SOURCES</t>
  </si>
  <si>
    <t>CONTAMINATED GROUNDWATER TREATMENT - PETROLEUM</t>
  </si>
  <si>
    <t>MDG990000</t>
  </si>
  <si>
    <t>MARINAS INCLUDING BOAT YARDS AND YACHT BASINS</t>
  </si>
  <si>
    <t>VESSELS, MARINAS, AND BOATYARDS</t>
  </si>
  <si>
    <t>MEG130000</t>
  </si>
  <si>
    <t>NET PEN AQUACULTURE</t>
  </si>
  <si>
    <t>https://www.maine.gov/dep/water/wd/net-pen-aquaculture/index.html</t>
  </si>
  <si>
    <t>MEG190000</t>
  </si>
  <si>
    <t>POST CONSTRUCTION DISCHARGE OF STORMWATER IN THE LONG CREEK WATERSHED</t>
  </si>
  <si>
    <t>https://www.maine.gov/dep/water/wd/long_creek/index.html</t>
  </si>
  <si>
    <t>MER050000</t>
  </si>
  <si>
    <t>DISCHARGE OF STORMWATER DISCHARGE ASSOCIATED WITH INDUSTRIAL ACTIVITY (MSGP)</t>
  </si>
  <si>
    <t>https://www.maine.gov/dep/water/wd/multisector/index.html</t>
  </si>
  <si>
    <t>MI</t>
  </si>
  <si>
    <t>MIG87000E</t>
  </si>
  <si>
    <t>MIR10I000</t>
  </si>
  <si>
    <t>IDENTIFIER FOR MULTI-SECTOR GENERAL PERMIT FOR STORMWATER DISCHARGES ASSOCIATED WITH INDUSTRIAL ACTIVITY - INDIAN COUNTRY WITHIN THE STATE OF MINNESOTA</t>
  </si>
  <si>
    <t>MNG87000E</t>
  </si>
  <si>
    <t>MN</t>
  </si>
  <si>
    <t>MNR10I000</t>
  </si>
  <si>
    <t>MPR050000</t>
  </si>
  <si>
    <t>MP</t>
  </si>
  <si>
    <t>IDENTIFIER FOR MULTI-SECTOR GENERAL PERMIT FOR STORMWATER DISCHARGES ASSOCIATED WITH INDUSTRIAL ACTIVITY - COMMONWEALTH OF NORTHERN MARIANA ISLANDS</t>
  </si>
  <si>
    <t>MPR100000</t>
  </si>
  <si>
    <t>MSG87000E</t>
  </si>
  <si>
    <t>MS</t>
  </si>
  <si>
    <t>MSG110000</t>
  </si>
  <si>
    <t>READY-MIX CONCRETE</t>
  </si>
  <si>
    <t>http://www.mdeq.ms.gov/wp-content/uploads/2014/04/RMCGPFinalPermit.pdf</t>
  </si>
  <si>
    <t>CONCRETE, GYPSUM AND PLASTER PRODUCTS</t>
  </si>
  <si>
    <t>MSG120000</t>
  </si>
  <si>
    <t>UST</t>
  </si>
  <si>
    <t>https://www.mdeq.ms.gov/wp-content/uploads/2018/03/MSG12-UST-General-Final-Permit.pdf</t>
  </si>
  <si>
    <t>MSG130000</t>
  </si>
  <si>
    <t>http://www.mdeq.ms.gov/wp-content/uploads/2018/03/HTGP-Final-Permit.pdf</t>
  </si>
  <si>
    <t>MSG170000</t>
  </si>
  <si>
    <t>WET DECK</t>
  </si>
  <si>
    <t>http://www.mdeq.ms.gov/wp-content/uploads/2017/05/MSG17FinalPermit2017.pdf</t>
  </si>
  <si>
    <t>Logging and Lumber</t>
  </si>
  <si>
    <t>MSG220000</t>
  </si>
  <si>
    <t>MULTI-TYPE CAFO</t>
  </si>
  <si>
    <t>MSR000000</t>
  </si>
  <si>
    <t>BASELINE STORMWATER GENERAL PERMIT FOR INDUSTRIAL ACTIVITIES</t>
  </si>
  <si>
    <t>https://www.mdeq.ms.gov/wp-content/uploads/2017/06/16General.pdf</t>
  </si>
  <si>
    <t>MSR10I000</t>
  </si>
  <si>
    <t>MSR100000</t>
  </si>
  <si>
    <t>LARGE CONSTRUCTION</t>
  </si>
  <si>
    <t>https://www.mdeq.ms.gov/wp-content/uploads/2017/06/05General.pdf</t>
  </si>
  <si>
    <t>MSR320000</t>
  </si>
  <si>
    <t>MINING STORMWATER, DEWATERING AND NO DISCHARGE GENERAL PERMIT</t>
  </si>
  <si>
    <t>http://www.mdeq.ms.gov/wp-content/uploads/2018/04/Mining_General_Permit.pdf</t>
  </si>
  <si>
    <t>MSR700000</t>
  </si>
  <si>
    <t>HOT MIX ASPHALT FACILITY</t>
  </si>
  <si>
    <t>http://www.mdeq.ms.gov/wp-content/uploads/2017/06/HMAFinalGeneralPermit.pdf</t>
  </si>
  <si>
    <t>MSRMS4000</t>
  </si>
  <si>
    <t>SMALL MS4</t>
  </si>
  <si>
    <t>MTG87000E</t>
  </si>
  <si>
    <t>MT</t>
  </si>
  <si>
    <t>MTG589000</t>
  </si>
  <si>
    <t>MTR10I000</t>
  </si>
  <si>
    <t>MWG870000</t>
  </si>
  <si>
    <t>MW</t>
  </si>
  <si>
    <t>MWR050000</t>
  </si>
  <si>
    <t>IDENTIFIER FOR MULTI-SECTOR GENERAL PERMIT FOR STORMWATER DISCHARGES ASSOCIATED WITH INDUSTRIAL ACTIVITY - MIDWAY ISLAND AND WAKE ISLAND</t>
  </si>
  <si>
    <t>MWR100000</t>
  </si>
  <si>
    <t>NC</t>
  </si>
  <si>
    <t>NCG87000E</t>
  </si>
  <si>
    <t>Private Households</t>
  </si>
  <si>
    <t>NCR10I000</t>
  </si>
  <si>
    <t>NDG87000E</t>
  </si>
  <si>
    <t>ND</t>
  </si>
  <si>
    <t>NDG589000</t>
  </si>
  <si>
    <t>NDR10I000</t>
  </si>
  <si>
    <t>NEG016000</t>
  </si>
  <si>
    <t>NE</t>
  </si>
  <si>
    <t>GENERAL PERMIT FOR CONCENTRATED ANIMAL FEEDING OPERATIONS CONFINING CATTLE</t>
  </si>
  <si>
    <t>NEG017000</t>
  </si>
  <si>
    <t>NEG018000</t>
  </si>
  <si>
    <t>NEG019000</t>
  </si>
  <si>
    <t>NEG87000E</t>
  </si>
  <si>
    <t>NEG671000</t>
  </si>
  <si>
    <t>DEWATERING</t>
  </si>
  <si>
    <t>http://deq.ne.gov/Publica.nsf/pages/WAT179</t>
  </si>
  <si>
    <t>NEG672000</t>
  </si>
  <si>
    <t>http://deq.ne.gov/Publica.nsf/pages/WAT180</t>
  </si>
  <si>
    <t>NEG673000</t>
  </si>
  <si>
    <t>DEWATERING DISCHARGES FROM CONTAMINATED SITES WITHIN THE CITY OF OMAHA, NEBERASKA</t>
  </si>
  <si>
    <t>CONTAMINATED GROUNDWATER TREATMENT - NON-PETROLEUM</t>
  </si>
  <si>
    <t>NEG710000</t>
  </si>
  <si>
    <t>NEP100000</t>
  </si>
  <si>
    <t>FOR PESTICIDE APPLICATIONS TO, OVER, OR NEAR WATERS OF THE STATE OF NEBRASKA</t>
  </si>
  <si>
    <t>NER10I000</t>
  </si>
  <si>
    <t>STORM WATER DISCHARGES FROM SMALL MUNICIPAL STORM SEWER SYSTEMS LOCATED IN DOUGLAS, SARPY, AND WASHINGTON COUNTIES</t>
  </si>
  <si>
    <t>STATEWIDE MS4 GENERAL PERMIT</t>
  </si>
  <si>
    <t>NER910000</t>
  </si>
  <si>
    <t>STORM WATER DISCHARGES FROM INDUSTRIAL SITES</t>
  </si>
  <si>
    <t>NH</t>
  </si>
  <si>
    <t>NHG250000</t>
  </si>
  <si>
    <t>http://www3.epa.gov/region1/npdes/nccwgp/2014NCCWGeneralPermit.pdf</t>
  </si>
  <si>
    <t>NHG360000</t>
  </si>
  <si>
    <t>HYDROELECTRIC GENERATING FACLITIES GP</t>
  </si>
  <si>
    <t>http://www3.epa.gov/region1/npdes/hydrogp/HydroGPFinal.pdf</t>
  </si>
  <si>
    <t>NHG580000</t>
  </si>
  <si>
    <t>NHG640000</t>
  </si>
  <si>
    <t>NHG870000</t>
  </si>
  <si>
    <t>NHG910000</t>
  </si>
  <si>
    <t>NHR041000</t>
  </si>
  <si>
    <t>NHR042000</t>
  </si>
  <si>
    <t>NHR043000</t>
  </si>
  <si>
    <t>NHR050000</t>
  </si>
  <si>
    <t>IDENTIFIER FOR MULTI-SECTOR GENERAL PERMIT FOR STORMWATER DISCHARGES ASSOCIATED WITH INDUSTRIAL ACTIVITY - STATE OF NEW HAMPSHIRE</t>
  </si>
  <si>
    <t>NHR100000</t>
  </si>
  <si>
    <t>NMG010000</t>
  </si>
  <si>
    <t>NM</t>
  </si>
  <si>
    <t>CAFO</t>
  </si>
  <si>
    <t>NMG870000</t>
  </si>
  <si>
    <t>NMR040000</t>
  </si>
  <si>
    <t>NVG87000E</t>
  </si>
  <si>
    <t>NV</t>
  </si>
  <si>
    <t>NVR10I000</t>
  </si>
  <si>
    <t>NYG87000E</t>
  </si>
  <si>
    <t>NY</t>
  </si>
  <si>
    <t>NYR10I000</t>
  </si>
  <si>
    <t>OKG870000</t>
  </si>
  <si>
    <t>OK</t>
  </si>
  <si>
    <t>OR</t>
  </si>
  <si>
    <t>ORG87000E</t>
  </si>
  <si>
    <t>ORR10I000</t>
  </si>
  <si>
    <t>PRG870000</t>
  </si>
  <si>
    <t>PR</t>
  </si>
  <si>
    <t>PRR040000</t>
  </si>
  <si>
    <t>PRR050000</t>
  </si>
  <si>
    <t>IDENTIFIER FOR MULTI-SECTOR GENERAL PERMIT FOR STORMWATER DISCHARGES ASSOCIATED WITH INDUSTRIAL ACTIVITY - COMMONWEALTH OF PUERTO RICO</t>
  </si>
  <si>
    <t>PRR100000</t>
  </si>
  <si>
    <t>RIG87000E</t>
  </si>
  <si>
    <t>RI</t>
  </si>
  <si>
    <t>RIG250000</t>
  </si>
  <si>
    <t>http://www.dem.ri.gov/pubs/regs/regs/water/nccwgp13.pdf</t>
  </si>
  <si>
    <t>REMEDIATION</t>
  </si>
  <si>
    <t>CONTAMINATED GROUNDWATER TREATMENT - PETROLEUM ; CONTAMINATED GROUNDWATER TREATMENT - NON-PETROLEUM ; HYDROSTATIC TESTING ; CONSTRUCTION DEWATERING</t>
  </si>
  <si>
    <t>RIR10I000</t>
  </si>
  <si>
    <t>IDENTIFIER FOR MULTI-SECTOR GENERAL PERMIT FOR STORMWATER DISCHARGES ASSOCIATED WITH INDUSTRIAL ACTIVITY - INDIAN COUNTRY WITHIN THE STATE OF RHODE ISLAND</t>
  </si>
  <si>
    <t>RIR040000</t>
  </si>
  <si>
    <t>SMALL MS4S AND INDUSTRIAL ACTIVITY AT ELIGIBLE FACILITIES OPERATED BY REGULATED SMALL MS4S</t>
  </si>
  <si>
    <t>RIR500000</t>
  </si>
  <si>
    <t>STORMWATER DISCHARGE ASSOCIATED WITH INDUSTRIAL ACTIVITY</t>
  </si>
  <si>
    <t>SDG027359</t>
  </si>
  <si>
    <t>SD</t>
  </si>
  <si>
    <t>GENERAL SURFACE WATER DISCHARGE PERMIT FOR NON-DISCHARGING INTERSTATE REST AREAS</t>
  </si>
  <si>
    <t>MINIMUM ENVIRONMENTAL IMPACT</t>
  </si>
  <si>
    <t>Minimum Environmental Impact</t>
  </si>
  <si>
    <t>SDG070000</t>
  </si>
  <si>
    <t>TEMPORARY DISCHARGE</t>
  </si>
  <si>
    <t>SDG87000E</t>
  </si>
  <si>
    <t>SDG100000</t>
  </si>
  <si>
    <t>GENERAL WATER POLLUTION CONTROL PERMIT FOR CONCENTRATED ANIMAL FEEDING OPERATIONS</t>
  </si>
  <si>
    <t>SDG589000</t>
  </si>
  <si>
    <t>SDG860000</t>
  </si>
  <si>
    <t>WATER TREATMENT AND DISTRIBUTION GENERAL PERMIT</t>
  </si>
  <si>
    <t>SDG920000</t>
  </si>
  <si>
    <t>DOMESTIC WASTEWATER TREATMENT FACILITIES (GENERAL 9 AND 10)</t>
  </si>
  <si>
    <t>SDR000000</t>
  </si>
  <si>
    <t>STORMWATER DISCHARGES ASSOCIATED WITH INDUSTRIAL ACTIVITY</t>
  </si>
  <si>
    <t>SDR10I000</t>
  </si>
  <si>
    <t>SDR410000</t>
  </si>
  <si>
    <t>STORMWATER DISCHARGES ASSOCIATED WITH MS4</t>
  </si>
  <si>
    <t>TXG87000E</t>
  </si>
  <si>
    <t>TX</t>
  </si>
  <si>
    <t>UTG040000</t>
  </si>
  <si>
    <t>UT</t>
  </si>
  <si>
    <t>COAL MINING</t>
  </si>
  <si>
    <t>UTG070000</t>
  </si>
  <si>
    <t>CONSTRUCTION DEWATERING AND/OR HYDROSTATIC TESTING</t>
  </si>
  <si>
    <t>CONSTRUCTION DEWATERING ; HYDROSTATIC TESTING</t>
  </si>
  <si>
    <t>UTG87000E</t>
  </si>
  <si>
    <t>UTG130000</t>
  </si>
  <si>
    <t>GEN PERMIT-CON AQUATIC ANIMAL</t>
  </si>
  <si>
    <t>UTG170000</t>
  </si>
  <si>
    <t>PESTICIDE GENERAL PERMIT FOR POINT SOURCE DISCHARGES TO THE STATE WATERS TO THE STATE OF UTAH FROM THE APPLICATION OF PESTICIDES</t>
  </si>
  <si>
    <t>UTG589000</t>
  </si>
  <si>
    <t>UTG640000</t>
  </si>
  <si>
    <t>DRINKING WATER</t>
  </si>
  <si>
    <t>UTG790000</t>
  </si>
  <si>
    <t>GROUNDWATER CONTAMINATED WITH PETRO</t>
  </si>
  <si>
    <t>https://deq.utah.gov/legacy/permits/water-quality/utah-pollutant-discharge-elimination-system/docs/utg7900002016.pdf</t>
  </si>
  <si>
    <t>UTR000000</t>
  </si>
  <si>
    <t>UTR10I000</t>
  </si>
  <si>
    <t>UTR090000</t>
  </si>
  <si>
    <t>UTRC00000</t>
  </si>
  <si>
    <t>UTRH00000</t>
  </si>
  <si>
    <t>COMMON PLAN PERMIT</t>
  </si>
  <si>
    <t>VAR10I000</t>
  </si>
  <si>
    <t>VA</t>
  </si>
  <si>
    <t>VIGSA0000</t>
  </si>
  <si>
    <t>VI</t>
  </si>
  <si>
    <t>https://dpnr.vi.gov/environmental-protection/water-pollution-control-program/</t>
  </si>
  <si>
    <t>VIPGP0000</t>
  </si>
  <si>
    <t>PESTICIDE GENERAL PERMIT</t>
  </si>
  <si>
    <t>VIR050000</t>
  </si>
  <si>
    <t>MSGP FOR STORMWATER DISCHARGES ASSOCIATED WITH INDUSTRIAL ACTIVITIES</t>
  </si>
  <si>
    <t>VTG87000E</t>
  </si>
  <si>
    <t>VT</t>
  </si>
  <si>
    <t>VTR10F000</t>
  </si>
  <si>
    <t>IDENTIFIER FOR MULTI-SECTOR GENERAL PERMIT FOR STORMWATER DISCHARGES ASSOCIATED WITH INDUSTRIAL ACTIVITY - FEDERAL FACILITIES WITHIN THE STATE OF VERMONT</t>
  </si>
  <si>
    <t>WAG87000E</t>
  </si>
  <si>
    <t>WA</t>
  </si>
  <si>
    <t>WAG130000</t>
  </si>
  <si>
    <t>FEDERAL AQUACULTURE FACILITIES AND AQUACULTURE FACILITIES IN INDIAN COUNTRY</t>
  </si>
  <si>
    <t>https://www.epa.gov/npdes-permits/npdes-general-permit-federal-aquaculture-facilities-and-aquaculture-facilities-located</t>
  </si>
  <si>
    <t>WAG132000</t>
  </si>
  <si>
    <t>WIG87000E</t>
  </si>
  <si>
    <t>WI</t>
  </si>
  <si>
    <t>WIR10I000</t>
  </si>
  <si>
    <t>WYG87000E</t>
  </si>
  <si>
    <t>WY</t>
  </si>
  <si>
    <t>WYG589000</t>
  </si>
  <si>
    <t>WYR05I000</t>
  </si>
  <si>
    <t>WYR10I000</t>
  </si>
  <si>
    <t>Group</t>
  </si>
  <si>
    <t>Total:</t>
  </si>
  <si>
    <t>No.</t>
  </si>
  <si>
    <t>https://www.epa.gov/npdes/pesticide-permitting</t>
  </si>
  <si>
    <t>DISCHARGE OF STORMWATER ASSOCIATED WITH INDUSTRIAL ACTIVITIES</t>
  </si>
  <si>
    <t>IDG133000</t>
  </si>
  <si>
    <t>AQUACULTURE FACILITIES LOCATED IN INDIAN COUNTRY IN IDAHO</t>
  </si>
  <si>
    <t>https://www2.illinois.gov/epa/Documents/iepa/public-notices/2017/ilm580/public-notice.pdf</t>
  </si>
  <si>
    <t>MAG130000</t>
  </si>
  <si>
    <t>AQUACULTURE FACILITIES LOCATED IN MASSACHUSETTS</t>
  </si>
  <si>
    <t>https://www.epa.gov/npdes-permits/potable-water-treatment-facility-general-permit-pwtf-gp-massachusetts-new-hampshire</t>
  </si>
  <si>
    <t>https://www.mdeq.ms.gov/wp-content/uploads/2015/02/MSG22_Forms_Package.pdf</t>
  </si>
  <si>
    <t>NHG130000</t>
  </si>
  <si>
    <t>AQUACULTURE FACILITIES LOCATED IN NEW HAMPSHIRE</t>
  </si>
  <si>
    <t>https://www.env.nm.gov/wp-content/uploads/2017/07/NMG010000-CAFO-NM-20160901.pdf</t>
  </si>
  <si>
    <t>RIG850000</t>
  </si>
  <si>
    <t>http://dem.ri.gov/programs/benviron/water/permits/ripdes/pdfs/remediation-general-permit19.pdf</t>
  </si>
  <si>
    <t>http://www.dem.ri.gov/programs/water/permits/ripdes/stormwater/industrial.php</t>
  </si>
  <si>
    <t>https://cdx.epa.gov/</t>
  </si>
  <si>
    <t>https://deq.utah.gov/legacy/permits/water-quality/docs/2014/08Aug/GeneralPermitCAFO.pdf</t>
  </si>
  <si>
    <t>VTG130000</t>
  </si>
  <si>
    <t>AQUACULTURE FEDERAL FACILITIES LOCATED IN VERMONT</t>
  </si>
  <si>
    <t>WAG520000</t>
  </si>
  <si>
    <t>OFFSHORE SEAFOOD PROCESSORS OFF WASHINGTON AND OREGON COAST</t>
  </si>
  <si>
    <t>Carey Johnston</t>
  </si>
  <si>
    <t>Jesse Yourish</t>
  </si>
  <si>
    <t>Andrew Moiseff</t>
  </si>
  <si>
    <t>Rusty Wasem</t>
  </si>
  <si>
    <t>EPA Roadmap Group</t>
  </si>
  <si>
    <t>Number of EPA Roadmap Categories</t>
  </si>
  <si>
    <t>Number of General Permits Using NeT</t>
  </si>
  <si>
    <t>Percentage of Total Number of General Permits Using NeT</t>
  </si>
  <si>
    <t>Cumulative Percentage of Total Number of General Permits Using NeT</t>
  </si>
  <si>
    <t>Number of General Permit Covered Facilities</t>
  </si>
  <si>
    <t>Percentage of Total Number of General Permit Covered Facilities Using NeT</t>
  </si>
  <si>
    <t>Cumulative Percentage of Total Number of General Permit Covered Facilities Using NeT</t>
  </si>
  <si>
    <t>Number of General Permits Using NeT - 
NeT Deployed</t>
  </si>
  <si>
    <t>Number of General Permits Using NeT - 
NeT Not Deployed</t>
  </si>
  <si>
    <t>Number of General Permit Covered Facilities - 
NeT Deployed</t>
  </si>
  <si>
    <t>Number of General Permit Covered Facilities - 
NeT Not Deployed</t>
  </si>
  <si>
    <t>Percentage of General Permits Using NeT - 
NeT Deployed</t>
  </si>
  <si>
    <t>Percentage of General Permits Using NeT - 
NeT Not Deployed</t>
  </si>
  <si>
    <t>Percentage of General Permit Covered Facilities Using NeT - 
NeT Deployed</t>
  </si>
  <si>
    <t>Last Updated:</t>
  </si>
  <si>
    <t>NeT Status</t>
  </si>
  <si>
    <t>Number of General Permits</t>
  </si>
  <si>
    <t>NeT Deployed</t>
  </si>
  <si>
    <t>NeT Not Deployed</t>
  </si>
  <si>
    <t>Info Gathering Status</t>
  </si>
  <si>
    <t>Info Gathering Complete</t>
  </si>
  <si>
    <t>Info Gathering Not Complete</t>
  </si>
  <si>
    <t>OIL &amp; GAS EXPLORATION FACILITIES IN FEDERAL WATERS OF COOK INLET</t>
  </si>
  <si>
    <t>https://www.epa.gov/npdes-permits/npdes-general-permit-oil-and-gas-exploration-facilities-federal-waters-cook-inlet</t>
  </si>
  <si>
    <t>OFFSHORE OIL AND GAS EXPLORATION, DEVELOPMENT, AND PRODUCTION OPERATIONS OFF SOUTHERN CALIFORNIA</t>
  </si>
  <si>
    <t>MAR041000</t>
  </si>
  <si>
    <t>https://www.epa.gov/npdes-permits/massachusetts-small-ms4-general-permit</t>
  </si>
  <si>
    <t>MAR042000</t>
  </si>
  <si>
    <t>MAR043000</t>
  </si>
  <si>
    <t>https://www.epa.gov/npdes-permits/new-hampshire-small-ms4-general-permit</t>
  </si>
  <si>
    <t>STORMWATER DISCHARGES FROM SMALL MS4 IN NEW MEXICO</t>
  </si>
  <si>
    <t>https://www.epa.gov/npdes-permits/npdes-stormwater-general-permit-small-ms4s-new-mexico</t>
  </si>
  <si>
    <t>STORMWATER DISCHARGES FROM SMALL MS4 IN PUERTO RICO</t>
  </si>
  <si>
    <t>https://www.epa.gov/npdes-permits/npdes-permits-phase-2-stormwater-program-puerto-rico</t>
  </si>
  <si>
    <t>https://deq.utah.gov/water-quality/updes-permitting-program</t>
  </si>
  <si>
    <t>https://www.epa.gov/npdes-permits/npdes-general-permit-offshore-seafood-processors-alaska</t>
  </si>
  <si>
    <t>https://mde.maryland.gov/programs/Permits/WaterManagementPermits/Pages/seafood.aspx</t>
  </si>
  <si>
    <t>NMR04A000</t>
  </si>
  <si>
    <t>MIDDLE RIO GRANDE WATERSHED BASED MS4 GENERAL PERMIT</t>
  </si>
  <si>
    <t>https://www.epa.gov/npdes-permits/npdes-stormwater-general-permit-ms4s-middle-rio-grande-watershed-new-mexico</t>
  </si>
  <si>
    <t>https://www.epa.gov/sites/production/files/2019-03/documents/r10-npdes-offshore-seafood-gp-wag520000-final-permit-2019.pdf</t>
  </si>
  <si>
    <r>
      <rPr>
        <b/>
        <sz val="11"/>
        <color theme="1"/>
        <rFont val="Calibri"/>
        <family val="2"/>
        <scheme val="minor"/>
      </rPr>
      <t>Note:</t>
    </r>
    <r>
      <rPr>
        <sz val="11"/>
        <color theme="1"/>
        <rFont val="Calibri"/>
        <family val="2"/>
        <scheme val="minor"/>
      </rPr>
      <t xml:space="preserve"> When there is no identified placeholder, the POC provides recommendations to the ICIS OM&amp;M Section Chief.</t>
    </r>
  </si>
  <si>
    <t>AKG282100</t>
  </si>
  <si>
    <t>OIL &amp; GAS EXPLORATION FACILITIES ON THE OCS AND CONTIGUOUS STATE WATERS IN BEAUFORT SEA</t>
  </si>
  <si>
    <t>https://www.epa.gov/npdes-permits/npdes-general-permit-oil-and-gas-exploration-facilities-outer-continental-shelf-and</t>
  </si>
  <si>
    <t>AKG288100</t>
  </si>
  <si>
    <t>OIL &amp; GAS EXPLORATION FACILITIES ON THE OCS IN THE CHUKCHI SEA</t>
  </si>
  <si>
    <t>https://www.epa.gov/npdes-permits/npdes-general-permit-oil-and-gas-exploration-facilities-outer-continental-shelf</t>
  </si>
  <si>
    <t>https://www2.illinois.gov/epa/topics/forms/water-permits/pesticide/Pages/coverage.aspx</t>
  </si>
  <si>
    <t>https://www2.illinois.gov/epa/topics/forms/water-permits/storm-water/Pages/ms4.aspx</t>
  </si>
  <si>
    <t>https://www.mdeq.ms.gov/permits/environmental-permits-division/types-of-general-permits/</t>
  </si>
  <si>
    <t>NER220000</t>
  </si>
  <si>
    <t>NER310000</t>
  </si>
  <si>
    <t>http://www.dem.ri.gov/programs/water/permits/ripdes/stormwater/ms4s-program.php</t>
  </si>
  <si>
    <t>CTGP02200</t>
  </si>
  <si>
    <t>DISCHARGE OF STORMWATER FROM DEPARTMENT OF TRANSPORTATION SEPARATE STORM SEWER SYSTEMS</t>
  </si>
  <si>
    <t>CODW00000</t>
  </si>
  <si>
    <t>https://www.epa.gov/npdes-permits/region-8-npdes-drinking-water-general-permit</t>
  </si>
  <si>
    <t>AQUACULTURE FACILITIES IN IDAHO EXCLUDING FACILITIES DISCHARGING INTO THE UPPER SNAKE-ROCK SUBBASIN</t>
  </si>
  <si>
    <t>https://www.epa.gov/npdes-permits/2019-npdes-general-permits-aquaculture-facilities-idaho</t>
  </si>
  <si>
    <t>REMEDIATION GENERAL PERMIT FOR MASSACHUSETTS</t>
  </si>
  <si>
    <t>https://www.epa.gov/npdes-permits/remediation-general-permit-rgp-massachusetts-new-hampshire</t>
  </si>
  <si>
    <t>MTDW00000</t>
  </si>
  <si>
    <t>NDDW00000</t>
  </si>
  <si>
    <t>http://deq.ne.gov/Publica.nsf/pages/WAT114</t>
  </si>
  <si>
    <t>http://deq.ne.gov/Publica.nsf/pages/WAT011</t>
  </si>
  <si>
    <t>REMEDIATION GENERAL PERMIT FOR NEW HAMPSHIRE</t>
  </si>
  <si>
    <t>SDDW00000</t>
  </si>
  <si>
    <t>UTDW00000</t>
  </si>
  <si>
    <t>WYDW00000</t>
  </si>
  <si>
    <t>Projected Information Gathering - 
Duration (Days)</t>
  </si>
  <si>
    <t>Projected Information Gathering - 
End Date</t>
  </si>
  <si>
    <t>Projected Information Gathering - 
Start Date</t>
  </si>
  <si>
    <t>Marinas</t>
  </si>
  <si>
    <t>https://mde.maryland.gov/programs/Permits/WaterManagementPermits/Pages/marinas.aspx</t>
  </si>
  <si>
    <t>Number of NeT Permits (EPA)</t>
  </si>
  <si>
    <t>Number of NeT Permits (State)</t>
  </si>
  <si>
    <t>Number of NeT Permits (Total)</t>
  </si>
  <si>
    <t>Estimated Number of General Permit Covered Facilities (Total)</t>
  </si>
  <si>
    <t>Estimated Number of General Permit Covered Facilities (EPA)</t>
  </si>
  <si>
    <t>Estimated Number of General Permit Covered Facilities (State)</t>
  </si>
  <si>
    <t>State</t>
  </si>
  <si>
    <t>Program Report Type</t>
  </si>
  <si>
    <t>NeT Program Report</t>
  </si>
  <si>
    <t>Connecticut</t>
  </si>
  <si>
    <t>CAFO Annual Report - Part 122</t>
  </si>
  <si>
    <t>MS4 Program Report - Part 122</t>
  </si>
  <si>
    <t>SIU and CIU Semi-Annual Report - Part 403</t>
  </si>
  <si>
    <t>Illinois</t>
  </si>
  <si>
    <t>Sewer Over and Bypass Event Report - Part 122</t>
  </si>
  <si>
    <t>KY</t>
  </si>
  <si>
    <t>Kentucky</t>
  </si>
  <si>
    <t>Maryland</t>
  </si>
  <si>
    <t>316(b) Annual Report - Part 122</t>
  </si>
  <si>
    <t>Pretreatment Program Report - Part 403</t>
  </si>
  <si>
    <t>Maine</t>
  </si>
  <si>
    <t>Mississippi</t>
  </si>
  <si>
    <t>Nebraska</t>
  </si>
  <si>
    <t>Rhode Island</t>
  </si>
  <si>
    <t>South Dakota</t>
  </si>
  <si>
    <t>Biosolids Annual Report - Part 503</t>
  </si>
  <si>
    <t>Texas</t>
  </si>
  <si>
    <t>Utah</t>
  </si>
  <si>
    <t>Virgin Islands</t>
  </si>
  <si>
    <t>Applicable Program Reports 
[40 CFR 127.2(f)]</t>
  </si>
  <si>
    <t>NPDES eRule Implementation Phase</t>
  </si>
  <si>
    <t xml:space="preserve">NPDES Data Group No. </t>
  </si>
  <si>
    <t>Phase 1 (EPA only) &amp; Phase 2 (3 states w/ auth. &amp; NeT)</t>
  </si>
  <si>
    <t>Phase 2</t>
  </si>
  <si>
    <t>Number of NeT Program Reports (Total)</t>
  </si>
  <si>
    <t>Number of NeT Program Reports (EPA)</t>
  </si>
  <si>
    <t>Number of NeT Program Reports (State)</t>
  </si>
  <si>
    <t>Alaska</t>
  </si>
  <si>
    <t>Alabama</t>
  </si>
  <si>
    <t>AR</t>
  </si>
  <si>
    <t>Arkansas</t>
  </si>
  <si>
    <t>American Samoa</t>
  </si>
  <si>
    <t>California</t>
  </si>
  <si>
    <t>Colorado</t>
  </si>
  <si>
    <t>District of Columbia</t>
  </si>
  <si>
    <t>Delaware</t>
  </si>
  <si>
    <t>Florida</t>
  </si>
  <si>
    <t>GA</t>
  </si>
  <si>
    <t>Georgia</t>
  </si>
  <si>
    <t>Guam</t>
  </si>
  <si>
    <t>HI</t>
  </si>
  <si>
    <t>Hawaii</t>
  </si>
  <si>
    <t>Iowa</t>
  </si>
  <si>
    <t>Idaho</t>
  </si>
  <si>
    <t>IN</t>
  </si>
  <si>
    <t>Indiana</t>
  </si>
  <si>
    <t>Kansas</t>
  </si>
  <si>
    <t>Louisiana</t>
  </si>
  <si>
    <t>Massachuesetts</t>
  </si>
  <si>
    <t>Minnesota</t>
  </si>
  <si>
    <t>MO</t>
  </si>
  <si>
    <t>Missouri</t>
  </si>
  <si>
    <t>Northern Mariana Islands</t>
  </si>
  <si>
    <t>Montana</t>
  </si>
  <si>
    <t>Wake Island</t>
  </si>
  <si>
    <t>North Carolina</t>
  </si>
  <si>
    <t>North Dakota</t>
  </si>
  <si>
    <t>New Hampshire</t>
  </si>
  <si>
    <t>NJ</t>
  </si>
  <si>
    <t>New Jersey</t>
  </si>
  <si>
    <t>New Mexico</t>
  </si>
  <si>
    <t>NN</t>
  </si>
  <si>
    <t>Navajo Nation</t>
  </si>
  <si>
    <t>Nevada</t>
  </si>
  <si>
    <t>New York</t>
  </si>
  <si>
    <t>Oregon</t>
  </si>
  <si>
    <t>PA</t>
  </si>
  <si>
    <t>Pennsylvania</t>
  </si>
  <si>
    <t>Puerto Rico</t>
  </si>
  <si>
    <t>SC</t>
  </si>
  <si>
    <t>South Carolina</t>
  </si>
  <si>
    <t>SR</t>
  </si>
  <si>
    <t>Saint Regis Tribe</t>
  </si>
  <si>
    <t>TN</t>
  </si>
  <si>
    <t>Tennessee</t>
  </si>
  <si>
    <t>Virginia</t>
  </si>
  <si>
    <t>Vermont</t>
  </si>
  <si>
    <t>Washington</t>
  </si>
  <si>
    <t>WV</t>
  </si>
  <si>
    <t>West Virginia</t>
  </si>
  <si>
    <t>Wyoming</t>
  </si>
  <si>
    <t>Number of Program Reports Using NeT - 
Info Gathering Complete</t>
  </si>
  <si>
    <t>Number of Program Reports Using NeT - 
Info Gathering Not Complete</t>
  </si>
  <si>
    <t>Number of NeT Program Reports Filers - 
Info Gathering Complete</t>
  </si>
  <si>
    <t>Number of NeT Program Reports Filers - 
Info Gathering Not Complete</t>
  </si>
  <si>
    <t>Number of Program Reports Using NeT - 
NeT Deployment Complete</t>
  </si>
  <si>
    <t>Number of NeT Program Reports Filers - 
NeT Deployment Complete</t>
  </si>
  <si>
    <t>Number of Program Reports</t>
  </si>
  <si>
    <t>Number of Program Report Filers</t>
  </si>
  <si>
    <t>NeT Deployment Complete</t>
  </si>
  <si>
    <t>Number of Program Reports Using NeT</t>
  </si>
  <si>
    <t>Number of Program Report Filers Using NeT</t>
  </si>
  <si>
    <t>Estimated Number of General Permit Covered Facilities (State) - NeT Application Deployed</t>
  </si>
  <si>
    <t>Estimated Number of General Permit Covered Facilities (EPA) - NeT Application Deployed</t>
  </si>
  <si>
    <t>Number of States with State-Issued General Permits - NeT Application Deployed</t>
  </si>
  <si>
    <t>Most facilities submit an NOI when the general permit is re-issued</t>
  </si>
  <si>
    <t>NOIs are generally submiitted throughout the permit term</t>
  </si>
  <si>
    <t>NeT development is currrently on-going for this sector</t>
  </si>
  <si>
    <t>Most permittees submit an NOI when the general permit is re-issued</t>
  </si>
  <si>
    <t>This is a mix of categories. Some facilities submit an NOI when the general permit is re-issued and some facilities submit during the entire permit term.</t>
  </si>
  <si>
    <t>Illinois, Mississippi, Nebraska, South Dakota, and Utah</t>
  </si>
  <si>
    <t>None</t>
  </si>
  <si>
    <t>States with State-Issued General Permits  - NeT Application Deployed</t>
  </si>
  <si>
    <t>Number of NeT Program Reports (EPA) - NeT Application Deployed</t>
  </si>
  <si>
    <t>Number of NeT Program Reports (State) - NeT Application Deployed</t>
  </si>
  <si>
    <t>Number of States with State-Issued Program Reports</t>
  </si>
  <si>
    <t>States with State-Issued Program Reports</t>
  </si>
  <si>
    <t>Number of States with State-Issued Program Reports - NeT Application Deployed</t>
  </si>
  <si>
    <t>States with State-Issued Program Reports - NeT Application Deployed</t>
  </si>
  <si>
    <t>Timing of Program Report Submissions</t>
  </si>
  <si>
    <t>Annual</t>
  </si>
  <si>
    <t>Semi-Annual</t>
  </si>
  <si>
    <t>Event Based</t>
  </si>
  <si>
    <t>General Permits</t>
  </si>
  <si>
    <t>Program Reports</t>
  </si>
  <si>
    <t>NeT Application Type</t>
  </si>
  <si>
    <t>Summary of EPA's NPDES eRule Phase 2 NeT Development for General Permits and Program Reports</t>
  </si>
  <si>
    <t>RULE 5. STORMWATER RUN-OFF ASSOCIATED WITH CONSTRUCTION ACTIVITY</t>
  </si>
  <si>
    <t>N/A</t>
  </si>
  <si>
    <t>State has elected to not use EPA's NeT</t>
  </si>
  <si>
    <t>RULE 6. STORMWATER DISCHARGES EXPOSED TO INDUSTRIAL ACTIVITY</t>
  </si>
  <si>
    <t>RULE 13. STORMWATER RUN-OFF ASSOCIATED WITH MS4 CONVEYANCES</t>
  </si>
  <si>
    <t>AKG002000</t>
  </si>
  <si>
    <t>GENERAL PERMIT FOR EXCAVATION DEWATERING</t>
  </si>
  <si>
    <t>AKG003000</t>
  </si>
  <si>
    <t>GENERAL PERMIT FOR HYDROSTATIC &amp; AQUIFER PUMP TESTING DISCHARGES</t>
  </si>
  <si>
    <t>AKG130000</t>
  </si>
  <si>
    <t>AQUACULTURE FACILITIES OF ALASKA</t>
  </si>
  <si>
    <t>AKG250000</t>
  </si>
  <si>
    <t>NON-CONTACT COOLING WATER GP</t>
  </si>
  <si>
    <t>AKG320000</t>
  </si>
  <si>
    <t>STATEWIDE OIL AND GAS PIPELINES</t>
  </si>
  <si>
    <t>AKG332000</t>
  </si>
  <si>
    <t>NORTH SLOPE GENERAL PERMIT</t>
  </si>
  <si>
    <t>AKG370000</t>
  </si>
  <si>
    <t>MECHANICAL PLACER MINING IN ALASKA</t>
  </si>
  <si>
    <t>AKG371000</t>
  </si>
  <si>
    <t>ALASKAN MEDIUM-SIZED SUCTION DREDGE PLACER MINES</t>
  </si>
  <si>
    <t>AKG374000</t>
  </si>
  <si>
    <t>NORTON SOUND LARGE DREDGE PLACER MINERS GENERAL PERMIT</t>
  </si>
  <si>
    <t>AKG375000</t>
  </si>
  <si>
    <t>ALASKAN SMALL SUCTION DREDGE PLACER MINERS</t>
  </si>
  <si>
    <t>AKG380000</t>
  </si>
  <si>
    <t>WASTEWATER DISCHARGES FROM DRINKING WATER TREATMENT FACILITIES</t>
  </si>
  <si>
    <t>AKG523000</t>
  </si>
  <si>
    <t>AKG528000</t>
  </si>
  <si>
    <t>AKG572000</t>
  </si>
  <si>
    <t>AKG573000</t>
  </si>
  <si>
    <t>SMALL DOMESTIC LAGOON TO SURFACE WATER GP</t>
  </si>
  <si>
    <t>AKG700000</t>
  </si>
  <si>
    <t>LOGGING AND LUMBER</t>
  </si>
  <si>
    <t>AKG701000</t>
  </si>
  <si>
    <t>AKR060000</t>
  </si>
  <si>
    <t>MSGP-INDUSTRIAL STORM WATER ACTIVITY</t>
  </si>
  <si>
    <t>AKR100000</t>
  </si>
  <si>
    <t>GENERAL PERMIT FOR DISCHARGES FROM LARGE AND SMALL CONSTRUCTION ACTIVITIES</t>
  </si>
  <si>
    <t>ALG020000</t>
  </si>
  <si>
    <t>CONCRETE, GYPSUM AND PLASTER PRODUCTS ; NON-CONTACT COOLING WATER ; VEHICLE WASH AND SERVICE</t>
  </si>
  <si>
    <t>ALG030000</t>
  </si>
  <si>
    <t>HYDROSTATIC TESTING ; VEHICLE WASH AND SERVICE ; DOMESTIC WASTEWATER TREATMENT FACILITIES ; VESSELS, MARINAS, AND BOATYARDS ; NON-CONTACT COOLING WATER</t>
  </si>
  <si>
    <t>ALG060000</t>
  </si>
  <si>
    <t>ALG110000</t>
  </si>
  <si>
    <t>ALG120000</t>
  </si>
  <si>
    <t>NON-CONTACT COOLING WATER ; VEHICLE WASH AND SERVICE ; HYDROSTATIC TESTING ; OTHER</t>
  </si>
  <si>
    <t>ALG140000</t>
  </si>
  <si>
    <t>VEHICLE WASH AND SERVICE ; NON-CONTACT COOLING WATER</t>
  </si>
  <si>
    <t>ALG150000</t>
  </si>
  <si>
    <t>OTHER ; VEHICLE WASH AND SERVICE ; NON-CONTACT COOLING WATER</t>
  </si>
  <si>
    <t>ALG160000</t>
  </si>
  <si>
    <t>LANDFILLS</t>
  </si>
  <si>
    <t>LANDFILLS, LAND APPLICATION SITES, AND OPEN DUMPS ; STORMWATER - INDUSTRIAL</t>
  </si>
  <si>
    <t>ALG170000</t>
  </si>
  <si>
    <t>OTHER ; NON-CONTACT COOLING WATER ; STORMWATER - INDUSTRIAL</t>
  </si>
  <si>
    <t>ALG180000</t>
  </si>
  <si>
    <t>OTHER ; NON-CONTACT COOLING WATER</t>
  </si>
  <si>
    <t>ALG200000</t>
  </si>
  <si>
    <t>NON-CONTACT COOLING WATER ; STORMWATER - INDUSTRIAL ; OTHER</t>
  </si>
  <si>
    <t>ALG230000</t>
  </si>
  <si>
    <t>STORMWATER - INDUSTRIAL ; NON-CONTACT COOLING WATER ; OTHER</t>
  </si>
  <si>
    <t>ALG240000</t>
  </si>
  <si>
    <t>ALG250000</t>
  </si>
  <si>
    <t>ALG280000</t>
  </si>
  <si>
    <t>ALG340000</t>
  </si>
  <si>
    <t>HYDROSTATIC TESTING ; VEHICLE WASH AND SERVICE ; CONTAMINATED GROUNDWATER TREATMENT - PETROLEUM</t>
  </si>
  <si>
    <t>ALG360000</t>
  </si>
  <si>
    <t>OTHER ; ELECTRIC GENERATING FACILITIES</t>
  </si>
  <si>
    <t>ALG640000</t>
  </si>
  <si>
    <t>WATER TREATMENT PLANT</t>
  </si>
  <si>
    <t>ALG670000</t>
  </si>
  <si>
    <t>HYDROSTATIC TEST WATER</t>
  </si>
  <si>
    <t>ALG850000</t>
  </si>
  <si>
    <t>ALG870000</t>
  </si>
  <si>
    <t>ALG890000</t>
  </si>
  <si>
    <t>MINING AND QUARRIES ; STORMWATER - INDUSTRIAL</t>
  </si>
  <si>
    <t>ALR040000</t>
  </si>
  <si>
    <t>ALR100000</t>
  </si>
  <si>
    <t>ARG160000</t>
  </si>
  <si>
    <t>LANDFILLS, LAND APPLICATION SITES, AND OPEN DUMPS</t>
  </si>
  <si>
    <t>ARG250000</t>
  </si>
  <si>
    <t>ARG500000</t>
  </si>
  <si>
    <t>ARG550000</t>
  </si>
  <si>
    <t>ARG640000</t>
  </si>
  <si>
    <t>ARG670000</t>
  </si>
  <si>
    <t>ARG750000</t>
  </si>
  <si>
    <t>VEHICLE WASH AND SERVICE</t>
  </si>
  <si>
    <t>ARG790000</t>
  </si>
  <si>
    <t>ARG870000</t>
  </si>
  <si>
    <t>PESTICIDES APPLICATION</t>
  </si>
  <si>
    <t>ARR000000</t>
  </si>
  <si>
    <t>ARR040000</t>
  </si>
  <si>
    <t>ARR150000</t>
  </si>
  <si>
    <t>DE MIMIMUS DISCHARGES</t>
  </si>
  <si>
    <t>http://legacy.azdeq.gov/environ/water/permits/download/final_dmgp_2016.pdf</t>
  </si>
  <si>
    <t>MINIMUM ENVIRONMENTAL IMPACT ; HYDROSTATIC TESTING ; CONSTRUCTION DEWATERING</t>
  </si>
  <si>
    <t>GENERAL PERMIT FOR POINT SOURCE DISCHARGES FROM THE APPLICATION OF PESTICIDES TO WATERS OF THE UNITED STATES</t>
  </si>
  <si>
    <t>http://legacy.azdeq.gov/environ/water/permits/download/pgpermit_103111.pdf</t>
  </si>
  <si>
    <t>AZPDES GENERAL PERMIT FOR STORMWATER DISCHARGES ASSOCIATED WITH INDUSTRIAL ACTIVITY - MINERAL INDUSTRY TO WATERS OF THE US</t>
  </si>
  <si>
    <t>http://www.azdeq.gov/environ/water/permits/download/2010/122010g.pdf</t>
  </si>
  <si>
    <t>AZR000004</t>
  </si>
  <si>
    <t>SMALL MS4 GENERAL PERMIT</t>
  </si>
  <si>
    <t>http://www.azdeq.gov/environ/water/permits/download/ms4small.pdf</t>
  </si>
  <si>
    <t>AZR050000</t>
  </si>
  <si>
    <t>AZPDES GENERAL PERMIT FOR STORMWATER DISCHARGES ASSOCIATED WITH INDUSTIRAL ACTIVITY FROM NON-MINING FACILITIES TO WATERS OF THE US</t>
  </si>
  <si>
    <t>http://www.azdeq.gov/environ/water/permits/download/2010/122010f.pdf</t>
  </si>
  <si>
    <t>AZR100000</t>
  </si>
  <si>
    <t>AZPDES GENERAL PERMIT FOR DISCHARGES FROM CONSTRUCTION ACTIVITIES TO WATERS OF THE US</t>
  </si>
  <si>
    <t>http://legacy.azdeq.gov/environ/water/permits/download/2013_cgp.pdf</t>
  </si>
  <si>
    <t>CA0038849</t>
  </si>
  <si>
    <t>SAN FRANCISCO BAY MERCURY PERMIT</t>
  </si>
  <si>
    <t>WATERSHED PERMITS</t>
  </si>
  <si>
    <t>CA0038873</t>
  </si>
  <si>
    <t>SAN FRANCISCO BAY NUTRIENTS PERMIT</t>
  </si>
  <si>
    <t>CAG017001</t>
  </si>
  <si>
    <t>http://www.waterboards.ca.gov/coloradoriver/board_decisions/adopted_orders/orders/2009/0400npdes.pdf</t>
  </si>
  <si>
    <t>CAG018001</t>
  </si>
  <si>
    <t>GENERAL WASTE DISCHARGE REQUIREMENTS FOR CAFO (DAIRY RELATED) WITHIN SANTA ANA REGION</t>
  </si>
  <si>
    <t>http://www.swrcb.ca.gov/rwqcb8/board_decisions/adopted_orders/orders/2007/07_001_gen_wdr_cafo_09072007.pdf</t>
  </si>
  <si>
    <t>CAG032012</t>
  </si>
  <si>
    <t>GENERAL PERMIT FOR DRYDOCKS</t>
  </si>
  <si>
    <t>http://www.waterboards.ca.gov/rwqcb2/board_info/agendas/2012/June/5A_TO.PDF</t>
  </si>
  <si>
    <t>CAG135001</t>
  </si>
  <si>
    <t>COLD WATER CONCENTRATED AQUATIC ANIMAL PRODUCTION FACILITIES</t>
  </si>
  <si>
    <t>http://www.waterboards.ca.gov/centralvalley/board_decisions/adopted_orders/general_orders/r5-2014-0161.pdf</t>
  </si>
  <si>
    <t>CAG140001</t>
  </si>
  <si>
    <t>DRINKING WATER SYSTEM DISCHARGES</t>
  </si>
  <si>
    <t>http://www.waterboards.ca.gov/board_decisions/adopted_orders/water_quality/2014/wqo2014_0194_dwq.pdf</t>
  </si>
  <si>
    <t>CAG382001</t>
  </si>
  <si>
    <t>GENERAL NPDES PERMIT FOR SUFACE WATER TREATMENT PLANTS FOR POTABLE SUPPLY</t>
  </si>
  <si>
    <t>http://www.waterboards.ca.gov/sanfranciscobay/board_decisions/adopted_orders/2009/R2-2009-0033.pdf</t>
  </si>
  <si>
    <t>CAG616002</t>
  </si>
  <si>
    <t>CONSTRUCTION GENERAL PERMIT (LAKE TAHOE PROJECTS)</t>
  </si>
  <si>
    <t>http://www.waterboards.ca.gov/lahontan/water_issues/programs/storm_water/docs/tahoe_cgp.pdf</t>
  </si>
  <si>
    <t>CAG616003</t>
  </si>
  <si>
    <t>STORM WATER RUNOFF ASSOCIATED WITH MARINA OPERATIONS IN THE LAKE TAHOE HYDROLOGIC UNIT</t>
  </si>
  <si>
    <t>STORMWATER - INDUSTRIAL ; STORMWATER - CONSTRUCTION ; DREDGING</t>
  </si>
  <si>
    <t>CAG618001</t>
  </si>
  <si>
    <t>SECTOR-SPECIFIC GENERAL PERMIT FOR STORM WATER RUNOFF ASSOCIATED WITH INDUSTRIAL ACTIVITIES FROM SCRAP METAL RECYCLING FACILITIES</t>
  </si>
  <si>
    <t>http://www.waterboards.ca.gov/santaana/board_decisions/adopted_orders/orders/2012/12_012_Scrap_Metal_Recycling_Facilities.pdf</t>
  </si>
  <si>
    <t>CAG648001</t>
  </si>
  <si>
    <t>GENERAL WELLHEAD TREATMENT WASTE DISCHARGE PERMIT</t>
  </si>
  <si>
    <t>http://www.waterboards.ca.gov/rwqcb8/board_decisions/adopted_orders/orders/2008/08_059_general_permit_for_wellhead_treatment_system_various_06062008.pdf</t>
  </si>
  <si>
    <t>CONTAMINATED GROUNDWATER TREATMENT - PETROLEUM ; CONTAMINATED GROUNDWATER TREATMENT - NON-PETROLEUM ; WATER TREATMENT FACILITY (POTABLE AND NON-POTABLE)</t>
  </si>
  <si>
    <t>CAG670001</t>
  </si>
  <si>
    <t>DISCHARGES FROM NATURAL GAS UTILITY CONSTRUCTION, OPERATIONS AND MAINTENANCE ACTIVITIES</t>
  </si>
  <si>
    <t>CAG674001</t>
  </si>
  <si>
    <t>DISCHARGES OF LOW THREAT HYDROSTATIC TEST WATER TO SURFACE WATERS</t>
  </si>
  <si>
    <t>http://www.waterboards.ca.gov/losangeles/board_decisions/tentative_orders/general/npdes/cag674001/Revised_HT_Order.pdf</t>
  </si>
  <si>
    <t>HYDROSTATIC TESTING ; MINIMUM ENVIRONMENTAL IMPACT</t>
  </si>
  <si>
    <t>CAG719001</t>
  </si>
  <si>
    <t>DISCHARGES FROM BOATYARDS AND BOAT MAINENANCE AND REPAIR FACILITIES</t>
  </si>
  <si>
    <t>CAG834001</t>
  </si>
  <si>
    <t>TRTD GNRDWTR PETROL FUEL POLLU</t>
  </si>
  <si>
    <t>http://www.waterboards.ca.gov/losangeles/board_decisions/adopted_orders/permits/general/npdes/r4-2013-0042/Order%20R4-2013-0042.pdf</t>
  </si>
  <si>
    <t>CAG911001</t>
  </si>
  <si>
    <t>DISCHARGES OF HIGHLY TREATED GROUNDWATER TO SURFACE WATER</t>
  </si>
  <si>
    <t>http://www.swrcb.ca.gov/northcoast/board_info/board_meetings/05_2011/items/02/11_0028_NPDES_General_PumpandTreat.pdf</t>
  </si>
  <si>
    <t>CAG912002</t>
  </si>
  <si>
    <t>GROUNDWATER CLEANUP, FUEL LEAKS</t>
  </si>
  <si>
    <t>http://www.waterboards.ca.gov/sanfranciscobay/board_decisions/adopted_orders/2012/R2-2012-0012.pdf</t>
  </si>
  <si>
    <t>CAG912004</t>
  </si>
  <si>
    <t>EXTRACTED BRKSH GW &amp; RO CON</t>
  </si>
  <si>
    <t>http://www.waterboards.ca.gov/sanfranciscobay/board_decisions/adopted_orders/2012/R2-2012-0060.pdf</t>
  </si>
  <si>
    <t>CONTAMINATED GROUNDWATER TREATMENT - NON-PETROLEUM ; CONSTRUCTION DEWATERING</t>
  </si>
  <si>
    <t>CAG914001</t>
  </si>
  <si>
    <t>DISCHARGES OF VOLATILE ORGANIC COMPOUND CONTAMINATED GROUNDWATER TO SURFACE WATERS</t>
  </si>
  <si>
    <t>http://www.swrcb.ca.gov/rwqcb4/board_decisions/adopted_orders/general_orders/r4-2002-0107/r4-2002-0107.pdf</t>
  </si>
  <si>
    <t>CAG916001</t>
  </si>
  <si>
    <t>WASTE DISCHARGE REQUIREMENTS FOR SURFACE WATER DISPOSAL OF TREATED GROUNDWATER</t>
  </si>
  <si>
    <t>http://www.waterboards.ca.gov/lahontan/board_decisions/adopted_orders/2010/docs/r6t_2010_0024wdr.pdf</t>
  </si>
  <si>
    <t>CAG918001</t>
  </si>
  <si>
    <t>GENERAL GROUNDWATER CLEANUP PERMIT FOR DISCHAGRES TO SURFACE WATERS</t>
  </si>
  <si>
    <t>http://www.swrcb.ca.gov/rwqcb8/board_decisions/adopted_orders/orders/2002/02_007_gen_gw_cleanup_permit_01232002.pdf</t>
  </si>
  <si>
    <t>CAG918002</t>
  </si>
  <si>
    <t>TREATED GROUNDWATER PETROLEUM HC</t>
  </si>
  <si>
    <t>http://www.swrcb.ca.gov/rwqcb8/board_decisions/adopted_orders/orders/2007/07_041_gen_wdr_sandiego_crk_11302007.pdf</t>
  </si>
  <si>
    <t>CAG919003</t>
  </si>
  <si>
    <t>GROUNDWATER EXTRACTION DISCHARGES IN THE SAN DIEGO REGION</t>
  </si>
  <si>
    <t>CONSTRUCTION DEWATERING ; CONTAMINATED GROUNDWATER TREATMENT - NON-PETROLEUM ; CONTAMINATED GROUNDWATER TREATMENT - PETROLEUM</t>
  </si>
  <si>
    <t>CAG982001</t>
  </si>
  <si>
    <t>AGGREGATE MINING AND SAND WASHING</t>
  </si>
  <si>
    <t>http://www.waterboards.ca.gov/sanfranciscobay/board_decisions/adopted_orders/2008/R2-2008-0011.pdf</t>
  </si>
  <si>
    <t>CAG990002</t>
  </si>
  <si>
    <t>UTILITY VAULTS (STATEWIDE)</t>
  </si>
  <si>
    <t>http://www.waterboards.ca.gov/board_decisions/adopted_orders/water_quality/2014/wqo2014_0174_dwq.pdf</t>
  </si>
  <si>
    <t>CAG990004</t>
  </si>
  <si>
    <t>AQUATIC PESTICIDE VECTOR CONTROL</t>
  </si>
  <si>
    <t>http://www.swrcb.ca.gov/board_decisions/adopted_orders/water_quality/2011/wqo2011_0002.pdf</t>
  </si>
  <si>
    <t>CAG990005</t>
  </si>
  <si>
    <t>AQUATIC PESTICIDE WEED CONTROL</t>
  </si>
  <si>
    <t>http://www.swrcb.ca.gov/water_issues/programs/npdes/docs/aquatic/permit.pdf</t>
  </si>
  <si>
    <t>CAG990007</t>
  </si>
  <si>
    <t>PERMIT FOR BIOLOGICAL AND RESIDUAL PESTICIDE DISCHARGES TO WATERS OF THE UNITED STATES FROM SPRAY APPLICATIONS</t>
  </si>
  <si>
    <t>http://www.swrcb.ca.gov/board_decisions/adopted_orders/water_quality/2011/wqo2011_0004.pdf</t>
  </si>
  <si>
    <t>CAG993001</t>
  </si>
  <si>
    <t>http://www.waterboards.ca.gov/centralcoast/board_decisions/adopted_orders/2011/2011_0223_order.pdf</t>
  </si>
  <si>
    <t>CAG993002</t>
  </si>
  <si>
    <t>HIGHLY TREATED GW</t>
  </si>
  <si>
    <t>http://www.swrcb.ca.gov/centralcoast/board_decisions/adopted_orders/2011/2011_0222_Permit.pdf</t>
  </si>
  <si>
    <t>CONTAMINATED GROUNDWATER TREATMENT - PETROLEUM ; CONTAMINATED GROUNDWATER TREATMENT - NON-PETROLEUM ; OTHER</t>
  </si>
  <si>
    <t>CAG993003</t>
  </si>
  <si>
    <t>http://www.waterboards.ca.gov/rwqcb3/board_decisions/adopted_orders/2013/2013_0041_final_aquaculture_gp.pdf</t>
  </si>
  <si>
    <t>AQUACULTURE ; OTHER</t>
  </si>
  <si>
    <t>CAG994003</t>
  </si>
  <si>
    <t>DISCHARGES OF NONPROCESS WASTEWATERS TO SURFACE WATERS</t>
  </si>
  <si>
    <t>http://www.swrcb.ca.gov/losangeles/board_decisions/tentative_orders/general/npdes/cag994003/NonprocesswaterPermitDraft(JF)-Final-Mod4-23-14.pdf</t>
  </si>
  <si>
    <t>NON-CONTACT COOLING WATER ; POOLS, SPAS, AND CHLORINATED DISCHARGES ; OTHER</t>
  </si>
  <si>
    <t>CAG994004</t>
  </si>
  <si>
    <t>DISCHARGES OF GROUNDWATER FROM CONSTRUCTION AND PROJECT DEWATERING TO SURFACE WATERS</t>
  </si>
  <si>
    <t>http://www.swrcb.ca.gov/rwqcb4/board_decisions/adopted_orders/general_orders/r4-2008-0032/ORDER_CAG994004_RB4-2008-0032.pdf</t>
  </si>
  <si>
    <t>CAG995002</t>
  </si>
  <si>
    <t>LIMITED THREAT FM CLEANUP SITES</t>
  </si>
  <si>
    <t>CAG997001</t>
  </si>
  <si>
    <t>http://www.waterboards.ca.gov/coloradoriver/board_decisions/adopted_orders/orders/2009/0300low_threat.pdf</t>
  </si>
  <si>
    <t>CAG998001</t>
  </si>
  <si>
    <t>http://www.swrcb.ca.gov/rwqcb8/board_decisions/adopted_orders/orders/2009/09_003_deminimus_permit_wdr.pdf</t>
  </si>
  <si>
    <t>MINIMUM ENVIRONMENTAL IMPACT ; CONSTRUCTION DEWATERING ; HYDROSTATIC TESTING ; NON-CONTACT COOLING WATER</t>
  </si>
  <si>
    <t>CAG999002</t>
  </si>
  <si>
    <t>GENERAL NPDES PERMIT FOR PUBLIC DISPLAY OF FIREWORKS IN SAN DIEGO REGION</t>
  </si>
  <si>
    <t>http://www.waterboards.ca.gov/sandiego/water_issues/programs/npdes/fireworks/docs/updates051911/R9-2011-0022.pdf</t>
  </si>
  <si>
    <t>CAG999003</t>
  </si>
  <si>
    <t>LANTHANUM-MODIFIED CLAY</t>
  </si>
  <si>
    <t>CAS000001</t>
  </si>
  <si>
    <t>NATIONAL POLLUTION DISCHARGE ELIMINATION SYSTEM (NPDES) GENERAL PERMIT FOR STORM WATER DISCHARGES ASSOCIATED WITH INDUSTRIAL ACTIVITIES EXCLUDING CONSTRUCTION ACTIVITIES</t>
  </si>
  <si>
    <t>CAS000002</t>
  </si>
  <si>
    <t>NATIONAL POLLUTION DISCHARGE ELIMINATION SYSTEM (NPDES) GENERAL PERMIT FOR STORM WATER DISCHARGES ASSOCIATED WITH CONSTRUCTION AND LAND DISTURBANCE ACTIVITIES</t>
  </si>
  <si>
    <t>CAS000004</t>
  </si>
  <si>
    <t>CA SMALL MS4/SEPRAT STRM SEWER</t>
  </si>
  <si>
    <t>COA933000</t>
  </si>
  <si>
    <t>COLORADO GENERAL CAFO PERMIT</t>
  </si>
  <si>
    <t>COG070000</t>
  </si>
  <si>
    <t>COG130000</t>
  </si>
  <si>
    <t>AQUATIC ANIMAL (FISH HATCHERIES)</t>
  </si>
  <si>
    <t>COG315000</t>
  </si>
  <si>
    <t>REMEDIATION DISCHARGES TO SURFACE WATER</t>
  </si>
  <si>
    <t>COG500000</t>
  </si>
  <si>
    <t>SAND AND GRAVEL MINING</t>
  </si>
  <si>
    <t>COG587000</t>
  </si>
  <si>
    <t>COG588000</t>
  </si>
  <si>
    <t>DOMESTIC WWTF THAT DISCHARGE TO RECEIVING WATERS WITH A CHRONIC LOW FLOW: DESIGN FLOW RATIO OF 100:1 OR GREATER AND NOT DISCHARGING TO WATERS THAT ARE DESIGNATED AS THREATENED AND ENDANGERED HABITAT</t>
  </si>
  <si>
    <t>COG589000</t>
  </si>
  <si>
    <t>DOMESTIC DISCHARGES TO UNCLASSIFIED, USE PROTECTED, OR T AND E WATERS</t>
  </si>
  <si>
    <t>COG600000</t>
  </si>
  <si>
    <t>MINIMAL DISCHARGE</t>
  </si>
  <si>
    <t>COG603000</t>
  </si>
  <si>
    <t>COG604000</t>
  </si>
  <si>
    <t>COG605000</t>
  </si>
  <si>
    <t>NONCONTACT COOLING WATER</t>
  </si>
  <si>
    <t>COG607000</t>
  </si>
  <si>
    <t>OUTDOOR WASHING OF STRUCTURES</t>
  </si>
  <si>
    <t>COG641000</t>
  </si>
  <si>
    <t>WATER TRT PLANT</t>
  </si>
  <si>
    <t>COG840000</t>
  </si>
  <si>
    <t>PRODUCED WATER TREATMENT FACILITIES</t>
  </si>
  <si>
    <t>COG850000</t>
  </si>
  <si>
    <t>COG860000</t>
  </si>
  <si>
    <t>DISCHARGES FROM APPLICATIONS OF PESTICIDES</t>
  </si>
  <si>
    <t>COG932000</t>
  </si>
  <si>
    <t>https://www.colorado.gov/pacific/sites/default/files/Form_DEHS_Rationale-CAFO-Gen-Permit-COA-932000.pdf</t>
  </si>
  <si>
    <t>STORMWATER DISCHARGES ASSOCIATED WITH CONSTRUCTION ACTIVITY</t>
  </si>
  <si>
    <t>COR040000</t>
  </si>
  <si>
    <t>METAL MINING STORMWATER</t>
  </si>
  <si>
    <t>COR070000</t>
  </si>
  <si>
    <t>STORMWATER DISCHARGES ASSOCIATED WITH NON-STANDARD MUNICIPAL SEPARATE STORM SEWER SYSTEMS</t>
  </si>
  <si>
    <t>COR080000</t>
  </si>
  <si>
    <t>CHERRY CREEK RESERVOIR DRAINAGE BASIN STORMWATER DISCHARGES ASSOCIATED WITH MUNICIPAL SEPARATE STORM SEWER SYSTEMS</t>
  </si>
  <si>
    <t>COR090000</t>
  </si>
  <si>
    <t>STORMWATER DISCHARGES ASSOCIATED WITH MUNICIPAL SEPARATE STORM SEWER SYSTEMS</t>
  </si>
  <si>
    <t>COR900000</t>
  </si>
  <si>
    <t>STORMWATER DISCHARGES ASSOCIATED WITH NON-EXTRACTIVE INDUSTIRAL ACTIVITY</t>
  </si>
  <si>
    <t>LARGE, MEDIUM &amp; DESIGNATED POULTRY CAFOS - MANURE GENERATION FACILITIES ONLY</t>
  </si>
  <si>
    <t>CONSTRUCTION STORMWATER</t>
  </si>
  <si>
    <t>INDUSTRIAL STORMWATER</t>
  </si>
  <si>
    <t>DEG210000</t>
  </si>
  <si>
    <t>MUNICIPAL SEPARATE STORM SEWER SYSTEM</t>
  </si>
  <si>
    <t>FLG070000</t>
  </si>
  <si>
    <t>https://www.flrules.org/gateway/reference.asp?No=Ref-04262</t>
  </si>
  <si>
    <t>OTHER ; CONSTRUCTION DEWATERING</t>
  </si>
  <si>
    <t>FLG110000</t>
  </si>
  <si>
    <t>GENERIC PERMIT FOR DISCHARGES FROM CONCRETE BATCH PLANTS</t>
  </si>
  <si>
    <t>FLG510000</t>
  </si>
  <si>
    <t>BULK FUEL STORAGE</t>
  </si>
  <si>
    <t>FLG910000</t>
  </si>
  <si>
    <t>GENERIC PERMIT FOR DISCHARGES FROM PETROLEUM CONTAMINATED SITES</t>
  </si>
  <si>
    <t>FLR040000</t>
  </si>
  <si>
    <t>STORMWATER DISCHARGE FROM PHASE II MS4S</t>
  </si>
  <si>
    <t>GAG100000</t>
  </si>
  <si>
    <t>GAG200000</t>
  </si>
  <si>
    <t>GAG300000</t>
  </si>
  <si>
    <t>MINING AND PROCESSING FACILITIES</t>
  </si>
  <si>
    <t>CONCRETE, GYPSUM AND PLASTER PRODUCTS ; MINING AND QUARRIES ; OTHER</t>
  </si>
  <si>
    <t>GAG480000</t>
  </si>
  <si>
    <t>STORMWATER DISCHARGES ASSOCIATED WITH MS4S - DOD</t>
  </si>
  <si>
    <t>GAG550000</t>
  </si>
  <si>
    <t>WATER TREATMENT FACILITY (POTABLE AND NON-POTABLE) ; DOMESTIC WASTEWATER TREATMENT FACILITIES</t>
  </si>
  <si>
    <t>GAG600000</t>
  </si>
  <si>
    <t>GAG610000</t>
  </si>
  <si>
    <t>STORMWATER DISCHARGES ASSOCIATED WITH SMALL MS4S</t>
  </si>
  <si>
    <t>GAG640000</t>
  </si>
  <si>
    <t>GAG820000</t>
  </si>
  <si>
    <t>GAG930000</t>
  </si>
  <si>
    <t>GAR041000</t>
  </si>
  <si>
    <t>STORMWATER DISCHARGES ASSOCIATED WITH MS4S - GDOT</t>
  </si>
  <si>
    <t>GAR050000</t>
  </si>
  <si>
    <t>GAR100001</t>
  </si>
  <si>
    <t>STAND ALONE CONSTRUCTION PROJECTS</t>
  </si>
  <si>
    <t>GAR100002</t>
  </si>
  <si>
    <t>INFRASTRUCTURE CONSTRUCTION PROJECTS</t>
  </si>
  <si>
    <t>GAR100003</t>
  </si>
  <si>
    <t>COMMON DEVELOPMENT</t>
  </si>
  <si>
    <t>STORMWATER RUNOFF FROM CONSTRUCTION SITES</t>
  </si>
  <si>
    <t>MULTI-SECTOR GENERIC PERMIT</t>
  </si>
  <si>
    <t>HIG250000</t>
  </si>
  <si>
    <t>HIG270000</t>
  </si>
  <si>
    <t>DISCHARGES OF HYDROTESTING WATERS</t>
  </si>
  <si>
    <t>HIG340000</t>
  </si>
  <si>
    <t>DISCHARGES OF TREATED PROCESS WASTEWATER</t>
  </si>
  <si>
    <t>HIG420000</t>
  </si>
  <si>
    <t>OCCASIONAL OR UNINTENTIONAL DISCHARGES FROM RECYCLED WATER SYSTEMS</t>
  </si>
  <si>
    <t>HIG740000</t>
  </si>
  <si>
    <t>DISCHARGES ASSOCIATED WITH CONSTRUCTION ACTIVITY DEWATERING</t>
  </si>
  <si>
    <t>HIG830000</t>
  </si>
  <si>
    <t>DISCHARGES OF TREATED EFFLUENT FROM LEAKING UNDERGROUND STOREAGE TANK REMEDIAL ACTIVITIES</t>
  </si>
  <si>
    <t>HIG990000</t>
  </si>
  <si>
    <t>HIG990001</t>
  </si>
  <si>
    <t>CIRCULATION WATER FROM DECORATIVE PONDS OR TANKS</t>
  </si>
  <si>
    <t>HIG990002</t>
  </si>
  <si>
    <t>PESTICIDES GENERAL PERMIT</t>
  </si>
  <si>
    <t>HIR000000</t>
  </si>
  <si>
    <t>NPDES GENERAL PERMIT AUTHORIZING DISCHARGES OF STORM WATER ASSOCIATED WITH INDUSTRIAL ACTIVITY</t>
  </si>
  <si>
    <t>HIR030000</t>
  </si>
  <si>
    <t>NPDES GENERAL PERMIT AUTHORIZING DISCHARGES OF STORMWATER AND CERTAIN NON-STORMWATER DISCHARGES FROM SMALL MS4S</t>
  </si>
  <si>
    <t>HIR100000</t>
  </si>
  <si>
    <t>NPDES GENERAL PERMIT AUTHORIZING DISCHARGES OF STORM WATER ASSOCIATED WITH CONSTRUCTION ACTIVITY</t>
  </si>
  <si>
    <t>IDG370000</t>
  </si>
  <si>
    <t>SMALL SUCTION DREDGE PLACER MINERS</t>
  </si>
  <si>
    <t>IDG380000</t>
  </si>
  <si>
    <t>DRINKING WATER TREATMENT FACILITY GENERAL PERMIT</t>
  </si>
  <si>
    <t>IDG911000</t>
  </si>
  <si>
    <t>CONTAMINATED GROUNDWATER TREATMENT - NON-PETROLEUM ; CONSTRUCTION DEWATERING ; CONTAMINATED GROUNDWATER TREATMENT - PETROLEUM</t>
  </si>
  <si>
    <t>CONTAMINATED GROUNDWATER TREATMENT - NON-PETROLEUM ; CONTAMINATED GROUNDWATER TREATMENT - PETROLEUM</t>
  </si>
  <si>
    <t>State will not re-issue this general permit</t>
  </si>
  <si>
    <t>ING080000</t>
  </si>
  <si>
    <t>ING250000</t>
  </si>
  <si>
    <t>NON CONTACT COOLING WATER</t>
  </si>
  <si>
    <t>ING340000</t>
  </si>
  <si>
    <t>PETROLEUM PRODUCTS</t>
  </si>
  <si>
    <t>ING490000</t>
  </si>
  <si>
    <t>SAND AND GRAVEL OPERATIONS</t>
  </si>
  <si>
    <t>ING670000</t>
  </si>
  <si>
    <t>HYDROSTATIC TESTING OF PIPELINES</t>
  </si>
  <si>
    <t>ING870000</t>
  </si>
  <si>
    <t>PESTICIDE APPLICATIONS</t>
  </si>
  <si>
    <t>KSG67NNNN</t>
  </si>
  <si>
    <t>http://www.kdheks.gov/water/download/Hydrostatic_Permit.pdf</t>
  </si>
  <si>
    <t>KSG110NNN</t>
  </si>
  <si>
    <t>CONCRETE READY MIX</t>
  </si>
  <si>
    <t>http://www.kdheks.gov/water/download/Concrete_General_Permit_Form.pdf</t>
  </si>
  <si>
    <t>KSG870001</t>
  </si>
  <si>
    <t>PESTICIDE GENERAL PERMIT (PGP) FOR POINT SOURCE DISCHARGES FROM THE APPLICATION OF PESTICIDES TO WATERS OF THE UNITED STATES</t>
  </si>
  <si>
    <t>http://www.kdheks.gov/indust/download/KDHEs_PGP.pdf</t>
  </si>
  <si>
    <t>KSR000000</t>
  </si>
  <si>
    <t>STORMWATER RUNOFF FROM INDUSTRIAL ACTIVITIES</t>
  </si>
  <si>
    <t>KSR100000</t>
  </si>
  <si>
    <t>STORMWATER RUNOFF FROM CONSTRUCTION ACTIVITIES</t>
  </si>
  <si>
    <t>http://www.kdheks.gov/stormwater/download/Cover%20Contents%20&amp;%20Permit.pdf</t>
  </si>
  <si>
    <t>KSR410000</t>
  </si>
  <si>
    <t>GENERAL MS4 (URBANIZED AREAS)</t>
  </si>
  <si>
    <t>http://www.kdheks.gov/muni/download/GeneralPermitUA.pdf</t>
  </si>
  <si>
    <t>KSR440000</t>
  </si>
  <si>
    <t>GENERAL MS4 (NONURBANIZED AREAS)</t>
  </si>
  <si>
    <t>http://www.kdheks.gov/muni/download/GeneralPermitNUA.pdf</t>
  </si>
  <si>
    <t>KYG050000</t>
  </si>
  <si>
    <t>AML GENERAL PERMIT</t>
  </si>
  <si>
    <t>KYG110000</t>
  </si>
  <si>
    <t>CONCRETE PRODUCTS, ASPHALT PAVING AND READY-MIXED CONCRETE OPERATIONS</t>
  </si>
  <si>
    <t>KYG120000</t>
  </si>
  <si>
    <t>ORPHAN LANDFILLS</t>
  </si>
  <si>
    <t>KYG150000</t>
  </si>
  <si>
    <t>GENERAL AVIATION FACILITIES</t>
  </si>
  <si>
    <t>KYG200000</t>
  </si>
  <si>
    <t>KYG400000</t>
  </si>
  <si>
    <t>GENERAL RESIDENCES G40</t>
  </si>
  <si>
    <t>KYG500000</t>
  </si>
  <si>
    <t>GENERAL KTC G50</t>
  </si>
  <si>
    <t>KYG640000</t>
  </si>
  <si>
    <t>GENERAL WTP G64</t>
  </si>
  <si>
    <t>KYG760000</t>
  </si>
  <si>
    <t>GENERAL PERMIT FOR PUBLIC SWIMMING AND BATHING FACILITIES</t>
  </si>
  <si>
    <t>KYG840000</t>
  </si>
  <si>
    <t>GENERAL NONCOAL G84</t>
  </si>
  <si>
    <t>KYG990000</t>
  </si>
  <si>
    <t>GENERAL PERMIT FOR PESTICIDE APPLICATION</t>
  </si>
  <si>
    <t>KYGE40000</t>
  </si>
  <si>
    <t>SURFACE MINING - EASTERN COAL FIELD</t>
  </si>
  <si>
    <t>KYGW40000</t>
  </si>
  <si>
    <t>SURFACE MINING - WESTERN COAL FIELD</t>
  </si>
  <si>
    <t>KYR000000</t>
  </si>
  <si>
    <t>STORMWATER -  INDUSTRIAL</t>
  </si>
  <si>
    <t>KYR100000</t>
  </si>
  <si>
    <t>STORMWATER DISCHARGES ASSOCIATED WITH CONSTRUCTION ACTIVITIES</t>
  </si>
  <si>
    <t>LAG030000</t>
  </si>
  <si>
    <t>VESSEL CLEANING &amp; REPAIR &amp; SHIPYARDS</t>
  </si>
  <si>
    <t>LAG110000</t>
  </si>
  <si>
    <t>CEMENT/CONCRETE/ ASPHALT</t>
  </si>
  <si>
    <t>CONCRETE, GYPSUM AND PLASTER PRODUCTS ; OTHER</t>
  </si>
  <si>
    <t>LAG260000</t>
  </si>
  <si>
    <t>OFFSHORE- O &amp; G EXT- TERRITORIAL</t>
  </si>
  <si>
    <t>LAG300000</t>
  </si>
  <si>
    <t>UNDERGROUND STORAGE TANK DEWATERING</t>
  </si>
  <si>
    <t>LAG330000</t>
  </si>
  <si>
    <t>COASTAL OIL &amp; GAS EXPLORATION, DEVELOPMENT &amp; PRODUCTION</t>
  </si>
  <si>
    <t>LAG380000</t>
  </si>
  <si>
    <t>POTABLE WATER TREATMENT PLANTS</t>
  </si>
  <si>
    <t>LAG420000</t>
  </si>
  <si>
    <t>SHORT TERM &amp; EMERGENCY DISCHARGES</t>
  </si>
  <si>
    <t>LAG470000</t>
  </si>
  <si>
    <t>AUTO/BODY SHOP</t>
  </si>
  <si>
    <t>VEHICLE WASH AND SERVICE ; OTHER</t>
  </si>
  <si>
    <t>LAG480000</t>
  </si>
  <si>
    <t>LIGHT COMMERCIAL</t>
  </si>
  <si>
    <t>OTHER ; VEHICLE WASH AND SERVICE ; NON-CONTACT COOLING WATER ; HYDROSTATIC TESTING</t>
  </si>
  <si>
    <t>LAG490000</t>
  </si>
  <si>
    <t>SAND AND GRAVEL</t>
  </si>
  <si>
    <t>LAG530000</t>
  </si>
  <si>
    <t>CLASS I SANITARY (&lt; 5000 GPD)</t>
  </si>
  <si>
    <t>LAG540000</t>
  </si>
  <si>
    <t>CLASS II SANITARY (&lt; 25,000 GPD)</t>
  </si>
  <si>
    <t>LAG560000</t>
  </si>
  <si>
    <t>LAG570000</t>
  </si>
  <si>
    <t>CLASS IV SANITARY (&lt; 100,000 GPD)</t>
  </si>
  <si>
    <t>LAG670000</t>
  </si>
  <si>
    <t>HYDROSTATIC TEST</t>
  </si>
  <si>
    <t>LAG750000</t>
  </si>
  <si>
    <t>EXTERIOR VEHICLE WASH WATER</t>
  </si>
  <si>
    <t>LAG780000</t>
  </si>
  <si>
    <t>CONST/DEMOL. DEBRIS WOODWASTE LANDFILLS</t>
  </si>
  <si>
    <t>LAG830000</t>
  </si>
  <si>
    <t>CLEANUP OF PETROLEUM -CONTAMINATED SITES</t>
  </si>
  <si>
    <t>CONTAMINATED GROUNDWATER TREATMENT - PETROLEUM ; OTHER</t>
  </si>
  <si>
    <t>LAG870000</t>
  </si>
  <si>
    <t>APPLICATION/DISCHARGE OF PESTICIDES INTO OR NEAR WATER OF THE STATE</t>
  </si>
  <si>
    <t>LAR040000</t>
  </si>
  <si>
    <t>GENERAL PERMIT FOR DISCHARGES FROM SMALL MS4S</t>
  </si>
  <si>
    <t>LAR050000</t>
  </si>
  <si>
    <t>MULTI-SECTOR GENERAL STORMWATER PERMIT</t>
  </si>
  <si>
    <t>LAR100000</t>
  </si>
  <si>
    <t>LAR200000</t>
  </si>
  <si>
    <t>SMALL CONSTRUCTION</t>
  </si>
  <si>
    <t>LAR600000</t>
  </si>
  <si>
    <t>GENERAL PERMIT FOR STORM WATER DISCHARGES RELATED TO THE LOUISIANA DEPARTMENT OF TRANSPORATION AND DEVELOPMENT'S STATEWIDE CONSTRUCTION AND MAINTENANCE ACTIVITIES RESULTING IN LAND DISTURBANCE</t>
  </si>
  <si>
    <t>MDG010000</t>
  </si>
  <si>
    <t>CAFOS</t>
  </si>
  <si>
    <t>MDG870000</t>
  </si>
  <si>
    <t>DISCHARGES FROM THE APPLICATION OF PESTICIDES</t>
  </si>
  <si>
    <t>MDR000000</t>
  </si>
  <si>
    <t>STORMWATER ASSOCIATED WITH INDUSTRIAL ACTIVIITES</t>
  </si>
  <si>
    <t>MDR055501</t>
  </si>
  <si>
    <t>STATE AND FEDERAL MS4S</t>
  </si>
  <si>
    <t>STATEWIDE SMALL MS4S</t>
  </si>
  <si>
    <t>MDRC00000</t>
  </si>
  <si>
    <t>STORMWATER ASSOCIATED WITH CONSTRUCTION ACTIVITY</t>
  </si>
  <si>
    <t>MEG140000</t>
  </si>
  <si>
    <t>APPLICATION OF AQUATIC PESTICIDES FOR THE CONTROL OF MOSQUITO-BORNE DISEASES</t>
  </si>
  <si>
    <t>https://www.maine.gov/dep/water/wd/aquatic-pesticide/index.html</t>
  </si>
  <si>
    <t>MEG150000</t>
  </si>
  <si>
    <t>APPLICATION OF HERBICIDES FOR THE CONTROL OF INVASIVE AQUATIC PLANTS</t>
  </si>
  <si>
    <t>https://www.maine.gov/dep/water/wd/herbicides-piscicides-application/index.html</t>
  </si>
  <si>
    <t>MEG170000</t>
  </si>
  <si>
    <t>ANTIFOULING PAINT CONTAMINATED VESSEL WASH WATER</t>
  </si>
  <si>
    <t>https://www.maine.gov/dep/water/wd/antifouling-paint/index.html</t>
  </si>
  <si>
    <t>MEG180000</t>
  </si>
  <si>
    <t>APPLICATION OF PISCICIDES FOR THE CONTROL OF INVASIVE FISHES</t>
  </si>
  <si>
    <t>MEG210000</t>
  </si>
  <si>
    <t>DISCHARGE OF WASTE SNOW</t>
  </si>
  <si>
    <t>https://www.maine.gov/dep/water/wd/snow_discharge/index.html</t>
  </si>
  <si>
    <t>MEG230000</t>
  </si>
  <si>
    <t>DISCHARGE OF PESTICIDES</t>
  </si>
  <si>
    <t>https://www.maine.gov/dep/water/wd/pesticide/index.html</t>
  </si>
  <si>
    <t>MER041000</t>
  </si>
  <si>
    <t>https://www.maine.gov/dep/water/wd/ms4/index.html</t>
  </si>
  <si>
    <t>MER042000</t>
  </si>
  <si>
    <t>DISCHARGE OF STORMWATER FROM MAINE DEPT OF TRANSPORTATION AND MAINE TURNPIKE AUTHORITY MS4S</t>
  </si>
  <si>
    <t>MER043000</t>
  </si>
  <si>
    <t>DISCHARGE OF STORMWATER FROM STATE OR FEDERALLY OWNED MS4S</t>
  </si>
  <si>
    <t>MI0057364</t>
  </si>
  <si>
    <t>MDOT - STATEWIDE MS4</t>
  </si>
  <si>
    <t>https://www.michigan.gov/documents/MDOT_MS4_Final_Phase_II__Permit_91260_7.pdf</t>
  </si>
  <si>
    <t>MIG010000</t>
  </si>
  <si>
    <t>LARGE CAFOS</t>
  </si>
  <si>
    <t>MIG030000</t>
  </si>
  <si>
    <t>MOSQUITO AND OTHER FLYING INSECT PEST CONTROL</t>
  </si>
  <si>
    <t>MIG031000</t>
  </si>
  <si>
    <t>NUSAINCE PLANT AND ALGAE CONTROL</t>
  </si>
  <si>
    <t>MIG032000</t>
  </si>
  <si>
    <t>NUSAINCE ANIMAL CONTROL AND FISH RECLAMATION</t>
  </si>
  <si>
    <t>MIG033000</t>
  </si>
  <si>
    <t>FOREST CANOPY PEST CONTROL</t>
  </si>
  <si>
    <t>MIG080000</t>
  </si>
  <si>
    <t>WASTEWATER CLEANUP</t>
  </si>
  <si>
    <t>OTHER ; CONTAMINATED GROUNDWATER TREATMENT - PETROLEUM ; BULK FUEL STORAGE</t>
  </si>
  <si>
    <t>MIG140000</t>
  </si>
  <si>
    <t>BALLAST WATER CONTROL</t>
  </si>
  <si>
    <t>MIG250000</t>
  </si>
  <si>
    <t>MIG490000</t>
  </si>
  <si>
    <t>SAND AND GRAVEL MINING WASTEWATER</t>
  </si>
  <si>
    <t>MIG570000</t>
  </si>
  <si>
    <t>SECONDARY TREATMENT WASTEWATER</t>
  </si>
  <si>
    <t>MIG580000</t>
  </si>
  <si>
    <t>WASTEWATER STABILIZATION LAGOON EFFLUENT</t>
  </si>
  <si>
    <t>MIG619000</t>
  </si>
  <si>
    <t>STORMWATER DISCHARGES FROM MS4S SUBJECT TO WATERSHED PLAN REQUIREMENTS</t>
  </si>
  <si>
    <t>MIG640000</t>
  </si>
  <si>
    <t>WASTEWATER DISCHARGE FROM POTABLE WATER SUPPLY</t>
  </si>
  <si>
    <t>https://www.google.com/url?sa=t&amp;rct=j&amp;q=&amp;esrc=s&amp;source=web&amp;cd=2&amp;cad=rja&amp;uact=8&amp;ved=0CCUQFjABahUKEwjqytOgz4bJAhVBFT4KHYjeBEE&amp;url=http%3A%2F%2Fwww.michigan.gov%2Fdocuments%2Fdeq%2Fwrd-npdes-generalpermit-MIG640000_2015_483691_7.pdf&amp;usg=AFQjCN</t>
  </si>
  <si>
    <t>MIG670000</t>
  </si>
  <si>
    <t>MIG760000</t>
  </si>
  <si>
    <t>PUBLIC SWIMMING POOL WASTEWATER</t>
  </si>
  <si>
    <t>MIG960000</t>
  </si>
  <si>
    <t>LAND APPLICATION OF BIOSOLIDS</t>
  </si>
  <si>
    <t>SLUDGE ; LANDFILLS, LAND APPLICATION SITES, AND OPEN DUMPS</t>
  </si>
  <si>
    <t>MIS040000</t>
  </si>
  <si>
    <t>STORMWATER DISCHARGES FROM MS4S WITH CONTROLS BASED ON SIX MINIMUM MEASURES</t>
  </si>
  <si>
    <t>MIS110000</t>
  </si>
  <si>
    <t>STORMWATER FROM INDUSTRIAL ACTIVITY AND/OR WITH REQUIRED MONITORING, IN CYCLE-YEAR 1 WATERSHEDS</t>
  </si>
  <si>
    <t>MIS120000</t>
  </si>
  <si>
    <t>GENERAL PERMIT FOR STORMWATER DISCHARGES ASSOCIATED WTIH SPECIAL-USE AREAS FOR CYCLE-YEAR 1 WATERSHEDS</t>
  </si>
  <si>
    <t>https://www.michigan.gov/documents/deq/wrd-npdes-MIS120000_500296_7.pdf</t>
  </si>
  <si>
    <t>MIS210000</t>
  </si>
  <si>
    <t>STORMWATER FROM INDUSTRIAL ACTIVITY AND/OR WITH REQUIRED MONITORING, IN CYCLE-YEAR 2 WATERSHEDS</t>
  </si>
  <si>
    <t>MIS310000</t>
  </si>
  <si>
    <t>STORMWATER FROM INDUSTRIAL ACTIVITY IN CYCLE-YEAR 3 WATERSHEDS</t>
  </si>
  <si>
    <t>MIS320000</t>
  </si>
  <si>
    <t>STORMWATER DISCHARGES WITH REQUIRED MONITORING IN CYCLE-YEAR 3 WATERSHEDS</t>
  </si>
  <si>
    <t>MIS410000</t>
  </si>
  <si>
    <t>STORMWATER FROM INDUSTRIAL ACTIVITY AND/OR WITH REQUIRED MONITORING, IN CYCLE-YEAR 4 WATERSHEDS</t>
  </si>
  <si>
    <t>MIS510000</t>
  </si>
  <si>
    <t>STORMWATER FROM INDUSTRIAL ACTIVITY AND/OR WITH REQUIRED MONITORING IN CYCLE-YEAR 5 WATERSHEDS</t>
  </si>
  <si>
    <t>MNG87A000</t>
  </si>
  <si>
    <t>MOSQUITO AND OTHER FLYING INSECT PEST CONTROL PESTICIDE GENERAL PERMIT</t>
  </si>
  <si>
    <t>MNG87B000</t>
  </si>
  <si>
    <t>FOREST CANOPY INSECT PEST CONTROL PESTICIDE GENERAL PERMIT</t>
  </si>
  <si>
    <t>MNG87C000</t>
  </si>
  <si>
    <t>AQUATIC NUISANCE ANIMAL PEST CONTROL PESTICIDE GENERAL PERMIT</t>
  </si>
  <si>
    <t>MNG87D000</t>
  </si>
  <si>
    <t>VEGETATIVE PESTS AND ALGAE CONTROL PESTICIDE GENERAL PERMIT</t>
  </si>
  <si>
    <t>MNG250000</t>
  </si>
  <si>
    <t>GENERAL UNTREATED NCCW</t>
  </si>
  <si>
    <t>https://www.pca.state.mn.us/sites/default/files/wq-wwprm9-24.pdf</t>
  </si>
  <si>
    <t>MNG255000</t>
  </si>
  <si>
    <t>NON CONTACT COOLING WATER CHEMICALLY TREATED</t>
  </si>
  <si>
    <t>https://www.pca.state.mn.us/sites/default/files/wq-wwprm9-23.pdf</t>
  </si>
  <si>
    <t>MNG440000</t>
  </si>
  <si>
    <t>AUTHORIZATION TO CONSTRUCT AND OPERATE CAFOS</t>
  </si>
  <si>
    <t>MNG490000</t>
  </si>
  <si>
    <t>NONMETALLIC MINING AND ASSOCIATED ACTIVITIES</t>
  </si>
  <si>
    <t>MINING AND QUARRIES ; OTHER ; CONSTRUCTION DEWATERING</t>
  </si>
  <si>
    <t>MNG580000</t>
  </si>
  <si>
    <t>OPERATION OF WASTEWATER STABILIZATION LAGOON</t>
  </si>
  <si>
    <t>https://www.pca.state.mn.us/sites/default/files/wq-wwprm9-10.pdf</t>
  </si>
  <si>
    <t>MNG640000</t>
  </si>
  <si>
    <t>WATER TREATMENT FACILITY</t>
  </si>
  <si>
    <t>https://www.pca.state.mn.us/sites/default/files/gen-permit-mng640000.pdf</t>
  </si>
  <si>
    <t>MNG790000</t>
  </si>
  <si>
    <t>GENERAL CONTAMINATED GW PUMP-OUT</t>
  </si>
  <si>
    <t>MNR040000</t>
  </si>
  <si>
    <t>DISCHARGE STORMWATER ASSOCIATED WITH SMALL MS4S (PART 1 AND 2)</t>
  </si>
  <si>
    <t>MNR050000</t>
  </si>
  <si>
    <t>DISCHARGE STORMWATER ASSOCIATED WITH INDUSTRIAL ACTIVITY</t>
  </si>
  <si>
    <t>MNR100001</t>
  </si>
  <si>
    <t>DISCHARGE STORMWATER ASSOCIATED WITH CONSTRUCTION ACTIVITY</t>
  </si>
  <si>
    <t>MOG010000</t>
  </si>
  <si>
    <t>MOG050000</t>
  </si>
  <si>
    <t>MOG130000</t>
  </si>
  <si>
    <t>MOG140000</t>
  </si>
  <si>
    <t>OIL/WATER SEPARATORS</t>
  </si>
  <si>
    <t>OTHER ; VEHICLE WASH AND SERVICE</t>
  </si>
  <si>
    <t>MOG251000</t>
  </si>
  <si>
    <t>MOG350000</t>
  </si>
  <si>
    <t>MOG490000</t>
  </si>
  <si>
    <t>LIMESTONE QUARRIES</t>
  </si>
  <si>
    <t>CONCRETE, GYPSUM AND PLASTER PRODUCTS ; OTHER ; MINING AND QUARRIES</t>
  </si>
  <si>
    <t>MOG500000</t>
  </si>
  <si>
    <t>MINING AND QUARRIES ; CONCRETE, GYPSUM AND PLASTER PRODUCTS</t>
  </si>
  <si>
    <t>MOG640000</t>
  </si>
  <si>
    <t>WATER TREATMENT PLANTS</t>
  </si>
  <si>
    <t>MOG641000</t>
  </si>
  <si>
    <t>ZEOLITE SOFTENERS</t>
  </si>
  <si>
    <t>MOG670000</t>
  </si>
  <si>
    <t>MOG690000</t>
  </si>
  <si>
    <t>DREDGING</t>
  </si>
  <si>
    <t>MOG698000</t>
  </si>
  <si>
    <t>MOG750000</t>
  </si>
  <si>
    <t>MOG760000</t>
  </si>
  <si>
    <t>MOG821000</t>
  </si>
  <si>
    <t>LANDFILLS, LAND APPLICATION SITES, AND OPEN DUMPS ; SLUDGE</t>
  </si>
  <si>
    <t>MOG822000</t>
  </si>
  <si>
    <t>MOG823000</t>
  </si>
  <si>
    <t>MOG840000</t>
  </si>
  <si>
    <t>MOG870000</t>
  </si>
  <si>
    <t>MOG920000</t>
  </si>
  <si>
    <t>SLUDGE ; OTHER</t>
  </si>
  <si>
    <t>MOG940000</t>
  </si>
  <si>
    <t>OTHER ; CONTAMINATED GROUNDWATER TREATMENT - PETROLEUM</t>
  </si>
  <si>
    <t>MOG970000</t>
  </si>
  <si>
    <t>MOGD00000</t>
  </si>
  <si>
    <t>MOR22A000</t>
  </si>
  <si>
    <t>MOR22B000</t>
  </si>
  <si>
    <t>WOOD TREATERS</t>
  </si>
  <si>
    <t>MOR23A000</t>
  </si>
  <si>
    <t>MOR23D000</t>
  </si>
  <si>
    <t>MOR23E000</t>
  </si>
  <si>
    <t>BIODIESEL MANUFACTURING</t>
  </si>
  <si>
    <t>MOR60A000</t>
  </si>
  <si>
    <t>MOTOR VEHICLE SALVAGE</t>
  </si>
  <si>
    <t>MOR80C000</t>
  </si>
  <si>
    <t>MOR80F000</t>
  </si>
  <si>
    <t>AIRPORTS</t>
  </si>
  <si>
    <t>MOR80H000</t>
  </si>
  <si>
    <t>SOLID WASTE TRANSFER</t>
  </si>
  <si>
    <t>MOR040000</t>
  </si>
  <si>
    <t>MOR100000</t>
  </si>
  <si>
    <t>MOR130000</t>
  </si>
  <si>
    <t>MOR203000</t>
  </si>
  <si>
    <t>MOR240000</t>
  </si>
  <si>
    <t>AGRICHEMICAL FACILITIES</t>
  </si>
  <si>
    <t>MORA00000</t>
  </si>
  <si>
    <t>LAND DISTURBANCE</t>
  </si>
  <si>
    <t>MSG180000</t>
  </si>
  <si>
    <t>DRINKING WATER TREATMENT</t>
  </si>
  <si>
    <t>MSG230000</t>
  </si>
  <si>
    <t>PESTICIDE GENERAL PERMITS FOR POINT SOURCE DISCHARGES TO STATE WATERS OF MISSISSIPI FOR THE APPLICATION OF PESTICIDES</t>
  </si>
  <si>
    <t>MSR150000</t>
  </si>
  <si>
    <t>https://www.mdeq.ms.gov/wp-content/uploads/2013/04/Small_constr_prmt.pdf</t>
  </si>
  <si>
    <t>MTG010000</t>
  </si>
  <si>
    <t>MTG070000</t>
  </si>
  <si>
    <t>CONSTRUCTION</t>
  </si>
  <si>
    <t>MTG130000</t>
  </si>
  <si>
    <t>FISH HATCHERIES AND PRESERVES</t>
  </si>
  <si>
    <t>http://deq.mt.gov/Portals/112/Water/WPB/MPDES/General%20Permits/2016_FPER_MTG130000.pdf</t>
  </si>
  <si>
    <t>MTG310000</t>
  </si>
  <si>
    <t>MTG370000</t>
  </si>
  <si>
    <t>PLACER MINING</t>
  </si>
  <si>
    <t>MTG490000</t>
  </si>
  <si>
    <t>MTG580000</t>
  </si>
  <si>
    <t>SEWERAGE SYSTEMS (MUNICIPAL)</t>
  </si>
  <si>
    <t>MTG581000</t>
  </si>
  <si>
    <t>DOMESTIC SEWAGE TREATMENT - CONTINUOUS DISCHARGERS</t>
  </si>
  <si>
    <t>MTG770000</t>
  </si>
  <si>
    <t>CHLORINATED WATER</t>
  </si>
  <si>
    <t>http://deq.mt.gov/Portals/112/Water/WPB/MPDES/General%20Permits/MTG770000PER.pdf</t>
  </si>
  <si>
    <t>WATER TREATMENT FACILITY (POTABLE AND NON-POTABLE) ; POOLS, SPAS, AND CHLORINATED DISCHARGES ; HYDROSTATIC TESTING</t>
  </si>
  <si>
    <t>MTG790000</t>
  </si>
  <si>
    <t>AQUIFER RESTORATION</t>
  </si>
  <si>
    <t>MTG870000</t>
  </si>
  <si>
    <t>MTR000000</t>
  </si>
  <si>
    <t>MSGP</t>
  </si>
  <si>
    <t>MTR040000</t>
  </si>
  <si>
    <t>SMALL MUNICIPAL SEPARATE STORM SEWER SYSTEM (MS4)</t>
  </si>
  <si>
    <t>MTR100000</t>
  </si>
  <si>
    <t>GENERAL PERMIT STORMWATER DISCHARGES ASSOCIATED WITH CONSTRUCTION ACTIVITY</t>
  </si>
  <si>
    <t>NCA200000</t>
  </si>
  <si>
    <t>SWINE WASTE MANAGEMENT SYSTEM</t>
  </si>
  <si>
    <t>NCA300000</t>
  </si>
  <si>
    <t>CATTLE WASTE MANAGEMENT SYSTEM</t>
  </si>
  <si>
    <t>NCA400000</t>
  </si>
  <si>
    <t>LIQUID POULTRY WASTE MANAGEMENT SYSTEM</t>
  </si>
  <si>
    <t>NCG010000</t>
  </si>
  <si>
    <t>CONSTRUCTION ACTIVITIES</t>
  </si>
  <si>
    <t>NCG020000</t>
  </si>
  <si>
    <t>MINE DEWATERING, AND PROCESS WASTEWATER</t>
  </si>
  <si>
    <t>NCG030000</t>
  </si>
  <si>
    <t>METAL FABRICATION</t>
  </si>
  <si>
    <t>NCG050000</t>
  </si>
  <si>
    <t>APPAREL</t>
  </si>
  <si>
    <t>NCG060000</t>
  </si>
  <si>
    <t>FOOD AND KINDRED PRODUCTS</t>
  </si>
  <si>
    <t>NCG070000</t>
  </si>
  <si>
    <t>STONE, CLAY, GLASS, AND CONCRETE PRODUCTS</t>
  </si>
  <si>
    <t>NCG080000</t>
  </si>
  <si>
    <t>TRANSIT AND TRANSPORTATION</t>
  </si>
  <si>
    <t>NCG090000</t>
  </si>
  <si>
    <t>PAINTS AND VARNISHES</t>
  </si>
  <si>
    <t>NCG100000</t>
  </si>
  <si>
    <t>USED MOTOR VEHICLES</t>
  </si>
  <si>
    <t>NCG110000</t>
  </si>
  <si>
    <t>TREATMENT WORKS</t>
  </si>
  <si>
    <t>NCG120000</t>
  </si>
  <si>
    <t>NCG130000</t>
  </si>
  <si>
    <t>NON-METAL WASTE SCRAP</t>
  </si>
  <si>
    <t>NCG140000</t>
  </si>
  <si>
    <t>READY MIX CONCRETE</t>
  </si>
  <si>
    <t>NCG150000</t>
  </si>
  <si>
    <t>NCG160000</t>
  </si>
  <si>
    <t>ASPHALT, PAVING MIXTURES, BLOCKS</t>
  </si>
  <si>
    <t>NCG170000</t>
  </si>
  <si>
    <t>TEXTILE MILLS</t>
  </si>
  <si>
    <t>NCG180000</t>
  </si>
  <si>
    <t>FURNITURE MANUFACTURE</t>
  </si>
  <si>
    <t>NCG190000</t>
  </si>
  <si>
    <t>MARINAS AND SHIPBUILDING</t>
  </si>
  <si>
    <t>NCG200000</t>
  </si>
  <si>
    <t>SCRAP METAL</t>
  </si>
  <si>
    <t>NCG210000</t>
  </si>
  <si>
    <t>TIMBER PRODUCTS</t>
  </si>
  <si>
    <t>NCG240000</t>
  </si>
  <si>
    <t>COMPOSTING OPERATIONS</t>
  </si>
  <si>
    <t>NCG500000</t>
  </si>
  <si>
    <t>NCG510000</t>
  </si>
  <si>
    <t>REMEDIATED GROUNDWATER AND SIMILAR WASTEWATERS CONTAMINATED WITH PETROLEUM PRODUCTS</t>
  </si>
  <si>
    <t>NCG520000</t>
  </si>
  <si>
    <t>IN-STREAM SAND MINING WASTEWATER, ASSOCIATED STORMWATER AND SIMILAR WASTEWATERS</t>
  </si>
  <si>
    <t>NCG530000</t>
  </si>
  <si>
    <t>SEAFOOD PACKING AND RINSING, FISH FARMS AND SIMILAR WASTEWATERS</t>
  </si>
  <si>
    <t>SEAFOOD PROCESSING ; AQUACULTURE</t>
  </si>
  <si>
    <t>NCG550000</t>
  </si>
  <si>
    <t>DOMESTIC WASTEWATERS FROM SINGLE FAMILY RESIDENCES</t>
  </si>
  <si>
    <t>NCG560000</t>
  </si>
  <si>
    <t>PESTICIDE GP</t>
  </si>
  <si>
    <t>NCG570000</t>
  </si>
  <si>
    <t>SINGLE FAMILY/FALLS LAKE</t>
  </si>
  <si>
    <t>NCG580000</t>
  </si>
  <si>
    <t>RECLAIMED WATER FROM CONJUNCTIVE USE RECLAIMED WATER SYSTEMS</t>
  </si>
  <si>
    <t>NCG590000</t>
  </si>
  <si>
    <t>BACKWASH WASTEWATERS FROM GREENSAND AND CONVENTIONAL TYPE WATER TREATMENT FACILITIES</t>
  </si>
  <si>
    <t>NDG070000</t>
  </si>
  <si>
    <t>DEWATERING AND HYDROSTATIC TESTING</t>
  </si>
  <si>
    <t>CONSTRUCTION DEWATERING ; CONTAMINATED GROUNDWATER TREATMENT - PETROLEUM ; HYDROSTATIC TESTING ; TEMPORARY DISCHARGES</t>
  </si>
  <si>
    <t>NDG120000</t>
  </si>
  <si>
    <t>SMALL LAGOON SYSTEM TO CLASS I WATERS OF THE STATE</t>
  </si>
  <si>
    <t>NDG220000</t>
  </si>
  <si>
    <t>SMALL LAGOON SYSTEM TO CLASS II WATERS OF THE STATE</t>
  </si>
  <si>
    <t>NDG320000</t>
  </si>
  <si>
    <t>SMALL LAGOON SYSTEM TO CLASS III WATERS OF THE STATE</t>
  </si>
  <si>
    <t>NDG420000</t>
  </si>
  <si>
    <t>DOMESTIC MECHANICAL/PACKAGE PLANT FACILITIES</t>
  </si>
  <si>
    <t>NDG520000</t>
  </si>
  <si>
    <t>WATER TREATMENT PLANT AND POTABLE DISTRIBUTION SYSTEMS</t>
  </si>
  <si>
    <t>NDG870000</t>
  </si>
  <si>
    <t>POINT SOURCE DISCHARGE OF POLLUTANTS ASSOCIATED WITH THE APPLICATION OF PESTICIDES</t>
  </si>
  <si>
    <t>NDR040000</t>
  </si>
  <si>
    <t>GENERAL PERMIT STORMWATER DISCHARGES ASSOCIATED WITH MS4S</t>
  </si>
  <si>
    <t>NDR050000</t>
  </si>
  <si>
    <t>NDR100000</t>
  </si>
  <si>
    <t>NDR320000</t>
  </si>
  <si>
    <t>STORMWATER DISCHARGE ASSOCIATED WITH MINING</t>
  </si>
  <si>
    <t>NEG500000</t>
  </si>
  <si>
    <t>LAND APPLICATION OF CONCRETE GROOVING AND GRINDING SLURRY</t>
  </si>
  <si>
    <t>NER160000</t>
  </si>
  <si>
    <t>STORM WATER DISCHARGES FROM CONSTRUCTION SITES</t>
  </si>
  <si>
    <t>http://deq.ne.gov/Publica.nsf/pages/WAT012</t>
  </si>
  <si>
    <t>https://ecmp.nebraska.gov/DEQ-CSW</t>
  </si>
  <si>
    <t>NJ0070203</t>
  </si>
  <si>
    <t>NJ0088315</t>
  </si>
  <si>
    <t>STORMWATER BASIC GP</t>
  </si>
  <si>
    <t>NJ0088323</t>
  </si>
  <si>
    <t>CONSTRUCTION ACTIVITY SW GP</t>
  </si>
  <si>
    <t>NJ0102709</t>
  </si>
  <si>
    <t>GW PETROLEUM PRODUCTS CLEANUP GP</t>
  </si>
  <si>
    <t>NJ0107671</t>
  </si>
  <si>
    <t>SCRAP METAL PROCESSING/AUTO RECYCLER GP</t>
  </si>
  <si>
    <t>NJ0108456</t>
  </si>
  <si>
    <t>CONCRETE PRODUCTS MANAGEMENT GP</t>
  </si>
  <si>
    <t>NJ0128589</t>
  </si>
  <si>
    <t>SWIMMING POOL DISCHARGE GP</t>
  </si>
  <si>
    <t>NJ0129500</t>
  </si>
  <si>
    <t>NJ0132721</t>
  </si>
  <si>
    <t>HOT MIX ASPHALT PRODUCERS GP</t>
  </si>
  <si>
    <t>NJ0132993</t>
  </si>
  <si>
    <t>HYDROSTATIC TESTING GP</t>
  </si>
  <si>
    <t>NJ0134511</t>
  </si>
  <si>
    <t>NJ0134791</t>
  </si>
  <si>
    <t>NEWARK AIRPORT COMPLEX GP</t>
  </si>
  <si>
    <t>NJ0138622</t>
  </si>
  <si>
    <t>WOOD RECYCLERS GP</t>
  </si>
  <si>
    <t>NJ0138631</t>
  </si>
  <si>
    <t>CONCENTRATED ANIMAL FEEDING OPERATION GP</t>
  </si>
  <si>
    <t>NJ0141852</t>
  </si>
  <si>
    <t>TIER A MUNICIPAL SW GP</t>
  </si>
  <si>
    <t>NJ0141861</t>
  </si>
  <si>
    <t>TIER B MUNICIPAL SW GP</t>
  </si>
  <si>
    <t>NJ0141879</t>
  </si>
  <si>
    <t>PUBLIC COMPLEX SW GP</t>
  </si>
  <si>
    <t>NJ0141887</t>
  </si>
  <si>
    <t>HIGHWAY AGENCY SW GP</t>
  </si>
  <si>
    <t>NJ0141950</t>
  </si>
  <si>
    <t>MINING AND QUARRING ACTIVITY GP</t>
  </si>
  <si>
    <t>NJ0155438</t>
  </si>
  <si>
    <t>GENERAL REMEDIATION CLEANUP GP</t>
  </si>
  <si>
    <t>NJ0163261</t>
  </si>
  <si>
    <t>SCRAP METAL GP</t>
  </si>
  <si>
    <t>NJ0163279</t>
  </si>
  <si>
    <t>VEHICLE RECYCLERS GP</t>
  </si>
  <si>
    <t>NJ0178217</t>
  </si>
  <si>
    <t>PESTICIDE APPLICATION DISCHARGE</t>
  </si>
  <si>
    <t>NJ0193381</t>
  </si>
  <si>
    <t>CONSOLIDATED SCHOOL PERMIT</t>
  </si>
  <si>
    <t>NVG000001</t>
  </si>
  <si>
    <t>NVG201000</t>
  </si>
  <si>
    <t>DE MINIMUS CLEAN WATER DISCHARGES</t>
  </si>
  <si>
    <t>https://ndep.nv.gov/uploads/water-wpc-permitting-deminimis-docs/nvg201000-deminimus-permit.pdf</t>
  </si>
  <si>
    <t>MINIMUM ENVIRONMENTAL IMPACT ; HYDROSTATIC TESTING ; TEMPORARY DISCHARGES ; WATER TREATMENT FACILITY (POTABLE AND NON-POTABLE)</t>
  </si>
  <si>
    <t>NVG870001</t>
  </si>
  <si>
    <t>GENERAL PESTICIDE PERMIT</t>
  </si>
  <si>
    <t>https://ndep.nv.gov/uploads/water-wpc-permitting-pesticide-docs/nvg870001-pest-permit2011.pdf</t>
  </si>
  <si>
    <t>NVR050000</t>
  </si>
  <si>
    <t>NVR100000</t>
  </si>
  <si>
    <t>NVR300000</t>
  </si>
  <si>
    <t>https://ndep.nv.gov/uploads/documents/minperm_web_site.pdf</t>
  </si>
  <si>
    <t>NVS040000</t>
  </si>
  <si>
    <t>SMALL MS4S</t>
  </si>
  <si>
    <t>NYG619803</t>
  </si>
  <si>
    <t>INDUSTRIAL ACTIVITY</t>
  </si>
  <si>
    <t>NYR030202</t>
  </si>
  <si>
    <t>MS4S</t>
  </si>
  <si>
    <t>NYR100201</t>
  </si>
  <si>
    <t>OHA000001</t>
  </si>
  <si>
    <t>OH</t>
  </si>
  <si>
    <t>http://www.epa.ohio.gov/portals/35/cafo/CAFO_GeneralPermit_final_feb05_s.pdf</t>
  </si>
  <si>
    <t>BULK FUEL STORAGE FACILITIES</t>
  </si>
  <si>
    <t>OHCD00002</t>
  </si>
  <si>
    <t>STORMWATER DISCHARGES ASSOCIATED WITH CONSTRUCTION ACTIVITY LOCATED WITHIN THE BIG DARBY CREEK WATERSHED</t>
  </si>
  <si>
    <t>http://epa.ohio.gov/Portals/35/permits/DarbyStormWater_Final_GP_sep12.pdf</t>
  </si>
  <si>
    <t>OHCO00002</t>
  </si>
  <si>
    <t>STORMWATER DISCHARGES ASSOCIATED WITH CONSTRUCTION ACTIVITY LOCATED WITHIN PORTIONS OF THE OLENTANGY RIVER WATERSHED</t>
  </si>
  <si>
    <t>HTTP://WWW.EPA.OHIO.GOV/PORTALS/35/STORM/FINAL_OHCO00002_CGP.PDF</t>
  </si>
  <si>
    <t>GENERAL PERMIT AUTHORIZATION TO DISCHARGE PESTICIDES IN, OVER, OR NEAR WATERS OF THE STATE</t>
  </si>
  <si>
    <t>HOUSEHOLD SEWAGE TREATMENT SYSTEMS</t>
  </si>
  <si>
    <t>OHL000002</t>
  </si>
  <si>
    <t>http://epa.ohio.gov/Portals/35/permits/HSTS_L2_jul13.pdf</t>
  </si>
  <si>
    <t>COAL SURFACE MINING ACTIVITIES</t>
  </si>
  <si>
    <t>OHO000002</t>
  </si>
  <si>
    <t>GEOTHERMAL DISCHARGES</t>
  </si>
  <si>
    <t>http://epa.ohio.gov/Portals/35/permits/OHO000002-permit.pdf</t>
  </si>
  <si>
    <t>STORMWATER ASSOCIATED WITH INDUSTRIAL ACTIVITY UNDER THE NPDES MSGP</t>
  </si>
  <si>
    <t>OHRM00002</t>
  </si>
  <si>
    <t>STORMWATER ASSOCIATED WITH INDUSTRIAL ACTIVITY FROM MARINAS</t>
  </si>
  <si>
    <t>HTTP://WWW.EPA.OHIO.GOV/PORTALS/35/PERMITS/MARINAS_FINAL_JAN13.PDF</t>
  </si>
  <si>
    <t>STORMWATER - INDUSTRIAL ; VESSELS, MARINAS, AND BOATYARDS</t>
  </si>
  <si>
    <t>SMALL SANITARY DISCHARGERS (LESS THAN 25,000 GALLONS PER DAY)</t>
  </si>
  <si>
    <t>PETROLEUM RELATED CORRECTIVE ACTIONS</t>
  </si>
  <si>
    <t>SMALL SANITARY DISCHARGES THAT CONTROL MEET BADCT STD</t>
  </si>
  <si>
    <t>OKG11MT00</t>
  </si>
  <si>
    <t>MOBILE CONCRETE BATCH PLANT - TOTAL RETE</t>
  </si>
  <si>
    <t>OKG11T000</t>
  </si>
  <si>
    <t>CONCRETE BATCH PLANT - TOTAL RETENTION</t>
  </si>
  <si>
    <t>CONCRETE, GYPSUM AND PLASTER PRODUCTS ; STORMWATER - INDUSTRIAL</t>
  </si>
  <si>
    <t>OKG75T000</t>
  </si>
  <si>
    <t>CAR WASH FACILITY- TOTAL RETENTION</t>
  </si>
  <si>
    <t>OKG87A000</t>
  </si>
  <si>
    <t>OKG95T000</t>
  </si>
  <si>
    <t>ROCK, SAND, AND GRAVEL- TOTAL RETENTION</t>
  </si>
  <si>
    <t>MINING AND QUARRIES ; LANDFILLS, LAND APPLICATION SITES, AND OPEN DUMPS</t>
  </si>
  <si>
    <t>OKG010000</t>
  </si>
  <si>
    <t>CAFO GENERAL PERMIT (ODAFF)</t>
  </si>
  <si>
    <t>http://www.oda.state.ok.us/aems/Oklahoma%20AgPDES%20CAFO%20General%20Permit%20OKG01000%202017-2022.pdf</t>
  </si>
  <si>
    <t>OKG040000</t>
  </si>
  <si>
    <t>OKG110000</t>
  </si>
  <si>
    <t>CONCRETE BATCH PLANT</t>
  </si>
  <si>
    <t>OKG270000</t>
  </si>
  <si>
    <t>HYDROSTATIC TEST PRODUCTS</t>
  </si>
  <si>
    <t>OKG380000</t>
  </si>
  <si>
    <t>OKG580000</t>
  </si>
  <si>
    <t>OKG590000</t>
  </si>
  <si>
    <t>SPLASH PAD</t>
  </si>
  <si>
    <t>OKG750000</t>
  </si>
  <si>
    <t>OKG830000</t>
  </si>
  <si>
    <t>OKG950000</t>
  </si>
  <si>
    <t>ROCK, SAND, AND GRAVEL QUARRIES</t>
  </si>
  <si>
    <t>LANDFILLS, LAND APPLICATION SITES, AND OPEN DUMPS ; MINING AND QUARRIES</t>
  </si>
  <si>
    <t>OKGC3T000</t>
  </si>
  <si>
    <t>CLASS III WASTEWATER IMPOUNDMENT- TOTAL</t>
  </si>
  <si>
    <t>OKR040000</t>
  </si>
  <si>
    <t>OKR050000</t>
  </si>
  <si>
    <t>OKR100000</t>
  </si>
  <si>
    <t>OKR140000</t>
  </si>
  <si>
    <t>OKLAHOMA DEPARTMENT OF AGRICULTURE, FOOD AND FORESTRY (ODAFF) AGRICULTURE POLLUTANT DISCHARGE ELIMINATION SYSTEM (AGPDES) GENERAL PERMIT FOR DISCHARGES FROM CONSTRUCTION ACTIVITIES</t>
  </si>
  <si>
    <t>ORG3115A0</t>
  </si>
  <si>
    <t>ORG5012AO</t>
  </si>
  <si>
    <t>https://www.oregon.gov/deq/FilterPermitsDocs/1200APermitF.pdf</t>
  </si>
  <si>
    <t>ORG6112Z0</t>
  </si>
  <si>
    <t>ORG7517A0</t>
  </si>
  <si>
    <t>ORG010000</t>
  </si>
  <si>
    <t>https://www.oregon.gov/ODA/shared/Documents/Publications/NaturalResources/NPDESGeneralPermit.pdf</t>
  </si>
  <si>
    <t>ORG250100</t>
  </si>
  <si>
    <t>ORG402200</t>
  </si>
  <si>
    <t>ORG410200</t>
  </si>
  <si>
    <t>ORG410500</t>
  </si>
  <si>
    <t>ORG520900</t>
  </si>
  <si>
    <t>ORG690700</t>
  </si>
  <si>
    <t>ORG700400</t>
  </si>
  <si>
    <t>ORG872300</t>
  </si>
  <si>
    <t>ORR100000</t>
  </si>
  <si>
    <t>PAG020000</t>
  </si>
  <si>
    <t>http://www.elibrary.dep.state.pa.us/dsweb/Get/Document-91748/3150-PM-BWEW0280%20Permit%20SAMPLE.pdf</t>
  </si>
  <si>
    <t>PAG030000</t>
  </si>
  <si>
    <t>STORMWATER ASSOCIATED WITH INDUSTRIAL ACTIVITIES</t>
  </si>
  <si>
    <t>http://www.elibrary.dep.state.pa.us/dsweb/Get/Document-114474/3850-PM-BCW0083d%20Permit%20SAMPLE%20(Final).pdf</t>
  </si>
  <si>
    <t>PAG040000</t>
  </si>
  <si>
    <t>SMALL FLOW TREATMENT FACILITIES</t>
  </si>
  <si>
    <t>http://www.elibrary.dep.state.pa.us/dsweb/Get/Document-100482/3800-PM-BPNPSM0093d%20Sample%20Permit.pdf</t>
  </si>
  <si>
    <t>PAG050000</t>
  </si>
  <si>
    <t>PETROLEUM PRODUCT CONTAMINATED GROUNDWATER REMEDIATION SYSTEMS</t>
  </si>
  <si>
    <t>http://www.elibrary.dep.state.pa.us/dsweb/Get/Document-107864/3800-PM-BPNPSM0171d%20Permit%20Final%20PAG-05%20Sample.pdf</t>
  </si>
  <si>
    <t>PAG060000</t>
  </si>
  <si>
    <t>WET WEATHER OVERFLOW DISCHARGES FROM CSS</t>
  </si>
  <si>
    <t>http://www.elibrary.dep.state.pa.us/dsweb/View/Collection-11786</t>
  </si>
  <si>
    <t>PAG100000</t>
  </si>
  <si>
    <t>HYDROSTATIC TESTING OF TANKS AND PIPELINES</t>
  </si>
  <si>
    <t>http://www.elibrary.dep.state.pa.us/dsweb/View/Collection-9472</t>
  </si>
  <si>
    <t>PAG110000</t>
  </si>
  <si>
    <t>AQUATIC ANIMAL PRODUCTION FACILITIES</t>
  </si>
  <si>
    <t>http://www.elibrary.dep.state.pa.us/dsweb/View/Collection-11231</t>
  </si>
  <si>
    <t>PAG120000</t>
  </si>
  <si>
    <t>http://www.elibrary.dep.state.pa.us/dsweb/View/Collection-11504</t>
  </si>
  <si>
    <t>PAG130000</t>
  </si>
  <si>
    <t>DISCHARGES OF STORMWATER FROM SMALL MS4S</t>
  </si>
  <si>
    <t>http://www.elibrary.dep.state.pa.us/dsweb/View/Collection-9457</t>
  </si>
  <si>
    <t>PAG150000</t>
  </si>
  <si>
    <t>http://www.elibrary.dep.state.pa.us/dsweb/View/Collection-10772</t>
  </si>
  <si>
    <t>PAM000000</t>
  </si>
  <si>
    <t>MINING STORMWATER</t>
  </si>
  <si>
    <t>MI PERMIT-BY-RULE FOR CONSTRUCTION ACTIVITIES</t>
  </si>
  <si>
    <t>https://www.michigan.gov/documents/deq/wb-sw-Construction-Rules-1to5acres_264064_7.pdf</t>
  </si>
  <si>
    <t>RIG870000</t>
  </si>
  <si>
    <t>PESTICIDES GENERAL PERMIT FOR DISCHARGES FROM THE APPLICATION OF PESTICIDES</t>
  </si>
  <si>
    <t>http://www.dem.ri.gov/programs/benviron/water/permits/ripdes/pdfs/pestgenperm.pdf</t>
  </si>
  <si>
    <t>RIR100000</t>
  </si>
  <si>
    <t>STORMWATER DISCHARGE ASSOCIATED WITH CONSTRUCTION ACTIVITY</t>
  </si>
  <si>
    <t>SCG160000</t>
  </si>
  <si>
    <t>SCG250000</t>
  </si>
  <si>
    <t>UTILITY WATER DISCHARGES</t>
  </si>
  <si>
    <t>SCG340000</t>
  </si>
  <si>
    <t>DISCHARGES FROM BULK PETROLEUM STORAGE FACILITIES</t>
  </si>
  <si>
    <t>SCG360000</t>
  </si>
  <si>
    <t>GENERAL PERMIT FOR IDSCHARGES FROM HYDROELECTRIC GENERATING FACILITIES</t>
  </si>
  <si>
    <t>SCG570000</t>
  </si>
  <si>
    <t>DOMESTIC WASTEWATER TREATMENT PLANT DISCHARGERS</t>
  </si>
  <si>
    <t>SCG646000</t>
  </si>
  <si>
    <t>WATER TREATMENT PLANT DISCHARGES</t>
  </si>
  <si>
    <t>SCG670000</t>
  </si>
  <si>
    <t>HYDROSTATIC TEST WATER DISCHARGES</t>
  </si>
  <si>
    <t>SCG730000</t>
  </si>
  <si>
    <t>DISCHARGES ASSOCIATED WITH NONMETAL MINERAL MINING FACILITIES</t>
  </si>
  <si>
    <t>SCG750000</t>
  </si>
  <si>
    <t>VEHICLE WASH WATER DISCHARGES</t>
  </si>
  <si>
    <t>SCG800000</t>
  </si>
  <si>
    <t>SCG830000</t>
  </si>
  <si>
    <t>DISCHARGES FROM PETROLEUM CONTAMINATED GROUNDWATER</t>
  </si>
  <si>
    <t>SCR000000</t>
  </si>
  <si>
    <t>STORMWATER DISCHARGES ASSOCIATED WITH INDUSTRIAL ACTIVITIES</t>
  </si>
  <si>
    <t>SCR030000</t>
  </si>
  <si>
    <t>STORMWATER DISCHARGES FROM REGULATED SMALL MUNICIPAL SEPARATE STORM SEWER SYSTEMS (SMS4)</t>
  </si>
  <si>
    <t>SCR100000</t>
  </si>
  <si>
    <t>STORMWATER DISCHARGES FROM LARGE AND SMALL CONSTRUCTION ACTIVITIES</t>
  </si>
  <si>
    <t>SCR160000</t>
  </si>
  <si>
    <t>STORMWATER DISCHARGES FROM SCDOT CONSTRUCTION ACTIVITIES</t>
  </si>
  <si>
    <t>SDGA10000</t>
  </si>
  <si>
    <t>SDR100000</t>
  </si>
  <si>
    <t>TNG110000</t>
  </si>
  <si>
    <t>DISCHARGES OF STORMWATER RUNOFF/PROCESS WASTEWATER FROM READY MIXED CONCRETE FACILITIES</t>
  </si>
  <si>
    <t>TNG640000</t>
  </si>
  <si>
    <t>FILTER BACKWASH AND SEDIMENTATION BASIN WASTEWATER FROM WATER TREATMENT PLANTS</t>
  </si>
  <si>
    <t>TNG670000</t>
  </si>
  <si>
    <t>DISCHARGES OF HYDROSTATIC TEST WATER</t>
  </si>
  <si>
    <t>TNG830000</t>
  </si>
  <si>
    <t>TREATED GROUNDWATER FROM UNDERGROUND STORAGE TANK REMEDIATION</t>
  </si>
  <si>
    <t>TNHAR0000</t>
  </si>
  <si>
    <t>TWRA - REELFOOT LAKE CONTACT AQUATIC HERBICIDE APPLICATION GP</t>
  </si>
  <si>
    <t>TNP100000</t>
  </si>
  <si>
    <t>TNR050000</t>
  </si>
  <si>
    <t>STORMWATER MSGP FOR INDUSTRIAL ACTIVITIES</t>
  </si>
  <si>
    <t>TNR100000</t>
  </si>
  <si>
    <t>STORMWATER ASSOCIATED WITH CONSTRUCTION ACTIVITIES</t>
  </si>
  <si>
    <t>TNS000000</t>
  </si>
  <si>
    <t>TXG110000</t>
  </si>
  <si>
    <t>READY-MIX CONCRETE PLANT</t>
  </si>
  <si>
    <t>https://www.tceq.texas.gov/assets/public/permitting/wastewater/TXG11_Issued_Permit_2016.docx</t>
  </si>
  <si>
    <t>TXG130000</t>
  </si>
  <si>
    <t>AQUACULTURE PRODUCTION</t>
  </si>
  <si>
    <t>https://www.tceq.texas.gov/assets/public/permitting/wastewater/general/TXG130000.docx</t>
  </si>
  <si>
    <t>TXG260000</t>
  </si>
  <si>
    <t>TEXAS TERRITORIAL SEAS OIL AND GAS</t>
  </si>
  <si>
    <t>https://www.epa.gov/npdes-permits/western-and-central-gulf-mexico-offshore-oil-gas-npdes-program</t>
  </si>
  <si>
    <t>TXG330000</t>
  </si>
  <si>
    <t>TEXAS COASTAL OIL AND GAS</t>
  </si>
  <si>
    <t>TXG340000</t>
  </si>
  <si>
    <t>PETROLEUM BULK STATIONS AND TERMINALS</t>
  </si>
  <si>
    <t>http://www.tceq.texas.gov/assets/public/permitting/waterquality/attachments/general/txg340000.pdf</t>
  </si>
  <si>
    <t>TXG350000</t>
  </si>
  <si>
    <t>TEXAS ONSHORE STRIPPER WELLS</t>
  </si>
  <si>
    <t>TXG500000</t>
  </si>
  <si>
    <t>QUARRIES IN THE JOHN GRAVES SCENIC RIVERWAY</t>
  </si>
  <si>
    <t>http://www.tceq.texas.gov/assets/public/permitting/waterquality/attachments/general/txg500000.pdf</t>
  </si>
  <si>
    <t>TXG530000</t>
  </si>
  <si>
    <t>ON-SITE TREATMENT SYSTEMS/SINGLE FAMILY RESIDENCES/SAN JACINTO RIVER BASIN/HARRIS CO.</t>
  </si>
  <si>
    <t>TXG670000</t>
  </si>
  <si>
    <t>HYDROSTATIC TEST WATERS</t>
  </si>
  <si>
    <t>http://www.tceq.texas.gov/assets/public/permitting/waterquality/attachments/general/txg670000.pdf</t>
  </si>
  <si>
    <t>TXG830000</t>
  </si>
  <si>
    <t>PETROLEUM FUEL AND PETROLEUM SUBSTANCES</t>
  </si>
  <si>
    <t>http://www.tceq.texas.gov/assets/public/permitting/waterquality/attachments/general/txg830000.pdf</t>
  </si>
  <si>
    <t>TXG870000</t>
  </si>
  <si>
    <t>PESTICIDES</t>
  </si>
  <si>
    <t>https://www.tceq.texas.gov/assets/public/permitting/wastewater/general/TXG87_Issued_Permit_2016.docx</t>
  </si>
  <si>
    <t>TXG920000</t>
  </si>
  <si>
    <t>http://www.tceq.texas.gov/assets/public/permitting/waterquality/attachments/general/txg920000.pdf</t>
  </si>
  <si>
    <t>TXR040000</t>
  </si>
  <si>
    <t>http://www.tceq.texas.gov/assets/public/permitting/stormwater/txr040000.pdf</t>
  </si>
  <si>
    <t>TXR050000</t>
  </si>
  <si>
    <t>INDUSTRIAL ACTIVITIES</t>
  </si>
  <si>
    <t>http://www.tceq.texas.gov/assets/public/permitting/stormwater/txr050000.pdf</t>
  </si>
  <si>
    <t>TXR150000</t>
  </si>
  <si>
    <t>STORM WATER DISCHARGE ASSOCIATED WITH CONSTRUCTION ACTIVITIES UNDER THE AUTHORITY OF THE TEXAS COMMISSION ON ENVIRONMENTAL QUALITY EXCEPT INDIAN COUNTRY</t>
  </si>
  <si>
    <t>VAG110000</t>
  </si>
  <si>
    <t>CONCRETE PRODUCTS FACILITIES</t>
  </si>
  <si>
    <t>VAG250000</t>
  </si>
  <si>
    <t>COOLING WATER DISCHARGES</t>
  </si>
  <si>
    <t>VAG400000</t>
  </si>
  <si>
    <t>DOMESTIC SEWAGE</t>
  </si>
  <si>
    <t>VAG520000</t>
  </si>
  <si>
    <t>SEAFOOD PROCESSING FACILITIES</t>
  </si>
  <si>
    <t>http://law.lis.virginia.gov/admincode/title9/agency25/chapter115/</t>
  </si>
  <si>
    <t>VAG640000</t>
  </si>
  <si>
    <t>VAG750000</t>
  </si>
  <si>
    <t>VEHICLE WASH AND LAUNDRY FACILITIES</t>
  </si>
  <si>
    <t>VAG830000</t>
  </si>
  <si>
    <t>PETROLEUM CONTAMINATED SITES AND HYDROSTATIC TEST</t>
  </si>
  <si>
    <t>HYDROSTATIC TESTING ; CONTAMINATED GROUNDWATER TREATMENT - PETROLEUM</t>
  </si>
  <si>
    <t>VAG840000</t>
  </si>
  <si>
    <t>NON-METALLIC MINERAL MINING</t>
  </si>
  <si>
    <t>VAG870000</t>
  </si>
  <si>
    <t>VAN000000</t>
  </si>
  <si>
    <t>VAR040000</t>
  </si>
  <si>
    <t>VAR050000</t>
  </si>
  <si>
    <t>DISCHARGES OF STORMWATER ASSOCIATED WITH INDUSTRIAL ACTIVITY</t>
  </si>
  <si>
    <t>VAR100000</t>
  </si>
  <si>
    <t>DISCHARGES OF STORMWATER FROM CONSTRUCTION</t>
  </si>
  <si>
    <t>VTG910001</t>
  </si>
  <si>
    <t>VTPGP0000</t>
  </si>
  <si>
    <t>PESTICIDE GENERAL PERMIT (PGP) FOR DISCHARGES FROM THE APPLICATION OF PESTICIDES TO WATERS OF THE STATE OF VERMONT</t>
  </si>
  <si>
    <t>VTR040000</t>
  </si>
  <si>
    <t>VTR050001</t>
  </si>
  <si>
    <t>WAG000003</t>
  </si>
  <si>
    <t>BOATYARD</t>
  </si>
  <si>
    <t>WAG100000</t>
  </si>
  <si>
    <t>WAG137020</t>
  </si>
  <si>
    <t>WAG437023</t>
  </si>
  <si>
    <t>FRESH FRUIT PACKING</t>
  </si>
  <si>
    <t>WAG507216</t>
  </si>
  <si>
    <t>OTHER ; MINING AND QUARRIES ; CONCRETE, GYPSUM AND PLASTER PRODUCTS</t>
  </si>
  <si>
    <t>WAG647002</t>
  </si>
  <si>
    <t>WAG991000</t>
  </si>
  <si>
    <t>IRRIGATION SYSTEM AQUATIC WEED CONTROL</t>
  </si>
  <si>
    <t>AQUATIC PLANT AND ALGAE MANAGEMENT</t>
  </si>
  <si>
    <t>WAR125725</t>
  </si>
  <si>
    <t>WAR125726</t>
  </si>
  <si>
    <t>WI0044938</t>
  </si>
  <si>
    <t>WI0046507</t>
  </si>
  <si>
    <t>CONCRETE PRODUCTS OPERATIONS</t>
  </si>
  <si>
    <t>WI0046523</t>
  </si>
  <si>
    <t>SWIMMING POOL FACILITY</t>
  </si>
  <si>
    <t>WI0046531</t>
  </si>
  <si>
    <t>PETROLEUM CONTAMINATED WATER</t>
  </si>
  <si>
    <t>BULK FUEL STORAGE ; VEHICLE WASH AND SERVICE ; OTHER</t>
  </si>
  <si>
    <t>WI0046540</t>
  </si>
  <si>
    <t>WI0046558</t>
  </si>
  <si>
    <t>WI0046566</t>
  </si>
  <si>
    <t>WI0047341</t>
  </si>
  <si>
    <t>WI0049344</t>
  </si>
  <si>
    <t>WI0057681</t>
  </si>
  <si>
    <t>WI0063274</t>
  </si>
  <si>
    <t>LARGE DAIRY CAFOS</t>
  </si>
  <si>
    <t>WI0063835</t>
  </si>
  <si>
    <t>BALLAST WATER</t>
  </si>
  <si>
    <t>WI0064556</t>
  </si>
  <si>
    <t>WI0064564</t>
  </si>
  <si>
    <t>WI0064581</t>
  </si>
  <si>
    <t>WIA046515</t>
  </si>
  <si>
    <t>NONMETALLIC MINING OPERATIONS (NON-INDUSTRIAL SAND AND OTHER AGGREGATES)</t>
  </si>
  <si>
    <t>http://dnr.wi.gov/topic/stormwater/documents/A046515-6.pdf</t>
  </si>
  <si>
    <t>WIB046515</t>
  </si>
  <si>
    <t>NONMETALLIC MINING OPERATIONS FOR INDUSTRIAL SAND MINING AND PROCESSING</t>
  </si>
  <si>
    <t>http://dnr.wi.gov/topic/stormwater/documents/B046515-6.pdf</t>
  </si>
  <si>
    <t>WIS050075</t>
  </si>
  <si>
    <t>EXISTING MS4</t>
  </si>
  <si>
    <t>WIS058831</t>
  </si>
  <si>
    <t>RECYCLING OF SCRAP AND WASTE MATERIALS</t>
  </si>
  <si>
    <t>WIS059145</t>
  </si>
  <si>
    <t>DISMANTLING OF VEHICLES FOR PARTS SELLING AND SALVAGE</t>
  </si>
  <si>
    <t>WIS067831</t>
  </si>
  <si>
    <t>CONSTRUCTION SITE STORMWATER RUNOFF</t>
  </si>
  <si>
    <t>WIS067849</t>
  </si>
  <si>
    <t>TIER 1 INDUSTRIAL FACILITIES</t>
  </si>
  <si>
    <t>WIS067857</t>
  </si>
  <si>
    <t>TIER 2 INDUSTRIAL FACILITIES</t>
  </si>
  <si>
    <t>WV0078743</t>
  </si>
  <si>
    <t>CAR WASH</t>
  </si>
  <si>
    <t>HTTP://WWW.DEP.WV.GOV/WWE/PERMIT/GENERAL/DOCUMENTS/2012%20GENERAL%20PERMIT%20-%20CAR%20WASH.PDF</t>
  </si>
  <si>
    <t>WV0103110</t>
  </si>
  <si>
    <t>SEWAGE FACILITIES WITH DESIGN FLOW &lt;50000 GPD</t>
  </si>
  <si>
    <t>http://www.dep.wv.gov/WWE/permit/general/Documents/Sewage%20GP.pdf</t>
  </si>
  <si>
    <t>WV0107000</t>
  </si>
  <si>
    <t>HOME AERATION UNIT</t>
  </si>
  <si>
    <t>HTTP://WWW.DEP.WV.GOV/WWE/PERMIT/GENERAL/DOCUMENTS/2014%20HAU%20GP.PDF</t>
  </si>
  <si>
    <t>WV0111457</t>
  </si>
  <si>
    <t>STORMWATER ASSOCIATED WITH INDUSTRIAL ACTIVITY</t>
  </si>
  <si>
    <t>WV0113069</t>
  </si>
  <si>
    <t>HTTP://WWW.DEP.WV.GOV/WWE/PERMIT/GENERAL/DOCUMENTS/HYDROSTATIC%20GP%20AS%20ISSUED%202012.PDF</t>
  </si>
  <si>
    <t>WV0113727</t>
  </si>
  <si>
    <t>GROUNDWATER REMEDIATION OF PETROLEUM CONTAMINANTS</t>
  </si>
  <si>
    <t>WV0115754</t>
  </si>
  <si>
    <t>HTTP://WWW.DEP.WV.GOV/WWE/PERMIT/GENERAL/DOCUMENTS/FINAL%20WTP%20GP%202013.PDF</t>
  </si>
  <si>
    <t>POOLS, SPAS, AND CHLORINATED DISCHARGES ; WATER TREATMENT FACILITY (POTABLE AND NON-POTABLE)</t>
  </si>
  <si>
    <t>WV0115924</t>
  </si>
  <si>
    <t>http://www.dep.wv.gov/WWE/Programs/stormwater/csw/Documents/2007%20Construction%20Stormwater%20General%20Permit.pdf</t>
  </si>
  <si>
    <t>WV0116025</t>
  </si>
  <si>
    <t>http://www.dep.wv.gov/WWE/Programs/stormwater/MS4/permits/Documents/WV%20MS4%20permit%20FINAL%20(2)%204-26-12.pdf</t>
  </si>
  <si>
    <t>WV0116246</t>
  </si>
  <si>
    <t>DISCHARGES FROM DOH OR MUNICIPALITIES</t>
  </si>
  <si>
    <t>http://www.dep.wv.gov/WWE/permit/general/Documents/EP%20WV%20DOH%20WV0116246.pdf</t>
  </si>
  <si>
    <t>VEHICLE WASH AND SERVICE ; DOMESTIC WASTEWATER TREATMENT FACILITIES ; STORMWATER - INDUSTRIAL</t>
  </si>
  <si>
    <t>WV0116645</t>
  </si>
  <si>
    <t>WV0116815</t>
  </si>
  <si>
    <t>STORMWATER ASSOCIATED WITH OIL AND GAS RELATED CONSTRUCTION ACTIVITIES</t>
  </si>
  <si>
    <t>http://www.dep.wv.gov/WWE/Programs/stormwater/csw/Documents/OG%20stormwater%20GP%203_10_15.pdf</t>
  </si>
  <si>
    <t>STORMWATER - CONSTRUCTION ; OIL AND GAS EXTRACTION</t>
  </si>
  <si>
    <t>WVSG10000</t>
  </si>
  <si>
    <t>LAND APPLICATION</t>
  </si>
  <si>
    <t>http://www.dep.wv.gov/WWE/permit/general/Documents/2015%20Land%20App%20GP.pdf</t>
  </si>
  <si>
    <t>DOMESTIC WASTEWATER TREATMENT FACILITIES ; SLUDGE</t>
  </si>
  <si>
    <t>WVSG20000</t>
  </si>
  <si>
    <t>SEPTAGE-POTW</t>
  </si>
  <si>
    <t>http://www.dep.wv.gov/WWE/permit/general/Documents/2015%20POTW%20Disp%20GP.pdf</t>
  </si>
  <si>
    <t>WYG260000</t>
  </si>
  <si>
    <t>GENERAL PERMIT FOR MINOR PESTICIDE DISCHARGES</t>
  </si>
  <si>
    <t>WYG280000</t>
  </si>
  <si>
    <t>PUMPKIN CREEK WATERSHED CBM DISCHARGES</t>
  </si>
  <si>
    <t>http://deq.state.wy.us/wqd/WYPDES_Permitting/WYPDES_PNs_and_appr_permits/WYPDES_PNs/WYPDES_PNs_2009/August_2009/WYG280000%20-%20Pumpkin%20Mod%208-17-09%20august.pdf</t>
  </si>
  <si>
    <t>WYG310000</t>
  </si>
  <si>
    <t>BITTER CREEK WATERSHED GENERAL PERMIT</t>
  </si>
  <si>
    <t>WYG320000</t>
  </si>
  <si>
    <t>TEMPORARY DISCHARGE - CBM GROUND WATER</t>
  </si>
  <si>
    <t>OIL AND GAS EXTRACTION ; TEMPORARY DISCHARGES</t>
  </si>
  <si>
    <t>WYG420000</t>
  </si>
  <si>
    <t>CBM DROUGHT RELIEF</t>
  </si>
  <si>
    <t>HTTP://DEQ.STATE.WY.US/WQD/WYPDES_PERMITTING/WYPDES_PNS_AND_APPR_PERMITS/WYPDES_PNS/WYPDES_PNS_2012/JUNE%202012/WYG420000%20CBM%20TEMP%20GENERAL%206-15-12.PDF</t>
  </si>
  <si>
    <t>WYG480000</t>
  </si>
  <si>
    <t>GENERAL PERMIT FOR MAJOR PESTICIDE DISCHARGES</t>
  </si>
  <si>
    <t>HTTP://WWW.WYAG.NET/PORTALS/27/WYG480000%20MAJOR%20PGP%20FINAL%20DRAFT_FOR%20SIGNATURE.PDF</t>
  </si>
  <si>
    <t>WYG670000</t>
  </si>
  <si>
    <t>TEMPORARY DISCHARGE - HYDROSTATIC TESTING</t>
  </si>
  <si>
    <t>WYG710000</t>
  </si>
  <si>
    <t>TEMPORARY DISCHARGE - DISINFECTION OF POTABLE WATER</t>
  </si>
  <si>
    <t>WYG720000</t>
  </si>
  <si>
    <t>TEMPORARY DISCHARGE - WELL PUMP TEST</t>
  </si>
  <si>
    <t>CONSTRUCTION DEWATERING ; CONTAMINATED GROUNDWATER TREATMENT - PETROLEUM ; HYDROSTATIC TESTING ; POOLS, SPAS, AND CHLORINATED DISCHARGES</t>
  </si>
  <si>
    <t>WYG740000</t>
  </si>
  <si>
    <t>TEMPORARY DISCHARGE - CONSTRUCTION DEWATERING</t>
  </si>
  <si>
    <t>TEMPORARY DISCHARGES ; CONSTRUCTION DEWATERING</t>
  </si>
  <si>
    <t>WYG760000</t>
  </si>
  <si>
    <t>TEMPORARY DISCHARGE - SWIMMING POOLS</t>
  </si>
  <si>
    <t>WYG940000</t>
  </si>
  <si>
    <t>TEMPORARY DISCHARGE - LUST PROJECTS</t>
  </si>
  <si>
    <t>TEMPORARY DISCHARGES ; CONTAMINATED GROUNDWATER TREATMENT - NON-PETROLEUM ; CONSTRUCTION DEWATERING</t>
  </si>
  <si>
    <t>WYR000000</t>
  </si>
  <si>
    <t>GENERAL INDUSTRIAL STORMWATER PERMIT</t>
  </si>
  <si>
    <t>http://deq.wyoming.gov/wqd/storm-water-permitting/resources/general-industrial-storm-water/</t>
  </si>
  <si>
    <t>http://deq.wyoming.gov/media/attachments/Water%20Quality/Storm%20Water%20Permitting%20/Municipal%20Separate%20Storm%20Sewer/04_WQD-WYPDES-Municipal-Separate-Storm-Water-Sewer-Systems_MS4-Permit.pdf</t>
  </si>
  <si>
    <t>WYR10A000</t>
  </si>
  <si>
    <t>SMALL CONSTRUCTION GENERAL PERMIT</t>
  </si>
  <si>
    <t>http://deq.wyoming.gov/wqd/storm-water-permitting/resources/construction-general-permits/</t>
  </si>
  <si>
    <t>WYR100000</t>
  </si>
  <si>
    <t>WYR320000</t>
  </si>
  <si>
    <t>GENERAL MINERAL MINING STORM WATER PERMIT</t>
  </si>
  <si>
    <t>Arizona</t>
  </si>
  <si>
    <t>Gulf of Mexico (West)</t>
  </si>
  <si>
    <t>Michigan</t>
  </si>
  <si>
    <t>Ohio</t>
  </si>
  <si>
    <t>Oklahoma</t>
  </si>
  <si>
    <t>Wisconsin</t>
  </si>
  <si>
    <t>Number of "N/A" Program Reports (Total)</t>
  </si>
  <si>
    <t>Issuing Agency</t>
  </si>
  <si>
    <t>Usage of EPA’s NPDES Electronic Reporting Tool (or “NeT”)</t>
  </si>
  <si>
    <t>No usage of EPA’s NPDES Electronic Reporting Tool (or “NeT”)</t>
  </si>
  <si>
    <t>U.S. EPA</t>
  </si>
  <si>
    <t>Subtotal:</t>
  </si>
  <si>
    <t>Total NPDES General Permts:</t>
  </si>
  <si>
    <t>NPDES General Permit Count</t>
  </si>
  <si>
    <t>NPDES General Permit Covered Facility Count</t>
  </si>
  <si>
    <t>Total NPDES General Permt Covered Facilities:</t>
  </si>
  <si>
    <t>Estimated Number of NeT Program Reports Filers (Total)</t>
  </si>
  <si>
    <t>Estimated Number of NeT Program Reports Filers (EPA)</t>
  </si>
  <si>
    <t>Estimated Number of NeT Program Reports Filers (State)</t>
  </si>
  <si>
    <t>Overall Schedule of EPA's Initial Coordination with States and EPA Points of Contact (POC) - Program Reports Using NeT</t>
  </si>
  <si>
    <t>Estimated Number of Program Reports Filers (EPA) - NeT Application Deployed</t>
  </si>
  <si>
    <t>Estimated Number of Program Reports Filers (State) - NeT Application Deployed</t>
  </si>
  <si>
    <t>Info Gathering Status - NeT</t>
  </si>
  <si>
    <t>Number of General Permits - NeT</t>
  </si>
  <si>
    <t>Number of General Permit Covered Facilities - NeT</t>
  </si>
  <si>
    <t>State Abbrev.</t>
  </si>
  <si>
    <t>State, Tribe, or Territory</t>
  </si>
  <si>
    <t>State and EPA Regional View</t>
  </si>
  <si>
    <t>Number of General Permits (State)</t>
  </si>
  <si>
    <t>Number of General Permits (EPA)</t>
  </si>
  <si>
    <t>Number of NeT General Permits (Total)</t>
  </si>
  <si>
    <t>Number of NeT General Permits (EPA)</t>
  </si>
  <si>
    <t>Number of NeT General Permits (EPA) - NeT Application Deployed</t>
  </si>
  <si>
    <t>Number of NeT General Permits (State)</t>
  </si>
  <si>
    <t>Number of NeT General Permits (State) - NeT Application Deployed</t>
  </si>
  <si>
    <t>Estimated Number of General Permit Covered Facilities Using NeT (Total)</t>
  </si>
  <si>
    <t>Estimated Number of General Permit Covered Facilities Using NeT (EPA)</t>
  </si>
  <si>
    <t>Estimated Number of General Permit Covered Facilities Using NeT (State)</t>
  </si>
  <si>
    <t>States with State-Issued General Permits Using NeT</t>
  </si>
  <si>
    <t>NPDES eRule Program Report Associated with NeT General Permit Sector (Yes/No)</t>
  </si>
  <si>
    <t>DMR Submissions Associated with NeT General Permit Sector</t>
  </si>
  <si>
    <t>Timing of NOIs Associated with NeT General Permit Sector</t>
  </si>
  <si>
    <t>Gulf of Mexico (East)</t>
  </si>
  <si>
    <t>Johnston Atoll</t>
  </si>
  <si>
    <t>Number of Program Reports (EPA)</t>
  </si>
  <si>
    <t>Number of Program Reports (State)</t>
  </si>
  <si>
    <t>Estimated Number of Program Report Filers (Total)</t>
  </si>
  <si>
    <t>Estimated Number of Program Report Filers (EPA)</t>
  </si>
  <si>
    <t>Estimated Number of Program Report Filers (State)</t>
  </si>
  <si>
    <t>Estimated Number of Program Report Filers Using NeT (Total)</t>
  </si>
  <si>
    <t>Estimated Number of Program Report Filers Using NeT (EPA)</t>
  </si>
  <si>
    <t>Estimated Number of Program Report Filers (EPA) - NeT Application Deployed</t>
  </si>
  <si>
    <t>Estimated Number of Program Report Filers Using NeT (State)</t>
  </si>
  <si>
    <t>Estimated Number of Program Report Filers (State) - NeT Application Deployed</t>
  </si>
  <si>
    <t>Roadmap View</t>
  </si>
  <si>
    <t>Percentage of General Permits in Group Using NeT - 
Info Gathering Complete</t>
  </si>
  <si>
    <t>Number of General Permits in Group Using NeT - 
Info Gathering Complete</t>
  </si>
  <si>
    <t>Number of General Permits in Group Using NeT - 
Info Gathering Not Complete</t>
  </si>
  <si>
    <t>Percentage of General Permits in Group Using NeT - 
Info Gathering Not Complete</t>
  </si>
  <si>
    <t>Number of General Permit Covered Facilities in Group - 
Info Gathering Complete</t>
  </si>
  <si>
    <t>Number of General Permit Covered Facilities in Group - 
Info Gathering Not Complete</t>
  </si>
  <si>
    <t>Percentage of General Permit Covered Facilities in Group - 
Info Gathering Complete</t>
  </si>
  <si>
    <t>Percentage of General Permit Covered Facilities in Group - 
Info Gathering Not Complete</t>
  </si>
  <si>
    <t>Summary of EPA's NPDES eRule Phase 2 NeT Development for General Permits</t>
  </si>
  <si>
    <t>Summary of EPA's NPDES eRule Phase 2 NeT Development for Program Reports</t>
  </si>
  <si>
    <t>Summary of EPA's NPDES eRule Phase 2 NeT Information Gathering and Deployment for General Permits</t>
  </si>
  <si>
    <t>Summary of EPA's NPDES eRule Phase 2 NeT Information Gathering and Deployment for Program Reports</t>
  </si>
  <si>
    <t>https://mde.maryland.gov/programs/LAND/RecyclingandOperationsprogram/Pages/AFOInfo.aspx</t>
  </si>
  <si>
    <t>https://mde.maryland.gov/programs/LAND/Pages/landpermits.aspx</t>
  </si>
  <si>
    <t>https://mde.maryland.gov/programs/Permits/WaterManagementPermits/Pages/amines.aspx</t>
  </si>
  <si>
    <t>https://mde.maryland.gov/programs/Permits/WaterManagementPermits/Pages/tanks.aspx</t>
  </si>
  <si>
    <t>https://mde.maryland.gov/programs/Permits/WaterManagementPermits/Pages/swimmingpools.aspx</t>
  </si>
  <si>
    <t>https://mde.maryland.gov/programs/Permits/WaterManagementPermits/Pages/coalmines.aspx</t>
  </si>
  <si>
    <t>https://mde.maryland.gov/programs/Permits/WaterManagementPermits/Pages/GPPesticides.aspx</t>
  </si>
  <si>
    <t>https://mde.maryland.gov/programs/Permits/WaterManagementPermits/Pages/stormwater.aspx</t>
  </si>
  <si>
    <t>https://mde.maryland.gov/programs/Water/StormwaterManagementProgram/Pages/NPDES_MS4_New.aspx</t>
  </si>
  <si>
    <t>https://mde.maryland.gov/programs/water/wwp/Pages/gp_construction.aspx</t>
  </si>
  <si>
    <t>Massachusetts</t>
  </si>
  <si>
    <t>Lauren D'Angelo</t>
  </si>
  <si>
    <t>AKR05F000</t>
  </si>
  <si>
    <t>IDENTIFIER FOR MULTI-SECTOR GENERAL PERMIT FOR STORMWATER DISCHARGES ASSOCIATED WITH INDUSTRIAL ACTIVITY - DENALI NATIONAL PARK AND PRESERVE</t>
  </si>
  <si>
    <t>AKR05I000</t>
  </si>
  <si>
    <t>IDENTIFIER FOR MULTI-SECTOR GENERAL PERMIT FOR STORMWATER DISCHARGES ASSOCIATED WITH INDUSTRIAL ACTIVITY - INDIAN COUNTRY WITHIN THE STATE OF ALASKA</t>
  </si>
  <si>
    <t>AKR10F000</t>
  </si>
  <si>
    <t>IDENTIFIER FOR CONSTRUCTION GENERAL PERMIT FOR STORMWATER DISCHARGES - AREAS IN THE STATE OF ALASKA SUBJECT TO CONSTRUCTION BY A FEDERAL OPERATOR</t>
  </si>
  <si>
    <t>https://www.epa.gov/npdes/epas-2017-construction-general-permit-cgp-and-related-documents</t>
  </si>
  <si>
    <t>AKR10I000</t>
  </si>
  <si>
    <t>IDENTIFIER FOR CONSTRUCTION GENERAL PERMIT FOR STORMWATER DISCHARGES - INDIAN COUNTRY WITHIN THE STATE OF ALASKA</t>
  </si>
  <si>
    <t>IDENTIFIER FOR CONSTRUCTION GENERAL PERMIT FOR STORMWATER DISCHARGES - INDIAN COUNTRY WITHIN THE STATE OF ALABAMA</t>
  </si>
  <si>
    <t>IDENTIFIER FOR CONSTRUCTION GENERAL PERMIT FOR STORMWATER DISCHARGES - ISLAND OF AMERICAN SAMOA</t>
  </si>
  <si>
    <t>AZR05I000</t>
  </si>
  <si>
    <t>IDENTIFIER FOR MULTI-SECTOR GENERAL PERMIT FOR STORMWATER DISCHARGES ASSOCIATED WITH INDUSTRIAL ACTIVITY - INDIAN COUNTRY WITHIN THE STATE OF ARIZONA, INCLUDING NAVAJO RESERVATION LANDS IN NEW MEXICO AND UTAH</t>
  </si>
  <si>
    <t>IDENTIFIER FOR CONSTRUCTION GENERAL PERMIT FOR STORMWATER DISCHARGES - INDIAN COUNTRY WITHIN THE STATE OF ARIZONA, AS WELL AS NAVAJO RESERVATION LANDS IN NEW MEXICO AND UTAH</t>
  </si>
  <si>
    <t>CAR05I000</t>
  </si>
  <si>
    <t>IDENTIFIER FOR CONSTRUCTION GENERAL PERMIT FOR STORMWATER DISCHARGES - INDIAN COUNTRY WITHIN THE STATE OF CALIFORNIA</t>
  </si>
  <si>
    <t>COR05F000</t>
  </si>
  <si>
    <t>IDENTIFIER FOR MULTI-SECTOR GENERAL PERMIT FOR STORMWATER DISCHARGES ASSOCIATED WITH INDUSTRIAL ACTIVITY - FEDERAL FACILITIES WITHIN THE STATE OF COLORADO</t>
  </si>
  <si>
    <t>COR05I000</t>
  </si>
  <si>
    <t>IDENTIFIER FOR MULTI-SECTOR GENERAL PERMIT FOR STORMWATER DISCHARGES ASSOCIATED WITH INDUSTRIAL ACTIVITY - INDIAN COUNTRY WITHIN THE STATE OF COLORADO</t>
  </si>
  <si>
    <t>COR10F000</t>
  </si>
  <si>
    <t>IDENTIFIER FOR CONSTRUCTION GENERAL PERMIT FOR STORMWATER DISCHARGES - AREAS IN THE STATE OF COLORADO SUBJECT TO CONSTRUCTION BY A FEDERAL OPERATOR</t>
  </si>
  <si>
    <t>COR10I000</t>
  </si>
  <si>
    <t>IDENTIFIER FOR CONSTRUCTION GENERAL PERMIT FOR STORMWATER DISCHARGES - INDIAN COUNTRY WITHIN THE STATE OF COLORADO</t>
  </si>
  <si>
    <t>CTR05I000</t>
  </si>
  <si>
    <t>IDENTIFIER FOR CONSTRUCTION GENERAL PERMIT FOR STORMWATER DISCHARGES - INDIAN COUNTRY WITHIN THE STATE OF CONNECTICUT</t>
  </si>
  <si>
    <t>IDENTIFIER FOR CONSTRUCTION GENERAL PERMIT FOR STORMWATER DISCHARGES - DISCTRICT OF COLUMBIA</t>
  </si>
  <si>
    <t>https://dnrec.alpha.delaware.gov/water/surface-water/npdes/municipal-storm-sewers/</t>
  </si>
  <si>
    <t>DER05F000</t>
  </si>
  <si>
    <t>IDENTIFIER FOR CONSTRUCTION GENERAL PERMIT FOR STORMWATER DISCHARGES - AREAS IN THE STATE OF DELAWARE SUBJECT TO CONSTRUCTION BY A FEDERAL OPERATOR</t>
  </si>
  <si>
    <t>IDENTIFIER FOR CONSTRUCTION GENERAL PERMIT FOR STORMWATER DISCHARGES - INDIAN COUNTRY WITHIN THE STATE OF FLORIDA</t>
  </si>
  <si>
    <t>IDENTIFIER FOR CONSTRUCTION GENERAL PERMIT FOR STORMWATER DISCHARGES - ISLAND OF GUAM</t>
  </si>
  <si>
    <t>IAR05I000</t>
  </si>
  <si>
    <t>IDENTIFIER FOR MULTI-SECTOR GENERAL PERMIT FOR STORMWATER DISCHARGES ASSOCIATED WITH INDUSTRIAL ACTIVITY - INDIAN COUNTRY WITHIN THE STATE OF IOWA</t>
  </si>
  <si>
    <t>IDENTIFIER FOR CONSTRUCTION GENERAL PERMIT FOR STORMWATER DISCHARGES - INDIAN COUNTRY WITHIN THE STATE OF IOWA</t>
  </si>
  <si>
    <t>IDG87000E</t>
  </si>
  <si>
    <t>IDG87000S</t>
  </si>
  <si>
    <t>IDR05I000</t>
  </si>
  <si>
    <t>IDENTIFIER FOR MULTI-SECTOR GENERAL PERMIT FOR STORMWATER DISCHARGES ASSOCIATED WITH INDUSTRIAL ACTIVITY - INDIAN COUNTRY WITHIN THE STATE OF IDAHO</t>
  </si>
  <si>
    <t>IDR10I000</t>
  </si>
  <si>
    <t>IDENTIFIER FOR CONSTRUCTION GENERAL PERMIT FOR STORMWATER DISCHARGES - INDIAN COUNTRY WITHIN THE STATE OF IDAHO</t>
  </si>
  <si>
    <t>IDR050000</t>
  </si>
  <si>
    <t>IDENTIFIER FOR MULTI-SECTOR GENERAL PERMIT FOR STORMWATER DISCHARGES ASSOCIATED WITH INDUSTRIAL ACTIVITY - STATE OF IDAHO (EXCEPT INDIAN COUNTRY)</t>
  </si>
  <si>
    <t>IDR100000</t>
  </si>
  <si>
    <t>IDENTIFIER FOR CONSTRUCTION GENERAL PERMIT FOR STORMWATER DISCHARGES - STATE OF IDAHO (EXCEPT INDIAN COUNTRY)</t>
  </si>
  <si>
    <t>IDENTIFIER FOR CONSTRUCTION GENERAL PERMIT FOR STORMWATER DISCHARGES - JOHNSTON ATOLL</t>
  </si>
  <si>
    <t>KSR05I000</t>
  </si>
  <si>
    <t>IDENTIFIER FOR MULTI-SECTOR GENERAL PERMIT FOR STORMWATER DISCHARGES ASSOCIATED WITH INDUSTRIAL ACTIVITY - INDIAN COUNTRY WITHIN THE STATE OF KANSAS</t>
  </si>
  <si>
    <t>IDENTIFIER FOR CONSTRUCTION GENERAL PERMIT FOR STORMWATER DISCHARGES - INDIAN COUNTRY WITHIN THE STATE OF KANSAS</t>
  </si>
  <si>
    <t>LAR05I000</t>
  </si>
  <si>
    <t>IDENTIFIER FOR CONSTRUCTION GENERAL PERMIT FOR STORMWATER DISCHARGES - INDIAN COUNTRY WITHIN THE STATE OF LOUISIANA</t>
  </si>
  <si>
    <t>MAR05I000</t>
  </si>
  <si>
    <t>IDENTIFIER FOR MULTI-SECTOR GENERAL PERMIT FOR STORMWATER DISCHARGES ASSOCIATED WITH INDUSTRIAL ACTIVITY - INDIAN COUNTRY WITHIN THE STATE OF MASSACHUSETTS</t>
  </si>
  <si>
    <t>MAR10I000</t>
  </si>
  <si>
    <t>IDENTIFIER FOR CONSTRUCTION GENERAL PERMIT FOR STORMWATER DISCHARGES - INDIAN COUNTRY WITHIN COMMONWEALTH OF MASSACHUSETTS</t>
  </si>
  <si>
    <t>MAR050000</t>
  </si>
  <si>
    <t>IDENTIFIER FOR MULTI-SECTOR GENERAL PERMIT FOR STORMWATER DISCHARGES ASSOCIATED WITH INDUSTRIAL ACTIVITY - STATE OF MASSACHUSETTS (EXCEPT INDIAN COUNTRY)</t>
  </si>
  <si>
    <t>MAR100000</t>
  </si>
  <si>
    <t>IDENTIFIER FOR CONSTRUCTION GENERAL PERMIT FOR STORMWATER DISCHARGES - COMMONWEALTH OF MASSACHUSETTS (EXCEPT INDIAN COUNTRY)</t>
  </si>
  <si>
    <t>DISCHARGES FROM THE APPLICATION OF PESTICIDES (MD PERMIT NO. 17-PE)</t>
  </si>
  <si>
    <t>MIR05I000</t>
  </si>
  <si>
    <t>IDENTIFIER FOR MULTI-SECTOR GENERAL PERMIT FOR STORMWATER DISCHARGES ASSOCIATED WITH INDUSTRIAL ACTIVITY - INDIAN COUNTRY WITHIN THE STATE OF MICHIGAN</t>
  </si>
  <si>
    <t>IDENTIFIER FOR CONSTRUCTION GENERAL PERMIT FOR STORMWATER DISCHARGES - INDIAN COUNTRY WITHIN THE STATE OF MICHIGAN</t>
  </si>
  <si>
    <t>MNR05I000</t>
  </si>
  <si>
    <t>IDENTIFIER FOR CONSTRUCTION GENERAL PERMIT FOR STORMWATER DISCHARGES - INDIAN COUNTRY WITHIN THE STATE OF MINNESOTA</t>
  </si>
  <si>
    <t>IDENTIFIER FOR CONSTRUCTION GENERAL PERMIT FOR STORMWATER DISCHARGES - COMMONWEALTH OF THE NORTHERN MARIANA ISLANDS</t>
  </si>
  <si>
    <t>IDENTIFIER FOR CONSTRUCTION GENERAL PERMIT FOR STORMWATER DISCHARGES - INDIAN COUNTRY WITHIN THE STATE OF MISSISSIPPI</t>
  </si>
  <si>
    <t>MTR05I000</t>
  </si>
  <si>
    <t>IDENTIFIER FOR MULTI-SECTOR GENERAL PERMIT FOR STORMWATER DISCHARGES ASSOCIATED WITH INDUSTRIAL ACTIVITY - INDIAN COUNTRY WITHIN THE STATE OF MONTANA</t>
  </si>
  <si>
    <t>IDENTIFIER FOR CONSTRUCTION GENERAL PERMIT FOR STORMWATER DISCHARGES - INDIAN COUNTRY WITHIN THE STATE OF MONTANA</t>
  </si>
  <si>
    <t>IDENTIFIER FOR CONSTRUCTION GENERAL PERMIT FOR STORMWATER DISCHARGES - MIDWAY ISLAND AND WAKE ISLAND</t>
  </si>
  <si>
    <t>IDENTIFIER FOR CONSTRUCTION GENERAL PERMIT FOR STORMWATER DISCHARGES - INDIAN COUNTRY WITHIN THE STATE OF NORTH CAROLINA</t>
  </si>
  <si>
    <t>NDR05I000</t>
  </si>
  <si>
    <t>IDENTIFIER FOR MULTI-SECTOR GENERAL PERMIT FOR STORMWATER DISCHARGES ASSOCIATED WITH INDUSTRIAL ACTIVITY - INDIAN COUNTRY WITHIN THE STATE OF NORTH DAKOTA</t>
  </si>
  <si>
    <t>IDENTIFIER FOR CONSTRUCTION GENERAL PERMIT FOR STORMWATER DISCHARGES - INDIAN COUNTRY WITHIN THE STATE OF NORTH DAKOTA</t>
  </si>
  <si>
    <t>NER05I000</t>
  </si>
  <si>
    <t>IDENTIFIER FOR MULTI-SECTOR GENERAL PERMIT FOR STORMWATER DISCHARGES ASSOCIATED WITH INDUSTRIAL ACTIVITY - INDIAN COUNTRY WITHIN THE STATE OF NEBRASKA</t>
  </si>
  <si>
    <t>IDENTIFIER FOR CONSTRUCTION GENERAL PERMIT FOR STORMWATER DISCHARGES - INDIAN COUNTRY WITHIN THE STATE OF NEBRASKA</t>
  </si>
  <si>
    <t>IDENTIFIER FOR CONSTRUCTION GENERAL PERMIT FOR STORMWATER DISCHARGES - STATE OF NEW HAMPSHIRE</t>
  </si>
  <si>
    <t>NMR05I000</t>
  </si>
  <si>
    <t>IDENTIFIER FOR MULTI-SECTOR GENERAL PERMIT FOR STORMWATER DISCHARGES ASSOCIATED WITH INDUSTRIAL ACTIVITY - INDIAN COUNTRY WITHIN THE STATE OF NEW MEXICO</t>
  </si>
  <si>
    <t>NMR10I000</t>
  </si>
  <si>
    <t>IDENTIFIER FOR CONSTRUCTION GENERAL PERMIT FOR STORMWATER DISCHARGES - INDIAN COUNTRY WITHIN STATE OF NEW MEXICO</t>
  </si>
  <si>
    <t>NMR050000</t>
  </si>
  <si>
    <t>IDENTIFIER FOR MULTI-SECTOR GENERAL PERMIT FOR STORMWATER DISCHARGES ASSOCIATED WITH INDUSTRIAL ACTIVITY - STATE OF NEW MEXICO (EXCEPT INDIAN COUNTRY)</t>
  </si>
  <si>
    <t>NMR100000</t>
  </si>
  <si>
    <t>IDENTIFIER FOR CONSTRUCTION GENERAL PERMIT FOR STORMWATER DISCHARGES - STATE OF NEW MEXICO (EXCEPT INDIAN COUNTRY)</t>
  </si>
  <si>
    <t>NVR05I000</t>
  </si>
  <si>
    <t>IDENTIFIER FOR MULTI-SECTOR GENERAL PERMIT FOR STORMWATER DISCHARGES ASSOCIATED WITH INDUSTRIAL ACTIVITY - INDIAN COUNTRY WITHIN THE STATE OF NEVADA</t>
  </si>
  <si>
    <t>IDENTIFIER FOR CONSTRUCTION GENERAL PERMIT FOR STORMWATER DISCHARGES - INDIAN COUNTRY WITHIN THE STATE OF NEVADA</t>
  </si>
  <si>
    <t>IDENTIFIER FOR CONSTRUCTION GENERAL PERMIT FOR STORMWATER DISCHARGES - INDIAN COUNTRY WITHIN THE STATE OF NEW YORK</t>
  </si>
  <si>
    <t>OKR05F000</t>
  </si>
  <si>
    <t>IDENTIFIER FOR MULTI-SECTOR GENERAL PERMIT FOR STORMWATER DISCHARGES ASSOCIATED WITH INDUSTRIAL ACTIVITY - FACILITIES NOT UNDER JURISDICTION OF OKLAHOMA AND NOT INDIAN COUNTRY WITHIN OKLAHOMA</t>
  </si>
  <si>
    <t>OKR05I000</t>
  </si>
  <si>
    <t>IDENTIFIER FOR MULTI-SECTOR GENERAL PERMIT FOR STORMWATER DISCHARGES ASSOCIATED WITH INDUSTRIAL ACTIVITY - INDIAN COUNTRY WITHIN THE STATE OF OKLAHOMA</t>
  </si>
  <si>
    <t>OKR10F000</t>
  </si>
  <si>
    <t>IDENTIFIER FOR CONSTRUCTION GENERAL PERMIT FOR STORMWATER DISCHARGES - FACILITIES NOT UNDER JURISDICTION OF OKLAHOMA AND NOT INDIAN COUNTRY WITHIN OKLAHOMA</t>
  </si>
  <si>
    <t>OKR10I000</t>
  </si>
  <si>
    <t>IDENTIFIER FOR CONSTRUCTION GENERAL PERMIT FOR STORMWATER DISCHARGES - INDIAN COUNTRY WITHIN THE STATE OF OKLAHOMA</t>
  </si>
  <si>
    <t>ORR05I000</t>
  </si>
  <si>
    <t>IDENTIFIER FOR MULTI-SECTOR GENERAL PERMIT FOR STORMWATER DISCHARGES ASSOCIATED WITH INDUSTRIAL ACTIVITY - INDIAN COUNTRY WITHIN THE STATE OF OREGON</t>
  </si>
  <si>
    <t>IDENTIFIER FOR CONSTRUCTION GENERAL PERMIT FOR STORMWATER DISCHARGES - INDIAN COUNTRY WITHIN THE STATE OF OREGON</t>
  </si>
  <si>
    <t>IDENTIFIER FOR CONSTRUCTION GENERAL PERMIT FOR STORMWATER DISCHARGES - COMMONWEALTH OF PUERTO RICO</t>
  </si>
  <si>
    <t>RIR05I000</t>
  </si>
  <si>
    <t>IDENTIFIER FOR CONSTRUCTION GENERAL PERMIT FOR STORMWATER DISCHARGES - INDIAN COUNTRY WITHIN THE STATE OF RHODE ISLAND</t>
  </si>
  <si>
    <t>SDR05I000</t>
  </si>
  <si>
    <t>IDENTIFIER FOR MULTI-SECTOR GENERAL PERMIT FOR STORMWATER DISCHARGES ASSOCIATED WITH INDUSTRIAL ACTIVITY - INDIAN COUNTRY WITHIN THE STATE OF SOUTH DAKOTA</t>
  </si>
  <si>
    <t>IDENTIFIER FOR CONSTRUCTION GENERAL PERMIT FOR STORMWATER DISCHARGES - INDIAN COUNTRY WITHIN THE STATE OF SOUTH DAKOTA</t>
  </si>
  <si>
    <t>TXR05F000</t>
  </si>
  <si>
    <t>IDENTIFIER FOR MULTI-SECTOR GENERAL PERMIT FOR STORMWATER DISCHARGES ASSOCIATED WITH INDUSTRIAL ACTIVITY - FACILITIES NOT UNDER JURISDICTION OF TEXAS AND NOT INDIAN COUNTRY WITHIN TEXAS</t>
  </si>
  <si>
    <t>TXR05I000</t>
  </si>
  <si>
    <t>IDENTIFIER FOR MULTI-SECTOR GENERAL PERMIT FOR STORMWATER DISCHARGES ASSOCIATED WITH INDUSTRIAL ACTIVITY - INDIAN COUNTRY WITHIN THE STATE OF TEXAS</t>
  </si>
  <si>
    <t>TXR10F000</t>
  </si>
  <si>
    <t>IDENTIFIER FOR CONSTRUCTION GENERAL PERMIT FOR STORMWATER DISCHARGES - FACILITIES NOT UNDER JURISDICTION OF TEXAS AND NOT INDIAN COUNTRY WITHIN TEXAS</t>
  </si>
  <si>
    <t>TXR10I000</t>
  </si>
  <si>
    <t>IDENTIFIER FOR CONSTRUCTION GENERAL PERMIT FOR STORMWATER DISCHARGES - INDIAN COUNTRY WITHIN THE STATE OF TEXAS</t>
  </si>
  <si>
    <t>MULTI-SECTOR GENERAL PERMIT FOR STORM WATER DISCHARGES ASSOCIATED WITH INDUSTRIAL ACTIVITIES</t>
  </si>
  <si>
    <t>https://deq.utah.gov/water-quality/general-multi-sector-industrial-storm-water-permit-updes-permits</t>
  </si>
  <si>
    <t>UTR05I000</t>
  </si>
  <si>
    <t>IDENTIFIER FOR MULTI-SECTOR GENERAL PERMIT FOR STORMWATER DISCHARGES ASSOCIATED WITH INDUSTRIAL ACTIVITY - INDIAN COUNTRY WITHIN THE STATE OF UTAH</t>
  </si>
  <si>
    <t>IDENTIFIER FOR CONSTRUCTION GENERAL PERMIT FOR STORMWATER DISCHARGES - INDIAN COUNTRY WITHIN THE STATE OF UTAH</t>
  </si>
  <si>
    <t>https://deq.utah.gov/water-quality/municipal-separate-storm-sewer-system-ms4s-permits-updes-permits</t>
  </si>
  <si>
    <t>STORM WATER DISCHARGES FROM CONSTRUCTION ACTIVITIES</t>
  </si>
  <si>
    <t>https://deq.utah.gov/water-quality/general-construction-storm-water-updes-permits</t>
  </si>
  <si>
    <t>IDENTIFIER FOR CONSTRUCTION GENERAL PERMIT FOR STORMWATER DISCHARGES - INDIAN COUNTRY WITHIN THE COMMONWEALTH OF VIRGINIA</t>
  </si>
  <si>
    <t>VTR05F000</t>
  </si>
  <si>
    <t>IDENTIFIER FOR CONSTRUCTION GENERAL PERMIT FOR STORMWATER DISCHARGES - AREAS IN THE STATE OF VERMONT SUBJECT TO CONSTRUCTION BY A FEDERAL OPERATOR</t>
  </si>
  <si>
    <t>WAR05F000</t>
  </si>
  <si>
    <t>IDENTIFIER FOR MULTI-SECTOR GENERAL PERMIT FOR STORMWATER DISCHARGES ASSOCIATED WITH INDUSTRIAL ACTIVITY - FEDERAL FACILITIES WITHIN THE STATE OF WASHINGTON</t>
  </si>
  <si>
    <t>WAR05I000</t>
  </si>
  <si>
    <t>IDENTIFIER FOR MULTI-SECTOR GENERAL PERMIT FOR STORMWATER DISCHARGES ASSOCIATED WITH INDUSTRIAL ACTIVITY - INDIAN COUNTRY WITHIN THE STATE OF WASHINGTON</t>
  </si>
  <si>
    <t>WAR10F000</t>
  </si>
  <si>
    <t>IDENTIFIER FOR CONSTRUCTION GENERAL PERMIT FOR STORMWATER DISCHARGES - AREAS IN THE STATE OF WASHINGTON SUBJECT TO CONSTRUCTION BY A FEDERAL OPERATOR</t>
  </si>
  <si>
    <t>WAR10I000</t>
  </si>
  <si>
    <t>IDENTIFIER FOR CONSTRUCTION GENERAL PERMIT FOR STORMWATER DISCHARGES - INDIAN COUNTRY WITHIN THE STATE OF WASHINGTON</t>
  </si>
  <si>
    <t>WIR05I000</t>
  </si>
  <si>
    <t>IDENTIFIER FOR MULTI-SECTOR GENERAL PERMIT FOR STORMWATER DISCHARGES ASSOCIATED WITH INDUSTRIAL ACTIVITY - INDIAN COUNTRY WITHIN THE STATE OF WISCONSIN</t>
  </si>
  <si>
    <t>IDENTIFIER FOR CONSTRUCTION GENERAL PERMIT FOR STORMWATER DISCHARGES - INDIAN COUNTRY WITHIN THE STATE OF WISCONSIN</t>
  </si>
  <si>
    <t>IDENTIFIER FOR MULTI-SECTOR GENERAL PERMIT FOR STORMWATER DISCHARGES ASSOCIATED WITH INDUSTRIAL ACTIVITY - INDIAN COUNTRY WITHIN THE STATE OF WYOMING</t>
  </si>
  <si>
    <t>IDENTIFIER FOR CONSTRUCTION GENERAL PERMIT FOR STORMWATER DISCHARGES - INDIAN COUNTRY WITHIN THE STATE OF WYOMING</t>
  </si>
  <si>
    <t>State-Issued NeT Program Reports</t>
  </si>
  <si>
    <t>State-Issued NeT Program Report Filers</t>
  </si>
  <si>
    <t>State-Issued NeT General Permits</t>
  </si>
  <si>
    <t>State-Issued NeT General Permit Filers</t>
  </si>
  <si>
    <t>This worksheet highlights the necessary changes for the NeT Roadmap MS Word document.</t>
  </si>
  <si>
    <t>Number of NeT CDX Program Services Deployed</t>
  </si>
  <si>
    <t>Proxy Card ID</t>
  </si>
  <si>
    <t>ELMS Board Category (General Permits)</t>
  </si>
  <si>
    <t>Estimated Number of Proxy Cards for NeT Development Efforts - General Permits (Total)</t>
  </si>
  <si>
    <t>Estimated Number of Proxy Cards for NeT Development Effort - General Permits (EPA)</t>
  </si>
  <si>
    <t>Estimated Number of Proxy Cards for NeT Development Effort - General Permits (EPA) - NeT Application Deployed</t>
  </si>
  <si>
    <t>Estimated Number of Proxy Cards for NeT Development Effort - General Permits (State)</t>
  </si>
  <si>
    <t>Estimated Number of Proxy Cards for NeT Development Effort - General Permits (State) - NeT Application Deployed</t>
  </si>
  <si>
    <t>Estimated Number of Proxy Cards for NeT Development Efforts - Program Reports (Total)</t>
  </si>
  <si>
    <t>Estimated Number of Proxy Cards for NeT Development Effort  - Program Reports (EPA)</t>
  </si>
  <si>
    <t>Estimated Number of Proxy Cards for NeT Development Effort  - Program Reports (EPA) - NeT Application Deployed</t>
  </si>
  <si>
    <t>Estimated Number of Proxy Cards for NeT Development Effort  - Program Reports (State)</t>
  </si>
  <si>
    <t>Estimated Number of Proxy Cards for NeT Development Effort  - Program Reports (State) - NeT Application Deployed</t>
  </si>
  <si>
    <t>Authorized for NPDES Program (Part 122)</t>
  </si>
  <si>
    <t>Check Sum:</t>
  </si>
  <si>
    <t>Number of NeT General Permits (State) - Deployed</t>
  </si>
  <si>
    <t>Estimated Number of General Permit Covered Facilities (State) - Deployed</t>
  </si>
  <si>
    <t>EPA-Issued NeT General Permits</t>
  </si>
  <si>
    <t>EPA Permit Issuer</t>
  </si>
  <si>
    <t>EPA-Issued NeT General Permit Filers</t>
  </si>
  <si>
    <t>Number of NeT General Permits (State) - NoT Deployed</t>
  </si>
  <si>
    <t>Estimated Number of General Permit Covered Facilities (State) - Not Deployed</t>
  </si>
  <si>
    <t>Number of NeT General Permits (EPA) - Deployed</t>
  </si>
  <si>
    <t>Number of NeT General Permits (EPA) - Not Deployed</t>
  </si>
  <si>
    <t>Number of NeT General Permit Filers (EPA)</t>
  </si>
  <si>
    <t>Number of NeT General Permit Filers (EPA) - Deployed</t>
  </si>
  <si>
    <t>Number of NeT General Permit Filers (EPA) - Not Deployed</t>
  </si>
  <si>
    <t>Number of Program Reports (State) - Not Deployed</t>
  </si>
  <si>
    <t>Number of Program Reports (State) - Deployed</t>
  </si>
  <si>
    <t>Estimated Number of Program Report Filers Using NeT (State) - Deployed</t>
  </si>
  <si>
    <t>Estimated Number of Program Report Filers Using NeT (State) - Not Deployed</t>
  </si>
  <si>
    <t>Number of Program Reports (EPA) - Deployed</t>
  </si>
  <si>
    <t>Number of Program Reports (EPA) - Not Deployed</t>
  </si>
  <si>
    <t>EPA-Issued NeT Program Report Filers</t>
  </si>
  <si>
    <t>Number of Program Report Filers (EPA)</t>
  </si>
  <si>
    <t>Number of Program Report Filers (EPA) - Deployed</t>
  </si>
  <si>
    <t>Number of Program Report Filers (EPA) - Not Deployed</t>
  </si>
  <si>
    <t>EPA Issued General Permit</t>
  </si>
  <si>
    <t>Number of NeT General Permit Proxy Cards (EPA)</t>
  </si>
  <si>
    <t>Number of NeT General Permit Proxy Cards (EPA) - Deployed</t>
  </si>
  <si>
    <t>Number of NeT General Permit Proxy Cards (EPA) - Not Deployed</t>
  </si>
  <si>
    <t>HQ</t>
  </si>
  <si>
    <t>CGP-EPA-HQ-01</t>
  </si>
  <si>
    <t>CGP-STA-CT-04</t>
  </si>
  <si>
    <t>CGP-STA-IL-03</t>
  </si>
  <si>
    <t>CGP-STA-ME-05</t>
  </si>
  <si>
    <t>CGP-STA-MS-06</t>
  </si>
  <si>
    <t>CGP-STA-UT-02</t>
  </si>
  <si>
    <t>CGP-STA-VI-07</t>
  </si>
  <si>
    <t>MSGP-EPA-HQ-01</t>
  </si>
  <si>
    <t>MSGP-STA-CT-06</t>
  </si>
  <si>
    <t>MSGP-STA-IL-05</t>
  </si>
  <si>
    <t>MSGP-STA-RI-02</t>
  </si>
  <si>
    <t>MSGP-STA-SD-04</t>
  </si>
  <si>
    <t>MSGP-STA-UT-03</t>
  </si>
  <si>
    <t>AQUA-EPA-R10-01</t>
  </si>
  <si>
    <t>AQUA-EPA-R10-02</t>
  </si>
  <si>
    <t>AQUA-EPA-R10-03</t>
  </si>
  <si>
    <t>AQUA-EPA-R1-04</t>
  </si>
  <si>
    <t>AQUA-STA-ID-06</t>
  </si>
  <si>
    <t>AQUA-STA-ME-07</t>
  </si>
  <si>
    <t>AQUA-STA-UT-05</t>
  </si>
  <si>
    <t>OILGAS-EPA-R4-02</t>
  </si>
  <si>
    <t>OILGAS-EPA-R6-01</t>
  </si>
  <si>
    <t>OILGAS-EPA-R9-03</t>
  </si>
  <si>
    <t>PGP-EPA-HQ-01</t>
  </si>
  <si>
    <t>PGP-STA-CT-02</t>
  </si>
  <si>
    <t>PGP-STA-ID-03</t>
  </si>
  <si>
    <t>PGP-STA-IL-04</t>
  </si>
  <si>
    <t>MS4-EPA-R1-01</t>
  </si>
  <si>
    <t>MS4-EPA-R2-02</t>
  </si>
  <si>
    <t>MS4-EPA-R6-03</t>
  </si>
  <si>
    <t>MS4-EPA-R6-04</t>
  </si>
  <si>
    <t>MS4-STA-CT-08</t>
  </si>
  <si>
    <t>MS4-STA-IL-09</t>
  </si>
  <si>
    <t>MS4-STA-MS-10</t>
  </si>
  <si>
    <t>MS4-STA-NE-11</t>
  </si>
  <si>
    <t>MS4-STA-RI-05</t>
  </si>
  <si>
    <t>MS4-STA-SD-07</t>
  </si>
  <si>
    <t>MS4-STA-UT-06</t>
  </si>
  <si>
    <t>CAFO-EPA-R6-01</t>
  </si>
  <si>
    <t>CAFO-STA-IL-02</t>
  </si>
  <si>
    <t>CAFO-STA-MS-03</t>
  </si>
  <si>
    <t>CAFO-STA-NE-04</t>
  </si>
  <si>
    <t>CAFO-STA-SD-05</t>
  </si>
  <si>
    <t>CAFO-STA-UT-06</t>
  </si>
  <si>
    <t>GRCD-EPA-R1-01</t>
  </si>
  <si>
    <t>GRCD-STA-CT-08</t>
  </si>
  <si>
    <t>GRCD-STA-MS-03</t>
  </si>
  <si>
    <t>GRCD-STA-NE-04</t>
  </si>
  <si>
    <t>GRCD-STA-RI-05</t>
  </si>
  <si>
    <t>GRCD-STA-SD-06</t>
  </si>
  <si>
    <t>GRCD-STA-UT-07</t>
  </si>
  <si>
    <t>MISC-STA-CT-01</t>
  </si>
  <si>
    <t>NeT Proxy Cards (EPA-Issued GPs)</t>
  </si>
  <si>
    <t>NeT Proxy Cards (State-Issued GPs)</t>
  </si>
  <si>
    <t>Estimated Number of Proxy Cards - General Permits (State)</t>
  </si>
  <si>
    <t>Estimated Number of Proxy Cards - General Permits (State) - Deployed</t>
  </si>
  <si>
    <t>Estimated Number of Proxy Cards - General Permits (State) - Not Deployed</t>
  </si>
  <si>
    <t>R1</t>
  </si>
  <si>
    <t>R2</t>
  </si>
  <si>
    <t>R3</t>
  </si>
  <si>
    <t>R4</t>
  </si>
  <si>
    <t>R5</t>
  </si>
  <si>
    <t>R6</t>
  </si>
  <si>
    <t>R7</t>
  </si>
  <si>
    <t>R8</t>
  </si>
  <si>
    <t>R9</t>
  </si>
  <si>
    <t>R10</t>
  </si>
  <si>
    <t>Abbrev.</t>
  </si>
  <si>
    <t>Idaho, Utah</t>
  </si>
  <si>
    <t>Number of General Permit Proxy Cards - NeT</t>
  </si>
  <si>
    <t>Permit Issuer</t>
  </si>
  <si>
    <t>EPA</t>
  </si>
  <si>
    <t>Number of NeT General Permits</t>
  </si>
  <si>
    <t>Number of NeT General Permits - NeT Application Deployed</t>
  </si>
  <si>
    <t>Estimated Number of General Permit Covered Facilities Using NeT</t>
  </si>
  <si>
    <t>Estimated Number of General Permit Covered Facilities - NeT Application Deployed</t>
  </si>
  <si>
    <t>Estimated Number of Proxy Cards for NeT Development Effort - General Permits</t>
  </si>
  <si>
    <t>Estimated Number of General Permit Covered Facilities - NeT Application Not Deployed</t>
  </si>
  <si>
    <t>Number of NeT General Permits - NeT Application Not Deployed</t>
  </si>
  <si>
    <t>Number of NeT Program Reports</t>
  </si>
  <si>
    <t>Estimated Number of Program Report Filers Using NeT</t>
  </si>
  <si>
    <t>Estimated Number of Proxy Cards for NeT Development Effort - Program Reports</t>
  </si>
  <si>
    <t>Number of NeT Program Reports - NeT Application Deployed</t>
  </si>
  <si>
    <t>Number of NeT Program Reports - NeT Application Not Deployed</t>
  </si>
  <si>
    <t>Estimated Number of Program Report Filers - NeT Application Deployed</t>
  </si>
  <si>
    <t>Estimated Number of Program Report Filers - NeT Application Not Deployed</t>
  </si>
  <si>
    <t>Estimated Number of Proxy Cards for NeT Development Effort - Program Reports - NeT Application Deployed</t>
  </si>
  <si>
    <t>Estimated Number of Proxy Cards for NeT Development Effort - Program Reports - NeT Application Not Deployed</t>
  </si>
  <si>
    <t>Estimated Number of NeT Proxy Cards - General Permits - NeT Application Deployed</t>
  </si>
  <si>
    <t>Estimated Number of NeT Proxy Cards - General Permits - NeT Application Not Deployed</t>
  </si>
  <si>
    <t>Estimated Number of NeT Proxy Cards - Program Reports - NeT Application Deployed</t>
  </si>
  <si>
    <t>Estimated Number of NeT Proxy Cards - Program Reports - NeT Application Not Deployed</t>
  </si>
  <si>
    <t>Number of Program Reports - NeT</t>
  </si>
  <si>
    <t>Number of Program Report Filers - NeT</t>
  </si>
  <si>
    <t>Number of NeT Program Report Proxy Cards</t>
  </si>
  <si>
    <t>Number of NeT Reports - NeT Application Deployed</t>
  </si>
  <si>
    <t>Number of NeT Reports - NeT Application Not Deployed</t>
  </si>
  <si>
    <t>Report Type</t>
  </si>
  <si>
    <t>Number of NeT Report Filers - NeT Application Deployed</t>
  </si>
  <si>
    <t>Number of NeT Report Filers - NeT Application Not Deployed</t>
  </si>
  <si>
    <t>Number of NeT Proxy Cards - NeT Application Deployed</t>
  </si>
  <si>
    <t>Number of NeT Proxy Cards - NeT Application Not Deployed</t>
  </si>
  <si>
    <t>NeT Development Round</t>
  </si>
  <si>
    <t>NeT CDX Program Service Deployed for this Sector</t>
  </si>
  <si>
    <t>Rhode Island, South Dakota, and Utah</t>
  </si>
  <si>
    <t>Overview</t>
  </si>
  <si>
    <t>This document provides a high-level overview of EPA’s efforts to implement Phase 2 of the NPDES eRule. This spreadsheet focuses on the general permits and program reports that will use EPA’s Phase 2 electronic reporting tool (“NPDES Electronic Reporting Tool” or “NeT”). The descriptions below provide more information on each worksheet.</t>
  </si>
  <si>
    <t>Worksheet</t>
  </si>
  <si>
    <t>Description</t>
  </si>
  <si>
    <t>NeT Roadmap</t>
  </si>
  <si>
    <t>State &amp; Regional GP View</t>
  </si>
  <si>
    <t>State &amp; Regional PR View</t>
  </si>
  <si>
    <t>NeT GP View</t>
  </si>
  <si>
    <t>NeT PR View</t>
  </si>
  <si>
    <t>Roadmap Updates</t>
  </si>
  <si>
    <t>NeT GP Proxy Cards</t>
  </si>
  <si>
    <t>NeT GP - table_export</t>
  </si>
  <si>
    <t>NeT PR - table_export</t>
  </si>
  <si>
    <t>This is an inventory of "Proxy Cards" that EPA uses to track development work in support of NPDES eRule implementation.</t>
  </si>
  <si>
    <t>Instructions for Updating</t>
  </si>
  <si>
    <t>This is the export from the "General Permit Information" tab on the NPDES eRule Phase 2 Implementation Dashboard. 
This is the inventory of general permits covered by the NPDES eRule.
See: https://edap.epa.gov/public/extensions/eRule_Phase2/eRule_Phase2.html.</t>
  </si>
  <si>
    <t>This is the export from the "Program Report Information" tab on the NPDES eRule Phase 2 Implementation Dashboard. 
This is the inventory of program reports covered by the NPDES eRule.
See: https://edap.epa.gov/public/extensions/eRule_Phase2/eRule_Phase2.html.</t>
  </si>
  <si>
    <t>EPA to insert, update, or delete Proxy Cards as needed.</t>
  </si>
  <si>
    <t>EPA to update the version and date of each updated of the Roadmap.</t>
  </si>
  <si>
    <t>NeT PR Contacts</t>
  </si>
  <si>
    <t>NeT GP Contacts</t>
  </si>
  <si>
    <t>EPA to update the contacts for program reports as needed.</t>
  </si>
  <si>
    <t>EPA to update the contacts for general permits as needed.</t>
  </si>
  <si>
    <t>This worksheet highlights EPA contacts for general permits. The EPA Point of Contact (POC) conducted initial interviews with EPA Regional and state staff for each general permit. This information is used for planning purposes. The EPA Product Owner (PO) is responsible to developing and maintaining NeT electronic reporting tools.</t>
  </si>
  <si>
    <t>This worksheet highlights EPA contacts for program reports. The EPA Point of Contact (POC) conducted initial interviews with EPA Regional and state staff for each program report issuer. This information is used for planning purposes. The EPA Product Owner (PO) is responsible to developing and maintaining NeT electronic reporting tools.</t>
  </si>
  <si>
    <t>This is a dashboard showing the development status of different program reports.</t>
  </si>
  <si>
    <t>This is a dashboard showing the development status of different general permits.</t>
  </si>
  <si>
    <t>No updates needed for this worksheet.</t>
  </si>
  <si>
    <t>This is a dashboard showing the development status of different general permits by EPA Region and state.</t>
  </si>
  <si>
    <t>This is a dashboard showing the development status of different program reports by EPA Region and state.</t>
  </si>
  <si>
    <t>EPA to download dashboard data with no filters selected.</t>
  </si>
  <si>
    <t xml:space="preserve">This worksheeet provides a highlevel view of Phase 2 implementation of the NPDES eRule. </t>
  </si>
  <si>
    <t>ALR051000</t>
  </si>
  <si>
    <t>FLR5I0000</t>
  </si>
  <si>
    <t>MSR051000</t>
  </si>
  <si>
    <t>NCR05I000</t>
  </si>
  <si>
    <t>NYR05I000</t>
  </si>
  <si>
    <t>VAR05I000</t>
  </si>
  <si>
    <t>IDENTIFIER FOR MULTI-SECTOR GENERAL PERMIT FOR STORMWATER DISCHARGES ASSOCIATED WITH INDUSTRIAL ACTIVITY - INDIAN COUNTRY WITHIN THE STATE OF ALABAMA</t>
  </si>
  <si>
    <t>IDENTIFIER FOR MULTI-SECTOR GENERAL PERMIT FOR STORMWATER DISCHARGES ASSOCIATED WITH INDUSTRIAL ACTIVITY - INDIAN COUNTRY WITHIN THE STATE OF FLORIDA</t>
  </si>
  <si>
    <t>IDENTIFIER FOR MULTI-SECTOR GENERAL PERMIT FOR STORMWATER DISCHARGES ASSOCIATED WITH INDUSTRIAL ACTIVITY - INDIAN COUNTRY WITHIN THE STATE OF MISSISSIPPI</t>
  </si>
  <si>
    <t>IDENTIFIER FOR MULTI-SECTOR GENERAL PERMIT FOR STORMWATER DISCHARGES ASSOCIATED WITH INDUSTRIAL ACTIVITY - INDIAN COUNTRY WITHIN THE STATE OF NORTH CAROLINA</t>
  </si>
  <si>
    <t>IDENTIFIER FOR MULTI-SECTOR GENERAL PERMIT FOR STORMWATER DISCHARGES ASSOCIATED WITH INDUSTRIAL ACTIVITY - INDIAN COUNTRY WITHIN THE STATE OF NEW YORK</t>
  </si>
  <si>
    <t>IDENTIFIER FOR MULTI-SECTOR GENERAL PERMIT FOR STORMWATER DISCHARGES ASSOCIATED WITH INDUSTRIAL ACTIVITY - INDIAN COUNTRY WITHIN THE STATE OF SOUTH CAROLINA</t>
  </si>
  <si>
    <t>SCR05I000</t>
  </si>
  <si>
    <t>MS4-STA-DE-12</t>
  </si>
  <si>
    <t xml:space="preserve">EPA to insert, update, or delete state general permits and program report information. See yellow shaded columns. </t>
  </si>
  <si>
    <t>CTR030000</t>
  </si>
  <si>
    <t>CTGSC0000</t>
  </si>
  <si>
    <t>CTCSG0000</t>
  </si>
  <si>
    <t>GRCD-EPA-R6-09</t>
  </si>
  <si>
    <t>Groundwater Remediation, Dewatering, and Hydrostatic Testing</t>
  </si>
  <si>
    <t>EPA Point of Contact (Initial Info Gathering)</t>
  </si>
  <si>
    <t>EPA Product Owner 
(NeT Development)</t>
  </si>
  <si>
    <t>EPA Product Owner 
(ECHO Integration)</t>
  </si>
  <si>
    <t>Courtney Tuxbury</t>
  </si>
  <si>
    <t>Pending</t>
  </si>
  <si>
    <t>Complete</t>
  </si>
  <si>
    <t>TBD</t>
  </si>
  <si>
    <t>NeT development is generally complete for this sector</t>
  </si>
  <si>
    <t>Illinois, Kentucky, Louisiana, Maine, Mississippi, Nebraska, Rhode Island, South Dakota, Texas, Utah, and the U.S. Virgin Islands</t>
  </si>
  <si>
    <t>Information Gathering Status</t>
  </si>
  <si>
    <t>Information Gathering Recommendations Provided by POC to PO</t>
  </si>
  <si>
    <t>N/A - Use Standard ECHO Features</t>
  </si>
  <si>
    <t>EPA Product Owner (NeT Development)</t>
  </si>
  <si>
    <t>NOI Submissions Made Throughout General Permit Term</t>
  </si>
  <si>
    <t>AKG87000E</t>
  </si>
  <si>
    <t>NOI Submissions Mostly Made Upon General Permit Renewal</t>
  </si>
  <si>
    <t>Unknown</t>
  </si>
  <si>
    <t>State general permit does not require submissions and will not use EPA's NeT</t>
  </si>
  <si>
    <t>KODIAK SEAFOOD PROCESSORS</t>
  </si>
  <si>
    <t>SMALL POTW AND OTHER SMALL TREATMENT WORKS</t>
  </si>
  <si>
    <t>LOG TRANSFER FACILITIES -PRE 1985</t>
  </si>
  <si>
    <t>LOG TRANSFER FACILITIES - POST 1985</t>
  </si>
  <si>
    <t>https://www.epa.gov/npdes/stormwater-discharges-industrial-activities</t>
  </si>
  <si>
    <t>AKR061000</t>
  </si>
  <si>
    <t>TED STEVENS ANCHORAGE INTERNATIONAL AIRPORT GP</t>
  </si>
  <si>
    <t>https://www.adeq.state.ar.us/water/permits/npdes/nonstormwater/pdfs/arg870000/general-permit.pdf</t>
  </si>
  <si>
    <t>AZG201000</t>
  </si>
  <si>
    <t>AZG201100</t>
  </si>
  <si>
    <t>AZMSG2010</t>
  </si>
  <si>
    <t>https://www.epa.gov/npdes-permits/general-permit-southern-california-offshore-oil-and-gas-exploration-development-and</t>
  </si>
  <si>
    <t>https://smarts.waterboards.ca.gov/smarts/faces/SwSmartsLogin.xhtml</t>
  </si>
  <si>
    <t>https://cdphe.colorado.gov/environmental-agriculture-program/general-information-for-animal-feeding-operations</t>
  </si>
  <si>
    <t>https://cdphe.colorado.gov/dewatering-general-permit-program</t>
  </si>
  <si>
    <t>https://ceos.colorado.gov/CO/CEOS/Public/Client/CO_CIMPLE/Shared/Pages/Main/Login.aspx</t>
  </si>
  <si>
    <t>COG080000</t>
  </si>
  <si>
    <t>Discharges from Short-term (&lt; 2 year) Construction Dewatering Activities</t>
  </si>
  <si>
    <t>https://cdphe.colorado.gov/wq-commerce-and-industry-permitting</t>
  </si>
  <si>
    <t>COG317000</t>
  </si>
  <si>
    <t>Discharges from Short-term (&lt; 2 year) Remediation Activities</t>
  </si>
  <si>
    <t>CONTAMINATED GROUNDWATER TREATMENT</t>
  </si>
  <si>
    <t>COG318000</t>
  </si>
  <si>
    <t>WASTEWATER LAGOON SYSTEMS IN INDIAN COUNTRY WITHIN COLORADO</t>
  </si>
  <si>
    <t>https://www.epa.gov/npdes-permits/region-8-npdes-lagoon-general-permit</t>
  </si>
  <si>
    <t>https://cdphe.colorado.gov/wq-Permits-for-Domestic-Discharges-to-Surface-Water</t>
  </si>
  <si>
    <t>https://www.colorado.gov/pacific/sites/default/files/COG604000-%20Permit.pdf</t>
  </si>
  <si>
    <t>COG608000</t>
  </si>
  <si>
    <t>Discharge to Surface Water from Well Development and Pump Testing Activities</t>
  </si>
  <si>
    <t>https://cdphe.colorado.gov/water-quality-aquatic-pesticides-permit</t>
  </si>
  <si>
    <t>https://cdphe.colorado.gov/wq-municipal-ms4-general-permits</t>
  </si>
  <si>
    <t>COR400000</t>
  </si>
  <si>
    <t>https://cdphe.colorado.gov/wq-construction-general-permits</t>
  </si>
  <si>
    <t>CTGSI0000</t>
  </si>
  <si>
    <t>CTGSN0000</t>
  </si>
  <si>
    <t>https://portal.ct.gov/-/media/DEEP/Permits_and_Licenses/Water_Discharge_General_Permits/stormconstgp1.pdf</t>
  </si>
  <si>
    <t>CTRSW0000</t>
  </si>
  <si>
    <t>DE5000N/1</t>
  </si>
  <si>
    <t>http://www.dnrec.delaware.gov/wr/Information/SWDInfo/Documents/CAFO%20Permit.pdf</t>
  </si>
  <si>
    <t>DE0051225</t>
  </si>
  <si>
    <t>http://www.dnrec.delaware.gov/wr/Information/SWDInfo/Documents/Section%209.1-%20GSWP%20Reg.pdf</t>
  </si>
  <si>
    <t>DE0051233</t>
  </si>
  <si>
    <t>LARGE, MEDIUM &amp; DESIGNATED POULTRY CAFOS - FACILITIES WITH LAND APPLICATION OF MANURE</t>
  </si>
  <si>
    <t>https://documents.dnrec.delaware.gov/wr/Information/SWDInfo/Documents/2019.04.30%20CAFO%20GP2%20Permit.pdf</t>
  </si>
  <si>
    <t>DE0051241</t>
  </si>
  <si>
    <t>HTTP://WWW.DNREC.DELAWARE.GOV/WR/INFORMATION/SWDINFO/DOCUMENTS/2012%2008%2016%20FINAL%20REGULATION.PDF</t>
  </si>
  <si>
    <t>https://apps.dnrec.state.de.us/eNOI/</t>
  </si>
  <si>
    <t>DE0051250</t>
  </si>
  <si>
    <t>LARGE, MEDIUM &amp; DESIGNATED ALL OTHER SPECIES AND DIVERSIFIED CAFOS</t>
  </si>
  <si>
    <t>DE0051268</t>
  </si>
  <si>
    <t>https://documents.dnrec.delaware.gov/swc/Drainage/Documents/Sediment%20and%20Stormwater%20Program/Construction-General-Permit-signed-20210301.pdf</t>
  </si>
  <si>
    <t>GENERIC PERMIT FOR DISCHARGE OF GROUND WATER FROM DEWATERING OPERATIONS</t>
  </si>
  <si>
    <t>https://www.fldepportal.com/DepPortal/go/apply-discharge</t>
  </si>
  <si>
    <t>https://floridadep.gov/water/industrial-wastewater/documents/generic-permit-discharges-concrete-batch-plants</t>
  </si>
  <si>
    <t>GENERIC PERMIT FOR POLLUTANT DISCHARGES TO SURFACE WATERS OF THE STATE FROM THE APPLICATION OF PESTICIDES</t>
  </si>
  <si>
    <t>https://www.flrules.org/gateway/readRefFile.asp?refId=243&amp;filename=pesticide_generic_permit.pdf</t>
  </si>
  <si>
    <t>FLR050000</t>
  </si>
  <si>
    <t>FLR100000</t>
  </si>
  <si>
    <t>CONSTRUCTION STORMWATER GENERAL PERMIT</t>
  </si>
  <si>
    <t>FLR200000</t>
  </si>
  <si>
    <t>CONSTRUCTION GENERIC DEWATERING GENERIC PERMIT</t>
  </si>
  <si>
    <t>FLRNE0000</t>
  </si>
  <si>
    <t>STORMWATER NO EXPOSURE CERTIFICATION</t>
  </si>
  <si>
    <t>SETTLEMENT POND DISCHARGES FROM SAND AND GRAVEL DREDGERS</t>
  </si>
  <si>
    <t>https://epd.georgia.gov/forms-permits/watershed-protection-branch-forms-permits/wastewater-permitting/national-pollutant-1</t>
  </si>
  <si>
    <t>https://geos.epd.georgia.gov/GA/GEOS/Public/GovEnt/Shared/Pages/Main/Login.aspx</t>
  </si>
  <si>
    <t>ONCE-THROUGH NON-CONTACT COOLING WATER WITH NO CHEMICAL ADDITIVES</t>
  </si>
  <si>
    <t>https://epd.georgia.gov/watershed-protection-branch/storm-water/municipal-stormwater</t>
  </si>
  <si>
    <t>PRIVATE AND INSTITUTIONAL DEVELOPMENT (PID) WPCP</t>
  </si>
  <si>
    <t>AQUATIC PESTICIDES TO WATERS OF THE STATE</t>
  </si>
  <si>
    <t>https://epd.georgia.gov/forms-permits/watershed-protection-branch-forms-permits/storm-water-forms/npdes-industrial-storm</t>
  </si>
  <si>
    <t>https://epd.georgia.gov/forms-permits/watershed-protection-branch-forms-permits/storm-water-forms/npdes-construction-storm</t>
  </si>
  <si>
    <t>DISCHARGES OF ONCE THROUGH COOLING WATER &lt;1 MGD</t>
  </si>
  <si>
    <t>WASTEWATER ASSOCIATED WITH WELL DRILLING</t>
  </si>
  <si>
    <t>IAG410000</t>
  </si>
  <si>
    <t>General Permit No. 9, NPDES and State Operation permit, Dewatering and Residential Geothermal Systems</t>
  </si>
  <si>
    <t>https://www.iowadnr.gov/LinkClick.aspx?fileticket=m-nVfGXIYP0%3d&amp;portalid=3</t>
  </si>
  <si>
    <t>https://programs.iowadnr.gov/generalpermits/</t>
  </si>
  <si>
    <t>IAG490000</t>
  </si>
  <si>
    <t>General Permit No. 5, Discharge from Mining and Processing Facilities</t>
  </si>
  <si>
    <t>https://www.iowadnr.gov/Portals/idnr/uploads/water/npdes/GP5_Final_06202016.pdf</t>
  </si>
  <si>
    <t>IAG550000</t>
  </si>
  <si>
    <t>General Permit No. 4, Discharge from Private Sewage Disposal Systems</t>
  </si>
  <si>
    <t>https://www.iowadnr.gov/Portals/idnr/uploads/water/septic/files/GP4_conditions.pdf</t>
  </si>
  <si>
    <t>IAG640000</t>
  </si>
  <si>
    <t>General Permit No. 6, Discharge Associated with Well Construction Activities</t>
  </si>
  <si>
    <t>https://www.iowadnr.gov/Portals/idnr/uploads/water/wells/GP6/GP6_Effective_3-1-2020.pdf</t>
  </si>
  <si>
    <t>DRINKING WATER SUPPLY</t>
  </si>
  <si>
    <t>IAG670000</t>
  </si>
  <si>
    <t>General Permit No. 8, NPDES and State Operation permit, Discharge from Hydrostatic Testing, Tank Ballasting and Water Lines</t>
  </si>
  <si>
    <t>https://www.iowadnr.gov/LinkClick.aspx?fileticket=BGMJsywMFnw%3d&amp;portalid=3</t>
  </si>
  <si>
    <t>IAG870000</t>
  </si>
  <si>
    <t>General Permit No. 7, Pesticide General Permit (PGP) for Point Source Discharges to Waters of the United States From the Application of Pesticides</t>
  </si>
  <si>
    <t>https://www.iowadnr.gov/Portals/idnr/uploads/water/npdes/GP7%20PGP%20Final%202016-4-20.pdf</t>
  </si>
  <si>
    <t>IAR050000</t>
  </si>
  <si>
    <t>General Permit No. 1, Storm Water Discharge Associated with Industrial Activity</t>
  </si>
  <si>
    <t>https://www.iowadnr.gov/Portals/idnr/uploads/water/npdes/gp1.pdf</t>
  </si>
  <si>
    <t>https://programs.iowadnr.gov/stormwater/pages/advanced.aspx</t>
  </si>
  <si>
    <t>IAR100000</t>
  </si>
  <si>
    <t>General Permit No. 2, Storm Water Discharge Associated with Construction Activities</t>
  </si>
  <si>
    <t>https://www.iowadnr.gov/Portals/idnr/uploads/water/npdes/gp2.pdf</t>
  </si>
  <si>
    <t>IAR110000</t>
  </si>
  <si>
    <t>https://www.iowadnr.gov/Portals/idnr/uploads/water/npdes/gp3.pdf</t>
  </si>
  <si>
    <t>https://www.deq.idaho.gov/permits/water-quality-permits-certifications/</t>
  </si>
  <si>
    <t>Hold</t>
  </si>
  <si>
    <t>http://www2.deq.idaho.gov/water/ipdes/report</t>
  </si>
  <si>
    <t>IDG910000</t>
  </si>
  <si>
    <t>GROUNDWATER REMEDIATION DISCHARGE (Active, Will Not Be Reissued)</t>
  </si>
  <si>
    <t>GROUNDWATER REMEDIATION DISCHARGE</t>
  </si>
  <si>
    <t>https://www2.deq.idaho.gov/water/IPDES/</t>
  </si>
  <si>
    <t>https://stormwater.idem.in.gov/ncore/external/home</t>
  </si>
  <si>
    <t>IN327CR06</t>
  </si>
  <si>
    <t>http://www.in.gov/legislative/iac/T03270/A00150.PDF</t>
  </si>
  <si>
    <t>https://eauth.idem.in.gov/eAuth/eauthlogin.aspx?AAID=9002</t>
  </si>
  <si>
    <t>State intends to not use EPA's NeT pending funding and staff availability</t>
  </si>
  <si>
    <t>https://www.in.gov/idem/cleanwater/files/permit_notice_groundwater_2015_final_permit.pdf</t>
  </si>
  <si>
    <t>https://www.in.gov/idem/cleanwater/files/permit_notice_once_through_draft_permit.pdf</t>
  </si>
  <si>
    <t>https://www.in.gov/idem/cleanwater/files/permit_notice_petrol_2015_final_permit.pdf</t>
  </si>
  <si>
    <t>ING410000</t>
  </si>
  <si>
    <t>ALLEN COUNTY ONSITE RESIDENTIAL SEWAGE DISPOSAL SYSTEMS</t>
  </si>
  <si>
    <t>ING420000</t>
  </si>
  <si>
    <t>https://www.in.gov/idem/cleanwater/files/permit_notice_temp_discharge_ing420000_final_permit.pdf</t>
  </si>
  <si>
    <t>https://www.in.gov/idem/cleanwater/files/permit_notice_sand_gravel_2015_final_permit.pdf</t>
  </si>
  <si>
    <t>https://www.in.gov/idem/cleanwater/files/permit_notice_hydrostatic_2015_final_permit.pdf</t>
  </si>
  <si>
    <t>https://www.in.gov/idem/cleanwater/files/permit_notice_pesticide_2016_final_general_permit.pdf</t>
  </si>
  <si>
    <t>https://eec.ky.gov/Environmental-Protection/Water/PermitCert/KPDES/Pages/default.aspx</t>
  </si>
  <si>
    <t>LAG27I000</t>
  </si>
  <si>
    <t>Discharges from Hydrostatic Testing of New and Existing Vessels - Louisiana (Tribal Lands)</t>
  </si>
  <si>
    <t>https://www.deq.louisiana.gov/PORTAL/PORTALS/0/PERMITS/LPDES/GENERAL</t>
  </si>
  <si>
    <t>https://www.deq.louisiana.gov/PORTAL/PORTALS/0/PERMITS/LPDES/PDF/LAG260000.PDF</t>
  </si>
  <si>
    <t>https://www.deq.louisiana.gov/PORTAL/PORTALS/0/PERMITS/LPDES/PDF/LAG300000</t>
  </si>
  <si>
    <t>https://www.deq.louisiana.gov/portal/Portals/0/permits/lpdes/General</t>
  </si>
  <si>
    <t>https://www.deq.louisiana.gov/PORTAL/PORTALS/0/PERMITS/LPDES/PDF/LAG380000</t>
  </si>
  <si>
    <t>https://www.deq.louisiana.gov/PORTAL/PORTALS/0/PERMITS/LPDES/PDF/LAG420000.PDF</t>
  </si>
  <si>
    <t>https://www.deq.louisiana.gov/PORTAL/PORTALS/0/PERMITS/LPDES/PDF/LAG490000.PDF</t>
  </si>
  <si>
    <t>https://www.deq.louisiana.gov/PORTAL/PORTALS/0/PERMITS/LPDES/PDF/LAG53</t>
  </si>
  <si>
    <t>https://www.deq.louisiana.gov/PORTAL/PORTALS/0/PERMITS/LPDES/PDF/LAG540000</t>
  </si>
  <si>
    <t>https://www.deq.louisiana.gov/PORTAL/PORTALS/0/PERMITS/LPDES/PDF/LAG560000</t>
  </si>
  <si>
    <t>https://www.deq.louisiana.gov/PORTAL/PORTALS/0/PERMITS/LPDES/PDF/FINAL</t>
  </si>
  <si>
    <t>https://www.deq.louisiana.gov/PORTAL/PORTALS/0/PERMITS/LPDES/PDF/LAG780000</t>
  </si>
  <si>
    <t>https://www.deq.louisiana.gov/PORTAL/PORTALS/0/PERMITS/LPDES/PDF/LAG83</t>
  </si>
  <si>
    <t>https://www.deq.louisiana.gov/PORTAL/PORTALS/0/PERMITS/LPDES/PDF/PESTICIDES</t>
  </si>
  <si>
    <t>https://www.deq.louisiana.gov/portal/Portals/0/permits/lpdes/pdf/LAR04_2012_FINAL.pdf</t>
  </si>
  <si>
    <t>https://www.deq.louisiana.gov/portal/Portals/0/permits/lpdes/pdf/LAR050000_2016_Final.pdf</t>
  </si>
  <si>
    <t>https://www.deq.louisiana.gov/PORTAL/PORTALS/0/PERMITS/LPDES/PDF/LAR200000</t>
  </si>
  <si>
    <t>https://deq.louisiana.gov/assets/docs/Permits/LAR600000.pdf</t>
  </si>
  <si>
    <t>https://www.epa.gov/npdes-permits/region-1-final-aquaculture-general-permit</t>
  </si>
  <si>
    <t>https://www.epa.gov/region1/npdes/nccwgp/2014NCCWGeneralPermit.pdf</t>
  </si>
  <si>
    <t>https://www.epa.gov/region1/npdes/hydrogp/HydroGPFinal.pdf</t>
  </si>
  <si>
    <t>MDR055500</t>
  </si>
  <si>
    <t>https://egov.maryland.gov/mde/npdes/Account/Login</t>
  </si>
  <si>
    <t>MEPLW0801</t>
  </si>
  <si>
    <t>https://miwaters.deq.state.mi.us/miwaters/external/home</t>
  </si>
  <si>
    <t>https://www.michigan.gov/documents/deq/wrd-npdes-ANC-Mosquitofinal_374896_7.pdf</t>
  </si>
  <si>
    <t>https://www.michigan.gov/documents/deq/wrd-npdes-ANC-plantfinal_374898_7.pdf</t>
  </si>
  <si>
    <t>https://www.michigan.gov/documents/deq/wrd-npdes-ANC-animalfinal_374899_7.pdf</t>
  </si>
  <si>
    <t>https://www.michigan.gov/documents/deq/wrd-npdes-ANC-Forestfinal_374897_7.pdf</t>
  </si>
  <si>
    <t>https://www.michigan.gov/documents/deq/wrd-npdes-generalpermit-MIG080000_468419_7.pdf</t>
  </si>
  <si>
    <t>https://www.michigan.gov/documents/deq/wb-npdes-generalpermit-MIG140000_247256_7.pdf</t>
  </si>
  <si>
    <t>https://www.michigan.gov/documents/deq/wrd-npdes-generalpermit-MIG250000_399821_7.pdf</t>
  </si>
  <si>
    <t>https://www.michigan.gov/documents/deq/wrd-npdes-generalpermit-MIG490000_491978_7.pdf</t>
  </si>
  <si>
    <t>https://www.michigan.gov/documents/deq/wrd-npdes-generalpermit-MIG570000_491979_7.pdf</t>
  </si>
  <si>
    <t>https://www.michigan.gov/documents/deq/wrd-npdes-generalpermits-MI580000_446067_7.pdf</t>
  </si>
  <si>
    <t>https://www.michigan.gov/documents/deq/wb-npdes-generalpermit-MIG619000_247775_7.pdf</t>
  </si>
  <si>
    <t>https://www.michigan.gov/documents/deq/wrd-npdes-generalpermit-MIG670000_399823_7.pdf</t>
  </si>
  <si>
    <t>https://www.michigan.gov/documents/deq/wrd-npdes-generalpermit-MIG760000_471058_7.pdf</t>
  </si>
  <si>
    <t>https://www.michigan.gov/documents/deq/wrd-npdes-generalpermit-MIG960000_468410_7.pdf</t>
  </si>
  <si>
    <t>https://www.michigan.gov/documents/deq/wb-npdes-generalpermit-MIS040000_247773_7.pdf</t>
  </si>
  <si>
    <t>https://www.michigan.gov/documents/deq/wb-npdes-generalpermit-MIS110000_2010_331390_7.pdf</t>
  </si>
  <si>
    <t>https://www.michigan.gov/documents/deq/wrd-npdes-generalpermit-MIS210000_367700_7.pdf</t>
  </si>
  <si>
    <t>https://www.michigan.gov/documents/deq/wrd-npdes-general-MIS310000_399769_7.pdf</t>
  </si>
  <si>
    <t>https://www.michigan.gov/documents/deq/wrd-npdes-general-MIS320000_399767_7.pdf</t>
  </si>
  <si>
    <t>https://www.michigan.gov/documents/deq/wb-npdes-generalpermit-MIS410000_250763_7.pdf</t>
  </si>
  <si>
    <t>https://www.michigan.gov/documents/deq/wb-npdes-generalpermit-MIS510000_287263_7.pdf</t>
  </si>
  <si>
    <t>https://www.pca.state.mn.us/sites/default/files/wq-wwprm9-00b.pdf</t>
  </si>
  <si>
    <t>https://www.pca.state.mn.us/sites/default/files/wq-wwprm9-00c.pdf</t>
  </si>
  <si>
    <t>https://www.pca.state.mn.us/sites/default/files/wq-wwprm9-00d.pdf</t>
  </si>
  <si>
    <t>https://www.pca.state.mn.us/sites/default/files/wq-wwprm9-00e.pdf</t>
  </si>
  <si>
    <t>https://www.pca.state.mn.us/sites/default/files/wq-f3-58.pdf</t>
  </si>
  <si>
    <t>https://www.pca.state.mn.us/sites/default/files/wq-wwprm7-33a.pdf</t>
  </si>
  <si>
    <t>MNG585000</t>
  </si>
  <si>
    <t>WASTEWATER POND GENERAL PERMIT</t>
  </si>
  <si>
    <t>https://www.pca.state.mn.us/sites/default/files/wq-wwprm9-27.pdf</t>
  </si>
  <si>
    <t>https://www.pca.state.mn.us/sites/default/files/wq-wwprm9-25.pdf</t>
  </si>
  <si>
    <t>https://www.pca.state.mn.us/sites/default/files/wq-strm4-94.pdf</t>
  </si>
  <si>
    <t>https://www.pca.state.mn.us/sites/default/files/wq-strm3-67i.pdf</t>
  </si>
  <si>
    <t>https://www.pca.state.mn.us/sites/default/files/wq-strm2-80a.pdf</t>
  </si>
  <si>
    <t>https://www.mdeq.ms.gov/wp-content/uploads/2018/02/PesticideGPFinal.pdf-1.pdf</t>
  </si>
  <si>
    <t>http://deq.mt.gov/wqinfo/MPDES/CAFO</t>
  </si>
  <si>
    <t>https://svc.mt.gov/deq/factspermitting</t>
  </si>
  <si>
    <t>http://deq.mt.gov/Portals/112/Water/WQInfo/Documents/WPBForms/pdf/2015_FPER_MTG070000.pdf</t>
  </si>
  <si>
    <t>http://deq.mt.gov/Portals/112/Water/WPB/MPDES/General%20Permits/MTG310000PER_2015.pdf</t>
  </si>
  <si>
    <t>http://deq.mt.gov/Portals/112/Water/WPB/MPDES/General%20Permits/MTG370000PER.pdf</t>
  </si>
  <si>
    <t>http://deq.mt.gov/Portals/112/Water/WPB/MPDES/2017_FPER_MTG490000.pdf</t>
  </si>
  <si>
    <t>http://deq.mt.gov/Portals/112/Water/WPB/MPDES/General%20Permits/MTG58000_FPER%20BATCH.pdf</t>
  </si>
  <si>
    <t>http://deq.mt.gov/Portals/112/Water/WPB/MPDES/General%20Permits/2017_FPER_MTG581000.pdf</t>
  </si>
  <si>
    <t>WASTEWATER LAGOON SYSTEMS IN INDIAN COUNTRY WITHIN MONTANA</t>
  </si>
  <si>
    <t>http://deq.mt.gov/Portals/112/Water/WPB/MPDES/General%20Permits/MTG790000PER.pdf</t>
  </si>
  <si>
    <t>http://deq.mt.gov/wqinfo/mpdes/pesticides</t>
  </si>
  <si>
    <t>http://deq.mt.gov/wqinfo/MPDES/StormwaterIndustrial</t>
  </si>
  <si>
    <t>http://deq.mt.gov/Portals/112/Water/WPB/MPDES/General%20Permits/MTR040000FPER.pdf</t>
  </si>
  <si>
    <t>http://deq.mt.gov/Portals/112/Water/WPB/MPDES/swPermits/pdf/2018_FPER_MTR100000.pdf</t>
  </si>
  <si>
    <t>https://deq.nc.gov/about/divisions/water-resources/water-quality-permitting/animal-feeding-operations#npdes-general-permits-</t>
  </si>
  <si>
    <t>https://deq.nc.gov/about/divisions/energy-mineral-land-resources/npdes-stormwater-gps</t>
  </si>
  <si>
    <t>https://deq.nc.gov/about/divisions/water-resources/water-quality-permitting/npdes-wastewater/npdes-permitting-process-1</t>
  </si>
  <si>
    <t>https://ncnode.enr.state.nc.us/nc-edmr/login.do?m=view</t>
  </si>
  <si>
    <t>https://secure.apps.nd.gov/doh/eris/login.aspx</t>
  </si>
  <si>
    <t>WASTEWATER LAGOON SYSTEMS IN INDIAN COUNTRY WITHIN NORTH DAKOTA</t>
  </si>
  <si>
    <t>http://dee.ne.gov/NDEQProg.nsf/OnWeb/NPDES</t>
  </si>
  <si>
    <t>https://www.nj.gov/dep/dwq/pdf/CPM_Final_Permit.pdf</t>
  </si>
  <si>
    <t>POTABLE WATER TREATMENT PLANT</t>
  </si>
  <si>
    <t>https://www.nj.gov/dep/dwq/pdf/final_HMAP_renewal.pdf</t>
  </si>
  <si>
    <t>SHORT TERM DE MINIMIS GP</t>
  </si>
  <si>
    <t>https://www.nj.gov/dep/dwq/pdf/Newark_Liberty_International_Airport_Final.pdf</t>
  </si>
  <si>
    <t>https://www.nj.gov/dep/dwq/pdf/r7_final_permit.pdf</t>
  </si>
  <si>
    <t>https://www.nj.gov/dep/dwq/pdf/sm2-final-7-25-13.pdf</t>
  </si>
  <si>
    <t>https://www.nj.gov/dep/dwq/pdf/final-master-gp-vehicle-recycling-nj0163279-8-1-12.pdf</t>
  </si>
  <si>
    <t>https://www.nj.gov/dep/dwq/pdf/final_asc_nj0193381.pdf</t>
  </si>
  <si>
    <t>NJ0201189</t>
  </si>
  <si>
    <t>SAND &amp; GRAVEL STORMWATER GP</t>
  </si>
  <si>
    <t>https://www.nj.gov/dep/dwq/pdf/rsg-final.pdf</t>
  </si>
  <si>
    <t>NMG27I000</t>
  </si>
  <si>
    <t>Discharges from Hydrostatic Testing of New and Existing Vessels - New Mexico (Tribal Lands)</t>
  </si>
  <si>
    <t>NMGF27000</t>
  </si>
  <si>
    <t>Discharges from Hydrostatic Testing of New and Existing Vessels - New Mexico (Excluding Tribal Lands)</t>
  </si>
  <si>
    <t>https://ndep.nv.gov/uploads/water-wpc-permitting-docs/tracer-dye-permit-2015.pdf</t>
  </si>
  <si>
    <t>https://www.dec.ny.gov/docs/water_pdf/msgppermit.pdf</t>
  </si>
  <si>
    <t>https://nform-prod.dec.ny.gov/</t>
  </si>
  <si>
    <t>NYGP01100</t>
  </si>
  <si>
    <t>https://www.dec.ny.gov/chemical/70489.html</t>
  </si>
  <si>
    <t>https://www.dec.ny.gov/docs/water_pdf/ms4permit.pdf</t>
  </si>
  <si>
    <t>https://www.dec.ny.gov/chemical/43133.html</t>
  </si>
  <si>
    <t>https://www.deq.ok.gov/wp-content/uploads/water-division/OKG11MT-Mobile-Concrete-Batch-Plant-General-Permit-and-Fact-Sheet.pdf</t>
  </si>
  <si>
    <t>OKG27F000</t>
  </si>
  <si>
    <t>Discharges from Hydrostatic Testing of New and Existing Vessels - Oklahoma (Excluding Tribal Lands)</t>
  </si>
  <si>
    <t>OKG27I000</t>
  </si>
  <si>
    <t>Discharges from Hydrostatic Testing of New and Existing Vessels - Oklahoma (Tribal Lands)</t>
  </si>
  <si>
    <t>https://www.deq.ok.gov/wp-content/uploads/water-division/OKG75-Vehicle-Wash-Facility-General-Permit-and-Fact-Sheet.pdf</t>
  </si>
  <si>
    <t>https://www.oda.state.ok.us/aems/Pesticide_General_Permit_%202017-2022.pdf</t>
  </si>
  <si>
    <t>https://www.deq.ok.gov/wp-content/uploads/water-division/OKG95-Rock-Sand-and-Gravel-Quarry-General-Permit-and-Fact-Sheet.pdf</t>
  </si>
  <si>
    <t>Surface Coal Strip Mine</t>
  </si>
  <si>
    <t>https://www.deq.ok.gov/wp-content/uploads/water-division/OKG04-Surface-Coal-Strip-Mine-General-Permit-and-Fact-Sheet.pdf</t>
  </si>
  <si>
    <t>https://www.deq.ok.gov/wp-content/uploads/water-division/OKG11-Concrete-Batch-Plant-General-Permit-and-Fact-Sheet.pdf</t>
  </si>
  <si>
    <t>https://www.deq.ok.gov/wp-content/uploads/water-division/OKG27-Hydrostatic-Test-General-Permit-and-Fact-Sheet.pdf</t>
  </si>
  <si>
    <t>Water Treatment Plants</t>
  </si>
  <si>
    <t>Municipal Sewage Systems</t>
  </si>
  <si>
    <t>Vehicle Wash</t>
  </si>
  <si>
    <t>UNDERGROUND STORAGE TANK Cleanup</t>
  </si>
  <si>
    <t>https://www.deq.ok.gov/wp-content/uploads/water-division/OKG83-Underground-Storage-Tank-Cleanup-General-Permit-and-Fact-Sheet.pdf</t>
  </si>
  <si>
    <t>https://www.deq.ok.gov/wp-content/uploads/water-division/OKGC3T-Class-III-Total-Retention-Impoundment-General-Permit-and-Fact-Sheet.pdf</t>
  </si>
  <si>
    <t>MS4 Phase II</t>
  </si>
  <si>
    <t>https://www.deq.ok.gov/water-quality-division/wastewater-stormwater/stormwater-permitting/</t>
  </si>
  <si>
    <t>State has elected to not use EPA's NeT, Application in Development</t>
  </si>
  <si>
    <t>Industrial Stormwater</t>
  </si>
  <si>
    <t>State has elected to not use EPA's NeT, Application in Development, DMR requirement is conditional</t>
  </si>
  <si>
    <t>Construction Stormwter</t>
  </si>
  <si>
    <t>http://www.oda.state.ok.us/aems/agpdesconstructionpermit-2017.pdf</t>
  </si>
  <si>
    <t>Oregon Discharge Permit for Petroleum Hydrocarbons Cleanup - 1500-A</t>
  </si>
  <si>
    <t>https://www.oregon.gov/deq/FilterPermitsDocs/1500apermit.pdf</t>
  </si>
  <si>
    <t>https://www.oregon.gov/deq/Permits/Pages/Your-DEQ-Online.aspx</t>
  </si>
  <si>
    <t>Oregon Stormwater Discharge Permit - 1200-A</t>
  </si>
  <si>
    <t>ORG6112CN</t>
  </si>
  <si>
    <t>Oregon Stormwater Discharge Permit - 1200-CN</t>
  </si>
  <si>
    <t>Not Online</t>
  </si>
  <si>
    <t>Oregon Stormwater Discharge Permit - 1200-Z</t>
  </si>
  <si>
    <t>Oregon Discharge Permit for Vehicle Wash Water - 1700-A</t>
  </si>
  <si>
    <t>https://www.oregon.gov/deq/FilterPermitsDocs/1700apermit.pdf</t>
  </si>
  <si>
    <t>Oregon Confined Animal Feeding Operations (ODA)</t>
  </si>
  <si>
    <t>ORG130300</t>
  </si>
  <si>
    <t>Oregon Discharge Permit for Fish Hatcheries - 300</t>
  </si>
  <si>
    <t>https://www.oregon.gov/deq/FilterPermitsDocs/300jpermit.pdf</t>
  </si>
  <si>
    <t>Oregon Discharge Permit for Cooling Water/Heat Pumps - 100</t>
  </si>
  <si>
    <t>https://www.oregon.gov/deq/FilterPermitsDocs/100jpermit.pdf</t>
  </si>
  <si>
    <t>Oregon Discharge Permit for Floating Residences - 2200</t>
  </si>
  <si>
    <t>Oregon Discharge Permit for Filter Backwash - 200</t>
  </si>
  <si>
    <t>https://www.oregon.gov/deq/FilterPermitsDocs/200jpermit.pdf</t>
  </si>
  <si>
    <t>Oregon Discharge Permit for Boiler Blowdown - 500</t>
  </si>
  <si>
    <t>https://www.oregon.gov/deq/FilterPermitsDocs/500jpermit.pdf</t>
  </si>
  <si>
    <t>ORG411300</t>
  </si>
  <si>
    <t>ORG411900</t>
  </si>
  <si>
    <t>Oregon Discharge Permit for Non-Contact Geothermal Heat Exchange - 1900</t>
  </si>
  <si>
    <t>https://www.oregon.gov/deq/FilterPermitsDocs/1900jpermit.pdf</t>
  </si>
  <si>
    <t>Oregon Discharge Permit for Seafood Processing - 900</t>
  </si>
  <si>
    <t>https://www.oregon.gov/deq/wq/Documents/wqp900JPermit.pdf</t>
  </si>
  <si>
    <t>ORG614000</t>
  </si>
  <si>
    <t>Oregon Stormwater Discharge Permit - 4000</t>
  </si>
  <si>
    <t>https://www.oregon.gov/deq/wq/Documents/ms4P2PermitMod.pdf</t>
  </si>
  <si>
    <t>STORMWATER - MS4</t>
  </si>
  <si>
    <t>Oregon Discharge Permit for Suction Dredge Mining - 700-PM</t>
  </si>
  <si>
    <t>https://www.oregon.gov/deq/FilterPermitsDocs/700pmPermit.pdf</t>
  </si>
  <si>
    <t>Oregon Discharge Permit for Log Ponds - 400</t>
  </si>
  <si>
    <t>https://www.oregon.gov/deq/FilterPermitsDocs/400jpermit.pdf</t>
  </si>
  <si>
    <t>ORG870000</t>
  </si>
  <si>
    <t>Oregon Discharge Permit for Pesticide Use in Irrigation Systems - 2000</t>
  </si>
  <si>
    <t>https://www.oregon.gov/deq/wq/Documents/2000Jpermit1020F.pdf</t>
  </si>
  <si>
    <t>Oregon Discharge Permit for Pesticide Application - 2300</t>
  </si>
  <si>
    <t>https://www.oregon.gov/deq/FilterPermitsDocs/2300aPermit.pdf</t>
  </si>
  <si>
    <t>Oregon Stormwater Discharge Permit - 1200-C</t>
  </si>
  <si>
    <t>https://www.oregon.gov/deq/FilterPermitsDocs/1200Cpermit.pdf</t>
  </si>
  <si>
    <t>https://greenport.pa.gov/gpl/</t>
  </si>
  <si>
    <t>http://scdhec.gov/ENVIRONMENT/DOCS/NPDES_PERMIT.PDF</t>
  </si>
  <si>
    <t>https://epermintra.dhec.sc.gov/</t>
  </si>
  <si>
    <t>http://scdhec.gov/ENVIRONMENT/DOCS/G250000.PDF</t>
  </si>
  <si>
    <t>http://scdhec.gov/ENVIRONMENT/DOCS/SCG340000.PDF</t>
  </si>
  <si>
    <t>http://scdhec.gov/ENVIRONMENT/DOCS/SCG570000.PDF</t>
  </si>
  <si>
    <t>http://scdhec.gov/ENVIRONMENT/DOCS/G646000.PDF</t>
  </si>
  <si>
    <t>http://scdhec.gov/ENVIRONMENT/DOCS/G670000.PDF</t>
  </si>
  <si>
    <t>http://scdhec.gov/ENVIRONMENT/DOCS/SCG730000.PDF</t>
  </si>
  <si>
    <t>http://scdhec.gov/ENVIRONMENT/DOCS/G750000.PDF</t>
  </si>
  <si>
    <t>http://scdhec.gov/ENVIRONMENT/DOCS/G830000.PDF</t>
  </si>
  <si>
    <t>http://scdhec.gov/ENVIRONMENT/DOCS/SCR000000.PDF</t>
  </si>
  <si>
    <t>http://scdhec.gov/ENVIRONMENT/DOCS/FINAL_SMS4_PERMIT.PDF</t>
  </si>
  <si>
    <t>http://scdhec.gov/ENVIRONMENT/DOCS/CGP-PERMIT.PDF</t>
  </si>
  <si>
    <t>https://www.scdot.org/business/pdf/stormwater/General_Permit_Storwater_Discharge.pdf</t>
  </si>
  <si>
    <t>WASTEWATER LAGOON SYSTEMS IN INDIAN COUNTRY WITHIN SOUTH DAKOTA</t>
  </si>
  <si>
    <t>https://forms.tdec.tn.gov/</t>
  </si>
  <si>
    <t>TXG27I000</t>
  </si>
  <si>
    <t>Discharges from Hydrostatic Testing of New and Existing Vessels - Texas (Tribal Lands)</t>
  </si>
  <si>
    <t>https://www3.tceq.texas.gov/steers/</t>
  </si>
  <si>
    <t>https://www.tceq.texas.gov/assets/public/permitting/wastewater/general/txg53.pdf</t>
  </si>
  <si>
    <t>TXG640000</t>
  </si>
  <si>
    <t>CONVENTIONAL WATER TREATMENT PLANT</t>
  </si>
  <si>
    <t>https://www.tceq.texas.gov/permitting/wastewater/general/index.html</t>
  </si>
  <si>
    <t>https://www.tceq.texas.gov/assets/public/permitting/stormwater/txr150000-cgp.pdf</t>
  </si>
  <si>
    <t>https://documents.deq.utah.gov/water-quality/info-data-services/DWQ-2019-001401.pdf</t>
  </si>
  <si>
    <t>UTG080000</t>
  </si>
  <si>
    <t>WASTEWATER LAGOON SYSTEMS IN INDIAN COUNTRY WITHIN UTAH</t>
  </si>
  <si>
    <t>https://law.lis.virginia.gov/admincode/title9/agency25/chapter193/</t>
  </si>
  <si>
    <t>http://law.lis.virginia.gov/admincode/title9/agency25/chapter196/</t>
  </si>
  <si>
    <t>https://law.lis.virginia.gov/admincode/title9/agency25/chapter110/</t>
  </si>
  <si>
    <t>http://law.lis.virginia.gov/admincode/title9/agency25/chapter860/</t>
  </si>
  <si>
    <t>http://law.lis.virginia.gov/admincode/title9/agency25/chapter194/</t>
  </si>
  <si>
    <t>http://law.lis.virginia.gov/admincode/title9/agency25/chapter120/</t>
  </si>
  <si>
    <t>https://law.lis.virginia.gov/admincode/title9/agency25/chapter190</t>
  </si>
  <si>
    <t>https://law.lis.virginia.gov/admincode/title9/agency25/chapter800</t>
  </si>
  <si>
    <t>https://law.lis.virginia.gov/admincode/title9/agency25/chapter820</t>
  </si>
  <si>
    <t>https://law.lis.virginia.gov/admincode/title9/agency25/chapter890/</t>
  </si>
  <si>
    <t>https://law.lis.virginia.gov/admincode/title9/agency25/chapter151/</t>
  </si>
  <si>
    <t>https://law.lis.virginia.gov/admincode/title9/agency25/chapter880/</t>
  </si>
  <si>
    <t>https://dec.vermont.gov/sites/dec/files/wsm/stormwater/docs/MultiSectorGeneralPermit/sw_msgp_2011_FinalPermit.pdf</t>
  </si>
  <si>
    <t>VTR120000</t>
  </si>
  <si>
    <t>WA0991015</t>
  </si>
  <si>
    <t>WINERY</t>
  </si>
  <si>
    <t>https://ecology.wa.gov/Regulations-Permits/Permits-certifications/Winery-permit</t>
  </si>
  <si>
    <t>https://secureaccess.wa.gov/ecy/wqwebportal</t>
  </si>
  <si>
    <t>WAG000001</t>
  </si>
  <si>
    <t>WAG000002</t>
  </si>
  <si>
    <t>https://ecology.wa.gov/Regulations-Permits/Permits-certifications/Bridge-and-Ferry-Terminal-Washing-Permit</t>
  </si>
  <si>
    <t>https://ecology.wa.gov/Regulations-Permits/Permits-certifications/Vessel-Deconstruction-General-Permit</t>
  </si>
  <si>
    <t>https://ecology.wa.gov/Regulations-Permits/Permits-certifications/Concentrated-animal-feeding-operation</t>
  </si>
  <si>
    <t>https://ecology.wa.gov/Regulations-Permits/Permits-certifications/Boatyard-general-permit</t>
  </si>
  <si>
    <t>https://ecology.wa.gov/Regulations-Permits/Permits-certifications/Aquatic-pesticide-permits/Aquatic-mosquito-control</t>
  </si>
  <si>
    <t>https://ecology.wa.gov/Regulations-Permits/Permits-certifications/Upland-finfish-permit</t>
  </si>
  <si>
    <t>https://ecology.wa.gov/Regulations-Permits/Permits-certifications/Fresh-fruit-packing-general-permit</t>
  </si>
  <si>
    <t>https://ecology.wa.gov/Regulations-Permits/Permits-certifications/Sand-Gravel-General-Permit</t>
  </si>
  <si>
    <t>https://ecology.wa.gov/Regulations-Permits/Permits-certifications/Water-treatment-plants</t>
  </si>
  <si>
    <t>https://ecology.wa.gov/Regulations-Permits/Permits-certifications/Aquatic-pesticide-permits/Irrigation-system-aquatic-weed-control</t>
  </si>
  <si>
    <t>https://ecology.wa.gov/Regulations-Permits/Permits-certifications/Aquatic-pesticide-permits/Aquatic-noxious-weed-control</t>
  </si>
  <si>
    <t>https://ecology.wa.gov/Regulations-Permits/Permits-certifications/Aquatic-pesticide-permits/Aquatic-plant-algae-management</t>
  </si>
  <si>
    <t>WAG994444</t>
  </si>
  <si>
    <t>ZOSTERA JAPONICA EELGRASS MANAGEMENT</t>
  </si>
  <si>
    <t>https://ecology.wa.gov/Regulations-Permits/Permits-certifications/Aquatic-pesticide-permits/Zostera-japonica-eelgrass-management</t>
  </si>
  <si>
    <t>https://ecology.wa.gov/Regulations-Permits/Permits-certifications/Stormwater-general-permits/Municipal-stormwater-general-permits/WSDOT-Municipal-Stormwater-Permit</t>
  </si>
  <si>
    <t>WAR044703</t>
  </si>
  <si>
    <t>https://ecology.wa.gov/Regulations-Permits/Permits-certifications/Stormwater-general-permits/Municipal-stormwater-general-permits/Municipal-Stormwater-Phase-I-Permit</t>
  </si>
  <si>
    <t>WAR045717</t>
  </si>
  <si>
    <t>https://ecology.wa.gov/Regulations-Permits/Permits-certifications/Stormwater-general-permits/Municipal-stormwater-general-permits/Western-Washington-Phase-II-Municipal-Stormwater</t>
  </si>
  <si>
    <t>WAR046702</t>
  </si>
  <si>
    <t>https://ecology.wa.gov/Regulations-Permits/Permits-certifications/Stormwater-general-permits/Construction-stormwater-permit</t>
  </si>
  <si>
    <t>https://ecology.wa.gov/Regulations-Permits/Permits-certifications/Stormwater-general-permits/Industrial-stormwater-permit</t>
  </si>
  <si>
    <t>NONCONTACT COOLING WATER, OR CONDENSATES AND BOILER WATER</t>
  </si>
  <si>
    <t>https://dnr.wisconsin.gov/sites/default/files/topic/Wastewater/44938permit.pdf</t>
  </si>
  <si>
    <t>https://dnr.wisconsin.gov/permits/water</t>
  </si>
  <si>
    <t>https://dnr.wisconsin.gov/sites/default/files/topic/Wastewater/46507_permit.pdf</t>
  </si>
  <si>
    <t>https://dnr.wisconsin.gov/sites/default/files/topic/Wastewater/46523_permit.pdf</t>
  </si>
  <si>
    <t>https://dnr.wisconsin.gov/sites/default/files/topic/Wastewater/46531permit.pdf</t>
  </si>
  <si>
    <t>WATER TREATMENT AND/OR CONDITIONING</t>
  </si>
  <si>
    <t>https://dnr.wisconsin.gov/sites/default/files/topic/Wastewater/46540Permit.pdf</t>
  </si>
  <si>
    <t>CARRIAGE AND/OR INTERSTITIAL WATER FROM DREDGING OPERATIONS</t>
  </si>
  <si>
    <t>https://dnr.wisconsin.gov/sites/default/files/topic/Wastewater/46558permit.pdf</t>
  </si>
  <si>
    <t>CONTAMINATED GROUNDWATER FROM REMEDIAL ACTION OPERATIONS</t>
  </si>
  <si>
    <t>https://dnr.wisconsin.gov/sites/default/files/topic/Wastewater/46566permit.pdf</t>
  </si>
  <si>
    <t>SATELLITE SEWAGE COLLECTION SYSTEMS</t>
  </si>
  <si>
    <t>https://dnr.wisconsin.gov/sites/default/files/topic/Wastewater/47341permit.pdf</t>
  </si>
  <si>
    <t>DEWATERING OPERATIONS</t>
  </si>
  <si>
    <t>https://dnr.wisconsin.gov/sites/default/files/topic/Wastewater/WI0049344permit.pdf</t>
  </si>
  <si>
    <t>HYDROSTATIC TEST WATER AND WATER SUPPLY SYSTEM WATER</t>
  </si>
  <si>
    <t>https://dnr.wisconsin.gov/sites/default/files/topic/Wastewater/57681_permit.pdf</t>
  </si>
  <si>
    <t>https://dnr.wi.gov/topic/AgBusiness/documents/LargeDairyCAFOGP-WPDESPermit.pdf</t>
  </si>
  <si>
    <t>https://dnr.wisconsin.gov/sites/default/files/topic/Wastewater/63835permit.pdf</t>
  </si>
  <si>
    <t>State Uses EPA Vessel GP eNOI System</t>
  </si>
  <si>
    <t>AQUATIC PLANTS, ALGAE, AND PATHOGENS</t>
  </si>
  <si>
    <t>https://dnr.wisconsin.gov/sites/default/files/topic/Wastewater/WI0064556.pdf</t>
  </si>
  <si>
    <t>DETRIMENTAL OR INVASIVE AQUATIC ANIMALS</t>
  </si>
  <si>
    <t>https://dnr.wisconsin.gov/sites/default/files/topic/Wastewater/WI0064564.pdf</t>
  </si>
  <si>
    <t>WI0064572</t>
  </si>
  <si>
    <t>FOREST CANOPY PESTS</t>
  </si>
  <si>
    <t>https://dnr.wisconsin.gov/sites/default/files/topic/Wastewater/WI0064572.pdf</t>
  </si>
  <si>
    <t>MOSQUITOS OR OTHER FLYING INSECTS</t>
  </si>
  <si>
    <t>https://dnr.wisconsin.gov/sites/default/files/topic/Wastewater/WI0064581.pdf</t>
  </si>
  <si>
    <t>WI0066575</t>
  </si>
  <si>
    <t>LOW-IMPACT DISCHARGE</t>
  </si>
  <si>
    <t>https://dnr.wisconsin.gov/sites/default/files/topic/Wastewater/LowImpactDischargeGP_WI-0066575-01-0_FINAL.pdf</t>
  </si>
  <si>
    <t>https://dnr.wi.gov/topic/StormWater/documents/WPDES-WI-S050075.pdf</t>
  </si>
  <si>
    <t>WIS066796</t>
  </si>
  <si>
    <t>WisDOT CONSTRUCTION SITE STORM WATER RUNOFF</t>
  </si>
  <si>
    <t>https://dnr.wi.gov/topic/Sectors/documents/FINALsignedWisDOTCSGPWI-S066796-1Apr2018.pdf</t>
  </si>
  <si>
    <t>WIS066800</t>
  </si>
  <si>
    <t>WisDOT TS4</t>
  </si>
  <si>
    <t>https://dnr.wi.gov/topic/stormwater/documents/WPDES-WI-S066800-1.pdf</t>
  </si>
  <si>
    <t>https://dnr.wi.gov/topic/stormwater/documents/WI-S067831-5.pdf</t>
  </si>
  <si>
    <t>https://dnr.wi.gov/topic/stormwater/documents/S067849-4.pdf</t>
  </si>
  <si>
    <t>https://dnr.wi.gov/topic/Stormwater/documents/S067857-4.pdf</t>
  </si>
  <si>
    <t>https://dep.wv.gov/ess/Pages/default.aspx</t>
  </si>
  <si>
    <t>https://dep.wv.gov/WWE/Programs/stormwater/multisector/Documents/eP%20Signed%20GP%20issued%2003032014%20WV0111457.pdf</t>
  </si>
  <si>
    <t>https://dep.wv.gov/WWE/permit/general/Documents/GW%20Rem%20GP%202018%20-%20as%20issued.pdf</t>
  </si>
  <si>
    <t>https://dep.wv.gov/WWE/permit/general/Documents/WV0116645%20Pesticide%20GP%202017%20signed.pdf</t>
  </si>
  <si>
    <t>http://deq.wyoming.gov/media/attachments/Water%20Quality/Discharge%20Permitting/General%20Permits%20and%20Notices%20of%20Intent/12_WQD-WYPDES-Pesticides_General-Permit-for-Minor-Pesticide-Discharges-Final%20Permit_2016-0201.pdf</t>
  </si>
  <si>
    <t>WASTEWATER LAGOON SYSTEMS IN INDIAN COUNTRY WITHIN WYOMING</t>
  </si>
  <si>
    <t>http://deq.wyoming.gov/media/attachments/Water%20Quality/Discharge%20Permitting/General%20Permits%20and%20Notices%20of%20Intent/03_WQD-WYPDES_General-Permit-for-Temporary-Discharges-Involving-Ground-Water-Well-Pump-Testing-and-Development_2017-0914.pdf.pdf</t>
  </si>
  <si>
    <t>http://deq.wyoming.gov/media/attachments/Water%20Quality/Discharge%20Permitting/General%20Permits%20and%20Notices%20of%20Intent/01_WQD-WYPDES_General-Permit-for-Temporary-Discharges-Involving-Construction-Activities_2017-0914.pdf.pdf</t>
  </si>
  <si>
    <t>http://deq.wyoming.gov/media/attachments/Water%20Quality/Discharge%20Permitting/General%20Permits%20and%20Notices%20of%20Intent/05_WQD-WYPDES_General-Permit-for-Temporary-Discharges-Involving-Ground-Water-Remediation.pdf_2017-0914.pdf</t>
  </si>
  <si>
    <t>WYR040000</t>
  </si>
  <si>
    <t>http://deq.wyoming.gov/media/attachments/Water%20Quality/Storm%20Water%20Permitting%20/Mineral%20Mining%20and%20Associated%20Activities/Final_MMGP_2018-Signed.pdf</t>
  </si>
  <si>
    <t>CAFO-EPA-R10-07</t>
  </si>
  <si>
    <t>GENERAL PERMIT FOR CONCENTRATED ANIMAL FEEDING OPERATIONS - STATE OF IDAHO (EXCEPT INDIAN COUNTRY)</t>
  </si>
  <si>
    <t>https://www.epa.gov/npdes-permits/npdes-general-permit-concentrated-animal-feeding-operations-cafos-idaho</t>
  </si>
  <si>
    <t>State Program Authorization</t>
  </si>
  <si>
    <t>URL Program Report</t>
  </si>
  <si>
    <t>Application Deployment Date</t>
  </si>
  <si>
    <t>State (Code)</t>
  </si>
  <si>
    <t>State (Name)</t>
  </si>
  <si>
    <t>EPA Issued Program Report</t>
  </si>
  <si>
    <t>Estimate Number of Filers</t>
  </si>
  <si>
    <t>MVP Development Status</t>
  </si>
  <si>
    <t>Not Started</t>
  </si>
  <si>
    <t>Number of Program Reports Using NeT - 
NeT Deployment Not Complete</t>
  </si>
  <si>
    <t>Number of NeT Program Reports Filers - 
NeT Deployment Not Complete</t>
  </si>
  <si>
    <t>NeT Deployment Not Complete</t>
  </si>
  <si>
    <r>
      <rPr>
        <b/>
        <sz val="11"/>
        <color theme="1"/>
        <rFont val="Calibri"/>
        <family val="2"/>
        <scheme val="minor"/>
      </rPr>
      <t xml:space="preserve">FYI: </t>
    </r>
    <r>
      <rPr>
        <sz val="11"/>
        <color theme="1"/>
        <rFont val="Calibri"/>
        <family val="2"/>
        <scheme val="minor"/>
      </rPr>
      <t>The following are program reports that do not need to be converted to electronic reporting (i.e., zero filers for these reports)</t>
    </r>
  </si>
  <si>
    <t>Number of "N/A" Program Reports (EPA)</t>
  </si>
  <si>
    <t>Number of "N/A" Program Reports (State)</t>
  </si>
  <si>
    <t>Estimated Number of "N/A" Program Reports Filers (Total)</t>
  </si>
  <si>
    <t>Estimated Number of "N/A" Program Reports Filers (EPA)</t>
  </si>
  <si>
    <t>Estimated Number of "N/A" Program Reports Filers (State)</t>
  </si>
  <si>
    <t>Overall Schedule of EPA's Initial Coordination with States and EPA Points of Contact (POC) - General Permits Using NeT</t>
  </si>
  <si>
    <t>Initial Information Gathering Table</t>
  </si>
  <si>
    <t>Cumulative Counts Table</t>
  </si>
  <si>
    <t>Application Deployed Table</t>
  </si>
  <si>
    <t>Authorized State Program Will Use NeT for One or More Program Reprots</t>
  </si>
  <si>
    <t>EPA-Issued NeT Program Reports</t>
  </si>
  <si>
    <t>Authorized State Program Will Use NeT for One or More General Permits</t>
  </si>
  <si>
    <t>General Permit Issuer</t>
  </si>
  <si>
    <t>NeT Application Deployment Status</t>
  </si>
  <si>
    <t>EPA general permit has expired with no covered facilities. On hold pending outcome of BOEM litigation.</t>
  </si>
  <si>
    <t>EPA general permit has expired with no covered facilities.</t>
  </si>
  <si>
    <t>No. of General Permits Covered by Proxy Card</t>
  </si>
  <si>
    <t>No. of Facilities Covered by Proxy Card</t>
  </si>
  <si>
    <t>Proxy Card Number
(not in priority order)</t>
  </si>
  <si>
    <t>ELMS Board Category No.
(not in priority order)</t>
  </si>
  <si>
    <t>Number of Proxy Cards</t>
  </si>
  <si>
    <t>Number of NeT General Permits - NeT Application Pending</t>
  </si>
  <si>
    <t>Number of NeT General Permits - NeT Application on Hold</t>
  </si>
  <si>
    <t>Estimated Number of General Permit Covered Facilities - NeT Application on Hold</t>
  </si>
  <si>
    <t>Estimated Number of General Permit Covered Facilities - NeT Application Pending</t>
  </si>
  <si>
    <t>Estimated Number of NeT Proxy Cards - Proxy Cards - NeT Application Deployed</t>
  </si>
  <si>
    <t>Estimated Number of NeT Proxy Cards - Proxy Cards - NeT Application Pending</t>
  </si>
  <si>
    <t>Estimated Number of NeT Proxy Cards - Proxy Cards - NeT Application on Hold</t>
  </si>
  <si>
    <t>Estimated Number of NeT Proxy Cards - Proxy Cards - NeT Application Not Deployed</t>
  </si>
  <si>
    <t>Domestic Wastewater Treatment</t>
  </si>
  <si>
    <t>NNG990001</t>
  </si>
  <si>
    <t>LOW THREAT DISCHARGES ON NAVAJO NATION</t>
  </si>
  <si>
    <t>https://www.epa.gov/npdes-permits/nng990001-general-permit-low-threat-discharge-navajo-nation</t>
  </si>
  <si>
    <t>GUG000001</t>
  </si>
  <si>
    <t>https://www.epa.gov/npdes-permits/gug000001-general-permit-bulk-fuel-storage-facilities-guam</t>
  </si>
  <si>
    <t>MS4-STA-TX-13</t>
  </si>
  <si>
    <t>CGP-STA-SD-08</t>
  </si>
  <si>
    <t>MS4-STA-ME-14</t>
  </si>
  <si>
    <t>https://dec.alaska.gov/water/wastewater/</t>
  </si>
  <si>
    <t>https://dec.alaska.gov/Applications/Water/EDMS/ncore/external/home</t>
  </si>
  <si>
    <t>AKG315200</t>
  </si>
  <si>
    <t>COOK INLET OIL AND GAS EXPLORATION, DEVELOPMENT AND PRODUCTION GENERAL PERMIT</t>
  </si>
  <si>
    <t>AKG521000</t>
  </si>
  <si>
    <t>ONSHORE SEAFOOD PROCESSORS IN ALASKA WASTEWATER DISCHARGE GENERAL PERMIT</t>
  </si>
  <si>
    <t>AKG527000</t>
  </si>
  <si>
    <t>SEAFOOD PROCESSORS INCLUDING ST PAUL AND ST GEORGE</t>
  </si>
  <si>
    <t>AKG570000</t>
  </si>
  <si>
    <t>SECONDARY TREATMENT NPDES GP TO LAND AND FRESH WATER</t>
  </si>
  <si>
    <t>AKG571000</t>
  </si>
  <si>
    <t>SECONDARY TREATMENT NPDES GP TO MARINE WATER</t>
  </si>
  <si>
    <t>Landfills Located within the State of Arkansas</t>
  </si>
  <si>
    <t>https://www.adeq.state.ar.us/downloads/WebDatabases/PermitsOnline/NPDES/Permits/ARG160000.pdf</t>
  </si>
  <si>
    <t>Non-contact Cooling Water, Cooling Tower Blowdown, and Boiler Blowdown Facilities Located within the State of Arkansas</t>
  </si>
  <si>
    <t>https://www.adeq.state.ar.us/downloads/WebDatabases/PermitsOnline/NPDES/Permits/ARG250000.pdf</t>
  </si>
  <si>
    <t>Aggregate Facilities</t>
  </si>
  <si>
    <t>https://www.adeq.state.ar.us/downloads/WebDatabases/PermitsOnline/NPDES/Permits/ARG500000.pdf</t>
  </si>
  <si>
    <t>Operators of lndividual Treatment Facilities Generating Only Domestic Waste located within the State of Arkansas</t>
  </si>
  <si>
    <t>https://www.adeq.state.ar.us/downloads/WebDatabases/PermitsOnline/NPDES/Permits/ARG550000.pdf</t>
  </si>
  <si>
    <t>Water Treatment Plants with a Wastewater Discharge Located within the State of Arkansas</t>
  </si>
  <si>
    <t>https://www.adeq.state.ar.us/downloads/WebDatabases/PermitsOnline/NPDES/Permits/ARG640000.pdf</t>
  </si>
  <si>
    <t>Hydrostatic Testing Discharges Located within the State of Arkansas</t>
  </si>
  <si>
    <t>https://www.adeq.state.ar.us/downloads/WebDatabases/PermitsOnline/NPDES/Permits/ARG670000.pdf</t>
  </si>
  <si>
    <t>Discharging Car/Truck Wash Facilities</t>
  </si>
  <si>
    <t>https://www.adeq.state.ar.us/downloads/WebDatabases/PermitsOnline/NPDES/Permits/ARG750000.pdf</t>
  </si>
  <si>
    <t>Groundwater and Surface Water Petroleum Remediation Facilities Located within the State of Arkansas</t>
  </si>
  <si>
    <t>https://www.adeq.state.ar.us/downloads/WebDatabases/PermitsOnline/NPDES/Permits/ARG790000.pdf</t>
  </si>
  <si>
    <t>Facilities Discharging Stormwater Associated With Industrial Activity</t>
  </si>
  <si>
    <t>https://www.adeq.state.ar.us/downloads/WebDatabases/PermitsOnline/NPDES/Permits/ARR000000.pdf</t>
  </si>
  <si>
    <t>Regulated Small Municipal Separate Storm Sewer Systems (MS4s) Located within the State of Arkansas</t>
  </si>
  <si>
    <t>https://www.adeq.state.ar.us/downloads/WebDatabases/PermitsOnline/NPDES/Permits/ARR040000.pdf</t>
  </si>
  <si>
    <t>Operator of Facilities with Stormwater Discharges Associated with Construction Activity</t>
  </si>
  <si>
    <t>https://www.adeq.state.ar.us/downloads/WebDatabases/PermitsOnline/NPDES/Permits/ARR150000.pdf</t>
  </si>
  <si>
    <t>https://eportal.adeq.state.ar.us/</t>
  </si>
  <si>
    <t>The requirements of this general permit are implemented through the applicable facilities' individual NPDES permits.</t>
  </si>
  <si>
    <t>LOW THREAT DISCHARGES FOR CENTRAL COARST REGIONAL BOARD</t>
  </si>
  <si>
    <t>AQUACULTURE AND AQUARIUM FOR CENTRAL COAST REGIONAL BOARD</t>
  </si>
  <si>
    <t>GENERAL PERMIT FOR DISCHARGES OF LOW THREAT WASTEWATERS TO SURFACE WATERS FOR COLORADO RIVER BASIN REGIONAL BOARD</t>
  </si>
  <si>
    <t>GENERAL DEMINIMIS PERMIT FOR SANTA ANA REGIONAL BOARD</t>
  </si>
  <si>
    <t>State has elected to not use EPA's NeT. Reporting system in place for NOIs and NOTs but not program reports.</t>
  </si>
  <si>
    <t>https://www.waterboards.ca.gov/water_issues/programs/stormwater/docs/remediated_phase2ms4permit_v2.pdf</t>
  </si>
  <si>
    <t>CTG910000</t>
  </si>
  <si>
    <t>REMEDIATION GENERAL PERMIT FOR INDIAN COUNTRY WITHIN CONNECTICUT</t>
  </si>
  <si>
    <t>https://www.flrules.org/gateway/reference.asp?No=Ref-09842</t>
  </si>
  <si>
    <t>https://www.flrules.org/gateway/reference.asp?No=Ref-12375, https://www.flrules.org/gateway/reference.asp?No=Ref-12374, https://www.flrules.org/gateway/reference.asp?No=Ref-12373</t>
  </si>
  <si>
    <t>https://www.flrules.org/gateway/ChapterHome.asp?Chapter=62-621</t>
  </si>
  <si>
    <t>https://www.flrules.org/gateway/ChapterHome.asp?Chapter=62-620</t>
  </si>
  <si>
    <t>https://www.epa.gov/npdes-permits/louisiana-npdes-permits</t>
  </si>
  <si>
    <t>SMALL WASTEWATER TREATMENT FACILITIES GENERAL PERMIT FOR MASSACHUSETTS AND NEW HAMPSHIRE</t>
  </si>
  <si>
    <t>https://www.epa.gov/npdes-permits/region-1-final-small-wastewater-treatment-facilities-general-permit</t>
  </si>
  <si>
    <t>MAG590000</t>
  </si>
  <si>
    <t>MEDIUM WASTEWATER TREATMENT FACILITIES GENERAL PERMIT FOR MASSACHUSETTS</t>
  </si>
  <si>
    <t>https://www.epa.gov/npdes-permits/region-1-final-medium-wastewater-treatment-facilities-general-permit-massachusetts</t>
  </si>
  <si>
    <t>MIR110000</t>
  </si>
  <si>
    <t>CONCENTRATED ANIMAL FEEDING OPERATION</t>
  </si>
  <si>
    <t>https://dnr.mo.gov/water/business-industry-other-entities/permits-certification-engineering-fees/wastewater/concentrated-animal-feeding-operation-cafo-mo-g010000</t>
  </si>
  <si>
    <t>ABANDONED MINE LAND RECLAMATION</t>
  </si>
  <si>
    <t>https://dnr.mo.gov/water/business-industry-other-entities/permits-certification-engineering-fees/wastewater/abandoned-mine-land-reclamation-5-acres-mo-g050000</t>
  </si>
  <si>
    <t>https://dnr.mo.gov/data-e-services/missouri-gateway-environmental-management-mogem</t>
  </si>
  <si>
    <t>FISH FARMS/HATCHERIES</t>
  </si>
  <si>
    <t>https://dnr.mo.gov/water/business-industry-other-entities/permits-certification-engineering-fees/wastewater/fish-farms-hatcheries-mo-g130000</t>
  </si>
  <si>
    <t>https://dnr.mo.gov/water/business-industry-other-entities/permits-certification-engineering-fees/wastewater/oil-water-separators-mo-g140000</t>
  </si>
  <si>
    <t>MOG220000</t>
  </si>
  <si>
    <t>SMALL MEAT PROCESSORS</t>
  </si>
  <si>
    <t>https://dnr.mo.gov/water/business-industry-other-entities/permits-certification-engineering-fees/wastewater/small-meat-processors-mo-g220000</t>
  </si>
  <si>
    <t>HEAT PUMPS</t>
  </si>
  <si>
    <t>https://dnr.mo.gov/water/business-industry-other-entities/permits-certification-engineering-fees/wastewater/heat-pumps-mo-g251000</t>
  </si>
  <si>
    <t>PETROLEUM STORAGE &lt;250,000 GALLONS</t>
  </si>
  <si>
    <t>https://dnr.mo.gov/water/business-industry-other-entities/permits-certification-engineering-fees/wastewater/petroleum-storage-mo-g350000</t>
  </si>
  <si>
    <t>https://dnr.mo.gov/water/business-industry-other-entities/permits-certification-engineering-fees/wastewater/limestone-quarries-mo-g490000</t>
  </si>
  <si>
    <t>SAND AND GRAVEL WASHING</t>
  </si>
  <si>
    <t>https://dnr.mo.gov/water/business-industry-other-entities/permits-certification-engineering-fees/wastewater/sand-gravel-washing-mo-g500000</t>
  </si>
  <si>
    <t>WATER TREATMENT PLANT SETTLING BASINS</t>
  </si>
  <si>
    <t>https://dnr.mo.gov/water/business-industry-other-entities/permits-certification-engineering-fees/wastewater/water-treatment-plant-settling-basins-mo-g640000</t>
  </si>
  <si>
    <t>https://dnr.mo.gov/water/business-industry-other-entities/permits-certification-engineering-fees/wastewater/zeolite-softeners-mo-g641000</t>
  </si>
  <si>
    <t>HYDROSTATIC TESTING OF PIPELINES AND STORAGE TANKS</t>
  </si>
  <si>
    <t>https://dnr.mo.gov/water/business-industry-other-entities/permits-certification-engineering-fees/wastewater/hydrostatic-testing-pipelines-storage-tanks-mo-g670000</t>
  </si>
  <si>
    <t>DREDGING LAKE/RIVER HARBORS</t>
  </si>
  <si>
    <t>https://dnr.mo.gov/water/business-industry-other-entities/permits-certification-engineering-fees/wastewater/dredging-lakes-river-harbors-mo-g69000</t>
  </si>
  <si>
    <t>DREDGING ON THE MISSOURI AND MISSISSIPPI RIVERS</t>
  </si>
  <si>
    <t>https://dnr.mo.gov/water/business-industry-other-entities/permits-certification-engineering-fees/wastewater/dredging-missouri-mississippi-river-mo-g698000</t>
  </si>
  <si>
    <t>https://dnr.mo.gov/water/business-industry-other-entities/permits-certification-engineering-fees/wastewater/car-wash-mo-g750000</t>
  </si>
  <si>
    <t>SWIMMING POOL DISCHARGES</t>
  </si>
  <si>
    <t>https://dnr.mo.gov/water/business-industry-other-entities/permits-certification-engineering-fees/wastewater/swimming-pools-discharges-mo-g760000</t>
  </si>
  <si>
    <t>LAND APPLICATION OF DOMESTIC WASTEWATER BIOSOLIDS</t>
  </si>
  <si>
    <t>https://dnr.mo.gov/water/business-industry-other-entities/permits-certification-engineering-fees/wastewater/land-application-domestic-wastewater-biosolids-mo-g821000</t>
  </si>
  <si>
    <t>LAND APPLICATION OF FOOD PROCESSING WASTEWATER</t>
  </si>
  <si>
    <t>https://dnr.mo.gov/water/business-industry-other-entities/permits-certification-engineering-fees/wastewater/land-application-food-processing-wastewater-mo-g822000</t>
  </si>
  <si>
    <t>https://dnr.mo.gov/water/business-industry-other-entities/permits-certification-engineering-fees/wastewater/land-application-domestic-wastewater-mo-g823000</t>
  </si>
  <si>
    <t>CLAY PITS</t>
  </si>
  <si>
    <t>https://dnr.mo.gov/water/business-industry-other-entities/permits-certification-engineering-fees/wastewater/clay-pits-mo-g840000</t>
  </si>
  <si>
    <t>https://dnr.mo.gov/water/business-industry-other-entities/permits-certification-engineering-fees/wastewater/pesticide-applications-mo-g870000</t>
  </si>
  <si>
    <t>FEEDSTOCK COMPOST SITES</t>
  </si>
  <si>
    <t>https://dnr.mo.gov/water/business-industry-other-entities/permits-certification-engineering-fees/wastewater/feedstock-compost-sites-mo-g920000</t>
  </si>
  <si>
    <t>PETROLEUM IMPACTED WATER REMEDIATION</t>
  </si>
  <si>
    <t>https://dnr.mo.gov/water/business-industry-other-entities/permits-certification-engineering-fees/wastewater/petroleum-impacted-water-remediation-mo-g940000</t>
  </si>
  <si>
    <t>YARD WASTE COMPOST SITES</t>
  </si>
  <si>
    <t>https://dnr.mo.gov/water/business-industry-other-entities/permits-certification-engineering-fees/wastewater/yard-waste-compost-sites-mo-g970000</t>
  </si>
  <si>
    <t>NON-POTW DISCHARGING LESS THAN 50,000 GPD</t>
  </si>
  <si>
    <t>https://dnr.mo.gov/water/business-industry-other-entities/permits-certification-engineering-fees/wastewater/non-publically-owned-treatment-works-potw-discharging-50000-gallons-day-mo-gd00000</t>
  </si>
  <si>
    <t>MOR04C000</t>
  </si>
  <si>
    <t>https://dnr.mo.gov/water/business-industry-other-entities/permits-certification-engineering-fees/stormwater/phase-ii-municipal-separate-storm-sewer-systems-comprehensive-mo-r04c000</t>
  </si>
  <si>
    <t>LUMBER AND WOOD PRIMARY</t>
  </si>
  <si>
    <t>https://dnr.mo.gov/water/business-industry-other-entities/permits-certification-engineering-fees/stormwater/lumber-wood-primary-mo-r22a000</t>
  </si>
  <si>
    <t>https://dnr.mo.gov/water/business-industry-other-entities/permits-certification-engineering-fees/stormwater</t>
  </si>
  <si>
    <t>CHEMICAL MANUFACTURING</t>
  </si>
  <si>
    <t>https://dnr.mo.gov/water/business-industry-other-entities/permits-certification-engineering-fees/stormwater/chemical-manufacturing-mo-r23a000</t>
  </si>
  <si>
    <t>PLASTICS AND RUBBER MANUFACTURING</t>
  </si>
  <si>
    <t>https://dnr.mo.gov/water/business-industry-other-entities/permits-certification-engineering-fees/stormwater/plastics-rubber-manufacturing-mo-r23d000</t>
  </si>
  <si>
    <t>https://dnr.mo.gov/water/business-industry-other-entities/permits-certification-engineering-fees/stormwater/biodiesel-manufacturing-mo-r23e000</t>
  </si>
  <si>
    <t>https://dnr.mo.gov/water/business-industry-other-entities/permits-certification-engineering-fees/stormwater/motor-vehicle-salvage-mo-r60a000</t>
  </si>
  <si>
    <t>https://dnr.mo.gov/water/business-industry-other-entities/permits-certification-engineering-fees/stormwater/motor-freight-transportation-mo-r80c000</t>
  </si>
  <si>
    <t>https://dnr.mo.gov/water/business-industry-other-entities/permits-certification-engineering-fees/stormwater/airports-mo-r80f000</t>
  </si>
  <si>
    <t>https://dnr.mo.gov/water/business-industry-other-entities/permits-certification-engineering-fees/stormwater/solid-waste-transfer-mo-r80h000</t>
  </si>
  <si>
    <t>https://dnr.mo.gov/water/business-industry-other-entities/permits-certification-engineering-fees/stormwater/phase-ii-municipal-separate-storm-sewer-systems-mo-r040000</t>
  </si>
  <si>
    <t>https://dnr.mo.gov/water/business-industry-other-entities/permits-certification-engineering-fees/stormwater/area-wide-land-disturbance-mo-r100000</t>
  </si>
  <si>
    <t>TEXTILE AND APPARAL/PRINTING AND PUBLISHING</t>
  </si>
  <si>
    <t>https://dnr.mo.gov/water/business-industry-other-entities/permits-certification-engineering-fees/stormwater/textile-apparel-printing-publishing-mo-r130000</t>
  </si>
  <si>
    <t>FABRICATING METAL, LIGHT INDUSTRIAL</t>
  </si>
  <si>
    <t>https://dnr.mo.gov/water/business-industry-other-entities/permits-certification-engineering-fees/stormwater/fabricating-metal-light-industrial-mo-r203000</t>
  </si>
  <si>
    <t>https://dnr.mo.gov/water/business-industry-other-entities/permits-certification-engineering-fees/stormwater/agrichemical-facilities-mo-r240000</t>
  </si>
  <si>
    <t>https://dnr.mo.gov/water/business-industry-other-entities/permits-certification-engineering-fees/stormwater/construction-or-land-disturbance-mo-ra00000</t>
  </si>
  <si>
    <t>MPG870000</t>
  </si>
  <si>
    <t>State has elected to not use EPA's NeT. There are only 2 authorizations under the MTG790000 so that permit is the only permit that has not been added to FACTS.</t>
  </si>
  <si>
    <t>https://www.nj.gov/dep/dwq/pdf/CG_Final_Permit.pdf</t>
  </si>
  <si>
    <t>https://www.nj.gov/dep/dwq/pdf/5G2_Final_Permit.pdf</t>
  </si>
  <si>
    <t>https://www.nj.gov/dep/dwq/pdf/5G3_Final_Permit.pdf</t>
  </si>
  <si>
    <t>https://www.nj.gov/dep/dwq/pdf/B4B_Final_Permit.pdf</t>
  </si>
  <si>
    <t>https://www.nj.gov/dep/dwq/pdf/scrapmetal_final.pdf</t>
  </si>
  <si>
    <t>https://www.nj.gov/dep/dwq/pdf/B6_2017_Final_Permit.pdf</t>
  </si>
  <si>
    <t>https://www.nj.gov/dep/dwq/pdf/BPW_2017_Final_Permit.pdf</t>
  </si>
  <si>
    <t>https://www.nj.gov/dep/dwq/pdf/BG_Final_Renewal_Permit.pdf</t>
  </si>
  <si>
    <t>https://www.nj.gov/dep/dwq/pdf/B7_Final_Permit.pdf</t>
  </si>
  <si>
    <t>https://www.nj.gov/dep/dwq/pdf/cafogp.pdf</t>
  </si>
  <si>
    <t>https://www.nj.gov/dep/dwq/pdf/tier_a_Full_Permit_No_ReponsetoComments.pdf</t>
  </si>
  <si>
    <t>https://www.nj.gov/dep/dwq/pdf/tier_b_Full_Permit_No_ReponsetoComments.pdf</t>
  </si>
  <si>
    <t>https://www.nj.gov/dep/dwq/pdf/Public_Complex_Final_Renewal_Permit.pdf</t>
  </si>
  <si>
    <t>https://www.nj.gov/dep/dwq/pdf/Final_Highway_Agency_MS4_Master_GP.pdf</t>
  </si>
  <si>
    <t>https://www.nj.gov/dep/dwq/pdf/R13_Quarry_Final_Permit.pdf</t>
  </si>
  <si>
    <t>https://www.nj.gov/dep/dwq/pdf/BGR_Final.pdf</t>
  </si>
  <si>
    <t>https://www.nj.gov/dep/dwq/pdf/PGP_Final_Permit.pdf</t>
  </si>
  <si>
    <t>https://www.epa.gov/npdes-permits/new-mexico-npdes-permits</t>
  </si>
  <si>
    <t>https://www.epa.gov/npdes-permits/oklahoma-npdes-permits</t>
  </si>
  <si>
    <t>ORG6112CA</t>
  </si>
  <si>
    <t>Oregon Stormwater Discharge Permit - 1200-CA</t>
  </si>
  <si>
    <t>https://www.oregon.gov/deq/wq/Documents/1200-CA-Permit.pdf</t>
  </si>
  <si>
    <t>https://www.oregon.gov/deq/FilterPermitsDocs/wqp1200cnPermit.pdf</t>
  </si>
  <si>
    <t>https://www.oregon.gov/deq/FilterPermitsDocs/wqp1200zPermit.pdf</t>
  </si>
  <si>
    <t>https://www.oregon.gov/deq/wq/Documents/2200Jpermit.pdf</t>
  </si>
  <si>
    <t>Oregon Discharge Permit for Oil and Water Separators - 1300</t>
  </si>
  <si>
    <t>RIG910000</t>
  </si>
  <si>
    <t>REMEDIATION GENERAL PERMIT FOR INDIAN COUNTRY WITHIN RHODE ISLAND</t>
  </si>
  <si>
    <t>https://dem.ri.gov/sites/g/files/xkgbur861/files/programs/benviron/water/permits/ripdes/pdfs/cgp092620.pdf</t>
  </si>
  <si>
    <t>https://danr.sd.gov/OfficeOfWater/SurfaceWaterQuality/stormwater/TempDischarge.aspx</t>
  </si>
  <si>
    <t>https://danr.sd.gov/Agriculture/Livestock/FeedlotPermit/default.aspx</t>
  </si>
  <si>
    <t>SDG820000</t>
  </si>
  <si>
    <t>https://danr.sd.gov/OfficeOfWater/SurfaceWaterQuality/swdpermitting/MunicipalWW.aspx</t>
  </si>
  <si>
    <t>https://danr.sd.gov/OfficeOfWater/SurfaceWaterQuality/swdpermitting/WaterTreatmentPlantPermit.aspx</t>
  </si>
  <si>
    <t>https://danr.sd.gov/OfficeOfWater/SurfaceWaterQuality/swdpermitting/PesticidePermits.aspx</t>
  </si>
  <si>
    <t>https://danr.sd.gov/OfficeOfWater/SurfaceWaterQuality/stormwater/StormwaterIndustrial.aspx</t>
  </si>
  <si>
    <t>https://danr.sd.gov/OfficeOfWater/SurfaceWaterQuality/stormwater/StormWaterConstruction.aspx</t>
  </si>
  <si>
    <t>State will transition from state tool (launched 04/01/2020) to EPA's NeT</t>
  </si>
  <si>
    <t>https://danr.sd.gov/OfficeOfWater/SurfaceWaterQuality/stormwater/StormWaterMS4.aspx</t>
  </si>
  <si>
    <t>https://www.epa.gov/npdes-permits/texas-npdes-permits</t>
  </si>
  <si>
    <t>VTG910000</t>
  </si>
  <si>
    <t>REMEDIATION GENERAL PERMIT FOR FEDERAL FACILITIES AND INDIAN COUNTRY WITHIN VERMONT</t>
  </si>
  <si>
    <t>WAG994511</t>
  </si>
  <si>
    <t>PUGET SOUND NUTRIENT</t>
  </si>
  <si>
    <t>Application Deployment</t>
  </si>
  <si>
    <t>Phase 2 Roadmap Group</t>
  </si>
  <si>
    <t>Initial Coordination Complete</t>
  </si>
  <si>
    <t>Requirements Gathering Status</t>
  </si>
  <si>
    <t>Nebraska, Rhode Island, and U.S. Virgin Islands</t>
  </si>
  <si>
    <t>CDX Program Service</t>
  </si>
  <si>
    <t>CDX Program Service - Deployed</t>
  </si>
  <si>
    <t>CDX Program Service - 
Not Deployed</t>
  </si>
  <si>
    <t>ELMS Board Categories used for Tracking Proxy Cards (General Permits)</t>
  </si>
  <si>
    <t>Domestic Wastewater and Drinking Water Treatment</t>
  </si>
  <si>
    <t>Roadmap General Permit Category</t>
  </si>
  <si>
    <t>Number of States with State-Issued General Permits Using NeT Application</t>
  </si>
  <si>
    <t>DWT2-EPA-R1-01</t>
  </si>
  <si>
    <t>DWT2-EPA-R8-02</t>
  </si>
  <si>
    <t>DWT2-STA-IL-03</t>
  </si>
  <si>
    <t>DWT2-STA-IL-04</t>
  </si>
  <si>
    <t>DWT2-STA-SD-05</t>
  </si>
  <si>
    <t>DWT2-EPA-R8-06</t>
  </si>
  <si>
    <t>DWT2-EPA-R1-07</t>
  </si>
  <si>
    <t>DWT2-STA-UT-08</t>
  </si>
  <si>
    <t>DWT2-STA-IL-09</t>
  </si>
  <si>
    <t>DWT2-STA-SD-10</t>
  </si>
  <si>
    <t>MSGP-STA-ME-07</t>
  </si>
  <si>
    <t>MSGP-STA-MS-08</t>
  </si>
  <si>
    <t>MSGP-STA-VI-09</t>
  </si>
  <si>
    <t>PGP-STA-NE-05</t>
  </si>
  <si>
    <t>PGP-STA-UT-06</t>
  </si>
  <si>
    <t>PGP-STA-VI-07</t>
  </si>
  <si>
    <t>PGP-STA-ME-08</t>
  </si>
  <si>
    <t>MISC-STA-ME-02</t>
  </si>
  <si>
    <t>MISC-STA-MS-03</t>
  </si>
  <si>
    <t>MISC-STA-SD-04</t>
  </si>
  <si>
    <t>MISC-STA-ME-07</t>
  </si>
  <si>
    <t>DWT2-STA-VI-11</t>
  </si>
  <si>
    <t>MISC-STA-ME-06</t>
  </si>
  <si>
    <t>MISC-EPA-GU-08</t>
  </si>
  <si>
    <t>MISC-EPA-NN-09</t>
  </si>
  <si>
    <t>MISC-EPA-R1-10</t>
  </si>
  <si>
    <t>MISC-STA-RI-11</t>
  </si>
  <si>
    <t>GRCD-STA-IL-02</t>
  </si>
  <si>
    <t>VICHA0000</t>
  </si>
  <si>
    <t>CONDOMINIUM, HOTEL, AND APARTMENT COMPLEX GENERAL PERMIT</t>
  </si>
  <si>
    <t>SEWAGE TREATMENT SYSTEMS DISCHARGE, DRINKING WATER TREATMENT DISCHARGES</t>
  </si>
  <si>
    <t>Asphalt Concrete, Asphalt Roofing, Lineleum and Printed Asphalt Felt, and Hot Mix Asphalt</t>
  </si>
  <si>
    <t>https://adem.alabama.gov/programs/water/permits/ALG020000Asphalt.pdf</t>
  </si>
  <si>
    <t>https://aepacs.adem.alabama.gov/nviro/ncore/</t>
  </si>
  <si>
    <t>State has elected to not use EPA's NeT; Deployment date given for new tool</t>
  </si>
  <si>
    <t>Boat and Ship Building and Repair</t>
  </si>
  <si>
    <t>https://adem.alabama.gov/programs/water/permits/ALG030000Boat-Ship.pdf</t>
  </si>
  <si>
    <t>Lumber, Wood, and Paper Products</t>
  </si>
  <si>
    <t>https://adem.alabama.gov/programs/water/permits/ALG060000Lumber-Wood.pdf</t>
  </si>
  <si>
    <t>Concrete Batch Plants</t>
  </si>
  <si>
    <t>https://adem.alabama.gov/programs/water/permits/ALG110000Concrete.pdf</t>
  </si>
  <si>
    <t>Metals</t>
  </si>
  <si>
    <t>https://adem.alabama.gov/programs/water/permits/ALG120000-Metals.pdf</t>
  </si>
  <si>
    <t>Transportation and Warehousing</t>
  </si>
  <si>
    <t>https://adem.alabama.gov/programs/water/permits/ALG140000Trans.pdf</t>
  </si>
  <si>
    <t>Food and Kindred Products</t>
  </si>
  <si>
    <t>https://adem.alabama.gov/programs/water/permits/ALG150000Food.pdf</t>
  </si>
  <si>
    <t>Landfills</t>
  </si>
  <si>
    <t>https://adem.alabama.gov/programs/water/permits/ALG160000Landfill.pdf</t>
  </si>
  <si>
    <t>Paints and Allied Products</t>
  </si>
  <si>
    <t>https://adem.alabama.gov/programs/water/permits/ALG170000Paint.pdf</t>
  </si>
  <si>
    <t>Salvage and Recycling</t>
  </si>
  <si>
    <t>https://adem.alabama.gov/programs/water/permits/ALG180000Sal-Recyc.pdf</t>
  </si>
  <si>
    <t>Plastic and Rubber  Products</t>
  </si>
  <si>
    <t>https://adem.alabama.gov/programs/water/permits/ALG200000Plastic-Rubber.pdf</t>
  </si>
  <si>
    <t>Stone, Glass, and Clay Products</t>
  </si>
  <si>
    <t>https://adem.alabama.gov/programs/water/permits/ALG230000Stone-Glass-Clay.pdf</t>
  </si>
  <si>
    <t>Textiles</t>
  </si>
  <si>
    <t>https://adem.alabama.gov/programs/water/permits/ALG240000Textile.pdf</t>
  </si>
  <si>
    <t>Non-contact Cooling Water/Cooling Water Blowdown/Boiler Blowdown/Uncontaminated Condensate</t>
  </si>
  <si>
    <t>https://adem.alabama.gov/programs/water/permits/ALG250000NCCW.pdf</t>
  </si>
  <si>
    <t>Offshore Oil and Gas Exploration and Productions</t>
  </si>
  <si>
    <t>https://adem.alabama.gov/programs/water/permits/ALG280000Offshore.pdf</t>
  </si>
  <si>
    <t>Petroleum Products and Derivatives</t>
  </si>
  <si>
    <t>https://adem.alabama.gov/programs/water/permits/ALG340000Petroleum.pdf</t>
  </si>
  <si>
    <t>Hydroelectric Generating Facilities</t>
  </si>
  <si>
    <t>https://adem.alabama.gov/programs/water/permits/ALG360000Hydro.pdf</t>
  </si>
  <si>
    <t>https://adem.alabama.gov/programs/water/permits/ALG640000WaterTreat.pdf</t>
  </si>
  <si>
    <t>Hydrostatic Test Waters from Petroleum and Natural Gas Pipelines</t>
  </si>
  <si>
    <t>https://adem.alabama.gov/programs/water/permits/ALG670000HydroTest.pdf</t>
  </si>
  <si>
    <t>Noncoal/Nonmetallic Mining and Dry Processing (&gt; 5 Acres) and Construction Sand and Gravel</t>
  </si>
  <si>
    <t>https://adem.alabama.gov/programs/water/permits/ALG850000Mining.pdf</t>
  </si>
  <si>
    <t>Application of Pesticides</t>
  </si>
  <si>
    <t>https://adem.alabama.gov/programs/water/waterforms/ALG870000Pesticides.pdf</t>
  </si>
  <si>
    <t>Small Noncoal/Nonmetallic Mining and Dry Processing (&lt; 5 Acres)</t>
  </si>
  <si>
    <t>https://adem.alabama.gov/programs/water/waterforms/ALG890000less%20than5ACRESMALLMINING.pdf</t>
  </si>
  <si>
    <t>https://adem.alabama.gov/programs/water/permits/ALR040000PHASEIIMS4PERMIT.pdf</t>
  </si>
  <si>
    <t>Construction Stormwater</t>
  </si>
  <si>
    <t>https://adem.alabama.gov/programs/water/waterforms/ALR10CGP.pdf</t>
  </si>
  <si>
    <t>https://dec.vermont.gov/watershed/stormwater/permit-information-applications-fees/stormwater-construction-discharge-permits</t>
  </si>
  <si>
    <t>https://dec.vermont.gov/watershed/stormwater/stormwater-anr-online-forms</t>
  </si>
  <si>
    <t>https://health.hawaii.gov/cwb/files/2022/01/January-15-2022-11-55-Appendices-E-A.pdf</t>
  </si>
  <si>
    <t>https://health.hawaii.gov/cwb/files/2022/01/January-15-2022-11-55-Appendices-F-A.pdf</t>
  </si>
  <si>
    <t>https://health.hawaii.gov/cwb/files/2023/07/June-26-2023-11-55-Appendices-H-A.pdf</t>
  </si>
  <si>
    <t>https://health.hawaii.gov/cwb/files/2019/02/11-55-App-JA.pdf</t>
  </si>
  <si>
    <t>https://health.hawaii.gov/cwb/files/2022/01/January-15-2022-11-55-Appendices-G-A.pdf</t>
  </si>
  <si>
    <t>https://health.hawaii.gov/cwb/files/2023/07/June-26-2023-11-55-Appendices-D-A.pdf</t>
  </si>
  <si>
    <t>https://health.hawaii.gov/cwb/files/2023/07/June-26-2023-11-55-Appendices-I-A.pdf</t>
  </si>
  <si>
    <t>https://health.hawaii.gov/cwb/files/2018/08/11-55-App-L-A.pdf</t>
  </si>
  <si>
    <t>https://health.hawaii.gov/cwb/files/2023/07/June-26-2023-11-55-Appendices-M-A.pdf</t>
  </si>
  <si>
    <t>https://health.hawaii.gov/cwb/files/2022/01/January-15-2022-11-55-Appendices-B-A.pdf</t>
  </si>
  <si>
    <t>https://health.hawaii.gov/cwb/files/2022/01/January-15-2022-11-55-Appendices-K-A.pdf</t>
  </si>
  <si>
    <t>https://health.hawaii.gov/cwb/files/2018/08/11-55-App-C-A.pdf</t>
  </si>
  <si>
    <t>INR040000</t>
  </si>
  <si>
    <t>INRA00000</t>
  </si>
  <si>
    <t>https://www.in.gov/idem/stormwater/files/final_gen_permit_inra00000_construction.pdf</t>
  </si>
  <si>
    <t>https://www.in.gov/idem/stormwater/industrial-storm-water-permitting/</t>
  </si>
  <si>
    <t>MULTI-SECTOR GENERAL PERMIT</t>
  </si>
  <si>
    <t>MINING STORMWATER GENERAL PERMIT</t>
  </si>
  <si>
    <t>OHB000004</t>
  </si>
  <si>
    <t>https://epa.ohio.gov/static/Portals/35/permits/OHB000004.pdf</t>
  </si>
  <si>
    <t>OHG870003</t>
  </si>
  <si>
    <t>https://epa.ohio.gov/static/Portals/35/permits/OHG870003.pdf</t>
  </si>
  <si>
    <t>OHH000004</t>
  </si>
  <si>
    <t>https://epa.ohio.gov/static/Portals/35/permits/OHH000004.pdf</t>
  </si>
  <si>
    <t>OHK000004</t>
  </si>
  <si>
    <t>https://epa.ohio.gov/static/Portals/35/permits/OHK000004.pdf</t>
  </si>
  <si>
    <t>OHM000004</t>
  </si>
  <si>
    <t>https://epa.ohio.gov/static/Portals/35/permits/OHM000004.pdf</t>
  </si>
  <si>
    <t>OHN000006</t>
  </si>
  <si>
    <t>https://epa.ohio.gov/static/Portals/35/permits/OHN000006.pdf</t>
  </si>
  <si>
    <t>OHQ000004</t>
  </si>
  <si>
    <t>https://epa.ohio.gov/static/Portals/35/permits/OHQ000004.pdf</t>
  </si>
  <si>
    <t>OHR000007</t>
  </si>
  <si>
    <t>https://epa.ohio.gov/static/Portals/35/permits/OHR000007.pdf</t>
  </si>
  <si>
    <t>OHS000005</t>
  </si>
  <si>
    <t>https://epa.ohio.gov/static/Portals/35/permits/OHS000005.pdf</t>
  </si>
  <si>
    <t>OHT000004</t>
  </si>
  <si>
    <t>https://epa.ohio.gov/static/Portals/35/permits/OHT000004.pdf</t>
  </si>
  <si>
    <t>OHU000007</t>
  </si>
  <si>
    <t>https://epa.ohio.gov/static/Portals/35/permits/OHU000007.pdf</t>
  </si>
  <si>
    <t>OHV000004</t>
  </si>
  <si>
    <t>https://epa.ohio.gov/static/Portals/35/permits/OHV000004.pdf</t>
  </si>
  <si>
    <t>OHW000005</t>
  </si>
  <si>
    <t>https://epa.ohio.gov/static/Portals/35/permits/OHW000005.pdf</t>
  </si>
  <si>
    <t>http://tdec.tn.gov:8080/pls/enf_reports/f?p=2005:34051:::NO:34051:P34051_PERMIT_NUMBER:TNR050000</t>
  </si>
  <si>
    <t>http://environment-online.state.tn.us:8080/pls/enf_reports/f?p=2005:34051:0::NO:34051:P34051_PERMIT_NUMBER:TNR100000</t>
  </si>
  <si>
    <t>http://environment-online.tn.gov:8080/pls/enf_reports/f?p=2005:34051:0::NO:34051:P34051_PERMIT_NUMBER:TNS000000</t>
  </si>
  <si>
    <t>http://environment-online.state.tn.us:8080/pls/enf_reports/f?p=2005:34051:0::NO:34051:P34051_PERMIT_NUMBER:TNG110000</t>
  </si>
  <si>
    <t>http://environment-online.tn.gov:8080/pls/enf_reports/f?p=2005:34051:14544085689836::NO:34051:P34051_PERMIT_NUMBER:TNG640000</t>
  </si>
  <si>
    <t>http://environment-online.tn.gov:8080/pls/enf_reports/f?p=2005:34051:::NO:34051:P34051_PERMIT_NUMBER:TNG670000</t>
  </si>
  <si>
    <t>http://environment-online.tn.gov:8080/pls/enf_reports/f?p=2005:34051:::NO:34051:P34051_PERMIT_NUMBER:TNG830000</t>
  </si>
  <si>
    <t>http://tdec.tn.gov:8080/pls/enf_reports/f?p=2005:34051:::NO:34051:P34051_PERMIT_NUMBER:TNHAR0000</t>
  </si>
  <si>
    <t>http://tdec.tn.gov:8080/pls/enf_reports/f?p=2005:34051:::NO:34051:P34051_PERMIT_NUMBER:TNP100000</t>
  </si>
  <si>
    <t>https://www.deq.virginia.gov/get-involved/mydeq-portal</t>
  </si>
  <si>
    <t>https://dec.vermont.gov/sites/dec/files/documents/3-9004.GeneralPermit.20221001.pdf</t>
  </si>
  <si>
    <t>https://dec.vermont.gov/sites/dec/files/wsm/lakes/PGP/VT_NPDES_PGP_2022.pdf</t>
  </si>
  <si>
    <t>OHC000006</t>
  </si>
  <si>
    <t>https://epa.ohio.gov/static/Portals/35/permits/OHC000006.pdf</t>
  </si>
  <si>
    <t>OHMA00001</t>
  </si>
  <si>
    <t>COAL SURFACE MINING - TDS LIMITS</t>
  </si>
  <si>
    <t>https://epa.ohio.gov/static/Portals/35/permits/OHMA00001.pdf</t>
  </si>
  <si>
    <t>APPLICATION OF PESTICIDES GENERAL PERMIT</t>
  </si>
  <si>
    <t>Illinois, South Dakota, Utah, and U.S. Virgin Islands</t>
  </si>
  <si>
    <t>Number of NeT CDX Program Services Needed</t>
  </si>
  <si>
    <t>Number of Proxy Cards - Deployed</t>
  </si>
  <si>
    <t>Number of Proxy Cards (EPA)</t>
  </si>
  <si>
    <t>Number of Proxy Cards (EPA) - Deployed</t>
  </si>
  <si>
    <t>Number of Proxy Cards (State)</t>
  </si>
  <si>
    <t>Number of Proxy Cards (State) - Deployed</t>
  </si>
  <si>
    <t>ELMS Categories</t>
  </si>
  <si>
    <t>This shows the crosswalk between EPA Lean Management System (ELMS) Board Categories and the Phase 2 Roadmap Categories. EPA use the Phase 2 Roadmap Categories to gather information on NPDES general permits. EPA combined Phase 2 Roadmap Categories into ELMS Board Categories to plan and develop NeT applications.</t>
  </si>
  <si>
    <t>ELMS Board Category</t>
  </si>
  <si>
    <t>NPDES Permit ID</t>
  </si>
  <si>
    <t>State (Abbrev)</t>
  </si>
  <si>
    <t>NPDES Permit Name</t>
  </si>
  <si>
    <t>Link to NPDES Permit</t>
  </si>
  <si>
    <t>Link to Electronic Reporting Tool</t>
  </si>
  <si>
    <t>Issued Date</t>
  </si>
  <si>
    <t>Effective Date</t>
  </si>
  <si>
    <t>Expired Date</t>
  </si>
  <si>
    <t>Estimate Number of Facilities Covered</t>
  </si>
  <si>
    <t>EPA Issued</t>
  </si>
  <si>
    <t>NeT Permit</t>
  </si>
  <si>
    <t>Category PMOS</t>
  </si>
  <si>
    <t>Phase 2 Roadmap Group (NeT Only)</t>
  </si>
  <si>
    <t>GP Requires Reporting</t>
  </si>
  <si>
    <t>GP is Active</t>
  </si>
  <si>
    <t>Initial Coordination Projected Start Date (NeT Only)</t>
  </si>
  <si>
    <t>Initial Coordination Projected End Date (NeT Only)</t>
  </si>
  <si>
    <t>Initial Coordination Actual Start Date (NeT Only)</t>
  </si>
  <si>
    <t>Initial Coordination Actual End Date (NeT Only)</t>
  </si>
  <si>
    <t>Initial Coordination Complete (NeT Only)</t>
  </si>
  <si>
    <t>Requirements Gathering Status (NeT Only)</t>
  </si>
  <si>
    <t>Proxy Card ID (NeT Only)</t>
  </si>
  <si>
    <t>ELMS Board Category (NeT Only)</t>
  </si>
  <si>
    <t>Application Deployment Status (GP)</t>
  </si>
  <si>
    <t>Electronic Reporting Tool Initial Deployment Date</t>
  </si>
  <si>
    <t>General Permit Requires DMR Submissions</t>
  </si>
  <si>
    <t>General Permit Requires Program Report</t>
  </si>
  <si>
    <t>Timing of General Permit NOI Submissions</t>
  </si>
  <si>
    <t>http://dec.alaska.gov/water-permit-search/AKG375000_docs.pdf</t>
  </si>
  <si>
    <t>Discharges from Long-term (â‰¥ 2 year) Remediation Activities</t>
  </si>
  <si>
    <t>https://portal.ct.gov/-/media/DEEP/Permits_and_Licenses/Water_Discharge_General_Permits/comprehensivegppdf.pdf</t>
  </si>
  <si>
    <t>https://portal.ct.gov/-/media/DEEP/Permits_and_Licenses/Water_Discharge_General_Permits/pesticidegppdf.pdf</t>
  </si>
  <si>
    <t>https://portal.ct.gov/-/media/DEEP/Permits_and_Licenses/Water_Discharge_General_Permits/MS4DOTgppdf.pdf</t>
  </si>
  <si>
    <t>https://portal.ct.gov/-/media/DEEP/Permits_and_Licenses/Water_Discharge_General_Permits/stormcommgppdf.pdf</t>
  </si>
  <si>
    <t>https://portal.ct.gov/-/media/DEEP/Permits_and_Licenses/Water_Discharge_General_Permits/stormindustgppdf.pdf</t>
  </si>
  <si>
    <t>https://portal.ct.gov/-/media/DEEP/Permits_and_Licenses/Water_Discharge_General_Permits/MS4gppdf.pdf</t>
  </si>
  <si>
    <t>https://portal.ct.gov/-/media/DEEP/Permits_and_Licenses/Water_Discharge_General_Permits/gwremedgppdf.pdf</t>
  </si>
  <si>
    <t>[insert link when available] *under developement</t>
  </si>
  <si>
    <t>TREATEDÂ WATER ASSOCIATED WITH THE USE OF RECLAIMED WATER DISCHARGES FROM RECLAIMED WATER TREATMENT SYSTEMS IN THE CITY OF POOLER</t>
  </si>
  <si>
    <t>DRINKINGÂ WATER TREATMENT PLANT DISCHARGERS</t>
  </si>
  <si>
    <t>CONCENTRATEDÂ ANIMAL FEEDING OPERATIONS</t>
  </si>
  <si>
    <t>General Permit No. 3,Â Storm Water Discharge Associated with Industrial Activity for Asphalt Plants, Concrete Batch Plants, Rock Crushing Plants, and Construction Sand and Gravel Facilities</t>
  </si>
  <si>
    <t>EPA Regional permit using NeT. Current plans are to transfer to state.</t>
  </si>
  <si>
    <t>CLASS III SAINTARY (&lt; 50,000 GPD)</t>
  </si>
  <si>
    <t>CONSTRUCTION ACTIVITY 5 ACRES OR MORE</t>
  </si>
  <si>
    <t>LAND APPLICATION OF DOMESTIC WASTEWATER</t>
  </si>
  <si>
    <t>PHASE II MS4</t>
  </si>
  <si>
    <t>PHASE II MS4 COMPREHENSIVE</t>
  </si>
  <si>
    <t>AREA WIDE LAND DISTURBANCE</t>
  </si>
  <si>
    <t>MOTOR FREIGHT TRANSPORTATION</t>
  </si>
  <si>
    <t>TRACER DYE DISCHARGES</t>
  </si>
  <si>
    <t>OKLAHOMA DEPARTMNET OF AGRICULTURE, FOOD, AND FORESTRY (ODAFF) AGRICULTURE POLLUTANT DISCHARGE ELIMINATION SYSTEM (AGPDES) PESTICIDE GENERAL PERMIT (PGP) FOR DISCHARGES FROM THE APPLICATION OF PESTICIDES</t>
  </si>
  <si>
    <t>IDENTIFIER FOR MULTI-SECTOR GENERAL PERMIT FOR STORMWATER DISCHARGES ASSOCIATED WITH INDUSTRIAL ACTIVITY - INDIAN COUNTRY WITHIN THE STATE OF VIRGINIA</t>
  </si>
  <si>
    <t>GENERAL PERMIT FOR TRIBAL NET PENS</t>
  </si>
  <si>
    <t>WSDOT MUNICIPAL STORMWATER</t>
  </si>
  <si>
    <t>IDENTIFIER FOR EPA'S PESTICIDE GENERAL PERMIT FOR DISCHARGES IN ALASKA, INCLUDING INDIAN COUNTRY LANDS WITHIN ALASKA</t>
  </si>
  <si>
    <t>IDENTIFIER FOR EPA'S PESTICIDE GENERAL PERMIT FOR DISCHARGES IN INDIAN COUNTRY LANDS WITHIN ALABAMA</t>
  </si>
  <si>
    <t>IDENTIFIER FOR EPA'S PESTICIDE GENERAL PERMIT FOR DISCHARGES IN THE ISLAND OF AMERICAN SAMOA</t>
  </si>
  <si>
    <t>IDENTIFIER FOR EPA'S PESTICIDE GENERAL PERMIT FOR DISCHARGES IN INDIAN COUNTRY LANDS WITHIN ARIZONA, AS WELL AS NAVAJO RESERVATION LANDS WITHIN NEW MEXICO (SEE REGION 6) AND UTAH (SEE REGION 8), EXCLUDING FOR HUALAPAI RESERVATION</t>
  </si>
  <si>
    <t>IDENTIFIER FOR EPA'S PESTICIDE GENERAL PERMIT FOR DISCHARGES IN INDIAN COUNTRY LANDS WITHIN CALIFORNIA</t>
  </si>
  <si>
    <t>IDENTIFIER FOR EPA'S PESTICIDE GENERAL PERMIT FOR DISCHARGES IN FEDERAL FACILITIES WITHIN COLORADO, INCLUDING THOSE ON INDIAN COUNTRY LANDS WITHIN COLORADO AS WELL AS THE PORTION OF THE UTE MOUNTAIN RESERVATION LOCATED IN NEW MEXICO</t>
  </si>
  <si>
    <t>IDENTIFIER FOR EPA'S PESTICIDE GENERAL PERMIT FOR DISCHARGES IN INDIAN COUNTRY LANDS WITHIN CONNECTICUT</t>
  </si>
  <si>
    <t>IDENTIFIER FOR EPA'S PESTICIDE GENERAL PERMIT FOR DISCHARGES IN THE DISTRICT OF COLUMBIA</t>
  </si>
  <si>
    <t>IDENTIFIER FOR EPA'S PESTICIDE GENERAL PERMIT FOR DISCHARGES IN FEDERAL FACILITIES WITHIN DELAWARE</t>
  </si>
  <si>
    <t>IDENTIFIER FOR EPA'S PESTICIDE GENERAL PERMIT FOR DISCHARGES IN INDIAN COUNTRY LANDS WITHIN FLORIDA</t>
  </si>
  <si>
    <t>IDENTIFIER FOR EPA'S PESTICIDE GENERAL PERMIT FOR DISCHARGES IN THE ISLAND OF GUAM</t>
  </si>
  <si>
    <t>IDENTIFIER FOR EPA'S PESTICIDE GENERAL PERMIT FOR DISCHARGES IN INDIAN COUNTRY LANDS WITHIN IOWA</t>
  </si>
  <si>
    <t>IDENTIFIER FOR EPA'S PESTICIDE GENERAL PERMIT FOR DISCHARGES IN INDIAN COUNTRY LANDS WITHIN IN IDAHO, EXCEPT DUCK VALLEY RESERVATION LANDS (SEE REGION 9), EXCLUDING PUYALLUP TRIBE RESERVATION</t>
  </si>
  <si>
    <t>IDENTIFIER FOR EPA'S PESTICIDE GENERAL PERMIT FOR DISCHARGES IN JOHNSTON ATOLL</t>
  </si>
  <si>
    <t>IDENTIFIER FOR EPA'S PESTICIDE GENERAL PERMIT FOR DISCHARGES IN INDIAN COUNTRY LANDS WITHIN KANSAS</t>
  </si>
  <si>
    <t>IDENTIFIER FOR EPA'S PESTICIDE GENERAL PERMIT FOR DISCHARGES IN INDIAN COUNTRY LANDS WITHIN LOUISIANA</t>
  </si>
  <si>
    <t>IDENTIFIER FOR EPA'S PESTICIDE GENERAL PERMIT FOR DISCHARGES IN MASSACHUSETTS, INCLUDING INDIAN COUNTRY LANDS WITHIN MASSACHUSETTS</t>
  </si>
  <si>
    <t>IDENTIFIER FOR EPA'S PESTICIDE GENERAL PERMIT FOR DISCHARGES IN INDIAN COUNTRY LANDS WITHIN MICHIGAN</t>
  </si>
  <si>
    <t>IDENTIFIER FOR EPA'S PESTICIDE GENERAL PERMIT FOR DISCHARGES IN INDIAN COUNTRY LANDS WITHIN MINNESOTA, EXCLUDING SOKAOGON CHIPPEWA COMMUNITY</t>
  </si>
  <si>
    <t>IDENTIFIER FOR EPA'S PESTICIDE GENERAL PERMIT FOR DISCHARGES IN COMMONWEALTH OF THE NORTHERN MARIANA ISLANDS</t>
  </si>
  <si>
    <t>IDENTIFIER FOR EPA'S PESTICIDE GENERAL PERMIT FOR DISCHARGES IN INDIAN COUNTRY LANDS WITHIN MISSISSIPPI</t>
  </si>
  <si>
    <t>IDENTIFIER FOR EPA'S PESTICIDE GENERAL PERMIT FOR DISCHARGES IN INDIAN COUNTRY LANDS WITHIN MONTANA</t>
  </si>
  <si>
    <t>IDENTIFIER FOR EPA'S PESTICIDE GENERAL PERMIT FOR DISCHARGES IN MIDWAY ISLAND, WAKE ISLAND, AND OTHER UNINCORPORATED U.S. POSSESSIONS</t>
  </si>
  <si>
    <t>IDENTIFIER FOR EPA'S PESTICIDE GENERAL PERMIT FOR DISCHARGES IN INDIAN COUNTRY LANDS WITHIN NORTH CAROLINA</t>
  </si>
  <si>
    <t>IDENTIFIER FOR EPA'S PESTICIDE GENERAL PERMIT FOR DISCHARGES IN INDIAN COUNTRY LANDS WITHIN NORTH DAKOTA</t>
  </si>
  <si>
    <t>IDENTIFIER FOR EPA'S PESTICIDE GENERAL PERMIT FOR DISCHARGES IN INDIAN COUNTRY LANDS WITHIN NEBRASKA, EXCEPT PINE RIDGE RESERVATION LANDS (SEE REGION 8)</t>
  </si>
  <si>
    <t>IDENTIFIER FOR EPA'S PESTICIDE GENERAL PERMIT FOR DISCHARGES IN NEW HAMPSHIRE</t>
  </si>
  <si>
    <t>IDENTIFIER FOR EPA'S PESTICIDE GENERAL PERMIT FOR DISCHARGES IN NEW MEXICO, INCLUDING INDIAN COUNTRY LANDS WITHIN NEW MEXICO, EXCEPT NAVAJO RESERVATION LANDS (SEE REGION 9) AND UTE MOUNTAIN RESERVATION LANDS (SEE REGION 8)</t>
  </si>
  <si>
    <t>IDENTIFIER FOR EPA'S PESTICIDE GENERAL PERMIT FOR DISCHARGES IN INDIAN COUNTRY LANDS WITHIN NEVADA, AS WELL AS THE DUCK VALLEY RESERVATION WITHIN IDAHO, THE FORT MCDERMITT RESERVATION WITHIN OREGON (SEE REGION 10) AND THE GOSHUTE RESERVATION WITHIN UTAH (SEE REGION 8)</t>
  </si>
  <si>
    <t>IDENTIFIER FOR EPA'S PESTICIDE GENERAL PERMIT FOR DISCHARGES IN INDIAN COUNTRY LANDS WITHIN NEW YORK STATE</t>
  </si>
  <si>
    <t>IDENTIFIER FOR EPA'S PESTICIDE GENERAL PERMIT FOR DISCHARGES IN OKLAHOMA, INCLUDING INDIAN COUNTRY LANDS</t>
  </si>
  <si>
    <t>IDENTIFIER FOR EPA'S PESTICIDE GENERAL PERMIT FOR DISCHARGES IN INDIAN COUNTRY LANDS WITHIN OREGON, EXCEPT FORT MCDERMITT RESERVATION LANDS(SEE REGION 9)</t>
  </si>
  <si>
    <t>IDENTIFIER FOR EPA'S PESTICIDE GENERAL PERMIT FOR DISCHARGES IN PUERTO RICO</t>
  </si>
  <si>
    <t>IDENTIFIER FOR EPA'S PESTICIDE GENERAL PERMIT FOR DISCHARGES IN INDIAN COUNTRY LANDS WITHIN RHODE ISLAND</t>
  </si>
  <si>
    <t>IDENTIFIER FOR EPA'S PESTICIDE GENERAL PERMIT FOR DISCHARGES IN INDIAN COUNTRY LANDS WITHIN SOUTH DAKOTA AS WELL AS THE PORTION OF THE PINE RIDGE RESERVATION LOCATED WITHIN NEBRASKA (SEE REGION 7)</t>
  </si>
  <si>
    <t>IDENTIFIER FOR EPA'S PESTICIDE GENERAL PERMIT FOR DISCHARGES IN DISCHARGES IN TEXAS THAT ARE NOT UNDER THE AUTHORITY OF THE TEXAS COMMISSION ON ENVIRONMENTAL QUALITY (FORMERLY TNRCC), INCLUDING ACTIVITIES ASSOCIATED WITH THE EXPLORATION, DEVELOPMENT, OR PRODUCTION OF OIL OR GAS OR GEOTHERMAL RESOURCES, INCLUDING TRANSPORTATION OF CRUDE OIL OR NATURAL GAS BY PIPELINE, INCLUDING INDIAN COUNTRY LANDS.</t>
  </si>
  <si>
    <t>IDENTIFIER FOR EPA'S PESTICIDE GENERAL PERMIT FOR DISCHARGES IN INDIAN COUNTRY LANDS WITHIN UTAH, EXCEPT GOSHUTE AND NAVAJO RESERVATION LANDS(SEE REGION 9)</t>
  </si>
  <si>
    <t>IDENTIFIER FOR EPA'S PESTICIDE GENERAL PERMIT FOR DISCHARGES IN FEDERAL FACILITIES WITHIN VERMONT</t>
  </si>
  <si>
    <t>IDENTIFIER FOR EPA'S PESTICIDE GENERAL PERMIT FOR DISCHARGES IN FEDERAL FACILITIES IN WASHINGTON, INCLUDING THOSE ON INDIAN COUNTRY LANDS WITHIN WASHINGTON, EXCLUDING PUYALLUP TRIBE RESERVATION</t>
  </si>
  <si>
    <t>IDENTIFIER FOR EPA'S PESTICIDE GENERAL PERMIT FOR DISCHARGES IN INDIAN COUNTRY LANDS WITHIN WISCONSIN, EXCLUDING LAC DU FLAMBEAU BAND OF LAKE SUPERIOR CHIPPEWA INDIANS AND FOND DU LAC RESERVATION</t>
  </si>
  <si>
    <t>IDENTIFIER FOR EPA'S PESTICIDE GENERAL PERMIT FOR DISCHARGES IN INDIAN COUNTRY LANDS WITHIN WYOMING</t>
  </si>
  <si>
    <t>DRINKING WATER PRODUCTION IN INDIAN COUNTRY - MONTANA</t>
  </si>
  <si>
    <t>DRINKING WATER PRODUCTION IN INDIAN COUNTRY - NORTH DAKOTA</t>
  </si>
  <si>
    <t>DRINKING WATER PRODUCTION IN INDIAN COUNTRY - SOUTH DAKOTA</t>
  </si>
  <si>
    <t>DRINKING WATER PRODUCTION IN INDIAN COUNTRY - UTAH</t>
  </si>
  <si>
    <t>DRINKING WATER PRODUCTION IN INDIAN COUNTRY - WYOMING</t>
  </si>
  <si>
    <t>DRINKING WATER PRODUCTION IN INDIAN COUNTRY - COLORADO</t>
  </si>
  <si>
    <t>STORMWATER DISCHARGES FROM SMALL MS4 IN MASSACHUSETTS - TRADITIONAL CITIES AND TOWNS</t>
  </si>
  <si>
    <t>STORMWATER DISCHARGES FROM SMALL MS4 IN MASSACHUSETTS - FEDERAL, STATE, COUNTY, AND OTHER PUBLICLY OWNED PROPERTIES (NON-TRADITIONAL)</t>
  </si>
  <si>
    <t>STORMWATER DISCHARGES FROM SMALL MS4 IN MASSACHUSETTS - FEDERAL, STATE, COUNTY, AND OTHER PUBLICLY OWNED TRANSPORTATION AGENCIES</t>
  </si>
  <si>
    <t>STORMWATER DISCHARGES FROM SMALL MS4 IN NEW HAMPSHIRE - TRADITIONAL CITIES AND TOWNS</t>
  </si>
  <si>
    <t>STORMWATER DISCHARGES FROM SMALL MS4 IN NEW HAMPSHIRE - FEDERAL, STATE, COUNTY, AND OTHER PUBLICLY OWNED PROPERTIES (NON-TRADITIONAL)</t>
  </si>
  <si>
    <t>STORMWATER DISCHARGES FROM SMALL MS4 IN NEW HAMPSHIRE - FEDERAL, STATE, COUNTY, AND OTHER PUBLICLY OWNED TRANSPORTATION AGENCIES</t>
  </si>
  <si>
    <t>MISC-STA-UT-05</t>
  </si>
  <si>
    <t>Aquaculture and Seafood Processing</t>
  </si>
  <si>
    <t>AQUA-EPA-R10-08</t>
  </si>
  <si>
    <t>AQUA-STA-ID-09</t>
  </si>
  <si>
    <t>MISC-STA-IL-12</t>
  </si>
  <si>
    <t>MISC-EPA-R1-13</t>
  </si>
  <si>
    <t>NPDES GENERAL PERMIT FOR NO-DISCHARGE" CONCENTRATED ANIMAL FEEDING OPERATIONS (CAFOS)"</t>
  </si>
  <si>
    <t>MISC-STA-RI-14</t>
  </si>
  <si>
    <t>Proxy Cards Deleted</t>
  </si>
  <si>
    <t>Maine DEP elected to build their own electronic reporting tool on 26 July 2024.</t>
  </si>
  <si>
    <t>CDX Program Service Deployed for this Sector</t>
  </si>
  <si>
    <t>This report will use the DMR form and related electronic reporting tools (e.g., NetDMR).</t>
  </si>
  <si>
    <t>Jibri Mayo</t>
  </si>
  <si>
    <t>Megan Rossillon</t>
  </si>
  <si>
    <t>MSGP-STA-MD-10</t>
  </si>
  <si>
    <t>AQUA-STA-MD-10</t>
  </si>
  <si>
    <t>PGP-STA-MD-09</t>
  </si>
  <si>
    <t>GRCD-STA-MD-10</t>
  </si>
  <si>
    <t>MISC-STA-MD-15</t>
  </si>
  <si>
    <t>MISC-STA-MD-16</t>
  </si>
  <si>
    <t>MISC-STA-MD-17</t>
  </si>
  <si>
    <t>MISC-STA-MD-18</t>
  </si>
  <si>
    <t>Combined with Proxy Card DWT2-STA-SD-05 on 7 October 2024.</t>
  </si>
  <si>
    <t>MISC-EPA-CA-04</t>
  </si>
  <si>
    <t>Changed to: MISC-EPA-CA-04</t>
  </si>
  <si>
    <t>MSGP-STA-DE-11</t>
  </si>
  <si>
    <t>Maine DEP elected to build their own electronic reporting tool on 13 January 2025.</t>
  </si>
  <si>
    <t>Maine DEP elected to build their own electronic reporting tool on 21 January 2025.</t>
  </si>
  <si>
    <t>Combined with Proxy Card MSGP-STA-MS-08 on 31 January 2025.</t>
  </si>
  <si>
    <t>1 (EPA) &amp; 2 (AZ, SD, TX, UT)</t>
  </si>
  <si>
    <t>Phase 1 (EPA only) &amp; Phase 2 (4 states w/ auth. &amp; NeT)</t>
  </si>
  <si>
    <t>Arizona, South Dakota, Texas, and Utah</t>
  </si>
  <si>
    <t>NeT MVP complete for this sector</t>
  </si>
  <si>
    <t>N/A - Folded into NeT CDX Program Service for the general permit submissions</t>
  </si>
  <si>
    <t>AZB220201</t>
  </si>
  <si>
    <t>AZPDES GENERAL PERMIT FOR TREATMENT WORKS TREATING DOMESTIC SEWAGE AS BIOSOLIDS FOR LAND APPLICATION</t>
  </si>
  <si>
    <t>https://static.azdeq.gov/permits/biosolids_gp.pdf</t>
  </si>
  <si>
    <t>https://smarts.waterboards.ca.gov/smarts/faces/faces/SwSmartsLogin.xhtml?logMessage=2</t>
  </si>
  <si>
    <t>https://www.waterboards.ca.gov/rwqcb6/board_decisions/adopted_orders/2016/docs/r6t_2016_0038_marina_general.pdf</t>
  </si>
  <si>
    <t>https://www.waterboards.ca.gov/water_issues/programs/npdes/natural_gas/</t>
  </si>
  <si>
    <t>https://www.waterboards.ca.gov/sandiego/water_issues/programs/npdes/boatyards/</t>
  </si>
  <si>
    <t>https://www.waterboards.ca.gov/rwqcb9/board_decisions/adopted_orders/2015/R9-2015-0013.pdf</t>
  </si>
  <si>
    <t>https://www.waterboards.ca.gov/rwqcb5/board_decisions/adopted_orders/general_orders/r5-2022-0006_npdes.pdf</t>
  </si>
  <si>
    <t>https://www.waterboards.ca.gov/sandiego/board_decisions/adopted_orders/2021/r9-2021-0056.pdf</t>
  </si>
  <si>
    <t>https://www.waterboards.ca.gov/water_issues/programs/stormwater/industrial.html</t>
  </si>
  <si>
    <t>https://www.waterboards.ca.gov/water_issues/programs/stormwater/construction.html</t>
  </si>
  <si>
    <t>https://www.waterboards.ca.gov/water_issues/programs/stormwater/phase_ii_municipal.html</t>
  </si>
  <si>
    <t>State will not re-issue this general permit and State has elected to not use EPA's NeT</t>
  </si>
  <si>
    <t>COG590000</t>
  </si>
  <si>
    <t>GEN PERMIT-DOMESTIC CHRONIC LOW FLOW</t>
  </si>
  <si>
    <t>https://oitco.hylandcloud.com/CDPHERMPop/docpop/docpop.aspx?clienttype=html&amp;docid=8196894&amp;vieweronlyforsingle=true</t>
  </si>
  <si>
    <t>COG591000</t>
  </si>
  <si>
    <t>GEN PERMIT-DOMESTIC</t>
  </si>
  <si>
    <t>https://oitco.hylandcloud.com/CDPHERMPop/docpop/docpop.aspx?clienttype=html&amp;docid=11080034</t>
  </si>
  <si>
    <t>https://oitco.hylandcloud.com/cdphermpop/docpop/docpop.aspx?docid=4630800</t>
  </si>
  <si>
    <t>Discharges from Subterranean Dewatering Activities</t>
  </si>
  <si>
    <t>https://oitco.hylandcloud.com/CDPHERMPop/docpop/docpop.aspx?clienttype=html&amp;docid=4273247</t>
  </si>
  <si>
    <t>https://oitco.hylandcloud.com/CDPHERMPop/docpop/docpop.aspx?clienttype=html&amp;docid=4273245</t>
  </si>
  <si>
    <t>IDENTIFIER FOR STATE'S PESTICIDE GENERAL PERMIT FOR DISCHARGES WITHIN IN IDAHO, EXCEPT IN INDIAN COUNTRY LANDS</t>
  </si>
  <si>
    <t>ILG620000</t>
  </si>
  <si>
    <t>SURFACE DISCHARGING WASTEWATER TREATMENT SYSTEMS</t>
  </si>
  <si>
    <t>https://epa.illinois.gov/topics/forms/water-permits/npdes.html</t>
  </si>
  <si>
    <t>METROPOLITAN WATER RECLAMATION DISTRICT OF GREATER CHICAGO TUNNEL AND RESERVOIR PLAN SERVICE AREA COMBINED SEWER OVERFLOW DISCHARGES</t>
  </si>
  <si>
    <t>COMBINED SEWER OVERFLOWS</t>
  </si>
  <si>
    <t>MAG860000</t>
  </si>
  <si>
    <t>PRIVATE COMMERCIAL INDUSTRIAL, AND INSTITUTIONAL STORMWATER DISCHARGES IN THE CHARLES, MYSTIC, AND NEPONSET RIVER WATERSHEDS IN MASSACHUSETTS</t>
  </si>
  <si>
    <t>https://www.epa.gov/npdes-permits/notice-preliminary-designation-certain-stormwater-discharges-commonwealth</t>
  </si>
  <si>
    <t>https://deq.nd.gov/WQ/2_NDPDES_Permits/</t>
  </si>
  <si>
    <t>NDR110000</t>
  </si>
  <si>
    <t>State has elected to not use EPA's NeT. Authorization to discharge stormwater associated with construction activity.This General Permit is the same as the NDR10, but has been created due to permit identifier numbers running out for the NDR10 series.</t>
  </si>
  <si>
    <t>https://ndep.nv.gov/uploads/water-wpc-permitting-docs/Multisector_permit_.pdf</t>
  </si>
  <si>
    <t>https://ndep.nv.gov/uploads/water-wpc-permitting-docs/Construction_stormwater_permit.pdf</t>
  </si>
  <si>
    <t>https://ndep.nv.gov/uploads/water-wpc-docs/Small_MS4_Permit_Final_July62010.pdf</t>
  </si>
  <si>
    <t>https://www.deq.ok.gov/water-quality-division/wastewater-stormwater/compliance-enforcement/wastewater-reporting/</t>
  </si>
  <si>
    <t>https://www.deq.ok.gov/wp-content/uploads/water-division/2020-OKG38-General-Permit-to-Discharge-Filter-Backwash-Wastewater-fact-sheet.pdf</t>
  </si>
  <si>
    <t>https://www.deq.ok.gov/wp-content/uploads/water-division/OKG58-GP-Permit-Eff-08.01.2021-Signed.pdf</t>
  </si>
  <si>
    <t>https://www.deq.ok.gov/wp-content/uploads/water-division/OKG59-permit-and-fact-sheet.pdf</t>
  </si>
  <si>
    <t>https://www.deq.ok.gov/wp-content/uploads/water-division/OKR04-Final-Permit-6.1.21.pdf</t>
  </si>
  <si>
    <t>https://www.deq.ok.gov/wp-content/uploads/water-division/2022-OKR05_Modified_Permit_11-2023.pdf</t>
  </si>
  <si>
    <t>https://www.oregon.gov/deq/permits/Pages/Your-DEQ-Online.aspx</t>
  </si>
  <si>
    <t>https://greenport.pa.gov/elibrary/GetFolder?FolderID=3811</t>
  </si>
  <si>
    <t>RIRXXXXXX</t>
  </si>
  <si>
    <t>MASHAPAUG RESIDUAL DESIGNATION AUTHORITY GENERAL PERMIT</t>
  </si>
  <si>
    <t>STORMWATER - OTHER</t>
  </si>
  <si>
    <t>State has elected to use EPA's NeT. This new permit is currently in the drafting stage.</t>
  </si>
  <si>
    <t>NON-DISCHARGING DOMESTIC WASTEWATER TREATMENT FACILITIES</t>
  </si>
  <si>
    <t>General VPDES Watershed Permit Regulation for TN and TP Discharges and Nutrient Trading in the Chesapeake Bay Watershed</t>
  </si>
  <si>
    <t>DISCHARGES FROM PETROLEUM RELATED REMEDIATION ACTIVITIES (3-9004)</t>
  </si>
  <si>
    <t>SMALL MUNICIPAL SEPARATE STORM SEWER SYSTEMS (MS4, 3-9014)</t>
  </si>
  <si>
    <t>https://dec.vermont.gov/sites/dec/files/wsm/stormwater/docs/MS4/Final%20VT%20MS4%20GP%202023.pdf</t>
  </si>
  <si>
    <t>STORMWATER DISCHARGES ASSOCIATED WITH INDUSTRIAL ACTIVITY (MSGP, 3-9003)</t>
  </si>
  <si>
    <t>AP AQUATIC INVASIVE SPECIES MANAGEMENT</t>
  </si>
  <si>
    <t>https://ecology.wa.gov/Regulations-Permits/Permits-certifications/Aquatic-pesticide-permits/Aquatic-Invasive-Species-Control</t>
  </si>
  <si>
    <t>BRIDGE WASHING</t>
  </si>
  <si>
    <t>VESSEL DECONSTRUCTION</t>
  </si>
  <si>
    <t>WAG031054</t>
  </si>
  <si>
    <t>AQUATIC MOSQUITO CONTROL</t>
  </si>
  <si>
    <t>UPLAND FINFISH REARING AND HATCHERY</t>
  </si>
  <si>
    <t>WAG440002</t>
  </si>
  <si>
    <t>CAFO COMBINED</t>
  </si>
  <si>
    <t>WAG440003</t>
  </si>
  <si>
    <t>CAFO STATE ONLY</t>
  </si>
  <si>
    <t>WAG993001</t>
  </si>
  <si>
    <t>AP AQUATIC NOXIOUS WEED MANAGEMENT</t>
  </si>
  <si>
    <t>WAG994180</t>
  </si>
  <si>
    <t>Nutrient permit - Washington State Department of Ecology</t>
  </si>
  <si>
    <t>WAR043001</t>
  </si>
  <si>
    <t>MUNICIPAL SW PHASE I</t>
  </si>
  <si>
    <t>MUNICIPAL SW PHASE II WESTERN WA</t>
  </si>
  <si>
    <t>MUNICIPAL SW PHASE II EASTERN WA</t>
  </si>
  <si>
    <t>https://ecology.wa.gov/regulations-permits/permits-certifications/stormwater-general-permits/municipal-stormwater-general-permits/eastern-washington-phase-ii-municipal-stormwat-1</t>
  </si>
  <si>
    <t>CONSTRUCTION SW</t>
  </si>
  <si>
    <t>INDUSTRIAL  SW</t>
  </si>
  <si>
    <t>https://aepacs.adem.alabama.gov/nviro/ncore/external/home</t>
  </si>
  <si>
    <t>https://www.azdeq.gov/mydeq</t>
  </si>
  <si>
    <t>https://portal.ct.gov/DEEP/Municipal-Wastewater/Bypass-Reporting</t>
  </si>
  <si>
    <t>https://www.fldepportal.com/DepPortal/go/submit-report</t>
  </si>
  <si>
    <t>https://mienviro.michigan.gov/ncore/external/home</t>
  </si>
  <si>
    <t>https://www.state.nj.us/dep/online/</t>
  </si>
  <si>
    <t>https://epermintra.dhec.sc.gov</t>
  </si>
  <si>
    <t>https://anronline.vermont.gov/?FormTag=WW_CSOReport</t>
  </si>
  <si>
    <t>http://dnr.wi.gov/topic/switchboard</t>
  </si>
  <si>
    <t>LOGGING AND LUMBER ; STORMWATER - INDUSTRIAL</t>
  </si>
  <si>
    <t>Connecticut, Illinois, Mississippi, South Dakota, Utah, and the U.S. Virgin Islands</t>
  </si>
  <si>
    <t>Illinois, South Dakota, and Utah</t>
  </si>
  <si>
    <t>Connecticut, Delaware, Illinois, Maryland, Mississippi, Rhode Island, South Dakota, Utah, and the U.S. Virgin Islands</t>
  </si>
  <si>
    <t>Idaho, Maine, Maryland, and Utah</t>
  </si>
  <si>
    <t>Connecticut, Idaho, Illinois, Maryland, Maine, Nebraska, Utah, and the U.S. Virgin Islands</t>
  </si>
  <si>
    <t>Illinois, Nebraska, and Utah</t>
  </si>
  <si>
    <t>Connecticut, Illinois, Maryland, Mississippi, Nebraska, Rhode Island, South Dakota, and Utah</t>
  </si>
  <si>
    <t>Connecticut, Delaware, Illinois, Maine, Mississippi, Nebraska, Rhode Island, South Dakota, Texas, and Utah</t>
  </si>
  <si>
    <t>Delaware, Texas, and Utah</t>
  </si>
  <si>
    <t>Connecticut, Illinois, Maryland, Mississippi, Rhode Island, and Utah</t>
  </si>
  <si>
    <t>Connecticut, Illinois, Louisiana, Maine, Mississippi, Nebraska, New Jersey, South Dakota, Texas, and Utah</t>
  </si>
  <si>
    <t>Connecticut, Delaware, Illinois, Kentucky, Louisiana, Maine, Mississippi, Nebraska, Rhode Island, South Dakota, Texas, and Utah</t>
  </si>
  <si>
    <t>Louisiana, Maine, Maryland, Rhode Island, South Dakota, Texas, and Utah</t>
  </si>
  <si>
    <t>Connecticut, Louisiana, Maine, Maryland, Mississippi, Nebraska, Texas, and Utah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</si>
</sst>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yy"/>
    <numFmt numFmtId="165" formatCode="dd\ mmmm\ yyyy"/>
    <numFmt numFmtId="167" formatCode="m/d/yyyy;@"/>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b/>
      <sz val="10"/>
      <color theme="1"/>
      <name val="Arial"/>
      <family val="2"/>
    </font>
    <font>
      <sz val="10"/>
      <color theme="1"/>
      <name val="Arial"/>
      <family val="2"/>
    </font>
    <font>
      <b/>
      <sz val="1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8" tint="0.59999389629810485"/>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style="medium">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cellStyleXfs>
  <cellXfs count="255">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3" fontId="0" fillId="0" borderId="0" xfId="0" applyNumberFormat="1" applyAlignment="1">
      <alignment horizontal="center" vertical="center"/>
    </xf>
    <xf numFmtId="0" fontId="16" fillId="0" borderId="0" xfId="0" applyFont="1" applyAlignment="1">
      <alignment horizontal="right" vertical="center"/>
    </xf>
    <xf numFmtId="0" fontId="16" fillId="0" borderId="0" xfId="0" applyFont="1" applyAlignment="1">
      <alignment vertical="center"/>
    </xf>
    <xf numFmtId="0" fontId="0" fillId="0" borderId="10" xfId="0" applyBorder="1" applyAlignment="1">
      <alignment horizontal="center" vertical="center"/>
    </xf>
    <xf numFmtId="3" fontId="0" fillId="0" borderId="10" xfId="0" applyNumberFormat="1" applyBorder="1" applyAlignment="1">
      <alignment horizontal="center" vertical="center"/>
    </xf>
    <xf numFmtId="0" fontId="0" fillId="0" borderId="10" xfId="0" applyBorder="1" applyAlignment="1">
      <alignment horizontal="center" vertical="center" wrapText="1"/>
    </xf>
    <xf numFmtId="0" fontId="16" fillId="34" borderId="11" xfId="0" applyFont="1" applyFill="1" applyBorder="1" applyAlignment="1">
      <alignment horizontal="center" vertical="center" wrapText="1"/>
    </xf>
    <xf numFmtId="0" fontId="16" fillId="34" borderId="12" xfId="0" applyFont="1" applyFill="1" applyBorder="1" applyAlignment="1">
      <alignment horizontal="center" vertical="center" wrapText="1"/>
    </xf>
    <xf numFmtId="0" fontId="16" fillId="3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9" fontId="0" fillId="0" borderId="10" xfId="0" applyNumberFormat="1" applyBorder="1" applyAlignment="1">
      <alignment horizontal="center" vertical="center"/>
    </xf>
    <xf numFmtId="9" fontId="0" fillId="0" borderId="15" xfId="0" applyNumberFormat="1" applyBorder="1" applyAlignment="1">
      <alignment horizontal="center" vertical="center"/>
    </xf>
    <xf numFmtId="3" fontId="0" fillId="0" borderId="14" xfId="0" applyNumberForma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9" fontId="0" fillId="0" borderId="18" xfId="0" applyNumberFormat="1" applyBorder="1" applyAlignment="1">
      <alignment horizontal="center" vertical="center"/>
    </xf>
    <xf numFmtId="9" fontId="0" fillId="0" borderId="17" xfId="0" applyNumberFormat="1" applyBorder="1" applyAlignment="1">
      <alignment horizontal="center" vertical="center"/>
    </xf>
    <xf numFmtId="3" fontId="0" fillId="0" borderId="16" xfId="0" applyNumberFormat="1" applyBorder="1" applyAlignment="1">
      <alignment horizontal="center" vertical="center"/>
    </xf>
    <xf numFmtId="0" fontId="16" fillId="0" borderId="0" xfId="0" applyFont="1" applyAlignment="1">
      <alignment horizontal="center" vertical="center"/>
    </xf>
    <xf numFmtId="0" fontId="0" fillId="0" borderId="0" xfId="0" applyFill="1" applyBorder="1" applyAlignment="1">
      <alignment horizontal="center" vertical="center"/>
    </xf>
    <xf numFmtId="3" fontId="0" fillId="0" borderId="0" xfId="0" applyNumberFormat="1" applyFill="1" applyBorder="1" applyAlignment="1">
      <alignment horizontal="center" vertical="center"/>
    </xf>
    <xf numFmtId="14" fontId="0" fillId="0" borderId="0" xfId="0" applyNumberFormat="1" applyAlignment="1">
      <alignment vertical="center"/>
    </xf>
    <xf numFmtId="37" fontId="0" fillId="0" borderId="0" xfId="42" applyNumberFormat="1" applyFont="1" applyFill="1" applyBorder="1" applyAlignment="1">
      <alignment horizontal="center" vertical="center"/>
    </xf>
    <xf numFmtId="165" fontId="0" fillId="35" borderId="10" xfId="0" applyNumberFormat="1" applyFill="1" applyBorder="1" applyAlignment="1">
      <alignment horizontal="center" vertical="center"/>
    </xf>
    <xf numFmtId="0" fontId="16" fillId="34" borderId="19"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16" fillId="34" borderId="22" xfId="0" applyFont="1" applyFill="1" applyBorder="1" applyAlignment="1">
      <alignment horizontal="center" vertical="center" wrapText="1"/>
    </xf>
    <xf numFmtId="37" fontId="0" fillId="0" borderId="23" xfId="0" applyNumberFormat="1" applyBorder="1" applyAlignment="1">
      <alignment horizontal="center" vertical="center"/>
    </xf>
    <xf numFmtId="37" fontId="0" fillId="0" borderId="24" xfId="0" applyNumberFormat="1" applyBorder="1" applyAlignment="1">
      <alignment horizontal="center" vertical="center"/>
    </xf>
    <xf numFmtId="0" fontId="0" fillId="0" borderId="18" xfId="0" applyBorder="1" applyAlignment="1">
      <alignment horizontal="center" vertical="center"/>
    </xf>
    <xf numFmtId="3" fontId="0" fillId="0" borderId="18" xfId="0" applyNumberFormat="1" applyBorder="1" applyAlignment="1">
      <alignment horizontal="center" vertical="center"/>
    </xf>
    <xf numFmtId="0" fontId="16" fillId="34" borderId="25" xfId="0" applyFont="1" applyFill="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8" xfId="0" applyBorder="1" applyAlignment="1">
      <alignment horizontal="center" vertical="center"/>
    </xf>
    <xf numFmtId="0" fontId="16" fillId="33" borderId="11" xfId="0" applyFont="1" applyFill="1" applyBorder="1" applyAlignment="1">
      <alignment horizontal="center" vertical="center"/>
    </xf>
    <xf numFmtId="0" fontId="16" fillId="33" borderId="13" xfId="0" applyFont="1" applyFill="1" applyBorder="1" applyAlignment="1">
      <alignment horizontal="center" vertical="center"/>
    </xf>
    <xf numFmtId="0" fontId="16" fillId="33" borderId="12" xfId="0" applyFont="1" applyFill="1"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16" fillId="33" borderId="11" xfId="0" applyFont="1" applyFill="1" applyBorder="1" applyAlignment="1">
      <alignment horizontal="center" vertical="center" wrapText="1"/>
    </xf>
    <xf numFmtId="0" fontId="16" fillId="33" borderId="13" xfId="0" applyFont="1" applyFill="1" applyBorder="1" applyAlignment="1">
      <alignment horizontal="center" vertical="center" wrapText="1"/>
    </xf>
    <xf numFmtId="0" fontId="16" fillId="33" borderId="12" xfId="0" applyFont="1" applyFill="1" applyBorder="1" applyAlignment="1">
      <alignment horizontal="center" vertical="center" wrapText="1"/>
    </xf>
    <xf numFmtId="3" fontId="0" fillId="0" borderId="15" xfId="0" applyNumberFormat="1" applyBorder="1" applyAlignment="1">
      <alignment horizontal="center" vertical="center"/>
    </xf>
    <xf numFmtId="3" fontId="0" fillId="0" borderId="17" xfId="0" applyNumberFormat="1" applyBorder="1" applyAlignment="1">
      <alignment horizontal="center" vertical="center"/>
    </xf>
    <xf numFmtId="0" fontId="0" fillId="0" borderId="15" xfId="0" applyBorder="1" applyAlignment="1">
      <alignment vertical="center" wrapText="1"/>
    </xf>
    <xf numFmtId="0" fontId="16" fillId="33" borderId="29" xfId="0" applyFont="1" applyFill="1" applyBorder="1" applyAlignment="1">
      <alignment horizontal="center" vertical="center" wrapText="1"/>
    </xf>
    <xf numFmtId="0" fontId="0" fillId="0" borderId="30" xfId="0" applyBorder="1" applyAlignment="1">
      <alignment horizontal="center" vertical="center"/>
    </xf>
    <xf numFmtId="0" fontId="0" fillId="0" borderId="14" xfId="0" applyBorder="1" applyAlignment="1">
      <alignment vertical="center"/>
    </xf>
    <xf numFmtId="0" fontId="0" fillId="0" borderId="14" xfId="0" applyBorder="1" applyAlignment="1">
      <alignment vertical="center" wrapText="1"/>
    </xf>
    <xf numFmtId="0" fontId="0" fillId="0" borderId="16" xfId="0" applyBorder="1" applyAlignment="1">
      <alignment vertical="center"/>
    </xf>
    <xf numFmtId="3" fontId="0" fillId="0" borderId="23" xfId="0" applyNumberFormat="1" applyBorder="1" applyAlignment="1">
      <alignment horizontal="center" vertical="center"/>
    </xf>
    <xf numFmtId="3" fontId="0" fillId="0" borderId="24" xfId="0" applyNumberFormat="1" applyBorder="1" applyAlignment="1">
      <alignment horizontal="center" vertical="center"/>
    </xf>
    <xf numFmtId="3" fontId="0" fillId="0" borderId="0" xfId="0" applyNumberFormat="1"/>
    <xf numFmtId="3" fontId="0" fillId="0" borderId="15" xfId="0" applyNumberFormat="1" applyBorder="1" applyAlignment="1">
      <alignment horizontal="center"/>
    </xf>
    <xf numFmtId="3" fontId="0" fillId="0" borderId="17" xfId="0" applyNumberFormat="1" applyBorder="1" applyAlignment="1">
      <alignment horizontal="center"/>
    </xf>
    <xf numFmtId="3" fontId="0" fillId="0" borderId="20" xfId="0" applyNumberFormat="1" applyBorder="1" applyAlignment="1">
      <alignment horizontal="center" vertical="center"/>
    </xf>
    <xf numFmtId="3" fontId="0" fillId="0" borderId="21" xfId="0" applyNumberFormat="1" applyBorder="1" applyAlignment="1">
      <alignment horizontal="center" vertical="center"/>
    </xf>
    <xf numFmtId="0" fontId="0" fillId="36" borderId="15" xfId="0" applyFill="1" applyBorder="1" applyAlignment="1">
      <alignment vertical="center"/>
    </xf>
    <xf numFmtId="0" fontId="0" fillId="36" borderId="17" xfId="0" applyFill="1" applyBorder="1" applyAlignment="1">
      <alignment vertical="center"/>
    </xf>
    <xf numFmtId="3" fontId="16" fillId="0" borderId="0" xfId="0" applyNumberFormat="1" applyFont="1" applyAlignment="1">
      <alignment vertical="center"/>
    </xf>
    <xf numFmtId="3" fontId="0" fillId="0" borderId="0" xfId="0" applyNumberFormat="1" applyAlignment="1">
      <alignment vertical="center"/>
    </xf>
    <xf numFmtId="3" fontId="16" fillId="33" borderId="11" xfId="0" applyNumberFormat="1" applyFont="1" applyFill="1" applyBorder="1" applyAlignment="1">
      <alignment horizontal="center" vertical="center"/>
    </xf>
    <xf numFmtId="3" fontId="16" fillId="33" borderId="12" xfId="0" applyNumberFormat="1" applyFont="1" applyFill="1" applyBorder="1" applyAlignment="1">
      <alignment vertical="center"/>
    </xf>
    <xf numFmtId="3" fontId="16" fillId="33" borderId="11" xfId="0" applyNumberFormat="1" applyFont="1" applyFill="1" applyBorder="1" applyAlignment="1">
      <alignment horizontal="center" vertical="center" wrapText="1"/>
    </xf>
    <xf numFmtId="3" fontId="16" fillId="33" borderId="13" xfId="0" applyNumberFormat="1" applyFont="1" applyFill="1" applyBorder="1" applyAlignment="1">
      <alignment horizontal="center" vertical="center" wrapText="1"/>
    </xf>
    <xf numFmtId="3" fontId="16" fillId="33" borderId="25" xfId="0" applyNumberFormat="1" applyFont="1" applyFill="1" applyBorder="1" applyAlignment="1">
      <alignment horizontal="center" vertical="center" wrapText="1"/>
    </xf>
    <xf numFmtId="3" fontId="16" fillId="33" borderId="12" xfId="0" applyNumberFormat="1" applyFont="1" applyFill="1" applyBorder="1" applyAlignment="1">
      <alignment horizontal="center" vertical="center" wrapText="1"/>
    </xf>
    <xf numFmtId="3" fontId="16" fillId="0" borderId="0" xfId="0" applyNumberFormat="1" applyFont="1" applyAlignment="1">
      <alignment horizontal="right" vertical="center"/>
    </xf>
    <xf numFmtId="3" fontId="0" fillId="0" borderId="10"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26" xfId="0" applyNumberFormat="1" applyBorder="1" applyAlignment="1">
      <alignment horizontal="center" vertical="center" wrapText="1"/>
    </xf>
    <xf numFmtId="3" fontId="0" fillId="0" borderId="15" xfId="0" applyNumberFormat="1" applyBorder="1" applyAlignment="1">
      <alignment horizontal="center" vertical="center" wrapText="1"/>
    </xf>
    <xf numFmtId="3" fontId="0" fillId="0" borderId="16" xfId="0" applyNumberFormat="1" applyBorder="1" applyAlignment="1">
      <alignment horizontal="center" vertical="center" wrapText="1"/>
    </xf>
    <xf numFmtId="3" fontId="0" fillId="0" borderId="18" xfId="0" applyNumberFormat="1" applyBorder="1" applyAlignment="1">
      <alignment horizontal="center" vertical="center" wrapText="1"/>
    </xf>
    <xf numFmtId="3" fontId="0" fillId="0" borderId="27" xfId="0" applyNumberFormat="1" applyBorder="1" applyAlignment="1">
      <alignment horizontal="center" vertical="center" wrapText="1"/>
    </xf>
    <xf numFmtId="3" fontId="0" fillId="0" borderId="17" xfId="0" applyNumberFormat="1" applyBorder="1" applyAlignment="1">
      <alignment horizontal="center" vertical="center" wrapText="1"/>
    </xf>
    <xf numFmtId="3" fontId="0" fillId="0" borderId="20" xfId="0" applyNumberFormat="1" applyBorder="1" applyAlignment="1">
      <alignment horizontal="center" vertical="center" wrapText="1"/>
    </xf>
    <xf numFmtId="3" fontId="16" fillId="33" borderId="19" xfId="0" applyNumberFormat="1" applyFont="1" applyFill="1" applyBorder="1" applyAlignment="1">
      <alignment horizontal="center" vertical="center" wrapText="1"/>
    </xf>
    <xf numFmtId="3" fontId="16" fillId="33" borderId="29" xfId="0" applyNumberFormat="1" applyFont="1" applyFill="1" applyBorder="1" applyAlignment="1">
      <alignment horizontal="center" vertical="center" wrapText="1"/>
    </xf>
    <xf numFmtId="3" fontId="0" fillId="0" borderId="28" xfId="0" applyNumberFormat="1" applyBorder="1" applyAlignment="1">
      <alignment horizontal="center" vertical="center" wrapText="1"/>
    </xf>
    <xf numFmtId="3" fontId="0" fillId="0" borderId="30" xfId="0" applyNumberFormat="1" applyBorder="1" applyAlignment="1">
      <alignment horizontal="center" vertical="center" wrapText="1"/>
    </xf>
    <xf numFmtId="3" fontId="0" fillId="0" borderId="0" xfId="0" applyNumberFormat="1" applyAlignment="1">
      <alignment horizontal="center" vertical="center" wrapText="1"/>
    </xf>
    <xf numFmtId="3" fontId="0" fillId="0" borderId="0" xfId="0" applyNumberFormat="1" applyAlignment="1">
      <alignment wrapText="1"/>
    </xf>
    <xf numFmtId="3" fontId="0" fillId="0" borderId="0" xfId="0" applyNumberFormat="1" applyAlignment="1">
      <alignment vertical="center" wrapText="1"/>
    </xf>
    <xf numFmtId="3" fontId="16" fillId="0" borderId="0" xfId="0" applyNumberFormat="1" applyFont="1" applyAlignment="1">
      <alignment horizontal="right" vertical="center" wrapText="1"/>
    </xf>
    <xf numFmtId="3" fontId="0" fillId="0" borderId="0" xfId="0" applyNumberFormat="1" applyBorder="1" applyAlignment="1">
      <alignment horizontal="center" vertical="center"/>
    </xf>
    <xf numFmtId="0" fontId="0" fillId="0" borderId="0" xfId="0" applyAlignment="1">
      <alignment horizontal="left" vertical="center"/>
    </xf>
    <xf numFmtId="0" fontId="16" fillId="0" borderId="0" xfId="0" applyFont="1" applyAlignment="1">
      <alignment horizontal="center" vertical="center" wrapText="1"/>
    </xf>
    <xf numFmtId="0" fontId="16" fillId="0" borderId="0" xfId="0" applyFont="1" applyAlignment="1">
      <alignment horizontal="left" vertical="center"/>
    </xf>
    <xf numFmtId="3" fontId="16" fillId="36" borderId="0" xfId="0" applyNumberFormat="1" applyFont="1" applyFill="1" applyBorder="1" applyAlignment="1">
      <alignment horizontal="right" vertical="center"/>
    </xf>
    <xf numFmtId="0" fontId="18" fillId="0" borderId="10" xfId="43" applyBorder="1" applyAlignment="1">
      <alignment horizontal="center" vertical="center"/>
    </xf>
    <xf numFmtId="0" fontId="18" fillId="0" borderId="10" xfId="43" applyFont="1" applyBorder="1" applyAlignment="1">
      <alignment horizontal="center" vertical="center"/>
    </xf>
    <xf numFmtId="0" fontId="18" fillId="0" borderId="14" xfId="43" applyBorder="1" applyAlignment="1">
      <alignment horizontal="center" vertical="center"/>
    </xf>
    <xf numFmtId="0" fontId="18" fillId="0" borderId="16" xfId="43" applyBorder="1" applyAlignment="1">
      <alignment horizontal="center" vertical="center"/>
    </xf>
    <xf numFmtId="0" fontId="18" fillId="0" borderId="18" xfId="43" applyBorder="1" applyAlignment="1">
      <alignment horizontal="center" vertical="center"/>
    </xf>
    <xf numFmtId="3" fontId="16" fillId="33" borderId="33" xfId="0" applyNumberFormat="1" applyFont="1" applyFill="1" applyBorder="1" applyAlignment="1">
      <alignment horizontal="center" vertical="center" wrapText="1"/>
    </xf>
    <xf numFmtId="3" fontId="16" fillId="33" borderId="34" xfId="0" applyNumberFormat="1" applyFont="1" applyFill="1" applyBorder="1" applyAlignment="1">
      <alignment horizontal="center" vertical="center" wrapText="1"/>
    </xf>
    <xf numFmtId="3" fontId="16" fillId="33" borderId="35" xfId="0" applyNumberFormat="1" applyFont="1" applyFill="1" applyBorder="1" applyAlignment="1">
      <alignment horizontal="center" vertical="center" wrapText="1"/>
    </xf>
    <xf numFmtId="3" fontId="16" fillId="33" borderId="36" xfId="0" applyNumberFormat="1" applyFont="1" applyFill="1" applyBorder="1" applyAlignment="1">
      <alignment horizontal="center" vertical="center" wrapText="1"/>
    </xf>
    <xf numFmtId="3" fontId="16" fillId="33" borderId="37" xfId="0" applyNumberFormat="1" applyFont="1" applyFill="1" applyBorder="1" applyAlignment="1">
      <alignment horizontal="center" vertical="center" wrapText="1"/>
    </xf>
    <xf numFmtId="0" fontId="18" fillId="0" borderId="38" xfId="43" applyBorder="1" applyAlignment="1">
      <alignment horizontal="center" vertical="center"/>
    </xf>
    <xf numFmtId="0" fontId="18" fillId="0" borderId="39" xfId="43" applyBorder="1" applyAlignment="1">
      <alignment horizontal="center" vertical="center"/>
    </xf>
    <xf numFmtId="3" fontId="16" fillId="0" borderId="0" xfId="0" applyNumberFormat="1" applyFont="1" applyAlignment="1">
      <alignment horizontal="left" vertical="center"/>
    </xf>
    <xf numFmtId="3" fontId="16" fillId="33" borderId="41" xfId="0" applyNumberFormat="1" applyFont="1" applyFill="1" applyBorder="1" applyAlignment="1">
      <alignment horizontal="center" vertical="center" wrapText="1"/>
    </xf>
    <xf numFmtId="0" fontId="18" fillId="0" borderId="44" xfId="43" applyBorder="1" applyAlignment="1">
      <alignment horizontal="center" vertical="center"/>
    </xf>
    <xf numFmtId="0" fontId="18" fillId="0" borderId="26" xfId="43" applyBorder="1" applyAlignment="1">
      <alignment horizontal="center" vertical="center"/>
    </xf>
    <xf numFmtId="0" fontId="18" fillId="0" borderId="27" xfId="43" applyBorder="1" applyAlignment="1">
      <alignment horizontal="center" vertical="center"/>
    </xf>
    <xf numFmtId="3" fontId="16" fillId="33" borderId="45" xfId="0" applyNumberFormat="1" applyFont="1" applyFill="1" applyBorder="1" applyAlignment="1">
      <alignment horizontal="center" vertical="center" wrapText="1"/>
    </xf>
    <xf numFmtId="3" fontId="18" fillId="0" borderId="38" xfId="43" applyNumberFormat="1" applyBorder="1" applyAlignment="1">
      <alignment horizontal="center" vertical="center"/>
    </xf>
    <xf numFmtId="3" fontId="18" fillId="0" borderId="42" xfId="43" applyNumberFormat="1" applyBorder="1" applyAlignment="1">
      <alignment horizontal="center" vertical="center"/>
    </xf>
    <xf numFmtId="3" fontId="18" fillId="0" borderId="40" xfId="43" applyNumberFormat="1" applyBorder="1" applyAlignment="1">
      <alignment horizontal="center" vertical="center"/>
    </xf>
    <xf numFmtId="3" fontId="0" fillId="0" borderId="29" xfId="0" applyNumberFormat="1" applyBorder="1" applyAlignment="1">
      <alignment horizontal="center" vertical="center"/>
    </xf>
    <xf numFmtId="3" fontId="0" fillId="0" borderId="13" xfId="0" applyNumberFormat="1" applyBorder="1" applyAlignment="1">
      <alignment horizontal="center" vertical="center"/>
    </xf>
    <xf numFmtId="3" fontId="0" fillId="0" borderId="25" xfId="0" applyNumberFormat="1" applyBorder="1" applyAlignment="1">
      <alignment horizontal="center" vertical="center"/>
    </xf>
    <xf numFmtId="3" fontId="0" fillId="0" borderId="38" xfId="0" applyNumberFormat="1" applyBorder="1" applyAlignment="1">
      <alignment horizontal="center" vertical="center"/>
    </xf>
    <xf numFmtId="3" fontId="0" fillId="0" borderId="39" xfId="0" applyNumberFormat="1" applyBorder="1" applyAlignment="1">
      <alignment horizontal="center" vertical="center"/>
    </xf>
    <xf numFmtId="3" fontId="0" fillId="0" borderId="40" xfId="0" applyNumberFormat="1" applyBorder="1" applyAlignment="1">
      <alignment horizontal="center" vertical="center"/>
    </xf>
    <xf numFmtId="3" fontId="0" fillId="0" borderId="12" xfId="0" applyNumberFormat="1" applyBorder="1" applyAlignment="1">
      <alignment horizontal="center" vertical="center"/>
    </xf>
    <xf numFmtId="3" fontId="18" fillId="0" borderId="14" xfId="43" applyNumberFormat="1" applyBorder="1" applyAlignment="1">
      <alignment horizontal="center" vertical="center"/>
    </xf>
    <xf numFmtId="3" fontId="18" fillId="0" borderId="31" xfId="43" applyNumberFormat="1" applyBorder="1" applyAlignment="1">
      <alignment horizontal="center" vertical="center"/>
    </xf>
    <xf numFmtId="3" fontId="18" fillId="0" borderId="15" xfId="43" applyNumberFormat="1" applyBorder="1" applyAlignment="1">
      <alignment horizontal="center" vertical="center"/>
    </xf>
    <xf numFmtId="3" fontId="0" fillId="0" borderId="28" xfId="0" applyNumberFormat="1" applyBorder="1" applyAlignment="1">
      <alignment horizontal="center" vertical="center"/>
    </xf>
    <xf numFmtId="3" fontId="0" fillId="0" borderId="26" xfId="0" applyNumberFormat="1" applyBorder="1" applyAlignment="1">
      <alignment horizontal="center" vertical="center"/>
    </xf>
    <xf numFmtId="3" fontId="18" fillId="0" borderId="16" xfId="43" applyNumberFormat="1" applyBorder="1" applyAlignment="1">
      <alignment horizontal="center" vertical="center"/>
    </xf>
    <xf numFmtId="3" fontId="18" fillId="0" borderId="43" xfId="43" applyNumberFormat="1" applyBorder="1" applyAlignment="1">
      <alignment horizontal="center" vertical="center"/>
    </xf>
    <xf numFmtId="3" fontId="18" fillId="0" borderId="17" xfId="43" applyNumberFormat="1" applyBorder="1" applyAlignment="1">
      <alignment horizontal="center" vertical="center"/>
    </xf>
    <xf numFmtId="3" fontId="0" fillId="0" borderId="30" xfId="0" applyNumberFormat="1" applyBorder="1" applyAlignment="1">
      <alignment horizontal="center" vertical="center"/>
    </xf>
    <xf numFmtId="3" fontId="0" fillId="0" borderId="27" xfId="0" applyNumberFormat="1" applyBorder="1" applyAlignment="1">
      <alignment horizontal="center" vertical="center"/>
    </xf>
    <xf numFmtId="165" fontId="0" fillId="0" borderId="0" xfId="0" applyNumberFormat="1" applyFill="1" applyBorder="1" applyAlignment="1">
      <alignment horizontal="center" vertical="center"/>
    </xf>
    <xf numFmtId="3" fontId="16" fillId="33" borderId="10" xfId="0" applyNumberFormat="1" applyFont="1" applyFill="1" applyBorder="1" applyAlignment="1">
      <alignment horizontal="center" vertical="center" wrapText="1"/>
    </xf>
    <xf numFmtId="3" fontId="0" fillId="35" borderId="28" xfId="0" applyNumberFormat="1" applyFill="1" applyBorder="1" applyAlignment="1">
      <alignment horizontal="center" vertical="center" wrapText="1"/>
    </xf>
    <xf numFmtId="3" fontId="0" fillId="35" borderId="10" xfId="0" applyNumberFormat="1" applyFill="1" applyBorder="1" applyAlignment="1">
      <alignment horizontal="center" vertical="center" wrapText="1"/>
    </xf>
    <xf numFmtId="3" fontId="0" fillId="35" borderId="26" xfId="0" applyNumberFormat="1" applyFill="1" applyBorder="1" applyAlignment="1">
      <alignment horizontal="center" vertical="center" wrapText="1"/>
    </xf>
    <xf numFmtId="3" fontId="0" fillId="35" borderId="30" xfId="0" applyNumberFormat="1" applyFill="1" applyBorder="1" applyAlignment="1">
      <alignment horizontal="center" vertical="center" wrapText="1"/>
    </xf>
    <xf numFmtId="3" fontId="0" fillId="35" borderId="18" xfId="0" applyNumberFormat="1" applyFill="1" applyBorder="1" applyAlignment="1">
      <alignment horizontal="center" vertical="center" wrapText="1"/>
    </xf>
    <xf numFmtId="3" fontId="0" fillId="35" borderId="27" xfId="0" applyNumberFormat="1" applyFill="1" applyBorder="1" applyAlignment="1">
      <alignment horizontal="center" vertical="center" wrapText="1"/>
    </xf>
    <xf numFmtId="3" fontId="0" fillId="35" borderId="32" xfId="0" applyNumberFormat="1" applyFill="1" applyBorder="1" applyAlignment="1">
      <alignment horizontal="center" vertical="center" wrapText="1"/>
    </xf>
    <xf numFmtId="3" fontId="0" fillId="35" borderId="20" xfId="0" applyNumberFormat="1" applyFill="1" applyBorder="1" applyAlignment="1">
      <alignment horizontal="center" vertical="center" wrapText="1"/>
    </xf>
    <xf numFmtId="3" fontId="0" fillId="35" borderId="21" xfId="0" applyNumberFormat="1" applyFill="1" applyBorder="1" applyAlignment="1">
      <alignment horizontal="center" vertical="center" wrapText="1"/>
    </xf>
    <xf numFmtId="3" fontId="0" fillId="35" borderId="15" xfId="0" applyNumberFormat="1" applyFill="1" applyBorder="1" applyAlignment="1">
      <alignment horizontal="center" vertical="center" wrapText="1"/>
    </xf>
    <xf numFmtId="3" fontId="0" fillId="36" borderId="10" xfId="0" applyNumberFormat="1" applyFill="1" applyBorder="1" applyAlignment="1">
      <alignment horizontal="center" vertical="center" wrapText="1"/>
    </xf>
    <xf numFmtId="3" fontId="0" fillId="36" borderId="26" xfId="0" applyNumberFormat="1" applyFont="1" applyFill="1" applyBorder="1" applyAlignment="1">
      <alignment horizontal="center" vertical="center" wrapText="1"/>
    </xf>
    <xf numFmtId="3" fontId="0" fillId="36" borderId="15" xfId="0" applyNumberFormat="1" applyFill="1" applyBorder="1" applyAlignment="1">
      <alignment horizontal="center" vertical="center" wrapText="1"/>
    </xf>
    <xf numFmtId="3" fontId="0" fillId="36" borderId="26" xfId="0" applyNumberFormat="1" applyFill="1" applyBorder="1" applyAlignment="1">
      <alignment horizontal="center" vertical="center" wrapText="1"/>
    </xf>
    <xf numFmtId="3" fontId="0" fillId="36" borderId="18" xfId="0" applyNumberFormat="1" applyFill="1" applyBorder="1" applyAlignment="1">
      <alignment horizontal="center" vertical="center" wrapText="1"/>
    </xf>
    <xf numFmtId="3" fontId="0" fillId="36" borderId="27" xfId="0" applyNumberFormat="1" applyFont="1" applyFill="1" applyBorder="1" applyAlignment="1">
      <alignment horizontal="center" vertical="center" wrapText="1"/>
    </xf>
    <xf numFmtId="3" fontId="0" fillId="36" borderId="27" xfId="0" applyNumberFormat="1" applyFill="1" applyBorder="1" applyAlignment="1">
      <alignment horizontal="center" vertical="center" wrapText="1"/>
    </xf>
    <xf numFmtId="3" fontId="0" fillId="36" borderId="17" xfId="0" applyNumberFormat="1" applyFill="1" applyBorder="1" applyAlignment="1">
      <alignment horizontal="center" vertical="center" wrapText="1"/>
    </xf>
    <xf numFmtId="3" fontId="16" fillId="33" borderId="46" xfId="0" applyNumberFormat="1" applyFont="1" applyFill="1" applyBorder="1" applyAlignment="1">
      <alignment horizontal="center" vertical="center" wrapText="1"/>
    </xf>
    <xf numFmtId="3" fontId="0" fillId="0" borderId="47" xfId="0" applyNumberFormat="1" applyBorder="1" applyAlignment="1">
      <alignment horizontal="center" vertical="center" wrapText="1"/>
    </xf>
    <xf numFmtId="3" fontId="0" fillId="0" borderId="48" xfId="0" applyNumberFormat="1" applyBorder="1" applyAlignment="1">
      <alignment horizontal="center" vertical="center" wrapText="1"/>
    </xf>
    <xf numFmtId="3" fontId="16" fillId="33" borderId="49" xfId="0" applyNumberFormat="1" applyFont="1" applyFill="1" applyBorder="1" applyAlignment="1">
      <alignment horizontal="center" vertical="center" wrapText="1"/>
    </xf>
    <xf numFmtId="0" fontId="18" fillId="0" borderId="32" xfId="43" applyBorder="1" applyAlignment="1">
      <alignment horizontal="center" vertical="center"/>
    </xf>
    <xf numFmtId="0" fontId="18" fillId="0" borderId="20" xfId="43" applyBorder="1" applyAlignment="1">
      <alignment horizontal="center" vertical="center"/>
    </xf>
    <xf numFmtId="0" fontId="18" fillId="0" borderId="21" xfId="43" applyBorder="1" applyAlignment="1">
      <alignment horizontal="center" vertical="center"/>
    </xf>
    <xf numFmtId="0" fontId="0" fillId="0" borderId="0" xfId="0" applyFont="1" applyAlignment="1">
      <alignment horizontal="center" vertical="center"/>
    </xf>
    <xf numFmtId="3" fontId="16" fillId="33" borderId="50" xfId="0" applyNumberFormat="1" applyFont="1" applyFill="1" applyBorder="1" applyAlignment="1">
      <alignment horizontal="center" vertical="center" wrapText="1"/>
    </xf>
    <xf numFmtId="0" fontId="18" fillId="0" borderId="51" xfId="43" applyBorder="1" applyAlignment="1">
      <alignment horizontal="center" vertical="center"/>
    </xf>
    <xf numFmtId="0" fontId="18" fillId="0" borderId="47" xfId="43" applyBorder="1" applyAlignment="1">
      <alignment horizontal="center" vertical="center"/>
    </xf>
    <xf numFmtId="0" fontId="18" fillId="0" borderId="48" xfId="43" applyBorder="1" applyAlignment="1">
      <alignment horizontal="center" vertical="center"/>
    </xf>
    <xf numFmtId="3" fontId="16" fillId="33" borderId="52" xfId="0" applyNumberFormat="1" applyFont="1" applyFill="1" applyBorder="1" applyAlignment="1">
      <alignment horizontal="center" vertical="center" wrapText="1"/>
    </xf>
    <xf numFmtId="3" fontId="18" fillId="0" borderId="32" xfId="43" applyNumberFormat="1" applyBorder="1" applyAlignment="1">
      <alignment horizontal="center" vertical="center"/>
    </xf>
    <xf numFmtId="3" fontId="18" fillId="0" borderId="20" xfId="43" applyNumberFormat="1" applyBorder="1" applyAlignment="1">
      <alignment horizontal="center" vertical="center"/>
    </xf>
    <xf numFmtId="3" fontId="18" fillId="0" borderId="21" xfId="43" applyNumberFormat="1" applyBorder="1" applyAlignment="1">
      <alignment horizontal="center" vertical="center"/>
    </xf>
    <xf numFmtId="0" fontId="0" fillId="35" borderId="14" xfId="0" applyFill="1" applyBorder="1" applyAlignment="1">
      <alignment horizontal="center" vertical="center" wrapText="1"/>
    </xf>
    <xf numFmtId="0" fontId="0" fillId="35" borderId="10" xfId="0" applyFill="1" applyBorder="1" applyAlignment="1">
      <alignment horizontal="center" vertical="center" wrapText="1"/>
    </xf>
    <xf numFmtId="0" fontId="0" fillId="35" borderId="18" xfId="0" applyFill="1" applyBorder="1" applyAlignment="1">
      <alignment horizontal="center" vertical="center" wrapText="1"/>
    </xf>
    <xf numFmtId="3" fontId="0" fillId="36" borderId="21" xfId="0" applyNumberFormat="1" applyFont="1" applyFill="1" applyBorder="1" applyAlignment="1">
      <alignment vertical="center"/>
    </xf>
    <xf numFmtId="3" fontId="0" fillId="36" borderId="32" xfId="0" applyNumberFormat="1" applyFont="1" applyFill="1" applyBorder="1" applyAlignment="1">
      <alignment vertical="center"/>
    </xf>
    <xf numFmtId="3" fontId="16" fillId="33" borderId="49" xfId="0" applyNumberFormat="1" applyFont="1" applyFill="1" applyBorder="1" applyAlignment="1">
      <alignment vertical="center"/>
    </xf>
    <xf numFmtId="3" fontId="0" fillId="0" borderId="44" xfId="0" applyNumberFormat="1" applyBorder="1" applyAlignment="1">
      <alignment horizontal="center" vertical="center"/>
    </xf>
    <xf numFmtId="3" fontId="0" fillId="0" borderId="11" xfId="0" applyNumberFormat="1" applyBorder="1" applyAlignment="1">
      <alignment horizontal="center" vertical="center"/>
    </xf>
    <xf numFmtId="3" fontId="16" fillId="33" borderId="53" xfId="0" applyNumberFormat="1" applyFont="1" applyFill="1" applyBorder="1" applyAlignment="1">
      <alignment horizontal="center" vertical="center" wrapText="1"/>
    </xf>
    <xf numFmtId="3" fontId="16" fillId="33" borderId="54" xfId="0" applyNumberFormat="1" applyFont="1" applyFill="1" applyBorder="1" applyAlignment="1">
      <alignment horizontal="center" vertical="center" wrapText="1"/>
    </xf>
    <xf numFmtId="3" fontId="0" fillId="0" borderId="28" xfId="0" applyNumberFormat="1" applyFill="1" applyBorder="1" applyAlignment="1">
      <alignment horizontal="center" vertical="center" wrapText="1"/>
    </xf>
    <xf numFmtId="3" fontId="0" fillId="0" borderId="30" xfId="0" applyNumberFormat="1" applyFill="1" applyBorder="1" applyAlignment="1">
      <alignment horizontal="center" vertical="center" wrapText="1"/>
    </xf>
    <xf numFmtId="3" fontId="0" fillId="0" borderId="10" xfId="0" applyNumberFormat="1" applyFill="1" applyBorder="1" applyAlignment="1">
      <alignment horizontal="center" vertical="center" wrapText="1"/>
    </xf>
    <xf numFmtId="3" fontId="0" fillId="0" borderId="18" xfId="0" applyNumberFormat="1" applyFill="1" applyBorder="1" applyAlignment="1">
      <alignment horizontal="center" vertical="center" wrapText="1"/>
    </xf>
    <xf numFmtId="3" fontId="16" fillId="33" borderId="55" xfId="0" applyNumberFormat="1" applyFont="1" applyFill="1" applyBorder="1" applyAlignment="1">
      <alignment horizontal="center" vertical="center" wrapText="1"/>
    </xf>
    <xf numFmtId="3" fontId="0" fillId="0" borderId="14" xfId="0" applyNumberFormat="1" applyFill="1" applyBorder="1" applyAlignment="1">
      <alignment horizontal="center" vertical="center" wrapText="1"/>
    </xf>
    <xf numFmtId="3" fontId="0" fillId="0" borderId="16" xfId="0" applyNumberFormat="1" applyFill="1" applyBorder="1" applyAlignment="1">
      <alignment horizontal="center" vertical="center" wrapText="1"/>
    </xf>
    <xf numFmtId="3" fontId="0" fillId="0" borderId="32" xfId="0" applyNumberFormat="1" applyFill="1" applyBorder="1" applyAlignment="1">
      <alignment horizontal="center" vertical="center"/>
    </xf>
    <xf numFmtId="3" fontId="0" fillId="0" borderId="20" xfId="0" applyNumberFormat="1" applyFill="1" applyBorder="1" applyAlignment="1">
      <alignment horizontal="center" vertical="center"/>
    </xf>
    <xf numFmtId="3" fontId="0" fillId="0" borderId="21" xfId="0" applyNumberFormat="1" applyFill="1" applyBorder="1" applyAlignment="1">
      <alignment horizontal="center" vertical="center"/>
    </xf>
    <xf numFmtId="165" fontId="0" fillId="0" borderId="10" xfId="0" applyNumberFormat="1" applyFill="1" applyBorder="1" applyAlignment="1">
      <alignment horizontal="center" vertical="center"/>
    </xf>
    <xf numFmtId="0" fontId="0" fillId="35" borderId="16" xfId="0" applyFill="1" applyBorder="1" applyAlignment="1">
      <alignment horizontal="center"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0" fontId="16" fillId="0" borderId="0" xfId="0" applyFont="1" applyBorder="1" applyAlignment="1">
      <alignment horizontal="right" vertical="center"/>
    </xf>
    <xf numFmtId="3" fontId="0" fillId="35" borderId="14" xfId="0" applyNumberFormat="1" applyFill="1" applyBorder="1" applyAlignment="1">
      <alignment horizontal="center" vertical="center" wrapText="1"/>
    </xf>
    <xf numFmtId="3" fontId="0" fillId="35" borderId="16" xfId="0" applyNumberFormat="1" applyFill="1" applyBorder="1" applyAlignment="1">
      <alignment horizontal="center" vertical="center" wrapText="1"/>
    </xf>
    <xf numFmtId="3" fontId="0" fillId="35" borderId="17" xfId="0" applyNumberFormat="1" applyFill="1" applyBorder="1" applyAlignment="1">
      <alignment horizontal="center" vertical="center" wrapText="1"/>
    </xf>
    <xf numFmtId="0" fontId="19" fillId="0" borderId="10" xfId="0" applyFont="1" applyBorder="1" applyAlignment="1">
      <alignment horizontal="center" vertical="center"/>
    </xf>
    <xf numFmtId="0" fontId="22" fillId="37" borderId="10" xfId="0"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2" fillId="37" borderId="10" xfId="0" applyFont="1" applyFill="1" applyBorder="1" applyAlignment="1">
      <alignment horizontal="left" vertical="center" wrapText="1"/>
    </xf>
    <xf numFmtId="0" fontId="19" fillId="0" borderId="10" xfId="0" applyFont="1" applyBorder="1" applyAlignment="1">
      <alignment horizontal="left" vertical="center" wrapText="1"/>
    </xf>
    <xf numFmtId="0" fontId="21" fillId="0" borderId="10" xfId="0" applyFont="1" applyBorder="1" applyAlignment="1">
      <alignment horizontal="left" vertical="center" wrapText="1"/>
    </xf>
    <xf numFmtId="0" fontId="20" fillId="0" borderId="0" xfId="0" applyFont="1" applyAlignment="1">
      <alignment horizontal="left" vertical="center"/>
    </xf>
    <xf numFmtId="0" fontId="0" fillId="0" borderId="0" xfId="0" applyFill="1"/>
    <xf numFmtId="3" fontId="0" fillId="0" borderId="20" xfId="0" applyNumberFormat="1" applyFill="1" applyBorder="1" applyAlignment="1">
      <alignment horizontal="center" vertical="center" wrapText="1"/>
    </xf>
    <xf numFmtId="3" fontId="0" fillId="0" borderId="10" xfId="0" applyNumberFormat="1" applyFill="1" applyBorder="1" applyAlignment="1">
      <alignment vertical="center" wrapText="1"/>
    </xf>
    <xf numFmtId="0" fontId="16" fillId="34" borderId="10" xfId="0" applyFont="1" applyFill="1" applyBorder="1" applyAlignment="1">
      <alignment horizontal="center" vertical="center" wrapText="1"/>
    </xf>
    <xf numFmtId="0" fontId="0" fillId="0" borderId="0" xfId="0" applyAlignment="1">
      <alignment wrapText="1"/>
    </xf>
    <xf numFmtId="3" fontId="0" fillId="0" borderId="18" xfId="0" applyNumberFormat="1" applyFill="1" applyBorder="1" applyAlignment="1">
      <alignment vertical="center" wrapText="1"/>
    </xf>
    <xf numFmtId="3" fontId="0" fillId="0" borderId="15" xfId="0" applyNumberFormat="1" applyFill="1" applyBorder="1" applyAlignment="1">
      <alignment vertical="center" wrapText="1"/>
    </xf>
    <xf numFmtId="3" fontId="0" fillId="0" borderId="17" xfId="0" applyNumberFormat="1" applyFill="1" applyBorder="1" applyAlignment="1">
      <alignment vertical="center" wrapText="1"/>
    </xf>
    <xf numFmtId="0" fontId="0" fillId="0" borderId="10" xfId="0" applyFill="1" applyBorder="1" applyAlignment="1">
      <alignment horizontal="center" vertical="center"/>
    </xf>
    <xf numFmtId="0" fontId="0" fillId="0" borderId="18" xfId="0" applyFill="1" applyBorder="1" applyAlignment="1">
      <alignment horizontal="center" vertical="center"/>
    </xf>
    <xf numFmtId="0" fontId="16" fillId="33" borderId="25" xfId="0" applyFont="1" applyFill="1" applyBorder="1" applyAlignment="1">
      <alignment horizontal="center" vertical="center" wrapText="1"/>
    </xf>
    <xf numFmtId="0" fontId="16" fillId="33" borderId="55" xfId="0" applyFont="1" applyFill="1" applyBorder="1" applyAlignment="1">
      <alignment horizontal="center" vertical="center" wrapText="1"/>
    </xf>
    <xf numFmtId="0" fontId="0" fillId="35" borderId="14" xfId="0" applyFont="1" applyFill="1" applyBorder="1" applyAlignment="1">
      <alignment horizontal="center" vertical="center" wrapText="1"/>
    </xf>
    <xf numFmtId="167" fontId="16" fillId="34" borderId="10" xfId="0" applyNumberFormat="1" applyFont="1" applyFill="1" applyBorder="1" applyAlignment="1">
      <alignment horizontal="center" vertical="center" wrapText="1"/>
    </xf>
    <xf numFmtId="167" fontId="0" fillId="0" borderId="0" xfId="0" applyNumberFormat="1" applyAlignment="1">
      <alignment horizontal="center" vertical="center"/>
    </xf>
    <xf numFmtId="167" fontId="0" fillId="0" borderId="0" xfId="0" applyNumberFormat="1" applyAlignment="1">
      <alignment horizontal="left" vertical="center"/>
    </xf>
    <xf numFmtId="167" fontId="0" fillId="0" borderId="0" xfId="0" applyNumberFormat="1" applyAlignment="1">
      <alignment horizontal="center"/>
    </xf>
    <xf numFmtId="0" fontId="16" fillId="0" borderId="0" xfId="0" applyFont="1" applyFill="1" applyAlignment="1">
      <alignment horizontal="left" vertical="center"/>
    </xf>
    <xf numFmtId="0" fontId="0" fillId="0" borderId="10" xfId="0" applyBorder="1"/>
    <xf numFmtId="0" fontId="0" fillId="0" borderId="40" xfId="0" applyBorder="1" applyAlignment="1">
      <alignment horizontal="center" vertical="center"/>
    </xf>
    <xf numFmtId="14" fontId="16" fillId="34" borderId="10" xfId="0" applyNumberFormat="1" applyFont="1" applyFill="1" applyBorder="1" applyAlignment="1">
      <alignment horizontal="center" vertical="center" wrapText="1"/>
    </xf>
    <xf numFmtId="14" fontId="0" fillId="0" borderId="0" xfId="0" applyNumberFormat="1" applyAlignment="1">
      <alignment horizontal="left" vertical="center"/>
    </xf>
    <xf numFmtId="0" fontId="16" fillId="38" borderId="10" xfId="0" applyFont="1" applyFill="1" applyBorder="1"/>
    <xf numFmtId="0" fontId="16" fillId="38" borderId="10" xfId="0" applyFont="1" applyFill="1" applyBorder="1" applyAlignment="1">
      <alignment horizontal="center" vertical="center"/>
    </xf>
    <xf numFmtId="0" fontId="16" fillId="0" borderId="0" xfId="0" applyFont="1"/>
    <xf numFmtId="3" fontId="16" fillId="0" borderId="0" xfId="0" applyNumberFormat="1" applyFont="1" applyFill="1" applyBorder="1" applyAlignment="1">
      <alignment horizontal="center" vertical="center" wrapText="1"/>
    </xf>
    <xf numFmtId="0" fontId="0" fillId="35" borderId="10" xfId="0" applyFill="1" applyBorder="1" applyAlignment="1">
      <alignment horizontal="center" vertical="center"/>
    </xf>
    <xf numFmtId="3" fontId="16" fillId="0" borderId="0" xfId="0" applyNumberFormat="1" applyFont="1" applyFill="1" applyAlignment="1">
      <alignment horizontal="left" vertical="center"/>
    </xf>
    <xf numFmtId="0" fontId="0" fillId="35" borderId="17" xfId="0" applyFill="1" applyBorder="1" applyAlignment="1">
      <alignment horizontal="center" vertical="center" wrapText="1"/>
    </xf>
    <xf numFmtId="0" fontId="0" fillId="35" borderId="28" xfId="0" applyFill="1" applyBorder="1" applyAlignment="1">
      <alignment horizontal="center" vertical="center" wrapText="1"/>
    </xf>
    <xf numFmtId="164" fontId="0" fillId="35" borderId="10" xfId="0" applyNumberFormat="1" applyFill="1" applyBorder="1" applyAlignment="1">
      <alignment horizontal="center" vertical="center"/>
    </xf>
    <xf numFmtId="0" fontId="0" fillId="35" borderId="56" xfId="0" applyFill="1" applyBorder="1" applyAlignment="1">
      <alignment horizontal="center" vertical="center" wrapText="1"/>
    </xf>
    <xf numFmtId="0" fontId="0" fillId="35" borderId="30" xfId="0" applyFill="1" applyBorder="1" applyAlignment="1">
      <alignment horizontal="center" vertical="center" wrapText="1"/>
    </xf>
    <xf numFmtId="0" fontId="0" fillId="35" borderId="18" xfId="0" applyFill="1" applyBorder="1" applyAlignment="1">
      <alignment horizontal="center" vertical="center"/>
    </xf>
    <xf numFmtId="164" fontId="0" fillId="35" borderId="18" xfId="0" applyNumberFormat="1" applyFill="1" applyBorder="1" applyAlignment="1">
      <alignment horizontal="center" vertical="center"/>
    </xf>
    <xf numFmtId="0" fontId="21" fillId="0" borderId="10" xfId="0" applyFont="1" applyBorder="1" applyAlignment="1">
      <alignment horizontal="left" vertical="center"/>
    </xf>
    <xf numFmtId="0" fontId="16" fillId="33" borderId="57" xfId="0" applyFont="1" applyFill="1" applyBorder="1" applyAlignment="1">
      <alignment vertical="center"/>
    </xf>
    <xf numFmtId="0" fontId="0" fillId="36" borderId="31" xfId="0" applyFill="1" applyBorder="1" applyAlignment="1">
      <alignment vertical="center"/>
    </xf>
    <xf numFmtId="0" fontId="0" fillId="36" borderId="43" xfId="0" applyFill="1" applyBorder="1" applyAlignment="1">
      <alignment vertical="center"/>
    </xf>
    <xf numFmtId="0" fontId="0" fillId="0" borderId="10" xfId="0" applyBorder="1" applyAlignment="1">
      <alignment horizontal="left" vertical="center"/>
    </xf>
    <xf numFmtId="0" fontId="0" fillId="0" borderId="10" xfId="0" applyBorder="1" applyAlignment="1">
      <alignment vertical="center"/>
    </xf>
    <xf numFmtId="0" fontId="0" fillId="0" borderId="39" xfId="0" applyBorder="1" applyAlignment="1">
      <alignment horizontal="center" vertical="center"/>
    </xf>
    <xf numFmtId="0" fontId="21" fillId="0" borderId="0" xfId="0" applyFont="1" applyAlignment="1">
      <alignment horizontal="left" vertical="center" wrapText="1"/>
    </xf>
    <xf numFmtId="0" fontId="16" fillId="38" borderId="26" xfId="0" applyFont="1" applyFill="1" applyBorder="1" applyAlignment="1">
      <alignment horizontal="center"/>
    </xf>
    <xf numFmtId="0" fontId="16" fillId="38" borderId="31" xfId="0" applyFont="1" applyFill="1" applyBorder="1" applyAlignment="1">
      <alignment horizontal="center"/>
    </xf>
    <xf numFmtId="0" fontId="16" fillId="38" borderId="28" xfId="0" applyFont="1"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43" xr:uid="{DB03B998-E934-4AB4-B6B6-7123557B063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7">
    <dxf>
      <font>
        <color rgb="FF9C0006"/>
      </font>
      <fill>
        <patternFill>
          <bgColor rgb="FFFFC7CE"/>
        </patternFill>
      </fill>
    </dxf>
    <dxf>
      <font>
        <color rgb="FF006100"/>
      </font>
      <fill>
        <patternFill>
          <bgColor rgb="FFC6EFCE"/>
        </patternFill>
      </fill>
    </dxf>
    <dxf>
      <font>
        <color auto="1"/>
      </font>
      <fill>
        <patternFill>
          <bgColor rgb="FFAA3377"/>
        </patternFill>
      </fill>
    </dxf>
    <dxf>
      <font>
        <color auto="1"/>
      </font>
      <fill>
        <patternFill>
          <bgColor rgb="FF228833"/>
        </patternFill>
      </fill>
    </dxf>
    <dxf>
      <font>
        <color auto="1"/>
      </font>
      <fill>
        <patternFill>
          <bgColor rgb="FFFF7F00"/>
        </patternFill>
      </fill>
    </dxf>
    <dxf>
      <fill>
        <patternFill>
          <bgColor rgb="FFCBC063"/>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AA3377"/>
      <color rgb="FFCBC063"/>
      <color rgb="FF228833"/>
      <color rgb="FFFF7F00"/>
      <color rgb="FF6699FF"/>
      <color rgb="FFED7D31"/>
      <color rgb="FFFF9999"/>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4.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7.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8.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9.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0.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1.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Reports</a:t>
            </a:r>
            <a:endParaRPr lang="en-US"/>
          </a:p>
        </c:rich>
      </c:tx>
      <c:layout>
        <c:manualLayout>
          <c:xMode val="edge"/>
          <c:yMode val="edge"/>
          <c:x val="0.37448187585723641"/>
          <c:y val="4.7988656122483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'NeT Roadmap'!$B$44</c:f>
              <c:strCache>
                <c:ptCount val="1"/>
                <c:pt idx="0">
                  <c:v>Program Reports</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1E2C-402D-B914-2AF1C5B78A0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1E2C-402D-B914-2AF1C5B78A0C}"/>
              </c:ext>
            </c:extLst>
          </c:dPt>
          <c:dLbls>
            <c:dLbl>
              <c:idx val="0"/>
              <c:layout>
                <c:manualLayout>
                  <c:x val="-0.19408434174107053"/>
                  <c:y val="-4.342132636226860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1E2C-402D-B914-2AF1C5B78A0C}"/>
                </c:ext>
              </c:extLst>
            </c:dLbl>
            <c:dLbl>
              <c:idx val="1"/>
              <c:layout>
                <c:manualLayout>
                  <c:x val="0.15720986497150016"/>
                  <c:y val="-0.1023582174759348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1E2C-402D-B914-2AF1C5B78A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Roadmap'!$C$42:$D$42</c:f>
              <c:strCache>
                <c:ptCount val="2"/>
                <c:pt idx="0">
                  <c:v>Number of NeT Reports - NeT Application Deployed</c:v>
                </c:pt>
                <c:pt idx="1">
                  <c:v>Number of NeT Reports - NeT Application Not Deployed</c:v>
                </c:pt>
              </c:strCache>
            </c:strRef>
          </c:cat>
          <c:val>
            <c:numRef>
              <c:f>'NeT Roadmap'!$C$44:$D$44</c:f>
              <c:numCache>
                <c:formatCode>#,##0</c:formatCode>
                <c:ptCount val="2"/>
                <c:pt idx="0">
                  <c:v>100</c:v>
                </c:pt>
                <c:pt idx="1">
                  <c:v>60</c:v>
                </c:pt>
              </c:numCache>
            </c:numRef>
          </c:val>
          <c:extLst>
            <c:ext xmlns:c16="http://schemas.microsoft.com/office/drawing/2014/chart" uri="{C3380CC4-5D6E-409C-BE32-E72D297353CC}">
              <c16:uniqueId val="{00000004-1E2C-402D-B914-2AF1C5B78A0C}"/>
            </c:ext>
          </c:extLst>
        </c:ser>
        <c:ser>
          <c:idx val="0"/>
          <c:order val="1"/>
          <c:tx>
            <c:strRef>
              <c:f>'NeT Roadmap'!$B$43</c:f>
              <c:strCache>
                <c:ptCount val="1"/>
                <c:pt idx="0">
                  <c:v>General Permits</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1E2C-402D-B914-2AF1C5B78A0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1E2C-402D-B914-2AF1C5B78A0C}"/>
              </c:ext>
            </c:extLst>
          </c:dPt>
          <c:dLbls>
            <c:dLbl>
              <c:idx val="0"/>
              <c:layout>
                <c:manualLayout>
                  <c:x val="5.334827419077022E-2"/>
                  <c:y val="-0.3894991079208777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E2C-402D-B914-2AF1C5B78A0C}"/>
                </c:ext>
              </c:extLst>
            </c:dLbl>
            <c:dLbl>
              <c:idx val="1"/>
              <c:layout>
                <c:manualLayout>
                  <c:x val="-5.8435375784595296E-2"/>
                  <c:y val="-0.18983465223428325"/>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E2C-402D-B914-2AF1C5B78A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Roadmap'!$C$42:$D$42</c:f>
              <c:strCache>
                <c:ptCount val="2"/>
                <c:pt idx="0">
                  <c:v>Number of NeT Reports - NeT Application Deployed</c:v>
                </c:pt>
                <c:pt idx="1">
                  <c:v>Number of NeT Reports - NeT Application Not Deployed</c:v>
                </c:pt>
              </c:strCache>
            </c:strRef>
          </c:cat>
          <c:val>
            <c:numRef>
              <c:f>'NeT Roadmap'!$C$43:$D$43</c:f>
              <c:numCache>
                <c:formatCode>#,##0</c:formatCode>
                <c:ptCount val="2"/>
                <c:pt idx="0">
                  <c:v>175</c:v>
                </c:pt>
                <c:pt idx="1">
                  <c:v>116</c:v>
                </c:pt>
              </c:numCache>
            </c:numRef>
          </c:val>
          <c:extLst>
            <c:ext xmlns:c16="http://schemas.microsoft.com/office/drawing/2014/chart" uri="{C3380CC4-5D6E-409C-BE32-E72D297353CC}">
              <c16:uniqueId val="{00000009-1E2C-402D-B914-2AF1C5B78A0C}"/>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Report Filers</a:t>
            </a:r>
            <a:endParaRPr lang="en-US"/>
          </a:p>
        </c:rich>
      </c:tx>
      <c:layout>
        <c:manualLayout>
          <c:xMode val="edge"/>
          <c:yMode val="edge"/>
          <c:x val="0.36246895257913669"/>
          <c:y val="4.15321195123335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'NeT Roadmap'!$B$49</c:f>
              <c:strCache>
                <c:ptCount val="1"/>
                <c:pt idx="0">
                  <c:v>Program Reports</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BA60-4511-BC88-D7223C99FE6D}"/>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BA60-4511-BC88-D7223C99FE6D}"/>
              </c:ext>
            </c:extLst>
          </c:dPt>
          <c:dLbls>
            <c:dLbl>
              <c:idx val="0"/>
              <c:layout>
                <c:manualLayout>
                  <c:x val="-0.2317695247180841"/>
                  <c:y val="1.4863579907902691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BA60-4511-BC88-D7223C99FE6D}"/>
                </c:ext>
              </c:extLst>
            </c:dLbl>
            <c:dLbl>
              <c:idx val="1"/>
              <c:layout>
                <c:manualLayout>
                  <c:x val="0.19754354988495731"/>
                  <c:y val="-5.9079923045030841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BA60-4511-BC88-D7223C99FE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Roadmap'!$C$47:$D$47</c:f>
              <c:strCache>
                <c:ptCount val="2"/>
                <c:pt idx="0">
                  <c:v>Number of NeT Report Filers - NeT Application Deployed</c:v>
                </c:pt>
                <c:pt idx="1">
                  <c:v>Number of NeT Report Filers - NeT Application Not Deployed</c:v>
                </c:pt>
              </c:strCache>
            </c:strRef>
          </c:cat>
          <c:val>
            <c:numRef>
              <c:f>'NeT Roadmap'!$C$49:$D$49</c:f>
              <c:numCache>
                <c:formatCode>#,##0</c:formatCode>
                <c:ptCount val="2"/>
                <c:pt idx="0">
                  <c:v>12499</c:v>
                </c:pt>
                <c:pt idx="1">
                  <c:v>4162</c:v>
                </c:pt>
              </c:numCache>
            </c:numRef>
          </c:val>
          <c:extLst>
            <c:ext xmlns:c16="http://schemas.microsoft.com/office/drawing/2014/chart" uri="{C3380CC4-5D6E-409C-BE32-E72D297353CC}">
              <c16:uniqueId val="{00000004-BA60-4511-BC88-D7223C99FE6D}"/>
            </c:ext>
          </c:extLst>
        </c:ser>
        <c:ser>
          <c:idx val="0"/>
          <c:order val="1"/>
          <c:tx>
            <c:strRef>
              <c:f>'NeT Roadmap'!$B$48</c:f>
              <c:strCache>
                <c:ptCount val="1"/>
                <c:pt idx="0">
                  <c:v>General Permits</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BA60-4511-BC88-D7223C99FE6D}"/>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BA60-4511-BC88-D7223C99FE6D}"/>
              </c:ext>
            </c:extLst>
          </c:dPt>
          <c:dLbls>
            <c:dLbl>
              <c:idx val="0"/>
              <c:layout>
                <c:manualLayout>
                  <c:x val="7.3503343643290406E-2"/>
                  <c:y val="0.13572903463239266"/>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A60-4511-BC88-D7223C99FE6D}"/>
                </c:ext>
              </c:extLst>
            </c:dLbl>
            <c:dLbl>
              <c:idx val="1"/>
              <c:layout>
                <c:manualLayout>
                  <c:x val="-7.6034621842106367E-2"/>
                  <c:y val="-0.14773487408568156"/>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A60-4511-BC88-D7223C99FE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Roadmap'!$C$47:$D$47</c:f>
              <c:strCache>
                <c:ptCount val="2"/>
                <c:pt idx="0">
                  <c:v>Number of NeT Report Filers - NeT Application Deployed</c:v>
                </c:pt>
                <c:pt idx="1">
                  <c:v>Number of NeT Report Filers - NeT Application Not Deployed</c:v>
                </c:pt>
              </c:strCache>
            </c:strRef>
          </c:cat>
          <c:val>
            <c:numRef>
              <c:f>'NeT Roadmap'!$C$48:$D$48</c:f>
              <c:numCache>
                <c:formatCode>#,##0</c:formatCode>
                <c:ptCount val="2"/>
                <c:pt idx="0">
                  <c:v>33353</c:v>
                </c:pt>
                <c:pt idx="1">
                  <c:v>21692</c:v>
                </c:pt>
              </c:numCache>
            </c:numRef>
          </c:val>
          <c:extLst>
            <c:ext xmlns:c16="http://schemas.microsoft.com/office/drawing/2014/chart" uri="{C3380CC4-5D6E-409C-BE32-E72D297353CC}">
              <c16:uniqueId val="{00000009-BA60-4511-BC88-D7223C99FE6D}"/>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Report Proxy Cards</a:t>
            </a:r>
            <a:endParaRPr lang="en-US"/>
          </a:p>
        </c:rich>
      </c:tx>
      <c:layout>
        <c:manualLayout>
          <c:xMode val="edge"/>
          <c:yMode val="edge"/>
          <c:x val="0.31180395631523122"/>
          <c:y val="4.46882145530066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'NeT Roadmap'!$B$54</c:f>
              <c:strCache>
                <c:ptCount val="1"/>
                <c:pt idx="0">
                  <c:v>Program Reports</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A040-48C2-A384-6BC1631D5F1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A040-48C2-A384-6BC1631D5F1C}"/>
              </c:ext>
            </c:extLst>
          </c:dPt>
          <c:dLbls>
            <c:dLbl>
              <c:idx val="0"/>
              <c:layout>
                <c:manualLayout>
                  <c:x val="-7.2286355284557707E-2"/>
                  <c:y val="0.1520656705032839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A040-48C2-A384-6BC1631D5F1C}"/>
                </c:ext>
              </c:extLst>
            </c:dLbl>
            <c:dLbl>
              <c:idx val="1"/>
              <c:layout>
                <c:manualLayout>
                  <c:x val="9.8815943751356106E-2"/>
                  <c:y val="-0.1071225287601039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A040-48C2-A384-6BC1631D5F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Roadmap'!$C$52:$D$52</c:f>
              <c:strCache>
                <c:ptCount val="2"/>
                <c:pt idx="0">
                  <c:v>Number of NeT Proxy Cards - NeT Application Deployed</c:v>
                </c:pt>
                <c:pt idx="1">
                  <c:v>Number of NeT Proxy Cards - NeT Application Not Deployed</c:v>
                </c:pt>
              </c:strCache>
            </c:strRef>
          </c:cat>
          <c:val>
            <c:numRef>
              <c:f>'NeT Roadmap'!$C$54:$D$54</c:f>
              <c:numCache>
                <c:formatCode>#,##0</c:formatCode>
                <c:ptCount val="2"/>
                <c:pt idx="0">
                  <c:v>28</c:v>
                </c:pt>
                <c:pt idx="1">
                  <c:v>37</c:v>
                </c:pt>
              </c:numCache>
            </c:numRef>
          </c:val>
          <c:extLst>
            <c:ext xmlns:c16="http://schemas.microsoft.com/office/drawing/2014/chart" uri="{C3380CC4-5D6E-409C-BE32-E72D297353CC}">
              <c16:uniqueId val="{00000004-A040-48C2-A384-6BC1631D5F1C}"/>
            </c:ext>
          </c:extLst>
        </c:ser>
        <c:ser>
          <c:idx val="0"/>
          <c:order val="1"/>
          <c:tx>
            <c:strRef>
              <c:f>'NeT Roadmap'!$B$53</c:f>
              <c:strCache>
                <c:ptCount val="1"/>
                <c:pt idx="0">
                  <c:v>General Permits</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A040-48C2-A384-6BC1631D5F1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A040-48C2-A384-6BC1631D5F1C}"/>
              </c:ext>
            </c:extLst>
          </c:dPt>
          <c:dLbls>
            <c:dLbl>
              <c:idx val="0"/>
              <c:layout>
                <c:manualLayout>
                  <c:x val="0.13936913503420043"/>
                  <c:y val="-3.9745003524053774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040-48C2-A384-6BC1631D5F1C}"/>
                </c:ext>
              </c:extLst>
            </c:dLbl>
            <c:dLbl>
              <c:idx val="1"/>
              <c:layout>
                <c:manualLayout>
                  <c:x val="-0.19421941803251849"/>
                  <c:y val="2.104152531196023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040-48C2-A384-6BC1631D5F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Roadmap'!$C$52:$D$52</c:f>
              <c:strCache>
                <c:ptCount val="2"/>
                <c:pt idx="0">
                  <c:v>Number of NeT Proxy Cards - NeT Application Deployed</c:v>
                </c:pt>
                <c:pt idx="1">
                  <c:v>Number of NeT Proxy Cards - NeT Application Not Deployed</c:v>
                </c:pt>
              </c:strCache>
            </c:strRef>
          </c:cat>
          <c:val>
            <c:numRef>
              <c:f>'NeT Roadmap'!$C$53:$D$53</c:f>
              <c:numCache>
                <c:formatCode>#,##0</c:formatCode>
                <c:ptCount val="2"/>
                <c:pt idx="0">
                  <c:v>25</c:v>
                </c:pt>
                <c:pt idx="1">
                  <c:v>66</c:v>
                </c:pt>
              </c:numCache>
            </c:numRef>
          </c:val>
          <c:extLst>
            <c:ext xmlns:c16="http://schemas.microsoft.com/office/drawing/2014/chart" uri="{C3380CC4-5D6E-409C-BE32-E72D297353CC}">
              <c16:uniqueId val="{00000009-A040-48C2-A384-6BC1631D5F1C}"/>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9.0735525096191372E-2"/>
          <c:y val="0.85066581600893831"/>
          <c:w val="0.81852875111639634"/>
          <c:h val="0.108922638539806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Program Services</a:t>
            </a:r>
            <a:endParaRPr lang="en-US"/>
          </a:p>
        </c:rich>
      </c:tx>
      <c:layout>
        <c:manualLayout>
          <c:xMode val="edge"/>
          <c:yMode val="edge"/>
          <c:x val="0.31180395631523122"/>
          <c:y val="4.46882145530066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'NeT Roadmap'!$B$58</c:f>
              <c:strCache>
                <c:ptCount val="1"/>
                <c:pt idx="0">
                  <c:v>CDX Program Service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1C01-4BAC-B43D-0A969B8D558D}"/>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1C01-4BAC-B43D-0A969B8D558D}"/>
              </c:ext>
            </c:extLst>
          </c:dPt>
          <c:dLbls>
            <c:dLbl>
              <c:idx val="0"/>
              <c:layout>
                <c:manualLayout>
                  <c:x val="-0.2489878288947189"/>
                  <c:y val="7.052063195142495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1C01-4BAC-B43D-0A969B8D558D}"/>
                </c:ext>
              </c:extLst>
            </c:dLbl>
            <c:dLbl>
              <c:idx val="1"/>
              <c:layout>
                <c:manualLayout>
                  <c:x val="0.2426944041546584"/>
                  <c:y val="-5.7836409313858771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1C01-4BAC-B43D-0A969B8D55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Roadmap'!$C$57:$D$57</c:f>
              <c:strCache>
                <c:ptCount val="2"/>
                <c:pt idx="0">
                  <c:v>CDX Program Service - Deployed</c:v>
                </c:pt>
                <c:pt idx="1">
                  <c:v>CDX Program Service - 
Not Deployed</c:v>
                </c:pt>
              </c:strCache>
            </c:strRef>
          </c:cat>
          <c:val>
            <c:numRef>
              <c:f>'NeT Roadmap'!$C$58:$D$58</c:f>
              <c:numCache>
                <c:formatCode>#,##0</c:formatCode>
                <c:ptCount val="2"/>
                <c:pt idx="0">
                  <c:v>11</c:v>
                </c:pt>
                <c:pt idx="1">
                  <c:v>3</c:v>
                </c:pt>
              </c:numCache>
            </c:numRef>
          </c:val>
          <c:extLst>
            <c:ext xmlns:c16="http://schemas.microsoft.com/office/drawing/2014/chart" uri="{C3380CC4-5D6E-409C-BE32-E72D297353CC}">
              <c16:uniqueId val="{00000004-1C01-4BAC-B43D-0A969B8D558D}"/>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9.0735525096191372E-2"/>
          <c:y val="0.85066581600893831"/>
          <c:w val="0.81852875111639634"/>
          <c:h val="0.108922638539806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View'!$D$72</c:f>
              <c:strCache>
                <c:ptCount val="1"/>
                <c:pt idx="0">
                  <c:v>Number of NeT General Permits (State)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59-4CB4-8313-60F1CCFCC3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59-4CB4-8313-60F1CCFCC3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59-4CB4-8313-60F1CCFCC35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159-4CB4-8313-60F1CCFCC35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159-4CB4-8313-60F1CCFCC35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159-4CB4-8313-60F1CCFCC35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159-4CB4-8313-60F1CCFCC35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159-4CB4-8313-60F1CCFCC35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159-4CB4-8313-60F1CCFCC35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159-4CB4-8313-60F1CCFCC35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159-4CB4-8313-60F1CCFCC35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F8-41D0-B6C1-3F48F497F9AF}"/>
              </c:ext>
            </c:extLst>
          </c:dPt>
          <c:dPt>
            <c:idx val="12"/>
            <c:bubble3D val="0"/>
            <c:spPr>
              <a:solidFill>
                <a:schemeClr val="accent1">
                  <a:lumMod val="80000"/>
                  <a:lumOff val="20000"/>
                </a:schemeClr>
              </a:solidFill>
              <a:ln w="19050">
                <a:solidFill>
                  <a:schemeClr val="lt1"/>
                </a:solidFill>
              </a:ln>
              <a:effectLst/>
            </c:spPr>
          </c:dPt>
          <c:cat>
            <c:strRef>
              <c:f>'State &amp; Regional NeT GP View'!$C$73:$C$85</c:f>
              <c:strCache>
                <c:ptCount val="13"/>
                <c:pt idx="0">
                  <c:v>Connecticut</c:v>
                </c:pt>
                <c:pt idx="1">
                  <c:v>Delaware</c:v>
                </c:pt>
                <c:pt idx="2">
                  <c:v>Idaho</c:v>
                </c:pt>
                <c:pt idx="3">
                  <c:v>Illinois</c:v>
                </c:pt>
                <c:pt idx="4">
                  <c:v>Maine</c:v>
                </c:pt>
                <c:pt idx="5">
                  <c:v>Maryland</c:v>
                </c:pt>
                <c:pt idx="6">
                  <c:v>Mississippi</c:v>
                </c:pt>
                <c:pt idx="7">
                  <c:v>Nebraska</c:v>
                </c:pt>
                <c:pt idx="8">
                  <c:v>Rhode Island</c:v>
                </c:pt>
                <c:pt idx="9">
                  <c:v>South Dakota</c:v>
                </c:pt>
                <c:pt idx="10">
                  <c:v>Texas</c:v>
                </c:pt>
                <c:pt idx="11">
                  <c:v>Utah</c:v>
                </c:pt>
                <c:pt idx="12">
                  <c:v>Virgin Islands</c:v>
                </c:pt>
              </c:strCache>
            </c:strRef>
          </c:cat>
          <c:val>
            <c:numRef>
              <c:f>'State &amp; Regional NeT GP View'!$D$73:$D$85</c:f>
              <c:numCache>
                <c:formatCode>#,##0</c:formatCode>
                <c:ptCount val="13"/>
                <c:pt idx="0">
                  <c:v>8</c:v>
                </c:pt>
                <c:pt idx="1">
                  <c:v>2</c:v>
                </c:pt>
                <c:pt idx="2">
                  <c:v>4</c:v>
                </c:pt>
                <c:pt idx="3">
                  <c:v>13</c:v>
                </c:pt>
                <c:pt idx="4">
                  <c:v>8</c:v>
                </c:pt>
                <c:pt idx="5">
                  <c:v>8</c:v>
                </c:pt>
                <c:pt idx="6">
                  <c:v>10</c:v>
                </c:pt>
                <c:pt idx="7">
                  <c:v>11</c:v>
                </c:pt>
                <c:pt idx="8">
                  <c:v>5</c:v>
                </c:pt>
                <c:pt idx="9">
                  <c:v>9</c:v>
                </c:pt>
                <c:pt idx="10">
                  <c:v>1</c:v>
                </c:pt>
                <c:pt idx="11">
                  <c:v>11</c:v>
                </c:pt>
                <c:pt idx="12">
                  <c:v>4</c:v>
                </c:pt>
              </c:numCache>
            </c:numRef>
          </c:val>
          <c:extLst>
            <c:ext xmlns:c16="http://schemas.microsoft.com/office/drawing/2014/chart" uri="{C3380CC4-5D6E-409C-BE32-E72D297353CC}">
              <c16:uniqueId val="{00000000-8FF3-4C6A-8D0E-2217AA26405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of General Permit Covered Facilities Using NeT (State)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View'!$D$91</c:f>
              <c:strCache>
                <c:ptCount val="1"/>
                <c:pt idx="0">
                  <c:v>Estimated Number of General Permit Covered Facilities (State)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A1C-46D3-A9B9-5CE018EC5A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A1C-46D3-A9B9-5CE018EC5A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A1C-46D3-A9B9-5CE018EC5A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A1C-46D3-A9B9-5CE018EC5A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A1C-46D3-A9B9-5CE018EC5A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A1C-46D3-A9B9-5CE018EC5A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A1C-46D3-A9B9-5CE018EC5A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A1C-46D3-A9B9-5CE018EC5A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A1C-46D3-A9B9-5CE018EC5A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A1C-46D3-A9B9-5CE018EC5A2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A1C-46D3-A9B9-5CE018EC5A2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2ED-419A-AE6C-AC00BFA73F75}"/>
              </c:ext>
            </c:extLst>
          </c:dPt>
          <c:dPt>
            <c:idx val="12"/>
            <c:bubble3D val="0"/>
            <c:spPr>
              <a:solidFill>
                <a:schemeClr val="accent1">
                  <a:lumMod val="80000"/>
                  <a:lumOff val="20000"/>
                </a:schemeClr>
              </a:solidFill>
              <a:ln w="19050">
                <a:solidFill>
                  <a:schemeClr val="lt1"/>
                </a:solidFill>
              </a:ln>
              <a:effectLst/>
            </c:spPr>
          </c:dPt>
          <c:cat>
            <c:strRef>
              <c:f>'State &amp; Regional NeT GP View'!$C$92:$C$104</c:f>
              <c:strCache>
                <c:ptCount val="13"/>
                <c:pt idx="0">
                  <c:v>Connecticut</c:v>
                </c:pt>
                <c:pt idx="1">
                  <c:v>Delaware</c:v>
                </c:pt>
                <c:pt idx="2">
                  <c:v>Idaho</c:v>
                </c:pt>
                <c:pt idx="3">
                  <c:v>Illinois</c:v>
                </c:pt>
                <c:pt idx="4">
                  <c:v>Maine</c:v>
                </c:pt>
                <c:pt idx="5">
                  <c:v>Maryland</c:v>
                </c:pt>
                <c:pt idx="6">
                  <c:v>Mississippi</c:v>
                </c:pt>
                <c:pt idx="7">
                  <c:v>Nebraska</c:v>
                </c:pt>
                <c:pt idx="8">
                  <c:v>Rhode Island</c:v>
                </c:pt>
                <c:pt idx="9">
                  <c:v>South Dakota</c:v>
                </c:pt>
                <c:pt idx="10">
                  <c:v>Texas</c:v>
                </c:pt>
                <c:pt idx="11">
                  <c:v>Utah</c:v>
                </c:pt>
                <c:pt idx="12">
                  <c:v>Virgin Islands</c:v>
                </c:pt>
              </c:strCache>
            </c:strRef>
          </c:cat>
          <c:val>
            <c:numRef>
              <c:f>'State &amp; Regional NeT GP View'!$D$92:$D$104</c:f>
              <c:numCache>
                <c:formatCode>#,##0</c:formatCode>
                <c:ptCount val="13"/>
                <c:pt idx="0">
                  <c:v>2712</c:v>
                </c:pt>
                <c:pt idx="1">
                  <c:v>390</c:v>
                </c:pt>
                <c:pt idx="2">
                  <c:v>200</c:v>
                </c:pt>
                <c:pt idx="3">
                  <c:v>5488</c:v>
                </c:pt>
                <c:pt idx="4">
                  <c:v>63</c:v>
                </c:pt>
                <c:pt idx="5">
                  <c:v>4364</c:v>
                </c:pt>
                <c:pt idx="6">
                  <c:v>4123</c:v>
                </c:pt>
                <c:pt idx="7">
                  <c:v>520</c:v>
                </c:pt>
                <c:pt idx="8">
                  <c:v>283</c:v>
                </c:pt>
                <c:pt idx="9">
                  <c:v>3230</c:v>
                </c:pt>
                <c:pt idx="10">
                  <c:v>514</c:v>
                </c:pt>
                <c:pt idx="11">
                  <c:v>4558</c:v>
                </c:pt>
                <c:pt idx="12">
                  <c:v>147</c:v>
                </c:pt>
              </c:numCache>
            </c:numRef>
          </c:val>
          <c:extLst>
            <c:ext xmlns:c16="http://schemas.microsoft.com/office/drawing/2014/chart" uri="{C3380CC4-5D6E-409C-BE32-E72D297353CC}">
              <c16:uniqueId val="{00000000-5E63-43DC-9C65-4A4C1A7D117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NeT General Permits (State)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View'!$E$72</c:f>
              <c:strCache>
                <c:ptCount val="1"/>
                <c:pt idx="0">
                  <c:v>Number of NeT General Permits (State)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C9-4FF3-863C-5BA1A19E61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C9-4FF3-863C-5BA1A19E61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C9-4FF3-863C-5BA1A19E61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1C9-4FF3-863C-5BA1A19E61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1C9-4FF3-863C-5BA1A19E615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1C9-4FF3-863C-5BA1A19E615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1C9-4FF3-863C-5BA1A19E615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1C9-4FF3-863C-5BA1A19E615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1C9-4FF3-863C-5BA1A19E615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1C9-4FF3-863C-5BA1A19E615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1C9-4FF3-863C-5BA1A19E615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A12-40F6-BD91-6B340443EBA3}"/>
              </c:ext>
            </c:extLst>
          </c:dPt>
          <c:dPt>
            <c:idx val="12"/>
            <c:bubble3D val="0"/>
            <c:spPr>
              <a:solidFill>
                <a:schemeClr val="accent1">
                  <a:lumMod val="80000"/>
                  <a:lumOff val="20000"/>
                </a:schemeClr>
              </a:solidFill>
              <a:ln w="19050">
                <a:solidFill>
                  <a:schemeClr val="lt1"/>
                </a:solidFill>
              </a:ln>
              <a:effectLst/>
            </c:spPr>
          </c:dPt>
          <c:cat>
            <c:strRef>
              <c:f>'State &amp; Regional NeT GP View'!$C$73:$C$85</c:f>
              <c:strCache>
                <c:ptCount val="13"/>
                <c:pt idx="0">
                  <c:v>Connecticut</c:v>
                </c:pt>
                <c:pt idx="1">
                  <c:v>Delaware</c:v>
                </c:pt>
                <c:pt idx="2">
                  <c:v>Idaho</c:v>
                </c:pt>
                <c:pt idx="3">
                  <c:v>Illinois</c:v>
                </c:pt>
                <c:pt idx="4">
                  <c:v>Maine</c:v>
                </c:pt>
                <c:pt idx="5">
                  <c:v>Maryland</c:v>
                </c:pt>
                <c:pt idx="6">
                  <c:v>Mississippi</c:v>
                </c:pt>
                <c:pt idx="7">
                  <c:v>Nebraska</c:v>
                </c:pt>
                <c:pt idx="8">
                  <c:v>Rhode Island</c:v>
                </c:pt>
                <c:pt idx="9">
                  <c:v>South Dakota</c:v>
                </c:pt>
                <c:pt idx="10">
                  <c:v>Texas</c:v>
                </c:pt>
                <c:pt idx="11">
                  <c:v>Utah</c:v>
                </c:pt>
                <c:pt idx="12">
                  <c:v>Virgin Islands</c:v>
                </c:pt>
              </c:strCache>
            </c:strRef>
          </c:cat>
          <c:val>
            <c:numRef>
              <c:f>'State &amp; Regional NeT GP View'!$E$73:$E$85</c:f>
              <c:numCache>
                <c:formatCode>#,##0</c:formatCode>
                <c:ptCount val="13"/>
                <c:pt idx="0">
                  <c:v>0</c:v>
                </c:pt>
                <c:pt idx="1">
                  <c:v>1</c:v>
                </c:pt>
                <c:pt idx="2">
                  <c:v>1</c:v>
                </c:pt>
                <c:pt idx="3">
                  <c:v>2</c:v>
                </c:pt>
                <c:pt idx="4">
                  <c:v>0</c:v>
                </c:pt>
                <c:pt idx="5">
                  <c:v>0</c:v>
                </c:pt>
                <c:pt idx="6">
                  <c:v>0</c:v>
                </c:pt>
                <c:pt idx="7">
                  <c:v>1</c:v>
                </c:pt>
                <c:pt idx="8">
                  <c:v>1</c:v>
                </c:pt>
                <c:pt idx="9">
                  <c:v>2</c:v>
                </c:pt>
                <c:pt idx="10">
                  <c:v>1</c:v>
                </c:pt>
                <c:pt idx="11">
                  <c:v>7</c:v>
                </c:pt>
                <c:pt idx="12">
                  <c:v>0</c:v>
                </c:pt>
              </c:numCache>
            </c:numRef>
          </c:val>
          <c:extLst>
            <c:ext xmlns:c16="http://schemas.microsoft.com/office/drawing/2014/chart" uri="{C3380CC4-5D6E-409C-BE32-E72D297353CC}">
              <c16:uniqueId val="{00000016-C1C9-4FF3-863C-5BA1A19E615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of General Permit Covered Facilities Using NeT (State)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View'!$E$91</c:f>
              <c:strCache>
                <c:ptCount val="1"/>
                <c:pt idx="0">
                  <c:v>Estimated Number of General Permit Covered Facilities (State)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9CA-422F-BB8B-D79A1E78F0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9CA-422F-BB8B-D79A1E78F03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9CA-422F-BB8B-D79A1E78F03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9CA-422F-BB8B-D79A1E78F03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9CA-422F-BB8B-D79A1E78F03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9CA-422F-BB8B-D79A1E78F03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9CA-422F-BB8B-D79A1E78F03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9CA-422F-BB8B-D79A1E78F03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9CA-422F-BB8B-D79A1E78F03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9CA-422F-BB8B-D79A1E78F03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9CA-422F-BB8B-D79A1E78F03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2F4-491A-90BC-E86E5C6322D6}"/>
              </c:ext>
            </c:extLst>
          </c:dPt>
          <c:dPt>
            <c:idx val="12"/>
            <c:bubble3D val="0"/>
            <c:spPr>
              <a:solidFill>
                <a:schemeClr val="accent1">
                  <a:lumMod val="80000"/>
                  <a:lumOff val="20000"/>
                </a:schemeClr>
              </a:solidFill>
              <a:ln w="19050">
                <a:solidFill>
                  <a:schemeClr val="lt1"/>
                </a:solidFill>
              </a:ln>
              <a:effectLst/>
            </c:spPr>
          </c:dPt>
          <c:cat>
            <c:strRef>
              <c:f>'State &amp; Regional NeT GP View'!$C$92:$C$104</c:f>
              <c:strCache>
                <c:ptCount val="13"/>
                <c:pt idx="0">
                  <c:v>Connecticut</c:v>
                </c:pt>
                <c:pt idx="1">
                  <c:v>Delaware</c:v>
                </c:pt>
                <c:pt idx="2">
                  <c:v>Idaho</c:v>
                </c:pt>
                <c:pt idx="3">
                  <c:v>Illinois</c:v>
                </c:pt>
                <c:pt idx="4">
                  <c:v>Maine</c:v>
                </c:pt>
                <c:pt idx="5">
                  <c:v>Maryland</c:v>
                </c:pt>
                <c:pt idx="6">
                  <c:v>Mississippi</c:v>
                </c:pt>
                <c:pt idx="7">
                  <c:v>Nebraska</c:v>
                </c:pt>
                <c:pt idx="8">
                  <c:v>Rhode Island</c:v>
                </c:pt>
                <c:pt idx="9">
                  <c:v>South Dakota</c:v>
                </c:pt>
                <c:pt idx="10">
                  <c:v>Texas</c:v>
                </c:pt>
                <c:pt idx="11">
                  <c:v>Utah</c:v>
                </c:pt>
                <c:pt idx="12">
                  <c:v>Virgin Islands</c:v>
                </c:pt>
              </c:strCache>
            </c:strRef>
          </c:cat>
          <c:val>
            <c:numRef>
              <c:f>'State &amp; Regional NeT GP View'!$E$92:$E$104</c:f>
              <c:numCache>
                <c:formatCode>#,##0</c:formatCode>
                <c:ptCount val="13"/>
                <c:pt idx="0">
                  <c:v>0</c:v>
                </c:pt>
                <c:pt idx="1">
                  <c:v>3</c:v>
                </c:pt>
                <c:pt idx="2">
                  <c:v>10</c:v>
                </c:pt>
                <c:pt idx="3">
                  <c:v>1499</c:v>
                </c:pt>
                <c:pt idx="4">
                  <c:v>0</c:v>
                </c:pt>
                <c:pt idx="5">
                  <c:v>0</c:v>
                </c:pt>
                <c:pt idx="6">
                  <c:v>0</c:v>
                </c:pt>
                <c:pt idx="7">
                  <c:v>14</c:v>
                </c:pt>
                <c:pt idx="8">
                  <c:v>171</c:v>
                </c:pt>
                <c:pt idx="9">
                  <c:v>2701</c:v>
                </c:pt>
                <c:pt idx="10">
                  <c:v>514</c:v>
                </c:pt>
                <c:pt idx="11">
                  <c:v>4495</c:v>
                </c:pt>
                <c:pt idx="12">
                  <c:v>0</c:v>
                </c:pt>
              </c:numCache>
            </c:numRef>
          </c:val>
          <c:extLst>
            <c:ext xmlns:c16="http://schemas.microsoft.com/office/drawing/2014/chart" uri="{C3380CC4-5D6E-409C-BE32-E72D297353CC}">
              <c16:uniqueId val="{00000016-E9CA-422F-BB8B-D79A1E78F03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General Permits (State)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GP View'!$E$72</c:f>
              <c:strCache>
                <c:ptCount val="1"/>
                <c:pt idx="0">
                  <c:v>Number of NeT General Permits (State) - Deployed</c:v>
                </c:pt>
              </c:strCache>
            </c:strRef>
          </c:tx>
          <c:spPr>
            <a:solidFill>
              <a:schemeClr val="accent2"/>
            </a:solidFill>
            <a:ln>
              <a:noFill/>
            </a:ln>
            <a:effectLst/>
          </c:spPr>
          <c:invertIfNegative val="0"/>
          <c:cat>
            <c:strRef>
              <c:f>'State &amp; Regional NeT GP View'!$C$73:$C$85</c:f>
              <c:strCache>
                <c:ptCount val="13"/>
                <c:pt idx="0">
                  <c:v>Connecticut</c:v>
                </c:pt>
                <c:pt idx="1">
                  <c:v>Delaware</c:v>
                </c:pt>
                <c:pt idx="2">
                  <c:v>Idaho</c:v>
                </c:pt>
                <c:pt idx="3">
                  <c:v>Illinois</c:v>
                </c:pt>
                <c:pt idx="4">
                  <c:v>Maine</c:v>
                </c:pt>
                <c:pt idx="5">
                  <c:v>Maryland</c:v>
                </c:pt>
                <c:pt idx="6">
                  <c:v>Mississippi</c:v>
                </c:pt>
                <c:pt idx="7">
                  <c:v>Nebraska</c:v>
                </c:pt>
                <c:pt idx="8">
                  <c:v>Rhode Island</c:v>
                </c:pt>
                <c:pt idx="9">
                  <c:v>South Dakota</c:v>
                </c:pt>
                <c:pt idx="10">
                  <c:v>Texas</c:v>
                </c:pt>
                <c:pt idx="11">
                  <c:v>Utah</c:v>
                </c:pt>
                <c:pt idx="12">
                  <c:v>Virgin Islands</c:v>
                </c:pt>
              </c:strCache>
            </c:strRef>
          </c:cat>
          <c:val>
            <c:numRef>
              <c:f>'State &amp; Regional NeT GP View'!$E$73:$E$85</c:f>
              <c:numCache>
                <c:formatCode>#,##0</c:formatCode>
                <c:ptCount val="13"/>
                <c:pt idx="0">
                  <c:v>0</c:v>
                </c:pt>
                <c:pt idx="1">
                  <c:v>1</c:v>
                </c:pt>
                <c:pt idx="2">
                  <c:v>1</c:v>
                </c:pt>
                <c:pt idx="3">
                  <c:v>2</c:v>
                </c:pt>
                <c:pt idx="4">
                  <c:v>0</c:v>
                </c:pt>
                <c:pt idx="5">
                  <c:v>0</c:v>
                </c:pt>
                <c:pt idx="6">
                  <c:v>0</c:v>
                </c:pt>
                <c:pt idx="7">
                  <c:v>1</c:v>
                </c:pt>
                <c:pt idx="8">
                  <c:v>1</c:v>
                </c:pt>
                <c:pt idx="9">
                  <c:v>2</c:v>
                </c:pt>
                <c:pt idx="10">
                  <c:v>1</c:v>
                </c:pt>
                <c:pt idx="11">
                  <c:v>7</c:v>
                </c:pt>
                <c:pt idx="12">
                  <c:v>0</c:v>
                </c:pt>
              </c:numCache>
            </c:numRef>
          </c:val>
          <c:extLst>
            <c:ext xmlns:c16="http://schemas.microsoft.com/office/drawing/2014/chart" uri="{C3380CC4-5D6E-409C-BE32-E72D297353CC}">
              <c16:uniqueId val="{00000001-3B1B-41DB-8222-226EE3881326}"/>
            </c:ext>
          </c:extLst>
        </c:ser>
        <c:ser>
          <c:idx val="0"/>
          <c:order val="1"/>
          <c:tx>
            <c:strRef>
              <c:f>'State &amp; Regional NeT GP View'!$F$72</c:f>
              <c:strCache>
                <c:ptCount val="1"/>
                <c:pt idx="0">
                  <c:v>Number of NeT General Permits (State) - NoT Deployed</c:v>
                </c:pt>
              </c:strCache>
            </c:strRef>
          </c:tx>
          <c:spPr>
            <a:solidFill>
              <a:schemeClr val="accent1"/>
            </a:solidFill>
            <a:ln>
              <a:noFill/>
            </a:ln>
            <a:effectLst/>
          </c:spPr>
          <c:invertIfNegative val="0"/>
          <c:cat>
            <c:strRef>
              <c:f>'State &amp; Regional NeT GP View'!$C$73:$C$85</c:f>
              <c:strCache>
                <c:ptCount val="13"/>
                <c:pt idx="0">
                  <c:v>Connecticut</c:v>
                </c:pt>
                <c:pt idx="1">
                  <c:v>Delaware</c:v>
                </c:pt>
                <c:pt idx="2">
                  <c:v>Idaho</c:v>
                </c:pt>
                <c:pt idx="3">
                  <c:v>Illinois</c:v>
                </c:pt>
                <c:pt idx="4">
                  <c:v>Maine</c:v>
                </c:pt>
                <c:pt idx="5">
                  <c:v>Maryland</c:v>
                </c:pt>
                <c:pt idx="6">
                  <c:v>Mississippi</c:v>
                </c:pt>
                <c:pt idx="7">
                  <c:v>Nebraska</c:v>
                </c:pt>
                <c:pt idx="8">
                  <c:v>Rhode Island</c:v>
                </c:pt>
                <c:pt idx="9">
                  <c:v>South Dakota</c:v>
                </c:pt>
                <c:pt idx="10">
                  <c:v>Texas</c:v>
                </c:pt>
                <c:pt idx="11">
                  <c:v>Utah</c:v>
                </c:pt>
                <c:pt idx="12">
                  <c:v>Virgin Islands</c:v>
                </c:pt>
              </c:strCache>
            </c:strRef>
          </c:cat>
          <c:val>
            <c:numRef>
              <c:f>'State &amp; Regional NeT GP View'!$F$73:$F$85</c:f>
              <c:numCache>
                <c:formatCode>#,##0</c:formatCode>
                <c:ptCount val="13"/>
                <c:pt idx="0">
                  <c:v>8</c:v>
                </c:pt>
                <c:pt idx="1">
                  <c:v>1</c:v>
                </c:pt>
                <c:pt idx="2">
                  <c:v>3</c:v>
                </c:pt>
                <c:pt idx="3">
                  <c:v>11</c:v>
                </c:pt>
                <c:pt idx="4">
                  <c:v>8</c:v>
                </c:pt>
                <c:pt idx="5">
                  <c:v>8</c:v>
                </c:pt>
                <c:pt idx="6">
                  <c:v>10</c:v>
                </c:pt>
                <c:pt idx="7">
                  <c:v>10</c:v>
                </c:pt>
                <c:pt idx="8">
                  <c:v>4</c:v>
                </c:pt>
                <c:pt idx="9">
                  <c:v>7</c:v>
                </c:pt>
                <c:pt idx="10">
                  <c:v>0</c:v>
                </c:pt>
                <c:pt idx="11">
                  <c:v>4</c:v>
                </c:pt>
                <c:pt idx="12">
                  <c:v>4</c:v>
                </c:pt>
              </c:numCache>
            </c:numRef>
          </c:val>
          <c:extLst>
            <c:ext xmlns:c16="http://schemas.microsoft.com/office/drawing/2014/chart" uri="{C3380CC4-5D6E-409C-BE32-E72D297353CC}">
              <c16:uniqueId val="{00000000-3B1B-41DB-8222-226EE3881326}"/>
            </c:ext>
          </c:extLst>
        </c:ser>
        <c:dLbls>
          <c:showLegendKey val="0"/>
          <c:showVal val="0"/>
          <c:showCatName val="0"/>
          <c:showSerName val="0"/>
          <c:showPercent val="0"/>
          <c:showBubbleSize val="0"/>
        </c:dLbls>
        <c:gapWidth val="150"/>
        <c:overlap val="100"/>
        <c:axId val="452211048"/>
        <c:axId val="452207768"/>
      </c:barChart>
      <c:catAx>
        <c:axId val="45221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207768"/>
        <c:crosses val="autoZero"/>
        <c:auto val="1"/>
        <c:lblAlgn val="ctr"/>
        <c:lblOffset val="100"/>
        <c:noMultiLvlLbl val="0"/>
      </c:catAx>
      <c:valAx>
        <c:axId val="452207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211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NeT</a:t>
            </a:r>
            <a:r>
              <a:rPr lang="en-US" baseline="0"/>
              <a:t> General Permit Filers (State)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GP View'!$E$91</c:f>
              <c:strCache>
                <c:ptCount val="1"/>
                <c:pt idx="0">
                  <c:v>Estimated Number of General Permit Covered Facilities (State) - Deployed</c:v>
                </c:pt>
              </c:strCache>
            </c:strRef>
          </c:tx>
          <c:spPr>
            <a:solidFill>
              <a:schemeClr val="accent2"/>
            </a:solidFill>
            <a:ln>
              <a:noFill/>
            </a:ln>
            <a:effectLst/>
          </c:spPr>
          <c:invertIfNegative val="0"/>
          <c:cat>
            <c:strRef>
              <c:f>'State &amp; Regional NeT GP View'!$C$92:$C$104</c:f>
              <c:strCache>
                <c:ptCount val="13"/>
                <c:pt idx="0">
                  <c:v>Connecticut</c:v>
                </c:pt>
                <c:pt idx="1">
                  <c:v>Delaware</c:v>
                </c:pt>
                <c:pt idx="2">
                  <c:v>Idaho</c:v>
                </c:pt>
                <c:pt idx="3">
                  <c:v>Illinois</c:v>
                </c:pt>
                <c:pt idx="4">
                  <c:v>Maine</c:v>
                </c:pt>
                <c:pt idx="5">
                  <c:v>Maryland</c:v>
                </c:pt>
                <c:pt idx="6">
                  <c:v>Mississippi</c:v>
                </c:pt>
                <c:pt idx="7">
                  <c:v>Nebraska</c:v>
                </c:pt>
                <c:pt idx="8">
                  <c:v>Rhode Island</c:v>
                </c:pt>
                <c:pt idx="9">
                  <c:v>South Dakota</c:v>
                </c:pt>
                <c:pt idx="10">
                  <c:v>Texas</c:v>
                </c:pt>
                <c:pt idx="11">
                  <c:v>Utah</c:v>
                </c:pt>
                <c:pt idx="12">
                  <c:v>Virgin Islands</c:v>
                </c:pt>
              </c:strCache>
            </c:strRef>
          </c:cat>
          <c:val>
            <c:numRef>
              <c:f>'State &amp; Regional NeT GP View'!$E$92:$E$104</c:f>
              <c:numCache>
                <c:formatCode>#,##0</c:formatCode>
                <c:ptCount val="13"/>
                <c:pt idx="0">
                  <c:v>0</c:v>
                </c:pt>
                <c:pt idx="1">
                  <c:v>3</c:v>
                </c:pt>
                <c:pt idx="2">
                  <c:v>10</c:v>
                </c:pt>
                <c:pt idx="3">
                  <c:v>1499</c:v>
                </c:pt>
                <c:pt idx="4">
                  <c:v>0</c:v>
                </c:pt>
                <c:pt idx="5">
                  <c:v>0</c:v>
                </c:pt>
                <c:pt idx="6">
                  <c:v>0</c:v>
                </c:pt>
                <c:pt idx="7">
                  <c:v>14</c:v>
                </c:pt>
                <c:pt idx="8">
                  <c:v>171</c:v>
                </c:pt>
                <c:pt idx="9">
                  <c:v>2701</c:v>
                </c:pt>
                <c:pt idx="10">
                  <c:v>514</c:v>
                </c:pt>
                <c:pt idx="11">
                  <c:v>4495</c:v>
                </c:pt>
                <c:pt idx="12">
                  <c:v>0</c:v>
                </c:pt>
              </c:numCache>
            </c:numRef>
          </c:val>
          <c:extLst>
            <c:ext xmlns:c16="http://schemas.microsoft.com/office/drawing/2014/chart" uri="{C3380CC4-5D6E-409C-BE32-E72D297353CC}">
              <c16:uniqueId val="{00000001-9FE5-411A-8685-2EFA16877AE3}"/>
            </c:ext>
          </c:extLst>
        </c:ser>
        <c:ser>
          <c:idx val="0"/>
          <c:order val="1"/>
          <c:tx>
            <c:strRef>
              <c:f>'State &amp; Regional NeT GP View'!$F$91</c:f>
              <c:strCache>
                <c:ptCount val="1"/>
                <c:pt idx="0">
                  <c:v>Estimated Number of General Permit Covered Facilities (State) - Not Deployed</c:v>
                </c:pt>
              </c:strCache>
            </c:strRef>
          </c:tx>
          <c:spPr>
            <a:solidFill>
              <a:schemeClr val="accent1"/>
            </a:solidFill>
            <a:ln>
              <a:noFill/>
            </a:ln>
            <a:effectLst/>
          </c:spPr>
          <c:invertIfNegative val="0"/>
          <c:cat>
            <c:strRef>
              <c:f>'State &amp; Regional NeT GP View'!$C$92:$C$104</c:f>
              <c:strCache>
                <c:ptCount val="13"/>
                <c:pt idx="0">
                  <c:v>Connecticut</c:v>
                </c:pt>
                <c:pt idx="1">
                  <c:v>Delaware</c:v>
                </c:pt>
                <c:pt idx="2">
                  <c:v>Idaho</c:v>
                </c:pt>
                <c:pt idx="3">
                  <c:v>Illinois</c:v>
                </c:pt>
                <c:pt idx="4">
                  <c:v>Maine</c:v>
                </c:pt>
                <c:pt idx="5">
                  <c:v>Maryland</c:v>
                </c:pt>
                <c:pt idx="6">
                  <c:v>Mississippi</c:v>
                </c:pt>
                <c:pt idx="7">
                  <c:v>Nebraska</c:v>
                </c:pt>
                <c:pt idx="8">
                  <c:v>Rhode Island</c:v>
                </c:pt>
                <c:pt idx="9">
                  <c:v>South Dakota</c:v>
                </c:pt>
                <c:pt idx="10">
                  <c:v>Texas</c:v>
                </c:pt>
                <c:pt idx="11">
                  <c:v>Utah</c:v>
                </c:pt>
                <c:pt idx="12">
                  <c:v>Virgin Islands</c:v>
                </c:pt>
              </c:strCache>
            </c:strRef>
          </c:cat>
          <c:val>
            <c:numRef>
              <c:f>'State &amp; Regional NeT GP View'!$F$92:$F$104</c:f>
              <c:numCache>
                <c:formatCode>#,##0</c:formatCode>
                <c:ptCount val="13"/>
                <c:pt idx="0">
                  <c:v>2712</c:v>
                </c:pt>
                <c:pt idx="1">
                  <c:v>387</c:v>
                </c:pt>
                <c:pt idx="2">
                  <c:v>190</c:v>
                </c:pt>
                <c:pt idx="3">
                  <c:v>3989</c:v>
                </c:pt>
                <c:pt idx="4">
                  <c:v>63</c:v>
                </c:pt>
                <c:pt idx="5">
                  <c:v>4364</c:v>
                </c:pt>
                <c:pt idx="6">
                  <c:v>4123</c:v>
                </c:pt>
                <c:pt idx="7">
                  <c:v>506</c:v>
                </c:pt>
                <c:pt idx="8">
                  <c:v>112</c:v>
                </c:pt>
                <c:pt idx="9">
                  <c:v>529</c:v>
                </c:pt>
                <c:pt idx="10">
                  <c:v>0</c:v>
                </c:pt>
                <c:pt idx="11">
                  <c:v>63</c:v>
                </c:pt>
                <c:pt idx="12">
                  <c:v>147</c:v>
                </c:pt>
              </c:numCache>
            </c:numRef>
          </c:val>
          <c:extLst>
            <c:ext xmlns:c16="http://schemas.microsoft.com/office/drawing/2014/chart" uri="{C3380CC4-5D6E-409C-BE32-E72D297353CC}">
              <c16:uniqueId val="{00000000-9FE5-411A-8685-2EFA16877AE3}"/>
            </c:ext>
          </c:extLst>
        </c:ser>
        <c:dLbls>
          <c:showLegendKey val="0"/>
          <c:showVal val="0"/>
          <c:showCatName val="0"/>
          <c:showSerName val="0"/>
          <c:showPercent val="0"/>
          <c:showBubbleSize val="0"/>
        </c:dLbls>
        <c:gapWidth val="150"/>
        <c:overlap val="100"/>
        <c:axId val="567320080"/>
        <c:axId val="567317456"/>
      </c:barChart>
      <c:catAx>
        <c:axId val="56732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317456"/>
        <c:crosses val="autoZero"/>
        <c:auto val="1"/>
        <c:lblAlgn val="ctr"/>
        <c:lblOffset val="100"/>
        <c:noMultiLvlLbl val="0"/>
      </c:catAx>
      <c:valAx>
        <c:axId val="56731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32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EPA-Issued NeT General Pemits (by Issuer)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GP View'!$E$129</c:f>
              <c:strCache>
                <c:ptCount val="1"/>
                <c:pt idx="0">
                  <c:v>Number of NeT General Permits (EPA) - Deployed</c:v>
                </c:pt>
              </c:strCache>
            </c:strRef>
          </c:tx>
          <c:spPr>
            <a:solidFill>
              <a:schemeClr val="accent2"/>
            </a:solidFill>
            <a:ln>
              <a:noFill/>
            </a:ln>
            <a:effectLst/>
          </c:spPr>
          <c:invertIfNegative val="0"/>
          <c:cat>
            <c:strRef>
              <c:f>'State &amp; Regional NeT GP View'!$C$130:$C$140</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View'!$E$130:$E$140</c:f>
              <c:numCache>
                <c:formatCode>#,##0</c:formatCode>
                <c:ptCount val="11"/>
                <c:pt idx="0">
                  <c:v>140</c:v>
                </c:pt>
                <c:pt idx="1">
                  <c:v>8</c:v>
                </c:pt>
                <c:pt idx="2">
                  <c:v>0</c:v>
                </c:pt>
                <c:pt idx="3">
                  <c:v>0</c:v>
                </c:pt>
                <c:pt idx="4">
                  <c:v>1</c:v>
                </c:pt>
                <c:pt idx="5">
                  <c:v>0</c:v>
                </c:pt>
                <c:pt idx="6">
                  <c:v>7</c:v>
                </c:pt>
                <c:pt idx="7">
                  <c:v>0</c:v>
                </c:pt>
                <c:pt idx="8">
                  <c:v>0</c:v>
                </c:pt>
                <c:pt idx="9">
                  <c:v>0</c:v>
                </c:pt>
                <c:pt idx="10">
                  <c:v>3</c:v>
                </c:pt>
              </c:numCache>
            </c:numRef>
          </c:val>
          <c:extLst>
            <c:ext xmlns:c16="http://schemas.microsoft.com/office/drawing/2014/chart" uri="{C3380CC4-5D6E-409C-BE32-E72D297353CC}">
              <c16:uniqueId val="{00000001-51E3-4170-939D-B26580C9F0D8}"/>
            </c:ext>
          </c:extLst>
        </c:ser>
        <c:ser>
          <c:idx val="0"/>
          <c:order val="1"/>
          <c:tx>
            <c:strRef>
              <c:f>'State &amp; Regional NeT GP View'!$F$129</c:f>
              <c:strCache>
                <c:ptCount val="1"/>
                <c:pt idx="0">
                  <c:v>Number of NeT General Permits (EPA) - Not Deployed</c:v>
                </c:pt>
              </c:strCache>
            </c:strRef>
          </c:tx>
          <c:spPr>
            <a:solidFill>
              <a:schemeClr val="accent1"/>
            </a:solidFill>
            <a:ln>
              <a:noFill/>
            </a:ln>
            <a:effectLst/>
          </c:spPr>
          <c:invertIfNegative val="0"/>
          <c:cat>
            <c:strRef>
              <c:f>'State &amp; Regional NeT GP View'!$C$130:$C$140</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View'!$F$130:$F$140</c:f>
              <c:numCache>
                <c:formatCode>#,##0</c:formatCode>
                <c:ptCount val="11"/>
                <c:pt idx="0">
                  <c:v>0</c:v>
                </c:pt>
                <c:pt idx="1">
                  <c:v>16</c:v>
                </c:pt>
                <c:pt idx="2">
                  <c:v>1</c:v>
                </c:pt>
                <c:pt idx="3">
                  <c:v>0</c:v>
                </c:pt>
                <c:pt idx="4">
                  <c:v>0</c:v>
                </c:pt>
                <c:pt idx="5">
                  <c:v>0</c:v>
                </c:pt>
                <c:pt idx="6">
                  <c:v>3</c:v>
                </c:pt>
                <c:pt idx="7">
                  <c:v>0</c:v>
                </c:pt>
                <c:pt idx="8">
                  <c:v>12</c:v>
                </c:pt>
                <c:pt idx="9">
                  <c:v>3</c:v>
                </c:pt>
                <c:pt idx="10">
                  <c:v>3</c:v>
                </c:pt>
              </c:numCache>
            </c:numRef>
          </c:val>
          <c:extLst>
            <c:ext xmlns:c16="http://schemas.microsoft.com/office/drawing/2014/chart" uri="{C3380CC4-5D6E-409C-BE32-E72D297353CC}">
              <c16:uniqueId val="{00000000-51E3-4170-939D-B26580C9F0D8}"/>
            </c:ext>
          </c:extLst>
        </c:ser>
        <c:dLbls>
          <c:showLegendKey val="0"/>
          <c:showVal val="0"/>
          <c:showCatName val="0"/>
          <c:showSerName val="0"/>
          <c:showPercent val="0"/>
          <c:showBubbleSize val="0"/>
        </c:dLbls>
        <c:gapWidth val="150"/>
        <c:overlap val="100"/>
        <c:axId val="446242184"/>
        <c:axId val="446253336"/>
      </c:barChart>
      <c:catAx>
        <c:axId val="4462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53336"/>
        <c:crosses val="autoZero"/>
        <c:auto val="1"/>
        <c:lblAlgn val="ctr"/>
        <c:lblOffset val="100"/>
        <c:noMultiLvlLbl val="0"/>
      </c:catAx>
      <c:valAx>
        <c:axId val="44625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42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EPA-Issued NeT General Pemit Filers (by Issuer)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GP View'!$E$144</c:f>
              <c:strCache>
                <c:ptCount val="1"/>
                <c:pt idx="0">
                  <c:v>Number of NeT General Permit Filers (EPA) - Deployed</c:v>
                </c:pt>
              </c:strCache>
            </c:strRef>
          </c:tx>
          <c:spPr>
            <a:solidFill>
              <a:schemeClr val="accent2"/>
            </a:solidFill>
            <a:ln>
              <a:noFill/>
            </a:ln>
            <a:effectLst/>
          </c:spPr>
          <c:invertIfNegative val="0"/>
          <c:cat>
            <c:strRef>
              <c:f>'State &amp; Regional NeT GP View'!$C$145:$C$155</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View'!$E$145:$E$155</c:f>
              <c:numCache>
                <c:formatCode>#,##0</c:formatCode>
                <c:ptCount val="11"/>
                <c:pt idx="0">
                  <c:v>13200</c:v>
                </c:pt>
                <c:pt idx="1">
                  <c:v>164</c:v>
                </c:pt>
                <c:pt idx="2">
                  <c:v>0</c:v>
                </c:pt>
                <c:pt idx="3">
                  <c:v>0</c:v>
                </c:pt>
                <c:pt idx="4">
                  <c:v>28</c:v>
                </c:pt>
                <c:pt idx="5">
                  <c:v>0</c:v>
                </c:pt>
                <c:pt idx="6">
                  <c:v>10516</c:v>
                </c:pt>
                <c:pt idx="7">
                  <c:v>0</c:v>
                </c:pt>
                <c:pt idx="8">
                  <c:v>0</c:v>
                </c:pt>
                <c:pt idx="9">
                  <c:v>0</c:v>
                </c:pt>
                <c:pt idx="10">
                  <c:v>38</c:v>
                </c:pt>
              </c:numCache>
            </c:numRef>
          </c:val>
          <c:extLst>
            <c:ext xmlns:c16="http://schemas.microsoft.com/office/drawing/2014/chart" uri="{C3380CC4-5D6E-409C-BE32-E72D297353CC}">
              <c16:uniqueId val="{00000001-4B8B-4718-8B89-8E3BA7F4303E}"/>
            </c:ext>
          </c:extLst>
        </c:ser>
        <c:ser>
          <c:idx val="0"/>
          <c:order val="1"/>
          <c:tx>
            <c:strRef>
              <c:f>'State &amp; Regional NeT GP View'!$F$144</c:f>
              <c:strCache>
                <c:ptCount val="1"/>
                <c:pt idx="0">
                  <c:v>Number of NeT General Permit Filers (EPA) - Not Deployed</c:v>
                </c:pt>
              </c:strCache>
            </c:strRef>
          </c:tx>
          <c:spPr>
            <a:solidFill>
              <a:schemeClr val="accent1"/>
            </a:solidFill>
            <a:ln>
              <a:noFill/>
            </a:ln>
            <a:effectLst/>
          </c:spPr>
          <c:invertIfNegative val="0"/>
          <c:cat>
            <c:strRef>
              <c:f>'State &amp; Regional NeT GP View'!$C$145:$C$155</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View'!$F$145:$F$155</c:f>
              <c:numCache>
                <c:formatCode>#,##0</c:formatCode>
                <c:ptCount val="11"/>
                <c:pt idx="0">
                  <c:v>0</c:v>
                </c:pt>
                <c:pt idx="1">
                  <c:v>4079</c:v>
                </c:pt>
                <c:pt idx="2">
                  <c:v>88</c:v>
                </c:pt>
                <c:pt idx="3">
                  <c:v>0</c:v>
                </c:pt>
                <c:pt idx="4">
                  <c:v>0</c:v>
                </c:pt>
                <c:pt idx="5">
                  <c:v>0</c:v>
                </c:pt>
                <c:pt idx="6">
                  <c:v>60</c:v>
                </c:pt>
                <c:pt idx="7">
                  <c:v>0</c:v>
                </c:pt>
                <c:pt idx="8">
                  <c:v>159</c:v>
                </c:pt>
                <c:pt idx="9">
                  <c:v>32</c:v>
                </c:pt>
                <c:pt idx="10">
                  <c:v>89</c:v>
                </c:pt>
              </c:numCache>
            </c:numRef>
          </c:val>
          <c:extLst>
            <c:ext xmlns:c16="http://schemas.microsoft.com/office/drawing/2014/chart" uri="{C3380CC4-5D6E-409C-BE32-E72D297353CC}">
              <c16:uniqueId val="{00000000-4B8B-4718-8B89-8E3BA7F4303E}"/>
            </c:ext>
          </c:extLst>
        </c:ser>
        <c:dLbls>
          <c:showLegendKey val="0"/>
          <c:showVal val="0"/>
          <c:showCatName val="0"/>
          <c:showSerName val="0"/>
          <c:showPercent val="0"/>
          <c:showBubbleSize val="0"/>
        </c:dLbls>
        <c:gapWidth val="150"/>
        <c:overlap val="100"/>
        <c:axId val="446242184"/>
        <c:axId val="446253336"/>
      </c:barChart>
      <c:catAx>
        <c:axId val="4462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53336"/>
        <c:crosses val="autoZero"/>
        <c:auto val="1"/>
        <c:lblAlgn val="ctr"/>
        <c:lblOffset val="100"/>
        <c:noMultiLvlLbl val="0"/>
      </c:catAx>
      <c:valAx>
        <c:axId val="44625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42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View'!$D$129</c:f>
              <c:strCache>
                <c:ptCount val="1"/>
                <c:pt idx="0">
                  <c:v>Number of NeT General Permits (EPA)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1E-46C5-AE64-935DA7AD82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1E-46C5-AE64-935DA7AD82C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1E-46C5-AE64-935DA7AD82C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1E-46C5-AE64-935DA7AD82C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1E-46C5-AE64-935DA7AD82C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21E-46C5-AE64-935DA7AD82C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21E-46C5-AE64-935DA7AD82C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21E-46C5-AE64-935DA7AD82C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21E-46C5-AE64-935DA7AD82C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21E-46C5-AE64-935DA7AD82C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21E-46C5-AE64-935DA7AD82C2}"/>
              </c:ext>
            </c:extLst>
          </c:dPt>
          <c:cat>
            <c:strRef>
              <c:f>'State &amp; Regional NeT GP View'!$C$130:$C$140</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View'!$D$130:$D$140</c:f>
              <c:numCache>
                <c:formatCode>#,##0</c:formatCode>
                <c:ptCount val="11"/>
                <c:pt idx="0">
                  <c:v>140</c:v>
                </c:pt>
                <c:pt idx="1">
                  <c:v>24</c:v>
                </c:pt>
                <c:pt idx="2">
                  <c:v>1</c:v>
                </c:pt>
                <c:pt idx="3">
                  <c:v>0</c:v>
                </c:pt>
                <c:pt idx="4">
                  <c:v>1</c:v>
                </c:pt>
                <c:pt idx="5">
                  <c:v>0</c:v>
                </c:pt>
                <c:pt idx="6">
                  <c:v>10</c:v>
                </c:pt>
                <c:pt idx="7">
                  <c:v>0</c:v>
                </c:pt>
                <c:pt idx="8">
                  <c:v>12</c:v>
                </c:pt>
                <c:pt idx="9">
                  <c:v>3</c:v>
                </c:pt>
                <c:pt idx="10">
                  <c:v>6</c:v>
                </c:pt>
              </c:numCache>
            </c:numRef>
          </c:val>
          <c:extLst>
            <c:ext xmlns:c16="http://schemas.microsoft.com/office/drawing/2014/chart" uri="{C3380CC4-5D6E-409C-BE32-E72D297353CC}">
              <c16:uniqueId val="{00000016-D21E-46C5-AE64-935DA7AD82C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NeT General Permits (EPA)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View'!$E$129</c:f>
              <c:strCache>
                <c:ptCount val="1"/>
                <c:pt idx="0">
                  <c:v>Number of NeT General Permits (EPA)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D1E-428F-8A4B-C27EE6E6EE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1E-428F-8A4B-C27EE6E6EE8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D1E-428F-8A4B-C27EE6E6EE8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1E-428F-8A4B-C27EE6E6EE8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D1E-428F-8A4B-C27EE6E6EE8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D1E-428F-8A4B-C27EE6E6EE8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D1E-428F-8A4B-C27EE6E6EE8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D1E-428F-8A4B-C27EE6E6EE8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D1E-428F-8A4B-C27EE6E6EE8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D1E-428F-8A4B-C27EE6E6EE8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D1E-428F-8A4B-C27EE6E6EE86}"/>
              </c:ext>
            </c:extLst>
          </c:dPt>
          <c:cat>
            <c:strRef>
              <c:f>'State &amp; Regional NeT GP View'!$C$130:$C$140</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View'!$E$130:$E$140</c:f>
              <c:numCache>
                <c:formatCode>#,##0</c:formatCode>
                <c:ptCount val="11"/>
                <c:pt idx="0">
                  <c:v>140</c:v>
                </c:pt>
                <c:pt idx="1">
                  <c:v>8</c:v>
                </c:pt>
                <c:pt idx="2">
                  <c:v>0</c:v>
                </c:pt>
                <c:pt idx="3">
                  <c:v>0</c:v>
                </c:pt>
                <c:pt idx="4">
                  <c:v>1</c:v>
                </c:pt>
                <c:pt idx="5">
                  <c:v>0</c:v>
                </c:pt>
                <c:pt idx="6">
                  <c:v>7</c:v>
                </c:pt>
                <c:pt idx="7">
                  <c:v>0</c:v>
                </c:pt>
                <c:pt idx="8">
                  <c:v>0</c:v>
                </c:pt>
                <c:pt idx="9">
                  <c:v>0</c:v>
                </c:pt>
                <c:pt idx="10">
                  <c:v>3</c:v>
                </c:pt>
              </c:numCache>
            </c:numRef>
          </c:val>
          <c:extLst>
            <c:ext xmlns:c16="http://schemas.microsoft.com/office/drawing/2014/chart" uri="{C3380CC4-5D6E-409C-BE32-E72D297353CC}">
              <c16:uniqueId val="{00000016-7D1E-428F-8A4B-C27EE6E6EE8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of General Permit Covered Facilities Using NeT (EPA)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View'!$D$144</c:f>
              <c:strCache>
                <c:ptCount val="1"/>
                <c:pt idx="0">
                  <c:v>Number of NeT General Permit Filers (EPA)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344-4AA6-9BD5-357ADD5789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344-4AA6-9BD5-357ADD57899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344-4AA6-9BD5-357ADD57899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344-4AA6-9BD5-357ADD57899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344-4AA6-9BD5-357ADD57899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344-4AA6-9BD5-357ADD57899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344-4AA6-9BD5-357ADD57899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344-4AA6-9BD5-357ADD57899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344-4AA6-9BD5-357ADD57899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344-4AA6-9BD5-357ADD57899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344-4AA6-9BD5-357ADD578992}"/>
              </c:ext>
            </c:extLst>
          </c:dPt>
          <c:cat>
            <c:strRef>
              <c:f>'State &amp; Regional NeT GP View'!$C$145:$C$155</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View'!$D$145:$D$155</c:f>
              <c:numCache>
                <c:formatCode>#,##0</c:formatCode>
                <c:ptCount val="11"/>
                <c:pt idx="0">
                  <c:v>13200</c:v>
                </c:pt>
                <c:pt idx="1">
                  <c:v>4243</c:v>
                </c:pt>
                <c:pt idx="2">
                  <c:v>88</c:v>
                </c:pt>
                <c:pt idx="3">
                  <c:v>0</c:v>
                </c:pt>
                <c:pt idx="4">
                  <c:v>28</c:v>
                </c:pt>
                <c:pt idx="5">
                  <c:v>0</c:v>
                </c:pt>
                <c:pt idx="6">
                  <c:v>10576</c:v>
                </c:pt>
                <c:pt idx="7">
                  <c:v>0</c:v>
                </c:pt>
                <c:pt idx="8">
                  <c:v>159</c:v>
                </c:pt>
                <c:pt idx="9">
                  <c:v>32</c:v>
                </c:pt>
                <c:pt idx="10">
                  <c:v>127</c:v>
                </c:pt>
              </c:numCache>
            </c:numRef>
          </c:val>
          <c:extLst>
            <c:ext xmlns:c16="http://schemas.microsoft.com/office/drawing/2014/chart" uri="{C3380CC4-5D6E-409C-BE32-E72D297353CC}">
              <c16:uniqueId val="{00000016-8344-4AA6-9BD5-357ADD57899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of General Permit Covered Facilities Using NeT (EPA)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View'!$E$144</c:f>
              <c:strCache>
                <c:ptCount val="1"/>
                <c:pt idx="0">
                  <c:v>Number of NeT General Permit Filers (EPA)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15-4A3B-B12D-CAAEED204D8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415-4A3B-B12D-CAAEED204D8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415-4A3B-B12D-CAAEED204D8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15-4A3B-B12D-CAAEED204D8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415-4A3B-B12D-CAAEED204D8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415-4A3B-B12D-CAAEED204D8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415-4A3B-B12D-CAAEED204D8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415-4A3B-B12D-CAAEED204D8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415-4A3B-B12D-CAAEED204D8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415-4A3B-B12D-CAAEED204D8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415-4A3B-B12D-CAAEED204D89}"/>
              </c:ext>
            </c:extLst>
          </c:dPt>
          <c:cat>
            <c:strRef>
              <c:f>'State &amp; Regional NeT GP View'!$C$145:$C$155</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View'!$E$145:$E$155</c:f>
              <c:numCache>
                <c:formatCode>#,##0</c:formatCode>
                <c:ptCount val="11"/>
                <c:pt idx="0">
                  <c:v>13200</c:v>
                </c:pt>
                <c:pt idx="1">
                  <c:v>164</c:v>
                </c:pt>
                <c:pt idx="2">
                  <c:v>0</c:v>
                </c:pt>
                <c:pt idx="3">
                  <c:v>0</c:v>
                </c:pt>
                <c:pt idx="4">
                  <c:v>28</c:v>
                </c:pt>
                <c:pt idx="5">
                  <c:v>0</c:v>
                </c:pt>
                <c:pt idx="6">
                  <c:v>10516</c:v>
                </c:pt>
                <c:pt idx="7">
                  <c:v>0</c:v>
                </c:pt>
                <c:pt idx="8">
                  <c:v>0</c:v>
                </c:pt>
                <c:pt idx="9">
                  <c:v>0</c:v>
                </c:pt>
                <c:pt idx="10">
                  <c:v>38</c:v>
                </c:pt>
              </c:numCache>
            </c:numRef>
          </c:val>
          <c:extLst>
            <c:ext xmlns:c16="http://schemas.microsoft.com/office/drawing/2014/chart" uri="{C3380CC4-5D6E-409C-BE32-E72D297353CC}">
              <c16:uniqueId val="{00000016-5415-4A3B-B12D-CAAEED204D8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Proxy Cards (State-Issued GPs)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GP View'!$E$110</c:f>
              <c:strCache>
                <c:ptCount val="1"/>
                <c:pt idx="0">
                  <c:v>Estimated Number of Proxy Cards - General Permits (State) - Deployed</c:v>
                </c:pt>
              </c:strCache>
            </c:strRef>
          </c:tx>
          <c:spPr>
            <a:solidFill>
              <a:schemeClr val="accent2"/>
            </a:solidFill>
            <a:ln>
              <a:noFill/>
            </a:ln>
            <a:effectLst/>
          </c:spPr>
          <c:invertIfNegative val="0"/>
          <c:cat>
            <c:strRef>
              <c:f>'State &amp; Regional NeT GP View'!$C$111:$C$123</c:f>
              <c:strCache>
                <c:ptCount val="13"/>
                <c:pt idx="0">
                  <c:v>Connecticut</c:v>
                </c:pt>
                <c:pt idx="1">
                  <c:v>Delaware</c:v>
                </c:pt>
                <c:pt idx="2">
                  <c:v>Idaho</c:v>
                </c:pt>
                <c:pt idx="3">
                  <c:v>Illinois</c:v>
                </c:pt>
                <c:pt idx="4">
                  <c:v>Maine</c:v>
                </c:pt>
                <c:pt idx="5">
                  <c:v>Maryland</c:v>
                </c:pt>
                <c:pt idx="6">
                  <c:v>Mississippi</c:v>
                </c:pt>
                <c:pt idx="7">
                  <c:v>Nebraska</c:v>
                </c:pt>
                <c:pt idx="8">
                  <c:v>Rhode Island</c:v>
                </c:pt>
                <c:pt idx="9">
                  <c:v>South Dakota</c:v>
                </c:pt>
                <c:pt idx="10">
                  <c:v>Texas</c:v>
                </c:pt>
                <c:pt idx="11">
                  <c:v>Utah</c:v>
                </c:pt>
                <c:pt idx="12">
                  <c:v>Virgin Islands</c:v>
                </c:pt>
              </c:strCache>
            </c:strRef>
          </c:cat>
          <c:val>
            <c:numRef>
              <c:f>'State &amp; Regional NeT GP View'!$E$111:$E$123</c:f>
              <c:numCache>
                <c:formatCode>#,##0</c:formatCode>
                <c:ptCount val="13"/>
                <c:pt idx="0">
                  <c:v>0</c:v>
                </c:pt>
                <c:pt idx="1">
                  <c:v>1</c:v>
                </c:pt>
                <c:pt idx="2">
                  <c:v>0</c:v>
                </c:pt>
                <c:pt idx="3">
                  <c:v>2</c:v>
                </c:pt>
                <c:pt idx="4">
                  <c:v>0</c:v>
                </c:pt>
                <c:pt idx="5">
                  <c:v>0</c:v>
                </c:pt>
                <c:pt idx="6">
                  <c:v>0</c:v>
                </c:pt>
                <c:pt idx="7">
                  <c:v>1</c:v>
                </c:pt>
                <c:pt idx="8">
                  <c:v>1</c:v>
                </c:pt>
                <c:pt idx="9">
                  <c:v>2</c:v>
                </c:pt>
                <c:pt idx="10">
                  <c:v>1</c:v>
                </c:pt>
                <c:pt idx="11">
                  <c:v>6</c:v>
                </c:pt>
                <c:pt idx="12">
                  <c:v>0</c:v>
                </c:pt>
              </c:numCache>
            </c:numRef>
          </c:val>
          <c:extLst>
            <c:ext xmlns:c16="http://schemas.microsoft.com/office/drawing/2014/chart" uri="{C3380CC4-5D6E-409C-BE32-E72D297353CC}">
              <c16:uniqueId val="{00000001-621D-4210-85BA-996741D585F6}"/>
            </c:ext>
          </c:extLst>
        </c:ser>
        <c:ser>
          <c:idx val="0"/>
          <c:order val="1"/>
          <c:tx>
            <c:strRef>
              <c:f>'State &amp; Regional NeT GP View'!$F$110</c:f>
              <c:strCache>
                <c:ptCount val="1"/>
                <c:pt idx="0">
                  <c:v>Estimated Number of Proxy Cards - General Permits (State) - Not Deployed</c:v>
                </c:pt>
              </c:strCache>
            </c:strRef>
          </c:tx>
          <c:spPr>
            <a:solidFill>
              <a:schemeClr val="accent1"/>
            </a:solidFill>
            <a:ln>
              <a:noFill/>
            </a:ln>
            <a:effectLst/>
          </c:spPr>
          <c:invertIfNegative val="0"/>
          <c:cat>
            <c:strRef>
              <c:f>'State &amp; Regional NeT GP View'!$C$111:$C$123</c:f>
              <c:strCache>
                <c:ptCount val="13"/>
                <c:pt idx="0">
                  <c:v>Connecticut</c:v>
                </c:pt>
                <c:pt idx="1">
                  <c:v>Delaware</c:v>
                </c:pt>
                <c:pt idx="2">
                  <c:v>Idaho</c:v>
                </c:pt>
                <c:pt idx="3">
                  <c:v>Illinois</c:v>
                </c:pt>
                <c:pt idx="4">
                  <c:v>Maine</c:v>
                </c:pt>
                <c:pt idx="5">
                  <c:v>Maryland</c:v>
                </c:pt>
                <c:pt idx="6">
                  <c:v>Mississippi</c:v>
                </c:pt>
                <c:pt idx="7">
                  <c:v>Nebraska</c:v>
                </c:pt>
                <c:pt idx="8">
                  <c:v>Rhode Island</c:v>
                </c:pt>
                <c:pt idx="9">
                  <c:v>South Dakota</c:v>
                </c:pt>
                <c:pt idx="10">
                  <c:v>Texas</c:v>
                </c:pt>
                <c:pt idx="11">
                  <c:v>Utah</c:v>
                </c:pt>
                <c:pt idx="12">
                  <c:v>Virgin Islands</c:v>
                </c:pt>
              </c:strCache>
            </c:strRef>
          </c:cat>
          <c:val>
            <c:numRef>
              <c:f>'State &amp; Regional NeT GP View'!$F$111:$F$123</c:f>
              <c:numCache>
                <c:formatCode>#,##0</c:formatCode>
                <c:ptCount val="13"/>
                <c:pt idx="0">
                  <c:v>6</c:v>
                </c:pt>
                <c:pt idx="1">
                  <c:v>1</c:v>
                </c:pt>
                <c:pt idx="2">
                  <c:v>3</c:v>
                </c:pt>
                <c:pt idx="3">
                  <c:v>8</c:v>
                </c:pt>
                <c:pt idx="4">
                  <c:v>3</c:v>
                </c:pt>
                <c:pt idx="5">
                  <c:v>8</c:v>
                </c:pt>
                <c:pt idx="6">
                  <c:v>5</c:v>
                </c:pt>
                <c:pt idx="7">
                  <c:v>3</c:v>
                </c:pt>
                <c:pt idx="8">
                  <c:v>4</c:v>
                </c:pt>
                <c:pt idx="9">
                  <c:v>5</c:v>
                </c:pt>
                <c:pt idx="10">
                  <c:v>0</c:v>
                </c:pt>
                <c:pt idx="11">
                  <c:v>3</c:v>
                </c:pt>
                <c:pt idx="12">
                  <c:v>4</c:v>
                </c:pt>
              </c:numCache>
            </c:numRef>
          </c:val>
          <c:extLst>
            <c:ext xmlns:c16="http://schemas.microsoft.com/office/drawing/2014/chart" uri="{C3380CC4-5D6E-409C-BE32-E72D297353CC}">
              <c16:uniqueId val="{00000000-621D-4210-85BA-996741D585F6}"/>
            </c:ext>
          </c:extLst>
        </c:ser>
        <c:dLbls>
          <c:showLegendKey val="0"/>
          <c:showVal val="0"/>
          <c:showCatName val="0"/>
          <c:showSerName val="0"/>
          <c:showPercent val="0"/>
          <c:showBubbleSize val="0"/>
        </c:dLbls>
        <c:gapWidth val="150"/>
        <c:overlap val="100"/>
        <c:axId val="567320080"/>
        <c:axId val="567317456"/>
      </c:barChart>
      <c:catAx>
        <c:axId val="56732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317456"/>
        <c:crosses val="autoZero"/>
        <c:auto val="1"/>
        <c:lblAlgn val="ctr"/>
        <c:lblOffset val="100"/>
        <c:noMultiLvlLbl val="0"/>
      </c:catAx>
      <c:valAx>
        <c:axId val="567317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32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NeT Proxy Cards (State-Issued GPs)</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View'!$D$110</c:f>
              <c:strCache>
                <c:ptCount val="1"/>
                <c:pt idx="0">
                  <c:v>Estimated Number of Proxy Cards - General Permits (State)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E2-4F25-B68B-C5F60C8940B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E2-4F25-B68B-C5F60C8940B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E2-4F25-B68B-C5F60C8940B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E2-4F25-B68B-C5F60C8940B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E2-4F25-B68B-C5F60C8940B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6E2-4F25-B68B-C5F60C8940B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6E2-4F25-B68B-C5F60C8940B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6E2-4F25-B68B-C5F60C8940B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6E2-4F25-B68B-C5F60C8940B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6E2-4F25-B68B-C5F60C8940B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6E2-4F25-B68B-C5F60C8940B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56EC-4E71-9548-17693E9F05A8}"/>
              </c:ext>
            </c:extLst>
          </c:dPt>
          <c:dPt>
            <c:idx val="12"/>
            <c:bubble3D val="0"/>
            <c:spPr>
              <a:solidFill>
                <a:schemeClr val="accent1">
                  <a:lumMod val="80000"/>
                  <a:lumOff val="20000"/>
                </a:schemeClr>
              </a:solidFill>
              <a:ln w="19050">
                <a:solidFill>
                  <a:schemeClr val="lt1"/>
                </a:solidFill>
              </a:ln>
              <a:effectLst/>
            </c:spPr>
          </c:dPt>
          <c:cat>
            <c:strRef>
              <c:f>'State &amp; Regional NeT GP View'!$C$111:$C$123</c:f>
              <c:strCache>
                <c:ptCount val="13"/>
                <c:pt idx="0">
                  <c:v>Connecticut</c:v>
                </c:pt>
                <c:pt idx="1">
                  <c:v>Delaware</c:v>
                </c:pt>
                <c:pt idx="2">
                  <c:v>Idaho</c:v>
                </c:pt>
                <c:pt idx="3">
                  <c:v>Illinois</c:v>
                </c:pt>
                <c:pt idx="4">
                  <c:v>Maine</c:v>
                </c:pt>
                <c:pt idx="5">
                  <c:v>Maryland</c:v>
                </c:pt>
                <c:pt idx="6">
                  <c:v>Mississippi</c:v>
                </c:pt>
                <c:pt idx="7">
                  <c:v>Nebraska</c:v>
                </c:pt>
                <c:pt idx="8">
                  <c:v>Rhode Island</c:v>
                </c:pt>
                <c:pt idx="9">
                  <c:v>South Dakota</c:v>
                </c:pt>
                <c:pt idx="10">
                  <c:v>Texas</c:v>
                </c:pt>
                <c:pt idx="11">
                  <c:v>Utah</c:v>
                </c:pt>
                <c:pt idx="12">
                  <c:v>Virgin Islands</c:v>
                </c:pt>
              </c:strCache>
            </c:strRef>
          </c:cat>
          <c:val>
            <c:numRef>
              <c:f>'State &amp; Regional NeT GP View'!$D$111:$D$123</c:f>
              <c:numCache>
                <c:formatCode>#,##0</c:formatCode>
                <c:ptCount val="13"/>
                <c:pt idx="0">
                  <c:v>6</c:v>
                </c:pt>
                <c:pt idx="1">
                  <c:v>2</c:v>
                </c:pt>
                <c:pt idx="2">
                  <c:v>3</c:v>
                </c:pt>
                <c:pt idx="3">
                  <c:v>10</c:v>
                </c:pt>
                <c:pt idx="4">
                  <c:v>3</c:v>
                </c:pt>
                <c:pt idx="5">
                  <c:v>8</c:v>
                </c:pt>
                <c:pt idx="6">
                  <c:v>5</c:v>
                </c:pt>
                <c:pt idx="7">
                  <c:v>4</c:v>
                </c:pt>
                <c:pt idx="8">
                  <c:v>5</c:v>
                </c:pt>
                <c:pt idx="9">
                  <c:v>7</c:v>
                </c:pt>
                <c:pt idx="10">
                  <c:v>1</c:v>
                </c:pt>
                <c:pt idx="11">
                  <c:v>9</c:v>
                </c:pt>
                <c:pt idx="12">
                  <c:v>4</c:v>
                </c:pt>
              </c:numCache>
            </c:numRef>
          </c:val>
          <c:extLst>
            <c:ext xmlns:c16="http://schemas.microsoft.com/office/drawing/2014/chart" uri="{C3380CC4-5D6E-409C-BE32-E72D297353CC}">
              <c16:uniqueId val="{00000016-56E2-4F25-B68B-C5F60C8940B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0" i="0" baseline="0">
                <a:effectLst/>
              </a:rPr>
              <a:t>NeT Proxy Cards (State-Issued GPs) - Deployed</a:t>
            </a:r>
            <a:endParaRPr lang="en-US" sz="1600">
              <a:effectLst/>
            </a:endParaRPr>
          </a:p>
        </c:rich>
      </c:tx>
      <c:layout>
        <c:manualLayout>
          <c:xMode val="edge"/>
          <c:yMode val="edge"/>
          <c:x val="0.15611616628619784"/>
          <c:y val="5.2711439800526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View'!$E$110</c:f>
              <c:strCache>
                <c:ptCount val="1"/>
                <c:pt idx="0">
                  <c:v>Estimated Number of Proxy Cards - General Permits (State)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12F-4915-81B2-C3314BD06E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12F-4915-81B2-C3314BD06E7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12F-4915-81B2-C3314BD06E7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12F-4915-81B2-C3314BD06E7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12F-4915-81B2-C3314BD06E7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12F-4915-81B2-C3314BD06E7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12F-4915-81B2-C3314BD06E7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12F-4915-81B2-C3314BD06E7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12F-4915-81B2-C3314BD06E7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12F-4915-81B2-C3314BD06E7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12F-4915-81B2-C3314BD06E7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C52-436C-B810-821E9B4D7CBA}"/>
              </c:ext>
            </c:extLst>
          </c:dPt>
          <c:dPt>
            <c:idx val="12"/>
            <c:bubble3D val="0"/>
            <c:spPr>
              <a:solidFill>
                <a:schemeClr val="accent1">
                  <a:lumMod val="80000"/>
                  <a:lumOff val="20000"/>
                </a:schemeClr>
              </a:solidFill>
              <a:ln w="19050">
                <a:solidFill>
                  <a:schemeClr val="lt1"/>
                </a:solidFill>
              </a:ln>
              <a:effectLst/>
            </c:spPr>
          </c:dPt>
          <c:cat>
            <c:strRef>
              <c:f>'State &amp; Regional NeT GP View'!$C$92:$C$104</c:f>
              <c:strCache>
                <c:ptCount val="13"/>
                <c:pt idx="0">
                  <c:v>Connecticut</c:v>
                </c:pt>
                <c:pt idx="1">
                  <c:v>Delaware</c:v>
                </c:pt>
                <c:pt idx="2">
                  <c:v>Idaho</c:v>
                </c:pt>
                <c:pt idx="3">
                  <c:v>Illinois</c:v>
                </c:pt>
                <c:pt idx="4">
                  <c:v>Maine</c:v>
                </c:pt>
                <c:pt idx="5">
                  <c:v>Maryland</c:v>
                </c:pt>
                <c:pt idx="6">
                  <c:v>Mississippi</c:v>
                </c:pt>
                <c:pt idx="7">
                  <c:v>Nebraska</c:v>
                </c:pt>
                <c:pt idx="8">
                  <c:v>Rhode Island</c:v>
                </c:pt>
                <c:pt idx="9">
                  <c:v>South Dakota</c:v>
                </c:pt>
                <c:pt idx="10">
                  <c:v>Texas</c:v>
                </c:pt>
                <c:pt idx="11">
                  <c:v>Utah</c:v>
                </c:pt>
                <c:pt idx="12">
                  <c:v>Virgin Islands</c:v>
                </c:pt>
              </c:strCache>
            </c:strRef>
          </c:cat>
          <c:val>
            <c:numRef>
              <c:f>'State &amp; Regional NeT GP View'!$E$111:$E$123</c:f>
              <c:numCache>
                <c:formatCode>#,##0</c:formatCode>
                <c:ptCount val="13"/>
                <c:pt idx="0">
                  <c:v>0</c:v>
                </c:pt>
                <c:pt idx="1">
                  <c:v>1</c:v>
                </c:pt>
                <c:pt idx="2">
                  <c:v>0</c:v>
                </c:pt>
                <c:pt idx="3">
                  <c:v>2</c:v>
                </c:pt>
                <c:pt idx="4">
                  <c:v>0</c:v>
                </c:pt>
                <c:pt idx="5">
                  <c:v>0</c:v>
                </c:pt>
                <c:pt idx="6">
                  <c:v>0</c:v>
                </c:pt>
                <c:pt idx="7">
                  <c:v>1</c:v>
                </c:pt>
                <c:pt idx="8">
                  <c:v>1</c:v>
                </c:pt>
                <c:pt idx="9">
                  <c:v>2</c:v>
                </c:pt>
                <c:pt idx="10">
                  <c:v>1</c:v>
                </c:pt>
                <c:pt idx="11">
                  <c:v>6</c:v>
                </c:pt>
                <c:pt idx="12">
                  <c:v>0</c:v>
                </c:pt>
              </c:numCache>
            </c:numRef>
          </c:val>
          <c:extLst>
            <c:ext xmlns:c16="http://schemas.microsoft.com/office/drawing/2014/chart" uri="{C3380CC4-5D6E-409C-BE32-E72D297353CC}">
              <c16:uniqueId val="{00000016-912F-4915-81B2-C3314BD06E7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Proxy Cards (EPA-Issued GPs)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GP View'!$E$160</c:f>
              <c:strCache>
                <c:ptCount val="1"/>
                <c:pt idx="0">
                  <c:v>Number of NeT General Permit Proxy Cards (EPA) - Deployed</c:v>
                </c:pt>
              </c:strCache>
            </c:strRef>
          </c:tx>
          <c:spPr>
            <a:solidFill>
              <a:schemeClr val="accent2"/>
            </a:solidFill>
            <a:ln>
              <a:noFill/>
            </a:ln>
            <a:effectLst/>
          </c:spPr>
          <c:invertIfNegative val="0"/>
          <c:cat>
            <c:strRef>
              <c:f>'State &amp; Regional NeT GP View'!$C$161:$C$171</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View'!$E$161:$E$171</c:f>
              <c:numCache>
                <c:formatCode>#,##0</c:formatCode>
                <c:ptCount val="11"/>
                <c:pt idx="0">
                  <c:v>3</c:v>
                </c:pt>
                <c:pt idx="1">
                  <c:v>2</c:v>
                </c:pt>
                <c:pt idx="2">
                  <c:v>0</c:v>
                </c:pt>
                <c:pt idx="3">
                  <c:v>0</c:v>
                </c:pt>
                <c:pt idx="4">
                  <c:v>1</c:v>
                </c:pt>
                <c:pt idx="5">
                  <c:v>0</c:v>
                </c:pt>
                <c:pt idx="6">
                  <c:v>2</c:v>
                </c:pt>
                <c:pt idx="7">
                  <c:v>0</c:v>
                </c:pt>
                <c:pt idx="8">
                  <c:v>0</c:v>
                </c:pt>
                <c:pt idx="9">
                  <c:v>0</c:v>
                </c:pt>
                <c:pt idx="10">
                  <c:v>3</c:v>
                </c:pt>
              </c:numCache>
            </c:numRef>
          </c:val>
          <c:extLst>
            <c:ext xmlns:c16="http://schemas.microsoft.com/office/drawing/2014/chart" uri="{C3380CC4-5D6E-409C-BE32-E72D297353CC}">
              <c16:uniqueId val="{00000000-49CE-4D49-B5A4-BB626A4C9387}"/>
            </c:ext>
          </c:extLst>
        </c:ser>
        <c:ser>
          <c:idx val="0"/>
          <c:order val="1"/>
          <c:tx>
            <c:strRef>
              <c:f>'State &amp; Regional NeT GP View'!$F$160</c:f>
              <c:strCache>
                <c:ptCount val="1"/>
                <c:pt idx="0">
                  <c:v>Number of NeT General Permit Proxy Cards (EPA) - Not Deployed</c:v>
                </c:pt>
              </c:strCache>
            </c:strRef>
          </c:tx>
          <c:spPr>
            <a:solidFill>
              <a:schemeClr val="accent1"/>
            </a:solidFill>
            <a:ln>
              <a:noFill/>
            </a:ln>
            <a:effectLst/>
          </c:spPr>
          <c:invertIfNegative val="0"/>
          <c:cat>
            <c:strRef>
              <c:f>'State &amp; Regional NeT GP View'!$C$161:$C$171</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View'!$F$161:$F$171</c:f>
              <c:numCache>
                <c:formatCode>#,##0</c:formatCode>
                <c:ptCount val="11"/>
                <c:pt idx="0">
                  <c:v>0</c:v>
                </c:pt>
                <c:pt idx="1">
                  <c:v>5</c:v>
                </c:pt>
                <c:pt idx="2">
                  <c:v>1</c:v>
                </c:pt>
                <c:pt idx="3">
                  <c:v>0</c:v>
                </c:pt>
                <c:pt idx="4">
                  <c:v>0</c:v>
                </c:pt>
                <c:pt idx="5">
                  <c:v>0</c:v>
                </c:pt>
                <c:pt idx="6">
                  <c:v>3</c:v>
                </c:pt>
                <c:pt idx="7">
                  <c:v>0</c:v>
                </c:pt>
                <c:pt idx="8">
                  <c:v>2</c:v>
                </c:pt>
                <c:pt idx="9">
                  <c:v>0</c:v>
                </c:pt>
                <c:pt idx="10">
                  <c:v>2</c:v>
                </c:pt>
              </c:numCache>
            </c:numRef>
          </c:val>
          <c:extLst>
            <c:ext xmlns:c16="http://schemas.microsoft.com/office/drawing/2014/chart" uri="{C3380CC4-5D6E-409C-BE32-E72D297353CC}">
              <c16:uniqueId val="{00000001-49CE-4D49-B5A4-BB626A4C9387}"/>
            </c:ext>
          </c:extLst>
        </c:ser>
        <c:dLbls>
          <c:showLegendKey val="0"/>
          <c:showVal val="0"/>
          <c:showCatName val="0"/>
          <c:showSerName val="0"/>
          <c:showPercent val="0"/>
          <c:showBubbleSize val="0"/>
        </c:dLbls>
        <c:gapWidth val="150"/>
        <c:overlap val="100"/>
        <c:axId val="446242184"/>
        <c:axId val="446253336"/>
      </c:barChart>
      <c:catAx>
        <c:axId val="4462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53336"/>
        <c:crosses val="autoZero"/>
        <c:auto val="1"/>
        <c:lblAlgn val="ctr"/>
        <c:lblOffset val="100"/>
        <c:noMultiLvlLbl val="0"/>
      </c:catAx>
      <c:valAx>
        <c:axId val="44625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42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NeT Proxy Cards (EPA-Issued GPs)</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GP View'!$D$160</c:f>
              <c:strCache>
                <c:ptCount val="1"/>
                <c:pt idx="0">
                  <c:v>Number of NeT General Permit Proxy Cards (EPA)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6A-41F6-9303-83BF0B2EB2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6A-41F6-9303-83BF0B2EB2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6A-41F6-9303-83BF0B2EB2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56A-41F6-9303-83BF0B2EB2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56A-41F6-9303-83BF0B2EB2E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56A-41F6-9303-83BF0B2EB2E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56A-41F6-9303-83BF0B2EB2E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56A-41F6-9303-83BF0B2EB2E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56A-41F6-9303-83BF0B2EB2E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56A-41F6-9303-83BF0B2EB2E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56A-41F6-9303-83BF0B2EB2E8}"/>
              </c:ext>
            </c:extLst>
          </c:dPt>
          <c:cat>
            <c:strRef>
              <c:f>'State &amp; Regional NeT GP View'!$C$161:$C$171</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View'!$D$161:$D$171</c:f>
              <c:numCache>
                <c:formatCode>#,##0</c:formatCode>
                <c:ptCount val="11"/>
                <c:pt idx="0">
                  <c:v>3</c:v>
                </c:pt>
                <c:pt idx="1">
                  <c:v>7</c:v>
                </c:pt>
                <c:pt idx="2">
                  <c:v>1</c:v>
                </c:pt>
                <c:pt idx="3">
                  <c:v>0</c:v>
                </c:pt>
                <c:pt idx="4">
                  <c:v>1</c:v>
                </c:pt>
                <c:pt idx="5">
                  <c:v>0</c:v>
                </c:pt>
                <c:pt idx="6">
                  <c:v>5</c:v>
                </c:pt>
                <c:pt idx="7">
                  <c:v>0</c:v>
                </c:pt>
                <c:pt idx="8">
                  <c:v>2</c:v>
                </c:pt>
                <c:pt idx="9">
                  <c:v>0</c:v>
                </c:pt>
                <c:pt idx="10">
                  <c:v>5</c:v>
                </c:pt>
              </c:numCache>
            </c:numRef>
          </c:val>
          <c:extLst>
            <c:ext xmlns:c16="http://schemas.microsoft.com/office/drawing/2014/chart" uri="{C3380CC4-5D6E-409C-BE32-E72D297353CC}">
              <c16:uniqueId val="{00000016-756A-41F6-9303-83BF0B2EB2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r>
              <a:rPr lang="en-US" sz="1600" b="0" i="0" baseline="0">
                <a:effectLst/>
              </a:rPr>
              <a:t>NeT Proxy Cards (EPA-Issued GPs)</a:t>
            </a:r>
            <a:endParaRPr lang="en-US" sz="16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600">
                <a:solidFill>
                  <a:sysClr val="windowText" lastClr="000000">
                    <a:lumMod val="65000"/>
                    <a:lumOff val="35000"/>
                  </a:sysClr>
                </a:solidFill>
              </a:defRPr>
            </a:pPr>
            <a:r>
              <a:rPr lang="en-US" sz="1600"/>
              <a:t> - Deployed</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tx>
            <c:strRef>
              <c:f>'State &amp; Regional NeT GP View'!$E$160</c:f>
              <c:strCache>
                <c:ptCount val="1"/>
                <c:pt idx="0">
                  <c:v>Number of NeT General Permit Proxy Cards (EPA)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2FB-4A8D-B74B-727A49BA70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2FB-4A8D-B74B-727A49BA70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2FB-4A8D-B74B-727A49BA70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2FB-4A8D-B74B-727A49BA70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2FB-4A8D-B74B-727A49BA70B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2FB-4A8D-B74B-727A49BA70B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2FB-4A8D-B74B-727A49BA70B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2FB-4A8D-B74B-727A49BA70B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2FB-4A8D-B74B-727A49BA70B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2FB-4A8D-B74B-727A49BA70B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2FB-4A8D-B74B-727A49BA70BF}"/>
              </c:ext>
            </c:extLst>
          </c:dPt>
          <c:cat>
            <c:strRef>
              <c:f>'State &amp; Regional NeT GP View'!$C$161:$C$171</c:f>
              <c:strCache>
                <c:ptCount val="11"/>
                <c:pt idx="0">
                  <c:v>HQ</c:v>
                </c:pt>
                <c:pt idx="1">
                  <c:v>R1</c:v>
                </c:pt>
                <c:pt idx="2">
                  <c:v>R2</c:v>
                </c:pt>
                <c:pt idx="3">
                  <c:v>R3</c:v>
                </c:pt>
                <c:pt idx="4">
                  <c:v>R4</c:v>
                </c:pt>
                <c:pt idx="5">
                  <c:v>R5</c:v>
                </c:pt>
                <c:pt idx="6">
                  <c:v>R6</c:v>
                </c:pt>
                <c:pt idx="7">
                  <c:v>R7</c:v>
                </c:pt>
                <c:pt idx="8">
                  <c:v>R8</c:v>
                </c:pt>
                <c:pt idx="9">
                  <c:v>R9</c:v>
                </c:pt>
                <c:pt idx="10">
                  <c:v>R10</c:v>
                </c:pt>
              </c:strCache>
            </c:strRef>
          </c:cat>
          <c:val>
            <c:numRef>
              <c:f>'State &amp; Regional NeT GP View'!$E$161:$E$171</c:f>
              <c:numCache>
                <c:formatCode>#,##0</c:formatCode>
                <c:ptCount val="11"/>
                <c:pt idx="0">
                  <c:v>3</c:v>
                </c:pt>
                <c:pt idx="1">
                  <c:v>2</c:v>
                </c:pt>
                <c:pt idx="2">
                  <c:v>0</c:v>
                </c:pt>
                <c:pt idx="3">
                  <c:v>0</c:v>
                </c:pt>
                <c:pt idx="4">
                  <c:v>1</c:v>
                </c:pt>
                <c:pt idx="5">
                  <c:v>0</c:v>
                </c:pt>
                <c:pt idx="6">
                  <c:v>2</c:v>
                </c:pt>
                <c:pt idx="7">
                  <c:v>0</c:v>
                </c:pt>
                <c:pt idx="8">
                  <c:v>0</c:v>
                </c:pt>
                <c:pt idx="9">
                  <c:v>0</c:v>
                </c:pt>
                <c:pt idx="10">
                  <c:v>3</c:v>
                </c:pt>
              </c:numCache>
            </c:numRef>
          </c:val>
          <c:extLst>
            <c:ext xmlns:c16="http://schemas.microsoft.com/office/drawing/2014/chart" uri="{C3380CC4-5D6E-409C-BE32-E72D297353CC}">
              <c16:uniqueId val="{00000016-02FB-4A8D-B74B-727A49BA70B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1E-6230-41BB-AA25-7474CF6BBD8E}"/>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C-6230-41BB-AA25-7474CF6BBD8E}"/>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230-41BB-AA25-7474CF6BBD8E}"/>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230-41BB-AA25-7474CF6BBD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View'!$E$72:$F$72</c:f>
              <c:strCache>
                <c:ptCount val="2"/>
                <c:pt idx="0">
                  <c:v>Number of NeT General Permits (State) - Deployed</c:v>
                </c:pt>
                <c:pt idx="1">
                  <c:v>Number of NeT General Permits (State) - NoT Deployed</c:v>
                </c:pt>
              </c:strCache>
            </c:strRef>
          </c:cat>
          <c:val>
            <c:numRef>
              <c:f>'State &amp; Regional NeT GP View'!$E$86:$F$86</c:f>
              <c:numCache>
                <c:formatCode>#,##0</c:formatCode>
                <c:ptCount val="2"/>
                <c:pt idx="0">
                  <c:v>16</c:v>
                </c:pt>
                <c:pt idx="1">
                  <c:v>78</c:v>
                </c:pt>
              </c:numCache>
            </c:numRef>
          </c:val>
          <c:extLst>
            <c:ext xmlns:c16="http://schemas.microsoft.com/office/drawing/2014/chart" uri="{C3380CC4-5D6E-409C-BE32-E72D297353CC}">
              <c16:uniqueId val="{0000000B-6230-41BB-AA25-7474CF6BBD8E}"/>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5-3A8D-40EB-8436-A1943BE997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3A8D-40EB-8436-A1943BE997B4}"/>
                    </c:ext>
                  </c:extLst>
                </c:dPt>
                <c:cat>
                  <c:strRef>
                    <c:extLst>
                      <c:ex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c:ext uri="{02D57815-91ED-43cb-92C2-25804820EDAC}">
                        <c15:formulaRef>
                          <c15:sqref>'State &amp; Regional NeT GP View'!$E$73:$F$73</c15:sqref>
                        </c15:formulaRef>
                      </c:ext>
                    </c:extLst>
                    <c:numCache>
                      <c:formatCode>#,##0</c:formatCode>
                      <c:ptCount val="2"/>
                      <c:pt idx="0">
                        <c:v>0</c:v>
                      </c:pt>
                      <c:pt idx="1">
                        <c:v>8</c:v>
                      </c:pt>
                    </c:numCache>
                  </c:numRef>
                </c:val>
                <c:extLst>
                  <c:ext xmlns:c16="http://schemas.microsoft.com/office/drawing/2014/chart" uri="{C3380CC4-5D6E-409C-BE32-E72D297353CC}">
                    <c16:uniqueId val="{00000000-6230-41BB-AA25-7474CF6BBD8E}"/>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9-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B-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View'!$E$75:$F$75</c15:sqref>
                        </c15:formulaRef>
                      </c:ext>
                    </c:extLst>
                    <c:numCache>
                      <c:formatCode>#,##0</c:formatCode>
                      <c:ptCount val="2"/>
                      <c:pt idx="0">
                        <c:v>1</c:v>
                      </c:pt>
                      <c:pt idx="1">
                        <c:v>3</c:v>
                      </c:pt>
                    </c:numCache>
                  </c:numRef>
                </c:val>
                <c:extLst xmlns:c15="http://schemas.microsoft.com/office/drawing/2012/chart">
                  <c:ext xmlns:c16="http://schemas.microsoft.com/office/drawing/2014/chart" uri="{C3380CC4-5D6E-409C-BE32-E72D297353CC}">
                    <c16:uniqueId val="{00000001-6230-41BB-AA25-7474CF6BBD8E}"/>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D-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F-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View'!$E$76:$F$76</c15:sqref>
                        </c15:formulaRef>
                      </c:ext>
                    </c:extLst>
                    <c:numCache>
                      <c:formatCode>#,##0</c:formatCode>
                      <c:ptCount val="2"/>
                      <c:pt idx="0">
                        <c:v>2</c:v>
                      </c:pt>
                      <c:pt idx="1">
                        <c:v>11</c:v>
                      </c:pt>
                    </c:numCache>
                  </c:numRef>
                </c:val>
                <c:extLst xmlns:c15="http://schemas.microsoft.com/office/drawing/2012/chart">
                  <c:ext xmlns:c16="http://schemas.microsoft.com/office/drawing/2014/chart" uri="{C3380CC4-5D6E-409C-BE32-E72D297353CC}">
                    <c16:uniqueId val="{00000002-6230-41BB-AA25-7474CF6BBD8E}"/>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1-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3-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6230-41BB-AA25-7474CF6BBD8E}"/>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View'!$E$77:$F$77</c15:sqref>
                        </c15:formulaRef>
                      </c:ext>
                    </c:extLst>
                    <c:numCache>
                      <c:formatCode>#,##0</c:formatCode>
                      <c:ptCount val="2"/>
                      <c:pt idx="0">
                        <c:v>0</c:v>
                      </c:pt>
                      <c:pt idx="1">
                        <c:v>8</c:v>
                      </c:pt>
                    </c:numCache>
                  </c:numRef>
                </c:val>
                <c:extLst xmlns:c15="http://schemas.microsoft.com/office/drawing/2012/chart">
                  <c:ext xmlns:c16="http://schemas.microsoft.com/office/drawing/2014/chart" uri="{C3380CC4-5D6E-409C-BE32-E72D297353CC}">
                    <c16:uniqueId val="{00000004-6230-41BB-AA25-7474CF6BBD8E}"/>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9-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B-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View'!$E$79:$F$79</c15:sqref>
                        </c15:formulaRef>
                      </c:ext>
                    </c:extLst>
                    <c:numCache>
                      <c:formatCode>#,##0</c:formatCode>
                      <c:ptCount val="2"/>
                      <c:pt idx="0">
                        <c:v>0</c:v>
                      </c:pt>
                      <c:pt idx="1">
                        <c:v>10</c:v>
                      </c:pt>
                    </c:numCache>
                  </c:numRef>
                </c:val>
                <c:extLst xmlns:c15="http://schemas.microsoft.com/office/drawing/2012/chart">
                  <c:ext xmlns:c16="http://schemas.microsoft.com/office/drawing/2014/chart" uri="{C3380CC4-5D6E-409C-BE32-E72D297353CC}">
                    <c16:uniqueId val="{00000005-6230-41BB-AA25-7474CF6BBD8E}"/>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D-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F-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View'!$E$80:$F$80</c15:sqref>
                        </c15:formulaRef>
                      </c:ext>
                    </c:extLst>
                    <c:numCache>
                      <c:formatCode>#,##0</c:formatCode>
                      <c:ptCount val="2"/>
                      <c:pt idx="0">
                        <c:v>1</c:v>
                      </c:pt>
                      <c:pt idx="1">
                        <c:v>10</c:v>
                      </c:pt>
                    </c:numCache>
                  </c:numRef>
                </c:val>
                <c:extLst xmlns:c15="http://schemas.microsoft.com/office/drawing/2012/chart">
                  <c:ext xmlns:c16="http://schemas.microsoft.com/office/drawing/2014/chart" uri="{C3380CC4-5D6E-409C-BE32-E72D297353CC}">
                    <c16:uniqueId val="{00000006-6230-41BB-AA25-7474CF6BBD8E}"/>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1-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3-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View'!$E$81:$F$81</c15:sqref>
                        </c15:formulaRef>
                      </c:ext>
                    </c:extLst>
                    <c:numCache>
                      <c:formatCode>#,##0</c:formatCode>
                      <c:ptCount val="2"/>
                      <c:pt idx="0">
                        <c:v>1</c:v>
                      </c:pt>
                      <c:pt idx="1">
                        <c:v>4</c:v>
                      </c:pt>
                    </c:numCache>
                  </c:numRef>
                </c:val>
                <c:extLst xmlns:c15="http://schemas.microsoft.com/office/drawing/2012/chart">
                  <c:ext xmlns:c16="http://schemas.microsoft.com/office/drawing/2014/chart" uri="{C3380CC4-5D6E-409C-BE32-E72D297353CC}">
                    <c16:uniqueId val="{00000007-6230-41BB-AA25-7474CF6BBD8E}"/>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5-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7-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View'!$E$82:$F$82</c15:sqref>
                        </c15:formulaRef>
                      </c:ext>
                    </c:extLst>
                    <c:numCache>
                      <c:formatCode>#,##0</c:formatCode>
                      <c:ptCount val="2"/>
                      <c:pt idx="0">
                        <c:v>2</c:v>
                      </c:pt>
                      <c:pt idx="1">
                        <c:v>7</c:v>
                      </c:pt>
                    </c:numCache>
                  </c:numRef>
                </c:val>
                <c:extLst xmlns:c15="http://schemas.microsoft.com/office/drawing/2012/chart">
                  <c:ext xmlns:c16="http://schemas.microsoft.com/office/drawing/2014/chart" uri="{C3380CC4-5D6E-409C-BE32-E72D297353CC}">
                    <c16:uniqueId val="{00000008-6230-41BB-AA25-7474CF6BBD8E}"/>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View'!$E$84:$F$84</c15:sqref>
                        </c15:formulaRef>
                      </c:ext>
                    </c:extLst>
                    <c:numCache>
                      <c:formatCode>#,##0</c:formatCode>
                      <c:ptCount val="2"/>
                      <c:pt idx="0">
                        <c:v>7</c:v>
                      </c:pt>
                      <c:pt idx="1">
                        <c:v>4</c:v>
                      </c:pt>
                    </c:numCache>
                  </c:numRef>
                </c:val>
                <c:extLst xmlns:c15="http://schemas.microsoft.com/office/drawing/2012/chart">
                  <c:ext xmlns:c16="http://schemas.microsoft.com/office/drawing/2014/chart" uri="{C3380CC4-5D6E-409C-BE32-E72D297353CC}">
                    <c16:uniqueId val="{00000009-6230-41BB-AA25-7474CF6BBD8E}"/>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3A8D-40EB-8436-A1943BE997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3A8D-40EB-8436-A1943BE997B4}"/>
                    </c:ext>
                  </c:extLst>
                </c:dPt>
                <c:cat>
                  <c:strRef>
                    <c:extLst xmlns:c15="http://schemas.microsoft.com/office/drawing/2012/chart">
                      <c:ext xmlns:c15="http://schemas.microsoft.com/office/drawing/2012/chart" uri="{02D57815-91ED-43cb-92C2-25804820EDAC}">
                        <c15:formulaRef>
                          <c15:sqref>'State &amp; Regional NeT GP View'!$E$72:$F$72</c15:sqref>
                        </c15:formulaRef>
                      </c:ext>
                    </c:extLst>
                    <c:strCache>
                      <c:ptCount val="2"/>
                      <c:pt idx="0">
                        <c:v>Number of NeT General Permits (State) - Deployed</c:v>
                      </c:pt>
                      <c:pt idx="1">
                        <c:v>Number of NeT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View'!$E$85:$F$85</c15:sqref>
                        </c15:formulaRef>
                      </c:ext>
                    </c:extLst>
                    <c:numCache>
                      <c:formatCode>#,##0</c:formatCode>
                      <c:ptCount val="2"/>
                      <c:pt idx="0">
                        <c:v>0</c:v>
                      </c:pt>
                      <c:pt idx="1">
                        <c:v>4</c:v>
                      </c:pt>
                    </c:numCache>
                  </c:numRef>
                </c:val>
                <c:extLst xmlns:c15="http://schemas.microsoft.com/office/drawing/2012/chart">
                  <c:ext xmlns:c16="http://schemas.microsoft.com/office/drawing/2014/chart" uri="{C3380CC4-5D6E-409C-BE32-E72D297353CC}">
                    <c16:uniqueId val="{0000000A-6230-41BB-AA25-7474CF6BBD8E}"/>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1BD2-43A6-80CE-7D1936B80BC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1BD2-43A6-80CE-7D1936B80BCC}"/>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D2-43A6-80CE-7D1936B80BCC}"/>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D2-43A6-80CE-7D1936B80B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View'!$E$91:$F$91</c:f>
              <c:strCache>
                <c:ptCount val="2"/>
                <c:pt idx="0">
                  <c:v>Estimated Number of General Permit Covered Facilities (State) - Deployed</c:v>
                </c:pt>
                <c:pt idx="1">
                  <c:v>Estimated Number of General Permit Covered Facilities (State) - Not Deployed</c:v>
                </c:pt>
              </c:strCache>
            </c:strRef>
          </c:cat>
          <c:val>
            <c:numRef>
              <c:f>'State &amp; Regional NeT GP View'!$E$105:$F$105</c:f>
              <c:numCache>
                <c:formatCode>#,##0</c:formatCode>
                <c:ptCount val="2"/>
                <c:pt idx="0">
                  <c:v>9407</c:v>
                </c:pt>
                <c:pt idx="1">
                  <c:v>17185</c:v>
                </c:pt>
              </c:numCache>
            </c:numRef>
          </c:val>
          <c:extLst>
            <c:ext xmlns:c16="http://schemas.microsoft.com/office/drawing/2014/chart" uri="{C3380CC4-5D6E-409C-BE32-E72D297353CC}">
              <c16:uniqueId val="{00000004-1BD2-43A6-80CE-7D1936B80BCC}"/>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1BD2-43A6-80CE-7D1936B80BC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1BD2-43A6-80CE-7D1936B80BCC}"/>
                    </c:ext>
                  </c:extLst>
                </c:dPt>
                <c:cat>
                  <c:strRef>
                    <c:extLst>
                      <c:ext uri="{02D57815-91ED-43cb-92C2-25804820EDAC}">
                        <c15:formulaRef>
                          <c15:sqref>'State &amp; Regional NeT GP View'!$E$91:$F$91</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c:ext uri="{02D57815-91ED-43cb-92C2-25804820EDAC}">
                        <c15:formulaRef>
                          <c15:sqref>'State &amp; Regional NeT GP View'!$E$92:$F$92</c15:sqref>
                        </c15:formulaRef>
                      </c:ext>
                    </c:extLst>
                    <c:numCache>
                      <c:formatCode>#,##0</c:formatCode>
                      <c:ptCount val="2"/>
                      <c:pt idx="0">
                        <c:v>0</c:v>
                      </c:pt>
                      <c:pt idx="1">
                        <c:v>2712</c:v>
                      </c:pt>
                    </c:numCache>
                  </c:numRef>
                </c:val>
                <c:extLst>
                  <c:ext xmlns:c16="http://schemas.microsoft.com/office/drawing/2014/chart" uri="{C3380CC4-5D6E-409C-BE32-E72D297353CC}">
                    <c16:uniqueId val="{00000009-1BD2-43A6-80CE-7D1936B80BCC}"/>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1BD2-43A6-80CE-7D1936B80BCC}"/>
                    </c:ext>
                  </c:extLst>
                </c:dPt>
                <c:cat>
                  <c:strRef>
                    <c:extLst xmlns:c15="http://schemas.microsoft.com/office/drawing/2012/chart">
                      <c:ext xmlns:c15="http://schemas.microsoft.com/office/drawing/2012/chart" uri="{02D57815-91ED-43cb-92C2-25804820EDAC}">
                        <c15:formulaRef>
                          <c15:sqref>'State &amp; Regional NeT GP View'!$E$91:$F$91</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View'!$E$94:$F$94</c15:sqref>
                        </c15:formulaRef>
                      </c:ext>
                    </c:extLst>
                    <c:numCache>
                      <c:formatCode>#,##0</c:formatCode>
                      <c:ptCount val="2"/>
                      <c:pt idx="0">
                        <c:v>10</c:v>
                      </c:pt>
                      <c:pt idx="1">
                        <c:v>190</c:v>
                      </c:pt>
                    </c:numCache>
                  </c:numRef>
                </c:val>
                <c:extLst xmlns:c15="http://schemas.microsoft.com/office/drawing/2012/chart">
                  <c:ext xmlns:c16="http://schemas.microsoft.com/office/drawing/2014/chart" uri="{C3380CC4-5D6E-409C-BE32-E72D297353CC}">
                    <c16:uniqueId val="{0000000E-1BD2-43A6-80CE-7D1936B80BCC}"/>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1BD2-43A6-80CE-7D1936B80BCC}"/>
                    </c:ext>
                  </c:extLst>
                </c:dPt>
                <c:cat>
                  <c:strRef>
                    <c:extLst xmlns:c15="http://schemas.microsoft.com/office/drawing/2012/chart">
                      <c:ext xmlns:c15="http://schemas.microsoft.com/office/drawing/2012/chart" uri="{02D57815-91ED-43cb-92C2-25804820EDAC}">
                        <c15:formulaRef>
                          <c15:sqref>'State &amp; Regional NeT GP View'!$E$91:$F$91</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View'!$E$95:$F$95</c15:sqref>
                        </c15:formulaRef>
                      </c:ext>
                    </c:extLst>
                    <c:numCache>
                      <c:formatCode>#,##0</c:formatCode>
                      <c:ptCount val="2"/>
                      <c:pt idx="0">
                        <c:v>1499</c:v>
                      </c:pt>
                      <c:pt idx="1">
                        <c:v>3989</c:v>
                      </c:pt>
                    </c:numCache>
                  </c:numRef>
                </c:val>
                <c:extLst xmlns:c15="http://schemas.microsoft.com/office/drawing/2012/chart">
                  <c:ext xmlns:c16="http://schemas.microsoft.com/office/drawing/2014/chart" uri="{C3380CC4-5D6E-409C-BE32-E72D297353CC}">
                    <c16:uniqueId val="{00000013-1BD2-43A6-80CE-7D1936B80BCC}"/>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1BD2-43A6-80CE-7D1936B80BCC}"/>
                    </c:ext>
                  </c:extLst>
                </c:dPt>
                <c:cat>
                  <c:strRef>
                    <c:extLst xmlns:c15="http://schemas.microsoft.com/office/drawing/2012/chart">
                      <c:ext xmlns:c15="http://schemas.microsoft.com/office/drawing/2012/chart" uri="{02D57815-91ED-43cb-92C2-25804820EDAC}">
                        <c15:formulaRef>
                          <c15:sqref>'State &amp; Regional NeT GP View'!$E$91:$F$91</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1BD2-43A6-80CE-7D1936B80BCC}"/>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1BD2-43A6-80CE-7D1936B80BCC}"/>
                    </c:ext>
                  </c:extLst>
                </c:dPt>
                <c:cat>
                  <c:strRef>
                    <c:extLst xmlns:c15="http://schemas.microsoft.com/office/drawing/2012/chart">
                      <c:ext xmlns:c15="http://schemas.microsoft.com/office/drawing/2012/chart" uri="{02D57815-91ED-43cb-92C2-25804820EDAC}">
                        <c15:formulaRef>
                          <c15:sqref>'State &amp; Regional NeT GP View'!$E$91:$F$91</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View'!$E$96:$F$96</c15:sqref>
                        </c15:formulaRef>
                      </c:ext>
                    </c:extLst>
                    <c:numCache>
                      <c:formatCode>#,##0</c:formatCode>
                      <c:ptCount val="2"/>
                      <c:pt idx="0">
                        <c:v>0</c:v>
                      </c:pt>
                      <c:pt idx="1">
                        <c:v>63</c:v>
                      </c:pt>
                    </c:numCache>
                  </c:numRef>
                </c:val>
                <c:extLst xmlns:c15="http://schemas.microsoft.com/office/drawing/2012/chart">
                  <c:ext xmlns:c16="http://schemas.microsoft.com/office/drawing/2014/chart" uri="{C3380CC4-5D6E-409C-BE32-E72D297353CC}">
                    <c16:uniqueId val="{0000001D-1BD2-43A6-80CE-7D1936B80BCC}"/>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1BD2-43A6-80CE-7D1936B80BCC}"/>
                    </c:ext>
                  </c:extLst>
                </c:dPt>
                <c:cat>
                  <c:strRef>
                    <c:extLst xmlns:c15="http://schemas.microsoft.com/office/drawing/2012/chart">
                      <c:ext xmlns:c15="http://schemas.microsoft.com/office/drawing/2012/chart" uri="{02D57815-91ED-43cb-92C2-25804820EDAC}">
                        <c15:formulaRef>
                          <c15:sqref>'State &amp; Regional NeT GP View'!$E$91:$F$91</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View'!$E$98:$F$98</c15:sqref>
                        </c15:formulaRef>
                      </c:ext>
                    </c:extLst>
                    <c:numCache>
                      <c:formatCode>#,##0</c:formatCode>
                      <c:ptCount val="2"/>
                      <c:pt idx="0">
                        <c:v>0</c:v>
                      </c:pt>
                      <c:pt idx="1">
                        <c:v>4123</c:v>
                      </c:pt>
                    </c:numCache>
                  </c:numRef>
                </c:val>
                <c:extLst xmlns:c15="http://schemas.microsoft.com/office/drawing/2012/chart">
                  <c:ext xmlns:c16="http://schemas.microsoft.com/office/drawing/2014/chart" uri="{C3380CC4-5D6E-409C-BE32-E72D297353CC}">
                    <c16:uniqueId val="{00000022-1BD2-43A6-80CE-7D1936B80BCC}"/>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1BD2-43A6-80CE-7D1936B80BCC}"/>
                    </c:ext>
                  </c:extLst>
                </c:dPt>
                <c:cat>
                  <c:strRef>
                    <c:extLst xmlns:c15="http://schemas.microsoft.com/office/drawing/2012/chart">
                      <c:ext xmlns:c15="http://schemas.microsoft.com/office/drawing/2012/chart" uri="{02D57815-91ED-43cb-92C2-25804820EDAC}">
                        <c15:formulaRef>
                          <c15:sqref>'State &amp; Regional NeT GP View'!$E$91:$F$91</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View'!$E$99:$F$99</c15:sqref>
                        </c15:formulaRef>
                      </c:ext>
                    </c:extLst>
                    <c:numCache>
                      <c:formatCode>#,##0</c:formatCode>
                      <c:ptCount val="2"/>
                      <c:pt idx="0">
                        <c:v>14</c:v>
                      </c:pt>
                      <c:pt idx="1">
                        <c:v>506</c:v>
                      </c:pt>
                    </c:numCache>
                  </c:numRef>
                </c:val>
                <c:extLst xmlns:c15="http://schemas.microsoft.com/office/drawing/2012/chart">
                  <c:ext xmlns:c16="http://schemas.microsoft.com/office/drawing/2014/chart" uri="{C3380CC4-5D6E-409C-BE32-E72D297353CC}">
                    <c16:uniqueId val="{00000027-1BD2-43A6-80CE-7D1936B80BCC}"/>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1BD2-43A6-80CE-7D1936B80BCC}"/>
                    </c:ext>
                  </c:extLst>
                </c:dPt>
                <c:cat>
                  <c:strRef>
                    <c:extLst xmlns:c15="http://schemas.microsoft.com/office/drawing/2012/chart">
                      <c:ext xmlns:c15="http://schemas.microsoft.com/office/drawing/2012/chart" uri="{02D57815-91ED-43cb-92C2-25804820EDAC}">
                        <c15:formulaRef>
                          <c15:sqref>'State &amp; Regional NeT GP View'!$E$91:$F$91</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View'!$E$100:$F$100</c15:sqref>
                        </c15:formulaRef>
                      </c:ext>
                    </c:extLst>
                    <c:numCache>
                      <c:formatCode>#,##0</c:formatCode>
                      <c:ptCount val="2"/>
                      <c:pt idx="0">
                        <c:v>171</c:v>
                      </c:pt>
                      <c:pt idx="1">
                        <c:v>112</c:v>
                      </c:pt>
                    </c:numCache>
                  </c:numRef>
                </c:val>
                <c:extLst xmlns:c15="http://schemas.microsoft.com/office/drawing/2012/chart">
                  <c:ext xmlns:c16="http://schemas.microsoft.com/office/drawing/2014/chart" uri="{C3380CC4-5D6E-409C-BE32-E72D297353CC}">
                    <c16:uniqueId val="{0000002C-1BD2-43A6-80CE-7D1936B80BCC}"/>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1BD2-43A6-80CE-7D1936B80BCC}"/>
                    </c:ext>
                  </c:extLst>
                </c:dPt>
                <c:cat>
                  <c:strRef>
                    <c:extLst xmlns:c15="http://schemas.microsoft.com/office/drawing/2012/chart">
                      <c:ext xmlns:c15="http://schemas.microsoft.com/office/drawing/2012/chart" uri="{02D57815-91ED-43cb-92C2-25804820EDAC}">
                        <c15:formulaRef>
                          <c15:sqref>'State &amp; Regional NeT GP View'!$E$91:$F$91</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View'!$E$101:$F$101</c15:sqref>
                        </c15:formulaRef>
                      </c:ext>
                    </c:extLst>
                    <c:numCache>
                      <c:formatCode>#,##0</c:formatCode>
                      <c:ptCount val="2"/>
                      <c:pt idx="0">
                        <c:v>2701</c:v>
                      </c:pt>
                      <c:pt idx="1">
                        <c:v>529</c:v>
                      </c:pt>
                    </c:numCache>
                  </c:numRef>
                </c:val>
                <c:extLst xmlns:c15="http://schemas.microsoft.com/office/drawing/2012/chart">
                  <c:ext xmlns:c16="http://schemas.microsoft.com/office/drawing/2014/chart" uri="{C3380CC4-5D6E-409C-BE32-E72D297353CC}">
                    <c16:uniqueId val="{00000031-1BD2-43A6-80CE-7D1936B80BCC}"/>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1BD2-43A6-80CE-7D1936B80BCC}"/>
                    </c:ext>
                  </c:extLst>
                </c:dPt>
                <c:cat>
                  <c:strRef>
                    <c:extLst xmlns:c15="http://schemas.microsoft.com/office/drawing/2012/chart">
                      <c:ext xmlns:c15="http://schemas.microsoft.com/office/drawing/2012/chart" uri="{02D57815-91ED-43cb-92C2-25804820EDAC}">
                        <c15:formulaRef>
                          <c15:sqref>'State &amp; Regional NeT GP View'!$E$91:$F$91</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View'!$E$103:$F$103</c15:sqref>
                        </c15:formulaRef>
                      </c:ext>
                    </c:extLst>
                    <c:numCache>
                      <c:formatCode>#,##0</c:formatCode>
                      <c:ptCount val="2"/>
                      <c:pt idx="0">
                        <c:v>4495</c:v>
                      </c:pt>
                      <c:pt idx="1">
                        <c:v>63</c:v>
                      </c:pt>
                    </c:numCache>
                  </c:numRef>
                </c:val>
                <c:extLst xmlns:c15="http://schemas.microsoft.com/office/drawing/2012/chart">
                  <c:ext xmlns:c16="http://schemas.microsoft.com/office/drawing/2014/chart" uri="{C3380CC4-5D6E-409C-BE32-E72D297353CC}">
                    <c16:uniqueId val="{00000036-1BD2-43A6-80CE-7D1936B80BCC}"/>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BD2-43A6-80CE-7D1936B80BC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BD2-43A6-80CE-7D1936B80BCC}"/>
                    </c:ext>
                  </c:extLst>
                </c:dPt>
                <c:cat>
                  <c:strRef>
                    <c:extLst xmlns:c15="http://schemas.microsoft.com/office/drawing/2012/chart">
                      <c:ext xmlns:c15="http://schemas.microsoft.com/office/drawing/2012/chart" uri="{02D57815-91ED-43cb-92C2-25804820EDAC}">
                        <c15:formulaRef>
                          <c15:sqref>'State &amp; Regional NeT GP View'!$E$91:$F$91</c15:sqref>
                        </c15:formulaRef>
                      </c:ext>
                    </c:extLst>
                    <c:strCache>
                      <c:ptCount val="2"/>
                      <c:pt idx="0">
                        <c:v>Estimated Number of General Permit Covered Facilities (State) - Deployed</c:v>
                      </c:pt>
                      <c:pt idx="1">
                        <c:v>Estimated Number of General Permit Covered Facilities (State) - Not Deployed</c:v>
                      </c:pt>
                    </c:strCache>
                  </c:strRef>
                </c:cat>
                <c:val>
                  <c:numRef>
                    <c:extLst xmlns:c15="http://schemas.microsoft.com/office/drawing/2012/chart">
                      <c:ext xmlns:c15="http://schemas.microsoft.com/office/drawing/2012/chart" uri="{02D57815-91ED-43cb-92C2-25804820EDAC}">
                        <c15:formulaRef>
                          <c15:sqref>'State &amp; Regional NeT GP View'!$E$104:$F$104</c15:sqref>
                        </c15:formulaRef>
                      </c:ext>
                    </c:extLst>
                    <c:numCache>
                      <c:formatCode>#,##0</c:formatCode>
                      <c:ptCount val="2"/>
                      <c:pt idx="0">
                        <c:v>0</c:v>
                      </c:pt>
                      <c:pt idx="1">
                        <c:v>147</c:v>
                      </c:pt>
                    </c:numCache>
                  </c:numRef>
                </c:val>
                <c:extLst xmlns:c15="http://schemas.microsoft.com/office/drawing/2012/chart">
                  <c:ext xmlns:c16="http://schemas.microsoft.com/office/drawing/2014/chart" uri="{C3380CC4-5D6E-409C-BE32-E72D297353CC}">
                    <c16:uniqueId val="{0000003B-1BD2-43A6-80CE-7D1936B80BCC}"/>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C615-4E2F-90A5-B902BCEB91A8}"/>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C615-4E2F-90A5-B902BCEB91A8}"/>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15-4E2F-90A5-B902BCEB91A8}"/>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15-4E2F-90A5-B902BCEB91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View'!$E$110:$F$110</c:f>
              <c:strCache>
                <c:ptCount val="2"/>
                <c:pt idx="0">
                  <c:v>Estimated Number of Proxy Cards - General Permits (State) - Deployed</c:v>
                </c:pt>
                <c:pt idx="1">
                  <c:v>Estimated Number of Proxy Cards - General Permits (State) - Not Deployed</c:v>
                </c:pt>
              </c:strCache>
            </c:strRef>
          </c:cat>
          <c:val>
            <c:numRef>
              <c:f>'State &amp; Regional NeT GP View'!$E$124:$F$124</c:f>
              <c:numCache>
                <c:formatCode>#,##0</c:formatCode>
                <c:ptCount val="2"/>
                <c:pt idx="0">
                  <c:v>14</c:v>
                </c:pt>
                <c:pt idx="1">
                  <c:v>53</c:v>
                </c:pt>
              </c:numCache>
            </c:numRef>
          </c:val>
          <c:extLst>
            <c:ext xmlns:c16="http://schemas.microsoft.com/office/drawing/2014/chart" uri="{C3380CC4-5D6E-409C-BE32-E72D297353CC}">
              <c16:uniqueId val="{00000004-C615-4E2F-90A5-B902BCEB91A8}"/>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C615-4E2F-90A5-B902BCEB91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C615-4E2F-90A5-B902BCEB91A8}"/>
                    </c:ext>
                  </c:extLst>
                </c:dPt>
                <c:cat>
                  <c:strRef>
                    <c:extLst>
                      <c:ext uri="{02D57815-91ED-43cb-92C2-25804820EDAC}">
                        <c15:formulaRef>
                          <c15:sqref>'State &amp; Regional NeT GP View'!$E$110:$F$110</c15:sqref>
                        </c15:formulaRef>
                      </c:ext>
                    </c:extLst>
                    <c:strCache>
                      <c:ptCount val="2"/>
                      <c:pt idx="0">
                        <c:v>Estimated Number of Proxy Cards - General Permits (State) - Deployed</c:v>
                      </c:pt>
                      <c:pt idx="1">
                        <c:v>Estimated Number of Proxy Cards - General Permits (State) - Not Deployed</c:v>
                      </c:pt>
                    </c:strCache>
                  </c:strRef>
                </c:cat>
                <c:val>
                  <c:numRef>
                    <c:extLst>
                      <c:ext uri="{02D57815-91ED-43cb-92C2-25804820EDAC}">
                        <c15:formulaRef>
                          <c15:sqref>'State &amp; Regional NeT GP View'!$E$111:$F$111</c15:sqref>
                        </c15:formulaRef>
                      </c:ext>
                    </c:extLst>
                    <c:numCache>
                      <c:formatCode>#,##0</c:formatCode>
                      <c:ptCount val="2"/>
                      <c:pt idx="0">
                        <c:v>0</c:v>
                      </c:pt>
                      <c:pt idx="1">
                        <c:v>6</c:v>
                      </c:pt>
                    </c:numCache>
                  </c:numRef>
                </c:val>
                <c:extLst>
                  <c:ext xmlns:c16="http://schemas.microsoft.com/office/drawing/2014/chart" uri="{C3380CC4-5D6E-409C-BE32-E72D297353CC}">
                    <c16:uniqueId val="{00000009-C615-4E2F-90A5-B902BCEB91A8}"/>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C615-4E2F-90A5-B902BCEB91A8}"/>
                    </c:ext>
                  </c:extLst>
                </c:dPt>
                <c:cat>
                  <c:strRef>
                    <c:extLst xmlns:c15="http://schemas.microsoft.com/office/drawing/2012/chart">
                      <c:ext xmlns:c15="http://schemas.microsoft.com/office/drawing/2012/chart" uri="{02D57815-91ED-43cb-92C2-25804820EDAC}">
                        <c15:formulaRef>
                          <c15:sqref>'State &amp; Regional NeT GP View'!$E$110:$F$110</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View'!$E$113:$F$113</c15:sqref>
                        </c15:formulaRef>
                      </c:ext>
                    </c:extLst>
                    <c:numCache>
                      <c:formatCode>#,##0</c:formatCode>
                      <c:ptCount val="2"/>
                      <c:pt idx="0">
                        <c:v>0</c:v>
                      </c:pt>
                      <c:pt idx="1">
                        <c:v>3</c:v>
                      </c:pt>
                    </c:numCache>
                  </c:numRef>
                </c:val>
                <c:extLst xmlns:c15="http://schemas.microsoft.com/office/drawing/2012/chart">
                  <c:ext xmlns:c16="http://schemas.microsoft.com/office/drawing/2014/chart" uri="{C3380CC4-5D6E-409C-BE32-E72D297353CC}">
                    <c16:uniqueId val="{0000000E-C615-4E2F-90A5-B902BCEB91A8}"/>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C615-4E2F-90A5-B902BCEB91A8}"/>
                    </c:ext>
                  </c:extLst>
                </c:dPt>
                <c:cat>
                  <c:strRef>
                    <c:extLst xmlns:c15="http://schemas.microsoft.com/office/drawing/2012/chart">
                      <c:ext xmlns:c15="http://schemas.microsoft.com/office/drawing/2012/chart" uri="{02D57815-91ED-43cb-92C2-25804820EDAC}">
                        <c15:formulaRef>
                          <c15:sqref>'State &amp; Regional NeT GP View'!$E$110:$F$110</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View'!$E$114:$F$114</c15:sqref>
                        </c15:formulaRef>
                      </c:ext>
                    </c:extLst>
                    <c:numCache>
                      <c:formatCode>#,##0</c:formatCode>
                      <c:ptCount val="2"/>
                      <c:pt idx="0">
                        <c:v>2</c:v>
                      </c:pt>
                      <c:pt idx="1">
                        <c:v>8</c:v>
                      </c:pt>
                    </c:numCache>
                  </c:numRef>
                </c:val>
                <c:extLst xmlns:c15="http://schemas.microsoft.com/office/drawing/2012/chart">
                  <c:ext xmlns:c16="http://schemas.microsoft.com/office/drawing/2014/chart" uri="{C3380CC4-5D6E-409C-BE32-E72D297353CC}">
                    <c16:uniqueId val="{00000013-C615-4E2F-90A5-B902BCEB91A8}"/>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C615-4E2F-90A5-B902BCEB91A8}"/>
                    </c:ext>
                  </c:extLst>
                </c:dPt>
                <c:cat>
                  <c:strRef>
                    <c:extLst xmlns:c15="http://schemas.microsoft.com/office/drawing/2012/chart">
                      <c:ext xmlns:c15="http://schemas.microsoft.com/office/drawing/2012/chart" uri="{02D57815-91ED-43cb-92C2-25804820EDAC}">
                        <c15:formulaRef>
                          <c15:sqref>'State &amp; Regional NeT GP View'!$E$110:$F$110</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C615-4E2F-90A5-B902BCEB91A8}"/>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C615-4E2F-90A5-B902BCEB91A8}"/>
                    </c:ext>
                  </c:extLst>
                </c:dPt>
                <c:cat>
                  <c:strRef>
                    <c:extLst xmlns:c15="http://schemas.microsoft.com/office/drawing/2012/chart">
                      <c:ext xmlns:c15="http://schemas.microsoft.com/office/drawing/2012/chart" uri="{02D57815-91ED-43cb-92C2-25804820EDAC}">
                        <c15:formulaRef>
                          <c15:sqref>'State &amp; Regional NeT GP View'!$E$110:$F$110</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View'!$E$115:$F$115</c15:sqref>
                        </c15:formulaRef>
                      </c:ext>
                    </c:extLst>
                    <c:numCache>
                      <c:formatCode>#,##0</c:formatCode>
                      <c:ptCount val="2"/>
                      <c:pt idx="0">
                        <c:v>0</c:v>
                      </c:pt>
                      <c:pt idx="1">
                        <c:v>3</c:v>
                      </c:pt>
                    </c:numCache>
                  </c:numRef>
                </c:val>
                <c:extLst xmlns:c15="http://schemas.microsoft.com/office/drawing/2012/chart">
                  <c:ext xmlns:c16="http://schemas.microsoft.com/office/drawing/2014/chart" uri="{C3380CC4-5D6E-409C-BE32-E72D297353CC}">
                    <c16:uniqueId val="{0000001D-C615-4E2F-90A5-B902BCEB91A8}"/>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C615-4E2F-90A5-B902BCEB91A8}"/>
                    </c:ext>
                  </c:extLst>
                </c:dPt>
                <c:cat>
                  <c:strRef>
                    <c:extLst xmlns:c15="http://schemas.microsoft.com/office/drawing/2012/chart">
                      <c:ext xmlns:c15="http://schemas.microsoft.com/office/drawing/2012/chart" uri="{02D57815-91ED-43cb-92C2-25804820EDAC}">
                        <c15:formulaRef>
                          <c15:sqref>'State &amp; Regional NeT GP View'!$E$110:$F$110</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View'!$E$117:$F$117</c15:sqref>
                        </c15:formulaRef>
                      </c:ext>
                    </c:extLst>
                    <c:numCache>
                      <c:formatCode>#,##0</c:formatCode>
                      <c:ptCount val="2"/>
                      <c:pt idx="0">
                        <c:v>0</c:v>
                      </c:pt>
                      <c:pt idx="1">
                        <c:v>5</c:v>
                      </c:pt>
                    </c:numCache>
                  </c:numRef>
                </c:val>
                <c:extLst xmlns:c15="http://schemas.microsoft.com/office/drawing/2012/chart">
                  <c:ext xmlns:c16="http://schemas.microsoft.com/office/drawing/2014/chart" uri="{C3380CC4-5D6E-409C-BE32-E72D297353CC}">
                    <c16:uniqueId val="{00000022-C615-4E2F-90A5-B902BCEB91A8}"/>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C615-4E2F-90A5-B902BCEB91A8}"/>
                    </c:ext>
                  </c:extLst>
                </c:dPt>
                <c:cat>
                  <c:strRef>
                    <c:extLst xmlns:c15="http://schemas.microsoft.com/office/drawing/2012/chart">
                      <c:ext xmlns:c15="http://schemas.microsoft.com/office/drawing/2012/chart" uri="{02D57815-91ED-43cb-92C2-25804820EDAC}">
                        <c15:formulaRef>
                          <c15:sqref>'State &amp; Regional NeT GP View'!$E$110:$F$110</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View'!$E$118:$F$118</c15:sqref>
                        </c15:formulaRef>
                      </c:ext>
                    </c:extLst>
                    <c:numCache>
                      <c:formatCode>#,##0</c:formatCode>
                      <c:ptCount val="2"/>
                      <c:pt idx="0">
                        <c:v>1</c:v>
                      </c:pt>
                      <c:pt idx="1">
                        <c:v>3</c:v>
                      </c:pt>
                    </c:numCache>
                  </c:numRef>
                </c:val>
                <c:extLst xmlns:c15="http://schemas.microsoft.com/office/drawing/2012/chart">
                  <c:ext xmlns:c16="http://schemas.microsoft.com/office/drawing/2014/chart" uri="{C3380CC4-5D6E-409C-BE32-E72D297353CC}">
                    <c16:uniqueId val="{00000027-C615-4E2F-90A5-B902BCEB91A8}"/>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C615-4E2F-90A5-B902BCEB91A8}"/>
                    </c:ext>
                  </c:extLst>
                </c:dPt>
                <c:cat>
                  <c:strRef>
                    <c:extLst xmlns:c15="http://schemas.microsoft.com/office/drawing/2012/chart">
                      <c:ext xmlns:c15="http://schemas.microsoft.com/office/drawing/2012/chart" uri="{02D57815-91ED-43cb-92C2-25804820EDAC}">
                        <c15:formulaRef>
                          <c15:sqref>'State &amp; Regional NeT GP View'!$E$110:$F$110</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View'!$E$119:$F$119</c15:sqref>
                        </c15:formulaRef>
                      </c:ext>
                    </c:extLst>
                    <c:numCache>
                      <c:formatCode>#,##0</c:formatCode>
                      <c:ptCount val="2"/>
                      <c:pt idx="0">
                        <c:v>1</c:v>
                      </c:pt>
                      <c:pt idx="1">
                        <c:v>4</c:v>
                      </c:pt>
                    </c:numCache>
                  </c:numRef>
                </c:val>
                <c:extLst xmlns:c15="http://schemas.microsoft.com/office/drawing/2012/chart">
                  <c:ext xmlns:c16="http://schemas.microsoft.com/office/drawing/2014/chart" uri="{C3380CC4-5D6E-409C-BE32-E72D297353CC}">
                    <c16:uniqueId val="{0000002C-C615-4E2F-90A5-B902BCEB91A8}"/>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C615-4E2F-90A5-B902BCEB91A8}"/>
                    </c:ext>
                  </c:extLst>
                </c:dPt>
                <c:cat>
                  <c:strRef>
                    <c:extLst xmlns:c15="http://schemas.microsoft.com/office/drawing/2012/chart">
                      <c:ext xmlns:c15="http://schemas.microsoft.com/office/drawing/2012/chart" uri="{02D57815-91ED-43cb-92C2-25804820EDAC}">
                        <c15:formulaRef>
                          <c15:sqref>'State &amp; Regional NeT GP View'!$E$110:$F$110</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View'!$E$120:$F$120</c15:sqref>
                        </c15:formulaRef>
                      </c:ext>
                    </c:extLst>
                    <c:numCache>
                      <c:formatCode>#,##0</c:formatCode>
                      <c:ptCount val="2"/>
                      <c:pt idx="0">
                        <c:v>2</c:v>
                      </c:pt>
                      <c:pt idx="1">
                        <c:v>5</c:v>
                      </c:pt>
                    </c:numCache>
                  </c:numRef>
                </c:val>
                <c:extLst xmlns:c15="http://schemas.microsoft.com/office/drawing/2012/chart">
                  <c:ext xmlns:c16="http://schemas.microsoft.com/office/drawing/2014/chart" uri="{C3380CC4-5D6E-409C-BE32-E72D297353CC}">
                    <c16:uniqueId val="{00000031-C615-4E2F-90A5-B902BCEB91A8}"/>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C615-4E2F-90A5-B902BCEB91A8}"/>
                    </c:ext>
                  </c:extLst>
                </c:dPt>
                <c:cat>
                  <c:strRef>
                    <c:extLst xmlns:c15="http://schemas.microsoft.com/office/drawing/2012/chart">
                      <c:ext xmlns:c15="http://schemas.microsoft.com/office/drawing/2012/chart" uri="{02D57815-91ED-43cb-92C2-25804820EDAC}">
                        <c15:formulaRef>
                          <c15:sqref>'State &amp; Regional NeT GP View'!$E$110:$F$110</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View'!$E$122:$F$122</c15:sqref>
                        </c15:formulaRef>
                      </c:ext>
                    </c:extLst>
                    <c:numCache>
                      <c:formatCode>#,##0</c:formatCode>
                      <c:ptCount val="2"/>
                      <c:pt idx="0">
                        <c:v>6</c:v>
                      </c:pt>
                      <c:pt idx="1">
                        <c:v>3</c:v>
                      </c:pt>
                    </c:numCache>
                  </c:numRef>
                </c:val>
                <c:extLst xmlns:c15="http://schemas.microsoft.com/office/drawing/2012/chart">
                  <c:ext xmlns:c16="http://schemas.microsoft.com/office/drawing/2014/chart" uri="{C3380CC4-5D6E-409C-BE32-E72D297353CC}">
                    <c16:uniqueId val="{00000036-C615-4E2F-90A5-B902BCEB91A8}"/>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C615-4E2F-90A5-B902BCEB91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C615-4E2F-90A5-B902BCEB91A8}"/>
                    </c:ext>
                  </c:extLst>
                </c:dPt>
                <c:cat>
                  <c:strRef>
                    <c:extLst xmlns:c15="http://schemas.microsoft.com/office/drawing/2012/chart">
                      <c:ext xmlns:c15="http://schemas.microsoft.com/office/drawing/2012/chart" uri="{02D57815-91ED-43cb-92C2-25804820EDAC}">
                        <c15:formulaRef>
                          <c15:sqref>'State &amp; Regional NeT GP View'!$E$110:$F$110</c15:sqref>
                        </c15:formulaRef>
                      </c:ext>
                    </c:extLst>
                    <c:strCache>
                      <c:ptCount val="2"/>
                      <c:pt idx="0">
                        <c:v>Estimated Number of Proxy Cards - General Permits (State) - Deployed</c:v>
                      </c:pt>
                      <c:pt idx="1">
                        <c:v>Estimated Number of Proxy Cards - General Permits (State) - Not Deployed</c:v>
                      </c:pt>
                    </c:strCache>
                  </c:strRef>
                </c:cat>
                <c:val>
                  <c:numRef>
                    <c:extLst xmlns:c15="http://schemas.microsoft.com/office/drawing/2012/chart">
                      <c:ext xmlns:c15="http://schemas.microsoft.com/office/drawing/2012/chart" uri="{02D57815-91ED-43cb-92C2-25804820EDAC}">
                        <c15:formulaRef>
                          <c15:sqref>'State &amp; Regional NeT GP View'!$E$123:$F$123</c15:sqref>
                        </c15:formulaRef>
                      </c:ext>
                    </c:extLst>
                    <c:numCache>
                      <c:formatCode>#,##0</c:formatCode>
                      <c:ptCount val="2"/>
                      <c:pt idx="0">
                        <c:v>0</c:v>
                      </c:pt>
                      <c:pt idx="1">
                        <c:v>4</c:v>
                      </c:pt>
                    </c:numCache>
                  </c:numRef>
                </c:val>
                <c:extLst xmlns:c15="http://schemas.microsoft.com/office/drawing/2012/chart">
                  <c:ext xmlns:c16="http://schemas.microsoft.com/office/drawing/2014/chart" uri="{C3380CC4-5D6E-409C-BE32-E72D297353CC}">
                    <c16:uniqueId val="{0000003B-C615-4E2F-90A5-B902BCEB91A8}"/>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0C41-40A4-A039-589F2F7DD96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0C41-40A4-A039-589F2F7DD961}"/>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41-40A4-A039-589F2F7DD961}"/>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41-40A4-A039-589F2F7DD9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View'!$E$129:$F$129</c:f>
              <c:strCache>
                <c:ptCount val="2"/>
                <c:pt idx="0">
                  <c:v>Number of NeT General Permits (EPA) - Deployed</c:v>
                </c:pt>
                <c:pt idx="1">
                  <c:v>Number of NeT General Permits (EPA) - Not Deployed</c:v>
                </c:pt>
              </c:strCache>
            </c:strRef>
          </c:cat>
          <c:val>
            <c:numRef>
              <c:f>'State &amp; Regional NeT GP View'!$E$141:$F$141</c:f>
              <c:numCache>
                <c:formatCode>#,##0</c:formatCode>
                <c:ptCount val="2"/>
                <c:pt idx="0">
                  <c:v>159</c:v>
                </c:pt>
                <c:pt idx="1">
                  <c:v>38</c:v>
                </c:pt>
              </c:numCache>
            </c:numRef>
          </c:val>
          <c:extLst>
            <c:ext xmlns:c16="http://schemas.microsoft.com/office/drawing/2014/chart" uri="{C3380CC4-5D6E-409C-BE32-E72D297353CC}">
              <c16:uniqueId val="{00000004-0C41-40A4-A039-589F2F7DD961}"/>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0C41-40A4-A039-589F2F7DD9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0C41-40A4-A039-589F2F7DD961}"/>
                    </c:ext>
                  </c:extLst>
                </c:dPt>
                <c:cat>
                  <c:strRef>
                    <c:extLst>
                      <c:ext uri="{02D57815-91ED-43cb-92C2-25804820EDAC}">
                        <c15:formulaRef>
                          <c15:sqref>'State &amp; Regional NeT GP View'!$E$129:$F$129</c15:sqref>
                        </c15:formulaRef>
                      </c:ext>
                    </c:extLst>
                    <c:strCache>
                      <c:ptCount val="2"/>
                      <c:pt idx="0">
                        <c:v>Number of NeT General Permits (EPA) - Deployed</c:v>
                      </c:pt>
                      <c:pt idx="1">
                        <c:v>Number of NeT General Permits (EPA) - Not Deployed</c:v>
                      </c:pt>
                    </c:strCache>
                  </c:strRef>
                </c:cat>
                <c:val>
                  <c:numRef>
                    <c:extLst>
                      <c:ext uri="{02D57815-91ED-43cb-92C2-25804820EDAC}">
                        <c15:formulaRef>
                          <c15:sqref>'State &amp; Regional NeT GP View'!$E$130:$F$130</c15:sqref>
                        </c15:formulaRef>
                      </c:ext>
                    </c:extLst>
                    <c:numCache>
                      <c:formatCode>#,##0</c:formatCode>
                      <c:ptCount val="2"/>
                      <c:pt idx="0">
                        <c:v>140</c:v>
                      </c:pt>
                      <c:pt idx="1">
                        <c:v>0</c:v>
                      </c:pt>
                    </c:numCache>
                  </c:numRef>
                </c:val>
                <c:extLst>
                  <c:ext xmlns:c16="http://schemas.microsoft.com/office/drawing/2014/chart" uri="{C3380CC4-5D6E-409C-BE32-E72D297353CC}">
                    <c16:uniqueId val="{00000009-0C41-40A4-A039-589F2F7DD961}"/>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0C41-40A4-A039-589F2F7DD961}"/>
                    </c:ext>
                  </c:extLst>
                </c:dPt>
                <c:cat>
                  <c:strRef>
                    <c:extLst xmlns:c15="http://schemas.microsoft.com/office/drawing/2012/chart">
                      <c:ext xmlns:c15="http://schemas.microsoft.com/office/drawing/2012/chart" uri="{02D57815-91ED-43cb-92C2-25804820EDAC}">
                        <c15:formulaRef>
                          <c15:sqref>'State &amp; Regional NeT GP View'!$E$129:$F$129</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View'!$E$131:$F$131</c15:sqref>
                        </c15:formulaRef>
                      </c:ext>
                    </c:extLst>
                    <c:numCache>
                      <c:formatCode>#,##0</c:formatCode>
                      <c:ptCount val="2"/>
                      <c:pt idx="0">
                        <c:v>8</c:v>
                      </c:pt>
                      <c:pt idx="1">
                        <c:v>16</c:v>
                      </c:pt>
                    </c:numCache>
                  </c:numRef>
                </c:val>
                <c:extLst xmlns:c15="http://schemas.microsoft.com/office/drawing/2012/chart">
                  <c:ext xmlns:c16="http://schemas.microsoft.com/office/drawing/2014/chart" uri="{C3380CC4-5D6E-409C-BE32-E72D297353CC}">
                    <c16:uniqueId val="{0000000E-0C41-40A4-A039-589F2F7DD961}"/>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0C41-40A4-A039-589F2F7DD961}"/>
                    </c:ext>
                  </c:extLst>
                </c:dPt>
                <c:cat>
                  <c:strRef>
                    <c:extLst xmlns:c15="http://schemas.microsoft.com/office/drawing/2012/chart">
                      <c:ext xmlns:c15="http://schemas.microsoft.com/office/drawing/2012/chart" uri="{02D57815-91ED-43cb-92C2-25804820EDAC}">
                        <c15:formulaRef>
                          <c15:sqref>'State &amp; Regional NeT GP View'!$E$129:$F$129</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View'!$E$132:$F$132</c15:sqref>
                        </c15:formulaRef>
                      </c:ext>
                    </c:extLst>
                    <c:numCache>
                      <c:formatCode>#,##0</c:formatCode>
                      <c:ptCount val="2"/>
                      <c:pt idx="0">
                        <c:v>0</c:v>
                      </c:pt>
                      <c:pt idx="1">
                        <c:v>1</c:v>
                      </c:pt>
                    </c:numCache>
                  </c:numRef>
                </c:val>
                <c:extLst xmlns:c15="http://schemas.microsoft.com/office/drawing/2012/chart">
                  <c:ext xmlns:c16="http://schemas.microsoft.com/office/drawing/2014/chart" uri="{C3380CC4-5D6E-409C-BE32-E72D297353CC}">
                    <c16:uniqueId val="{00000013-0C41-40A4-A039-589F2F7DD961}"/>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0C41-40A4-A039-589F2F7DD961}"/>
                    </c:ext>
                  </c:extLst>
                </c:dPt>
                <c:cat>
                  <c:strRef>
                    <c:extLst xmlns:c15="http://schemas.microsoft.com/office/drawing/2012/chart">
                      <c:ext xmlns:c15="http://schemas.microsoft.com/office/drawing/2012/chart" uri="{02D57815-91ED-43cb-92C2-25804820EDAC}">
                        <c15:formulaRef>
                          <c15:sqref>'State &amp; Regional NeT GP View'!$E$129:$F$129</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View'!$E$133:$F$133</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18-0C41-40A4-A039-589F2F7DD961}"/>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0C41-40A4-A039-589F2F7DD961}"/>
                    </c:ext>
                  </c:extLst>
                </c:dPt>
                <c:cat>
                  <c:strRef>
                    <c:extLst xmlns:c15="http://schemas.microsoft.com/office/drawing/2012/chart">
                      <c:ext xmlns:c15="http://schemas.microsoft.com/office/drawing/2012/chart" uri="{02D57815-91ED-43cb-92C2-25804820EDAC}">
                        <c15:formulaRef>
                          <c15:sqref>'State &amp; Regional NeT GP View'!$E$129:$F$129</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View'!$E$134:$F$134</c15:sqref>
                        </c15:formulaRef>
                      </c:ext>
                    </c:extLst>
                    <c:numCache>
                      <c:formatCode>#,##0</c:formatCode>
                      <c:ptCount val="2"/>
                      <c:pt idx="0">
                        <c:v>1</c:v>
                      </c:pt>
                      <c:pt idx="1">
                        <c:v>0</c:v>
                      </c:pt>
                    </c:numCache>
                  </c:numRef>
                </c:val>
                <c:extLst xmlns:c15="http://schemas.microsoft.com/office/drawing/2012/chart">
                  <c:ext xmlns:c16="http://schemas.microsoft.com/office/drawing/2014/chart" uri="{C3380CC4-5D6E-409C-BE32-E72D297353CC}">
                    <c16:uniqueId val="{0000001D-0C41-40A4-A039-589F2F7DD961}"/>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0C41-40A4-A039-589F2F7DD961}"/>
                    </c:ext>
                  </c:extLst>
                </c:dPt>
                <c:cat>
                  <c:strRef>
                    <c:extLst xmlns:c15="http://schemas.microsoft.com/office/drawing/2012/chart">
                      <c:ext xmlns:c15="http://schemas.microsoft.com/office/drawing/2012/chart" uri="{02D57815-91ED-43cb-92C2-25804820EDAC}">
                        <c15:formulaRef>
                          <c15:sqref>'State &amp; Regional NeT GP View'!$E$129:$F$129</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View'!$E$135:$F$135</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2-0C41-40A4-A039-589F2F7DD961}"/>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0C41-40A4-A039-589F2F7DD961}"/>
                    </c:ext>
                  </c:extLst>
                </c:dPt>
                <c:cat>
                  <c:strRef>
                    <c:extLst xmlns:c15="http://schemas.microsoft.com/office/drawing/2012/chart">
                      <c:ext xmlns:c15="http://schemas.microsoft.com/office/drawing/2012/chart" uri="{02D57815-91ED-43cb-92C2-25804820EDAC}">
                        <c15:formulaRef>
                          <c15:sqref>'State &amp; Regional NeT GP View'!$E$129:$F$129</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View'!$E$136:$F$136</c15:sqref>
                        </c15:formulaRef>
                      </c:ext>
                    </c:extLst>
                    <c:numCache>
                      <c:formatCode>#,##0</c:formatCode>
                      <c:ptCount val="2"/>
                      <c:pt idx="0">
                        <c:v>7</c:v>
                      </c:pt>
                      <c:pt idx="1">
                        <c:v>3</c:v>
                      </c:pt>
                    </c:numCache>
                  </c:numRef>
                </c:val>
                <c:extLst xmlns:c15="http://schemas.microsoft.com/office/drawing/2012/chart">
                  <c:ext xmlns:c16="http://schemas.microsoft.com/office/drawing/2014/chart" uri="{C3380CC4-5D6E-409C-BE32-E72D297353CC}">
                    <c16:uniqueId val="{00000027-0C41-40A4-A039-589F2F7DD961}"/>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0C41-40A4-A039-589F2F7DD961}"/>
                    </c:ext>
                  </c:extLst>
                </c:dPt>
                <c:cat>
                  <c:strRef>
                    <c:extLst xmlns:c15="http://schemas.microsoft.com/office/drawing/2012/chart">
                      <c:ext xmlns:c15="http://schemas.microsoft.com/office/drawing/2012/chart" uri="{02D57815-91ED-43cb-92C2-25804820EDAC}">
                        <c15:formulaRef>
                          <c15:sqref>'State &amp; Regional NeT GP View'!$E$129:$F$129</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View'!$E$137:$F$137</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C-0C41-40A4-A039-589F2F7DD961}"/>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0C41-40A4-A039-589F2F7DD961}"/>
                    </c:ext>
                  </c:extLst>
                </c:dPt>
                <c:cat>
                  <c:strRef>
                    <c:extLst xmlns:c15="http://schemas.microsoft.com/office/drawing/2012/chart">
                      <c:ext xmlns:c15="http://schemas.microsoft.com/office/drawing/2012/chart" uri="{02D57815-91ED-43cb-92C2-25804820EDAC}">
                        <c15:formulaRef>
                          <c15:sqref>'State &amp; Regional NeT GP View'!$E$129:$F$129</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View'!$E$138:$F$138</c15:sqref>
                        </c15:formulaRef>
                      </c:ext>
                    </c:extLst>
                    <c:numCache>
                      <c:formatCode>#,##0</c:formatCode>
                      <c:ptCount val="2"/>
                      <c:pt idx="0">
                        <c:v>0</c:v>
                      </c:pt>
                      <c:pt idx="1">
                        <c:v>12</c:v>
                      </c:pt>
                    </c:numCache>
                  </c:numRef>
                </c:val>
                <c:extLst xmlns:c15="http://schemas.microsoft.com/office/drawing/2012/chart">
                  <c:ext xmlns:c16="http://schemas.microsoft.com/office/drawing/2014/chart" uri="{C3380CC4-5D6E-409C-BE32-E72D297353CC}">
                    <c16:uniqueId val="{00000031-0C41-40A4-A039-589F2F7DD961}"/>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0C41-40A4-A039-589F2F7DD961}"/>
                    </c:ext>
                  </c:extLst>
                </c:dPt>
                <c:cat>
                  <c:strRef>
                    <c:extLst xmlns:c15="http://schemas.microsoft.com/office/drawing/2012/chart">
                      <c:ext xmlns:c15="http://schemas.microsoft.com/office/drawing/2012/chart" uri="{02D57815-91ED-43cb-92C2-25804820EDAC}">
                        <c15:formulaRef>
                          <c15:sqref>'State &amp; Regional NeT GP View'!$E$129:$F$129</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View'!$E$139:$F$139</c15:sqref>
                        </c15:formulaRef>
                      </c:ext>
                    </c:extLst>
                    <c:numCache>
                      <c:formatCode>#,##0</c:formatCode>
                      <c:ptCount val="2"/>
                      <c:pt idx="0">
                        <c:v>0</c:v>
                      </c:pt>
                      <c:pt idx="1">
                        <c:v>3</c:v>
                      </c:pt>
                    </c:numCache>
                  </c:numRef>
                </c:val>
                <c:extLst xmlns:c15="http://schemas.microsoft.com/office/drawing/2012/chart">
                  <c:ext xmlns:c16="http://schemas.microsoft.com/office/drawing/2014/chart" uri="{C3380CC4-5D6E-409C-BE32-E72D297353CC}">
                    <c16:uniqueId val="{00000036-0C41-40A4-A039-589F2F7DD961}"/>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0C41-40A4-A039-589F2F7DD96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0C41-40A4-A039-589F2F7DD961}"/>
                    </c:ext>
                  </c:extLst>
                </c:dPt>
                <c:cat>
                  <c:strRef>
                    <c:extLst xmlns:c15="http://schemas.microsoft.com/office/drawing/2012/chart">
                      <c:ext xmlns:c15="http://schemas.microsoft.com/office/drawing/2012/chart" uri="{02D57815-91ED-43cb-92C2-25804820EDAC}">
                        <c15:formulaRef>
                          <c15:sqref>'State &amp; Regional NeT GP View'!$E$129:$F$129</c15:sqref>
                        </c15:formulaRef>
                      </c:ext>
                    </c:extLst>
                    <c:strCache>
                      <c:ptCount val="2"/>
                      <c:pt idx="0">
                        <c:v>Number of NeT General Permits (EPA) - Deployed</c:v>
                      </c:pt>
                      <c:pt idx="1">
                        <c:v>Number of NeT General Permits (EPA) - Not Deployed</c:v>
                      </c:pt>
                    </c:strCache>
                  </c:strRef>
                </c:cat>
                <c:val>
                  <c:numRef>
                    <c:extLst xmlns:c15="http://schemas.microsoft.com/office/drawing/2012/chart">
                      <c:ext xmlns:c15="http://schemas.microsoft.com/office/drawing/2012/chart" uri="{02D57815-91ED-43cb-92C2-25804820EDAC}">
                        <c15:formulaRef>
                          <c15:sqref>'State &amp; Regional NeT GP View'!$E$140:$F$140</c15:sqref>
                        </c15:formulaRef>
                      </c:ext>
                    </c:extLst>
                    <c:numCache>
                      <c:formatCode>#,##0</c:formatCode>
                      <c:ptCount val="2"/>
                      <c:pt idx="0">
                        <c:v>3</c:v>
                      </c:pt>
                      <c:pt idx="1">
                        <c:v>3</c:v>
                      </c:pt>
                    </c:numCache>
                  </c:numRef>
                </c:val>
                <c:extLst xmlns:c15="http://schemas.microsoft.com/office/drawing/2012/chart">
                  <c:ext xmlns:c16="http://schemas.microsoft.com/office/drawing/2014/chart" uri="{C3380CC4-5D6E-409C-BE32-E72D297353CC}">
                    <c16:uniqueId val="{0000003B-0C41-40A4-A039-589F2F7DD96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1AB9-410D-9EE1-141CC71CCEC6}"/>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1AB9-410D-9EE1-141CC71CCEC6}"/>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B9-410D-9EE1-141CC71CCEC6}"/>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B9-410D-9EE1-141CC71CCE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View'!$E$144:$F$144</c:f>
              <c:strCache>
                <c:ptCount val="2"/>
                <c:pt idx="0">
                  <c:v>Number of NeT General Permit Filers (EPA) - Deployed</c:v>
                </c:pt>
                <c:pt idx="1">
                  <c:v>Number of NeT General Permit Filers (EPA) - Not Deployed</c:v>
                </c:pt>
              </c:strCache>
            </c:strRef>
          </c:cat>
          <c:val>
            <c:numRef>
              <c:f>'State &amp; Regional NeT GP View'!$E$156:$F$156</c:f>
              <c:numCache>
                <c:formatCode>#,##0</c:formatCode>
                <c:ptCount val="2"/>
                <c:pt idx="0">
                  <c:v>23946</c:v>
                </c:pt>
                <c:pt idx="1">
                  <c:v>4507</c:v>
                </c:pt>
              </c:numCache>
            </c:numRef>
          </c:val>
          <c:extLst>
            <c:ext xmlns:c16="http://schemas.microsoft.com/office/drawing/2014/chart" uri="{C3380CC4-5D6E-409C-BE32-E72D297353CC}">
              <c16:uniqueId val="{00000004-1AB9-410D-9EE1-141CC71CCEC6}"/>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1AB9-410D-9EE1-141CC71CCE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1AB9-410D-9EE1-141CC71CCEC6}"/>
                    </c:ext>
                  </c:extLst>
                </c:dPt>
                <c:cat>
                  <c:strRef>
                    <c:extLst>
                      <c:ext uri="{02D57815-91ED-43cb-92C2-25804820EDAC}">
                        <c15:formulaRef>
                          <c15:sqref>'State &amp; Regional NeT GP View'!$E$144:$F$144</c15:sqref>
                        </c15:formulaRef>
                      </c:ext>
                    </c:extLst>
                    <c:strCache>
                      <c:ptCount val="2"/>
                      <c:pt idx="0">
                        <c:v>Number of NeT General Permit Filers (EPA) - Deployed</c:v>
                      </c:pt>
                      <c:pt idx="1">
                        <c:v>Number of NeT General Permit Filers (EPA) - Not Deployed</c:v>
                      </c:pt>
                    </c:strCache>
                  </c:strRef>
                </c:cat>
                <c:val>
                  <c:numRef>
                    <c:extLst>
                      <c:ext uri="{02D57815-91ED-43cb-92C2-25804820EDAC}">
                        <c15:formulaRef>
                          <c15:sqref>'State &amp; Regional NeT GP View'!$E$130:$F$130</c15:sqref>
                        </c15:formulaRef>
                      </c:ext>
                    </c:extLst>
                    <c:numCache>
                      <c:formatCode>#,##0</c:formatCode>
                      <c:ptCount val="2"/>
                      <c:pt idx="0">
                        <c:v>140</c:v>
                      </c:pt>
                      <c:pt idx="1">
                        <c:v>0</c:v>
                      </c:pt>
                    </c:numCache>
                  </c:numRef>
                </c:val>
                <c:extLst>
                  <c:ext xmlns:c16="http://schemas.microsoft.com/office/drawing/2014/chart" uri="{C3380CC4-5D6E-409C-BE32-E72D297353CC}">
                    <c16:uniqueId val="{00000009-1AB9-410D-9EE1-141CC71CCEC6}"/>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1AB9-410D-9EE1-141CC71CCEC6}"/>
                    </c:ext>
                  </c:extLst>
                </c:dPt>
                <c:cat>
                  <c:strRef>
                    <c:extLst xmlns:c15="http://schemas.microsoft.com/office/drawing/2012/chart">
                      <c:ext xmlns:c15="http://schemas.microsoft.com/office/drawing/2012/chart" uri="{02D57815-91ED-43cb-92C2-25804820EDAC}">
                        <c15:formulaRef>
                          <c15:sqref>'State &amp; Regional NeT GP View'!$E$144:$F$144</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View'!$E$131:$F$131</c15:sqref>
                        </c15:formulaRef>
                      </c:ext>
                    </c:extLst>
                    <c:numCache>
                      <c:formatCode>#,##0</c:formatCode>
                      <c:ptCount val="2"/>
                      <c:pt idx="0">
                        <c:v>8</c:v>
                      </c:pt>
                      <c:pt idx="1">
                        <c:v>16</c:v>
                      </c:pt>
                    </c:numCache>
                  </c:numRef>
                </c:val>
                <c:extLst xmlns:c15="http://schemas.microsoft.com/office/drawing/2012/chart">
                  <c:ext xmlns:c16="http://schemas.microsoft.com/office/drawing/2014/chart" uri="{C3380CC4-5D6E-409C-BE32-E72D297353CC}">
                    <c16:uniqueId val="{0000000E-1AB9-410D-9EE1-141CC71CCEC6}"/>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1AB9-410D-9EE1-141CC71CCEC6}"/>
                    </c:ext>
                  </c:extLst>
                </c:dPt>
                <c:cat>
                  <c:strRef>
                    <c:extLst xmlns:c15="http://schemas.microsoft.com/office/drawing/2012/chart">
                      <c:ext xmlns:c15="http://schemas.microsoft.com/office/drawing/2012/chart" uri="{02D57815-91ED-43cb-92C2-25804820EDAC}">
                        <c15:formulaRef>
                          <c15:sqref>'State &amp; Regional NeT GP View'!$E$144:$F$144</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View'!$E$132:$F$132</c15:sqref>
                        </c15:formulaRef>
                      </c:ext>
                    </c:extLst>
                    <c:numCache>
                      <c:formatCode>#,##0</c:formatCode>
                      <c:ptCount val="2"/>
                      <c:pt idx="0">
                        <c:v>0</c:v>
                      </c:pt>
                      <c:pt idx="1">
                        <c:v>1</c:v>
                      </c:pt>
                    </c:numCache>
                  </c:numRef>
                </c:val>
                <c:extLst xmlns:c15="http://schemas.microsoft.com/office/drawing/2012/chart">
                  <c:ext xmlns:c16="http://schemas.microsoft.com/office/drawing/2014/chart" uri="{C3380CC4-5D6E-409C-BE32-E72D297353CC}">
                    <c16:uniqueId val="{00000013-1AB9-410D-9EE1-141CC71CCEC6}"/>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1AB9-410D-9EE1-141CC71CCEC6}"/>
                    </c:ext>
                  </c:extLst>
                </c:dPt>
                <c:cat>
                  <c:strRef>
                    <c:extLst xmlns:c15="http://schemas.microsoft.com/office/drawing/2012/chart">
                      <c:ext xmlns:c15="http://schemas.microsoft.com/office/drawing/2012/chart" uri="{02D57815-91ED-43cb-92C2-25804820EDAC}">
                        <c15:formulaRef>
                          <c15:sqref>'State &amp; Regional NeT GP View'!$E$144:$F$144</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View'!$E$133:$F$133</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18-1AB9-410D-9EE1-141CC71CCEC6}"/>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1AB9-410D-9EE1-141CC71CCEC6}"/>
                    </c:ext>
                  </c:extLst>
                </c:dPt>
                <c:cat>
                  <c:strRef>
                    <c:extLst xmlns:c15="http://schemas.microsoft.com/office/drawing/2012/chart">
                      <c:ext xmlns:c15="http://schemas.microsoft.com/office/drawing/2012/chart" uri="{02D57815-91ED-43cb-92C2-25804820EDAC}">
                        <c15:formulaRef>
                          <c15:sqref>'State &amp; Regional NeT GP View'!$E$144:$F$144</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View'!$E$134:$F$134</c15:sqref>
                        </c15:formulaRef>
                      </c:ext>
                    </c:extLst>
                    <c:numCache>
                      <c:formatCode>#,##0</c:formatCode>
                      <c:ptCount val="2"/>
                      <c:pt idx="0">
                        <c:v>1</c:v>
                      </c:pt>
                      <c:pt idx="1">
                        <c:v>0</c:v>
                      </c:pt>
                    </c:numCache>
                  </c:numRef>
                </c:val>
                <c:extLst xmlns:c15="http://schemas.microsoft.com/office/drawing/2012/chart">
                  <c:ext xmlns:c16="http://schemas.microsoft.com/office/drawing/2014/chart" uri="{C3380CC4-5D6E-409C-BE32-E72D297353CC}">
                    <c16:uniqueId val="{0000001D-1AB9-410D-9EE1-141CC71CCEC6}"/>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1AB9-410D-9EE1-141CC71CCEC6}"/>
                    </c:ext>
                  </c:extLst>
                </c:dPt>
                <c:cat>
                  <c:strRef>
                    <c:extLst xmlns:c15="http://schemas.microsoft.com/office/drawing/2012/chart">
                      <c:ext xmlns:c15="http://schemas.microsoft.com/office/drawing/2012/chart" uri="{02D57815-91ED-43cb-92C2-25804820EDAC}">
                        <c15:formulaRef>
                          <c15:sqref>'State &amp; Regional NeT GP View'!$E$144:$F$144</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View'!$E$135:$F$135</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2-1AB9-410D-9EE1-141CC71CCEC6}"/>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1AB9-410D-9EE1-141CC71CCEC6}"/>
                    </c:ext>
                  </c:extLst>
                </c:dPt>
                <c:cat>
                  <c:strRef>
                    <c:extLst xmlns:c15="http://schemas.microsoft.com/office/drawing/2012/chart">
                      <c:ext xmlns:c15="http://schemas.microsoft.com/office/drawing/2012/chart" uri="{02D57815-91ED-43cb-92C2-25804820EDAC}">
                        <c15:formulaRef>
                          <c15:sqref>'State &amp; Regional NeT GP View'!$E$144:$F$144</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View'!$E$136:$F$136</c15:sqref>
                        </c15:formulaRef>
                      </c:ext>
                    </c:extLst>
                    <c:numCache>
                      <c:formatCode>#,##0</c:formatCode>
                      <c:ptCount val="2"/>
                      <c:pt idx="0">
                        <c:v>7</c:v>
                      </c:pt>
                      <c:pt idx="1">
                        <c:v>3</c:v>
                      </c:pt>
                    </c:numCache>
                  </c:numRef>
                </c:val>
                <c:extLst xmlns:c15="http://schemas.microsoft.com/office/drawing/2012/chart">
                  <c:ext xmlns:c16="http://schemas.microsoft.com/office/drawing/2014/chart" uri="{C3380CC4-5D6E-409C-BE32-E72D297353CC}">
                    <c16:uniqueId val="{00000027-1AB9-410D-9EE1-141CC71CCEC6}"/>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1AB9-410D-9EE1-141CC71CCEC6}"/>
                    </c:ext>
                  </c:extLst>
                </c:dPt>
                <c:cat>
                  <c:strRef>
                    <c:extLst xmlns:c15="http://schemas.microsoft.com/office/drawing/2012/chart">
                      <c:ext xmlns:c15="http://schemas.microsoft.com/office/drawing/2012/chart" uri="{02D57815-91ED-43cb-92C2-25804820EDAC}">
                        <c15:formulaRef>
                          <c15:sqref>'State &amp; Regional NeT GP View'!$E$144:$F$144</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View'!$E$137:$F$137</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C-1AB9-410D-9EE1-141CC71CCEC6}"/>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1AB9-410D-9EE1-141CC71CCEC6}"/>
                    </c:ext>
                  </c:extLst>
                </c:dPt>
                <c:cat>
                  <c:strRef>
                    <c:extLst xmlns:c15="http://schemas.microsoft.com/office/drawing/2012/chart">
                      <c:ext xmlns:c15="http://schemas.microsoft.com/office/drawing/2012/chart" uri="{02D57815-91ED-43cb-92C2-25804820EDAC}">
                        <c15:formulaRef>
                          <c15:sqref>'State &amp; Regional NeT GP View'!$E$144:$F$144</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View'!$E$138:$F$138</c15:sqref>
                        </c15:formulaRef>
                      </c:ext>
                    </c:extLst>
                    <c:numCache>
                      <c:formatCode>#,##0</c:formatCode>
                      <c:ptCount val="2"/>
                      <c:pt idx="0">
                        <c:v>0</c:v>
                      </c:pt>
                      <c:pt idx="1">
                        <c:v>12</c:v>
                      </c:pt>
                    </c:numCache>
                  </c:numRef>
                </c:val>
                <c:extLst xmlns:c15="http://schemas.microsoft.com/office/drawing/2012/chart">
                  <c:ext xmlns:c16="http://schemas.microsoft.com/office/drawing/2014/chart" uri="{C3380CC4-5D6E-409C-BE32-E72D297353CC}">
                    <c16:uniqueId val="{00000031-1AB9-410D-9EE1-141CC71CCEC6}"/>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1AB9-410D-9EE1-141CC71CCEC6}"/>
                    </c:ext>
                  </c:extLst>
                </c:dPt>
                <c:cat>
                  <c:strRef>
                    <c:extLst xmlns:c15="http://schemas.microsoft.com/office/drawing/2012/chart">
                      <c:ext xmlns:c15="http://schemas.microsoft.com/office/drawing/2012/chart" uri="{02D57815-91ED-43cb-92C2-25804820EDAC}">
                        <c15:formulaRef>
                          <c15:sqref>'State &amp; Regional NeT GP View'!$E$144:$F$144</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View'!$E$139:$F$139</c15:sqref>
                        </c15:formulaRef>
                      </c:ext>
                    </c:extLst>
                    <c:numCache>
                      <c:formatCode>#,##0</c:formatCode>
                      <c:ptCount val="2"/>
                      <c:pt idx="0">
                        <c:v>0</c:v>
                      </c:pt>
                      <c:pt idx="1">
                        <c:v>3</c:v>
                      </c:pt>
                    </c:numCache>
                  </c:numRef>
                </c:val>
                <c:extLst xmlns:c15="http://schemas.microsoft.com/office/drawing/2012/chart">
                  <c:ext xmlns:c16="http://schemas.microsoft.com/office/drawing/2014/chart" uri="{C3380CC4-5D6E-409C-BE32-E72D297353CC}">
                    <c16:uniqueId val="{00000036-1AB9-410D-9EE1-141CC71CCEC6}"/>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AB9-410D-9EE1-141CC71CCEC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AB9-410D-9EE1-141CC71CCEC6}"/>
                    </c:ext>
                  </c:extLst>
                </c:dPt>
                <c:cat>
                  <c:strRef>
                    <c:extLst xmlns:c15="http://schemas.microsoft.com/office/drawing/2012/chart">
                      <c:ext xmlns:c15="http://schemas.microsoft.com/office/drawing/2012/chart" uri="{02D57815-91ED-43cb-92C2-25804820EDAC}">
                        <c15:formulaRef>
                          <c15:sqref>'State &amp; Regional NeT GP View'!$E$144:$F$144</c15:sqref>
                        </c15:formulaRef>
                      </c:ext>
                    </c:extLst>
                    <c:strCache>
                      <c:ptCount val="2"/>
                      <c:pt idx="0">
                        <c:v>Number of NeT General Permit Filers (EPA) - Deployed</c:v>
                      </c:pt>
                      <c:pt idx="1">
                        <c:v>Number of NeT General Permit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View'!$E$140:$F$140</c15:sqref>
                        </c15:formulaRef>
                      </c:ext>
                    </c:extLst>
                    <c:numCache>
                      <c:formatCode>#,##0</c:formatCode>
                      <c:ptCount val="2"/>
                      <c:pt idx="0">
                        <c:v>3</c:v>
                      </c:pt>
                      <c:pt idx="1">
                        <c:v>3</c:v>
                      </c:pt>
                    </c:numCache>
                  </c:numRef>
                </c:val>
                <c:extLst xmlns:c15="http://schemas.microsoft.com/office/drawing/2012/chart">
                  <c:ext xmlns:c16="http://schemas.microsoft.com/office/drawing/2014/chart" uri="{C3380CC4-5D6E-409C-BE32-E72D297353CC}">
                    <c16:uniqueId val="{0000003B-1AB9-410D-9EE1-141CC71CCEC6}"/>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DBC0-4688-A07D-5A685B236842}"/>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DBC0-4688-A07D-5A685B236842}"/>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C0-4688-A07D-5A685B236842}"/>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C0-4688-A07D-5A685B2368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View'!$E$160:$F$160</c:f>
              <c:strCache>
                <c:ptCount val="2"/>
                <c:pt idx="0">
                  <c:v>Number of NeT General Permit Proxy Cards (EPA) - Deployed</c:v>
                </c:pt>
                <c:pt idx="1">
                  <c:v>Number of NeT General Permit Proxy Cards (EPA) - Not Deployed</c:v>
                </c:pt>
              </c:strCache>
            </c:strRef>
          </c:cat>
          <c:val>
            <c:numRef>
              <c:f>'State &amp; Regional NeT GP View'!$E$172:$F$172</c:f>
              <c:numCache>
                <c:formatCode>#,##0</c:formatCode>
                <c:ptCount val="2"/>
                <c:pt idx="0">
                  <c:v>11</c:v>
                </c:pt>
                <c:pt idx="1">
                  <c:v>13</c:v>
                </c:pt>
              </c:numCache>
            </c:numRef>
          </c:val>
          <c:extLst>
            <c:ext xmlns:c16="http://schemas.microsoft.com/office/drawing/2014/chart" uri="{C3380CC4-5D6E-409C-BE32-E72D297353CC}">
              <c16:uniqueId val="{00000004-DBC0-4688-A07D-5A685B236842}"/>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DBC0-4688-A07D-5A685B2368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DBC0-4688-A07D-5A685B236842}"/>
                    </c:ext>
                  </c:extLst>
                </c:dPt>
                <c:cat>
                  <c:strRef>
                    <c:extLst>
                      <c:ext uri="{02D57815-91ED-43cb-92C2-25804820EDAC}">
                        <c15:formulaRef>
                          <c15:sqref>'State &amp; Regional NeT GP View'!$E$160:$F$160</c15:sqref>
                        </c15:formulaRef>
                      </c:ext>
                    </c:extLst>
                    <c:strCache>
                      <c:ptCount val="2"/>
                      <c:pt idx="0">
                        <c:v>Number of NeT General Permit Proxy Cards (EPA) - Deployed</c:v>
                      </c:pt>
                      <c:pt idx="1">
                        <c:v>Number of NeT General Permit Proxy Cards (EPA) - Not Deployed</c:v>
                      </c:pt>
                    </c:strCache>
                  </c:strRef>
                </c:cat>
                <c:val>
                  <c:numRef>
                    <c:extLst>
                      <c:ext uri="{02D57815-91ED-43cb-92C2-25804820EDAC}">
                        <c15:formulaRef>
                          <c15:sqref>'State &amp; Regional NeT GP View'!$E$130:$F$130</c15:sqref>
                        </c15:formulaRef>
                      </c:ext>
                    </c:extLst>
                    <c:numCache>
                      <c:formatCode>#,##0</c:formatCode>
                      <c:ptCount val="2"/>
                      <c:pt idx="0">
                        <c:v>140</c:v>
                      </c:pt>
                      <c:pt idx="1">
                        <c:v>0</c:v>
                      </c:pt>
                    </c:numCache>
                  </c:numRef>
                </c:val>
                <c:extLst>
                  <c:ext xmlns:c16="http://schemas.microsoft.com/office/drawing/2014/chart" uri="{C3380CC4-5D6E-409C-BE32-E72D297353CC}">
                    <c16:uniqueId val="{00000009-DBC0-4688-A07D-5A685B236842}"/>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DBC0-4688-A07D-5A685B236842}"/>
                    </c:ext>
                  </c:extLst>
                </c:dPt>
                <c:cat>
                  <c:strRef>
                    <c:extLst xmlns:c15="http://schemas.microsoft.com/office/drawing/2012/chart">
                      <c:ext xmlns:c15="http://schemas.microsoft.com/office/drawing/2012/chart" uri="{02D57815-91ED-43cb-92C2-25804820EDAC}">
                        <c15:formulaRef>
                          <c15:sqref>'State &amp; Regional NeT GP View'!$E$160:$F$160</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View'!$E$131:$F$131</c15:sqref>
                        </c15:formulaRef>
                      </c:ext>
                    </c:extLst>
                    <c:numCache>
                      <c:formatCode>#,##0</c:formatCode>
                      <c:ptCount val="2"/>
                      <c:pt idx="0">
                        <c:v>8</c:v>
                      </c:pt>
                      <c:pt idx="1">
                        <c:v>16</c:v>
                      </c:pt>
                    </c:numCache>
                  </c:numRef>
                </c:val>
                <c:extLst xmlns:c15="http://schemas.microsoft.com/office/drawing/2012/chart">
                  <c:ext xmlns:c16="http://schemas.microsoft.com/office/drawing/2014/chart" uri="{C3380CC4-5D6E-409C-BE32-E72D297353CC}">
                    <c16:uniqueId val="{0000000E-DBC0-4688-A07D-5A685B236842}"/>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DBC0-4688-A07D-5A685B236842}"/>
                    </c:ext>
                  </c:extLst>
                </c:dPt>
                <c:cat>
                  <c:strRef>
                    <c:extLst xmlns:c15="http://schemas.microsoft.com/office/drawing/2012/chart">
                      <c:ext xmlns:c15="http://schemas.microsoft.com/office/drawing/2012/chart" uri="{02D57815-91ED-43cb-92C2-25804820EDAC}">
                        <c15:formulaRef>
                          <c15:sqref>'State &amp; Regional NeT GP View'!$E$160:$F$160</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View'!$E$132:$F$132</c15:sqref>
                        </c15:formulaRef>
                      </c:ext>
                    </c:extLst>
                    <c:numCache>
                      <c:formatCode>#,##0</c:formatCode>
                      <c:ptCount val="2"/>
                      <c:pt idx="0">
                        <c:v>0</c:v>
                      </c:pt>
                      <c:pt idx="1">
                        <c:v>1</c:v>
                      </c:pt>
                    </c:numCache>
                  </c:numRef>
                </c:val>
                <c:extLst xmlns:c15="http://schemas.microsoft.com/office/drawing/2012/chart">
                  <c:ext xmlns:c16="http://schemas.microsoft.com/office/drawing/2014/chart" uri="{C3380CC4-5D6E-409C-BE32-E72D297353CC}">
                    <c16:uniqueId val="{00000013-DBC0-4688-A07D-5A685B236842}"/>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DBC0-4688-A07D-5A685B236842}"/>
                    </c:ext>
                  </c:extLst>
                </c:dPt>
                <c:cat>
                  <c:strRef>
                    <c:extLst xmlns:c15="http://schemas.microsoft.com/office/drawing/2012/chart">
                      <c:ext xmlns:c15="http://schemas.microsoft.com/office/drawing/2012/chart" uri="{02D57815-91ED-43cb-92C2-25804820EDAC}">
                        <c15:formulaRef>
                          <c15:sqref>'State &amp; Regional NeT GP View'!$E$160:$F$160</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View'!$E$133:$F$133</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18-DBC0-4688-A07D-5A685B236842}"/>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DBC0-4688-A07D-5A685B236842}"/>
                    </c:ext>
                  </c:extLst>
                </c:dPt>
                <c:cat>
                  <c:strRef>
                    <c:extLst xmlns:c15="http://schemas.microsoft.com/office/drawing/2012/chart">
                      <c:ext xmlns:c15="http://schemas.microsoft.com/office/drawing/2012/chart" uri="{02D57815-91ED-43cb-92C2-25804820EDAC}">
                        <c15:formulaRef>
                          <c15:sqref>'State &amp; Regional NeT GP View'!$E$160:$F$160</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View'!$E$134:$F$134</c15:sqref>
                        </c15:formulaRef>
                      </c:ext>
                    </c:extLst>
                    <c:numCache>
                      <c:formatCode>#,##0</c:formatCode>
                      <c:ptCount val="2"/>
                      <c:pt idx="0">
                        <c:v>1</c:v>
                      </c:pt>
                      <c:pt idx="1">
                        <c:v>0</c:v>
                      </c:pt>
                    </c:numCache>
                  </c:numRef>
                </c:val>
                <c:extLst xmlns:c15="http://schemas.microsoft.com/office/drawing/2012/chart">
                  <c:ext xmlns:c16="http://schemas.microsoft.com/office/drawing/2014/chart" uri="{C3380CC4-5D6E-409C-BE32-E72D297353CC}">
                    <c16:uniqueId val="{0000001D-DBC0-4688-A07D-5A685B236842}"/>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DBC0-4688-A07D-5A685B236842}"/>
                    </c:ext>
                  </c:extLst>
                </c:dPt>
                <c:cat>
                  <c:strRef>
                    <c:extLst xmlns:c15="http://schemas.microsoft.com/office/drawing/2012/chart">
                      <c:ext xmlns:c15="http://schemas.microsoft.com/office/drawing/2012/chart" uri="{02D57815-91ED-43cb-92C2-25804820EDAC}">
                        <c15:formulaRef>
                          <c15:sqref>'State &amp; Regional NeT GP View'!$E$160:$F$160</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View'!$E$135:$F$135</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2-DBC0-4688-A07D-5A685B236842}"/>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DBC0-4688-A07D-5A685B236842}"/>
                    </c:ext>
                  </c:extLst>
                </c:dPt>
                <c:cat>
                  <c:strRef>
                    <c:extLst xmlns:c15="http://schemas.microsoft.com/office/drawing/2012/chart">
                      <c:ext xmlns:c15="http://schemas.microsoft.com/office/drawing/2012/chart" uri="{02D57815-91ED-43cb-92C2-25804820EDAC}">
                        <c15:formulaRef>
                          <c15:sqref>'State &amp; Regional NeT GP View'!$E$160:$F$160</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View'!$E$136:$F$136</c15:sqref>
                        </c15:formulaRef>
                      </c:ext>
                    </c:extLst>
                    <c:numCache>
                      <c:formatCode>#,##0</c:formatCode>
                      <c:ptCount val="2"/>
                      <c:pt idx="0">
                        <c:v>7</c:v>
                      </c:pt>
                      <c:pt idx="1">
                        <c:v>3</c:v>
                      </c:pt>
                    </c:numCache>
                  </c:numRef>
                </c:val>
                <c:extLst xmlns:c15="http://schemas.microsoft.com/office/drawing/2012/chart">
                  <c:ext xmlns:c16="http://schemas.microsoft.com/office/drawing/2014/chart" uri="{C3380CC4-5D6E-409C-BE32-E72D297353CC}">
                    <c16:uniqueId val="{00000027-DBC0-4688-A07D-5A685B236842}"/>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DBC0-4688-A07D-5A685B236842}"/>
                    </c:ext>
                  </c:extLst>
                </c:dPt>
                <c:cat>
                  <c:strRef>
                    <c:extLst xmlns:c15="http://schemas.microsoft.com/office/drawing/2012/chart">
                      <c:ext xmlns:c15="http://schemas.microsoft.com/office/drawing/2012/chart" uri="{02D57815-91ED-43cb-92C2-25804820EDAC}">
                        <c15:formulaRef>
                          <c15:sqref>'State &amp; Regional NeT GP View'!$E$160:$F$160</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View'!$E$137:$F$137</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C-DBC0-4688-A07D-5A685B236842}"/>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DBC0-4688-A07D-5A685B236842}"/>
                    </c:ext>
                  </c:extLst>
                </c:dPt>
                <c:cat>
                  <c:strRef>
                    <c:extLst xmlns:c15="http://schemas.microsoft.com/office/drawing/2012/chart">
                      <c:ext xmlns:c15="http://schemas.microsoft.com/office/drawing/2012/chart" uri="{02D57815-91ED-43cb-92C2-25804820EDAC}">
                        <c15:formulaRef>
                          <c15:sqref>'State &amp; Regional NeT GP View'!$E$160:$F$160</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View'!$E$138:$F$138</c15:sqref>
                        </c15:formulaRef>
                      </c:ext>
                    </c:extLst>
                    <c:numCache>
                      <c:formatCode>#,##0</c:formatCode>
                      <c:ptCount val="2"/>
                      <c:pt idx="0">
                        <c:v>0</c:v>
                      </c:pt>
                      <c:pt idx="1">
                        <c:v>12</c:v>
                      </c:pt>
                    </c:numCache>
                  </c:numRef>
                </c:val>
                <c:extLst xmlns:c15="http://schemas.microsoft.com/office/drawing/2012/chart">
                  <c:ext xmlns:c16="http://schemas.microsoft.com/office/drawing/2014/chart" uri="{C3380CC4-5D6E-409C-BE32-E72D297353CC}">
                    <c16:uniqueId val="{00000031-DBC0-4688-A07D-5A685B236842}"/>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DBC0-4688-A07D-5A685B236842}"/>
                    </c:ext>
                  </c:extLst>
                </c:dPt>
                <c:cat>
                  <c:strRef>
                    <c:extLst xmlns:c15="http://schemas.microsoft.com/office/drawing/2012/chart">
                      <c:ext xmlns:c15="http://schemas.microsoft.com/office/drawing/2012/chart" uri="{02D57815-91ED-43cb-92C2-25804820EDAC}">
                        <c15:formulaRef>
                          <c15:sqref>'State &amp; Regional NeT GP View'!$E$160:$F$160</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View'!$E$139:$F$139</c15:sqref>
                        </c15:formulaRef>
                      </c:ext>
                    </c:extLst>
                    <c:numCache>
                      <c:formatCode>#,##0</c:formatCode>
                      <c:ptCount val="2"/>
                      <c:pt idx="0">
                        <c:v>0</c:v>
                      </c:pt>
                      <c:pt idx="1">
                        <c:v>3</c:v>
                      </c:pt>
                    </c:numCache>
                  </c:numRef>
                </c:val>
                <c:extLst xmlns:c15="http://schemas.microsoft.com/office/drawing/2012/chart">
                  <c:ext xmlns:c16="http://schemas.microsoft.com/office/drawing/2014/chart" uri="{C3380CC4-5D6E-409C-BE32-E72D297353CC}">
                    <c16:uniqueId val="{00000036-DBC0-4688-A07D-5A685B236842}"/>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DBC0-4688-A07D-5A685B2368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DBC0-4688-A07D-5A685B236842}"/>
                    </c:ext>
                  </c:extLst>
                </c:dPt>
                <c:cat>
                  <c:strRef>
                    <c:extLst xmlns:c15="http://schemas.microsoft.com/office/drawing/2012/chart">
                      <c:ext xmlns:c15="http://schemas.microsoft.com/office/drawing/2012/chart" uri="{02D57815-91ED-43cb-92C2-25804820EDAC}">
                        <c15:formulaRef>
                          <c15:sqref>'State &amp; Regional NeT GP View'!$E$160:$F$160</c15:sqref>
                        </c15:formulaRef>
                      </c:ext>
                    </c:extLst>
                    <c:strCache>
                      <c:ptCount val="2"/>
                      <c:pt idx="0">
                        <c:v>Number of NeT General Permit Proxy Cards (EPA) - Deployed</c:v>
                      </c:pt>
                      <c:pt idx="1">
                        <c:v>Number of NeT General Permit Proxy Cards (EPA) - Not Deployed</c:v>
                      </c:pt>
                    </c:strCache>
                  </c:strRef>
                </c:cat>
                <c:val>
                  <c:numRef>
                    <c:extLst xmlns:c15="http://schemas.microsoft.com/office/drawing/2012/chart">
                      <c:ext xmlns:c15="http://schemas.microsoft.com/office/drawing/2012/chart" uri="{02D57815-91ED-43cb-92C2-25804820EDAC}">
                        <c15:formulaRef>
                          <c15:sqref>'State &amp; Regional NeT GP View'!$E$140:$F$140</c15:sqref>
                        </c15:formulaRef>
                      </c:ext>
                    </c:extLst>
                    <c:numCache>
                      <c:formatCode>#,##0</c:formatCode>
                      <c:ptCount val="2"/>
                      <c:pt idx="0">
                        <c:v>3</c:v>
                      </c:pt>
                      <c:pt idx="1">
                        <c:v>3</c:v>
                      </c:pt>
                    </c:numCache>
                  </c:numRef>
                </c:val>
                <c:extLst xmlns:c15="http://schemas.microsoft.com/office/drawing/2012/chart">
                  <c:ext xmlns:c16="http://schemas.microsoft.com/office/drawing/2014/chart" uri="{C3380CC4-5D6E-409C-BE32-E72D297353CC}">
                    <c16:uniqueId val="{0000003B-DBC0-4688-A07D-5A685B236842}"/>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General Permits</a:t>
            </a:r>
            <a:endParaRPr lang="en-US"/>
          </a:p>
        </c:rich>
      </c:tx>
      <c:layout>
        <c:manualLayout>
          <c:xMode val="edge"/>
          <c:yMode val="edge"/>
          <c:x val="0.3441439807377229"/>
          <c:y val="4.79887102233652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'State &amp; Regional NeT GP View'!$C$183</c:f>
              <c:strCache>
                <c:ptCount val="1"/>
                <c:pt idx="0">
                  <c:v>State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3-C80A-4B8C-96DF-218B61C933C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2-C80A-4B8C-96DF-218B61C933C1}"/>
              </c:ext>
            </c:extLst>
          </c:dPt>
          <c:dLbls>
            <c:dLbl>
              <c:idx val="0"/>
              <c:layout>
                <c:manualLayout>
                  <c:x val="-1.6666666666666767E-2"/>
                  <c:y val="0.13888888888888884"/>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C80A-4B8C-96DF-218B61C933C1}"/>
                </c:ext>
              </c:extLst>
            </c:dLbl>
            <c:dLbl>
              <c:idx val="1"/>
              <c:layout>
                <c:manualLayout>
                  <c:x val="3.0555555555555506E-2"/>
                  <c:y val="-0.10185185185185194"/>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0A-4B8C-96DF-218B61C933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View'!$D$181:$E$181</c:f>
              <c:strCache>
                <c:ptCount val="2"/>
                <c:pt idx="0">
                  <c:v>Number of NeT General Permits - NeT Application Deployed</c:v>
                </c:pt>
                <c:pt idx="1">
                  <c:v>Number of NeT General Permits - NeT Application Not Deployed</c:v>
                </c:pt>
              </c:strCache>
            </c:strRef>
          </c:cat>
          <c:val>
            <c:numRef>
              <c:f>'State &amp; Regional NeT GP View'!$D$183:$E$183</c:f>
              <c:numCache>
                <c:formatCode>#,##0</c:formatCode>
                <c:ptCount val="2"/>
                <c:pt idx="0">
                  <c:v>16</c:v>
                </c:pt>
                <c:pt idx="1">
                  <c:v>78</c:v>
                </c:pt>
              </c:numCache>
            </c:numRef>
          </c:val>
          <c:extLst>
            <c:ext xmlns:c16="http://schemas.microsoft.com/office/drawing/2014/chart" uri="{C3380CC4-5D6E-409C-BE32-E72D297353CC}">
              <c16:uniqueId val="{00000001-C80A-4B8C-96DF-218B61C933C1}"/>
            </c:ext>
          </c:extLst>
        </c:ser>
        <c:ser>
          <c:idx val="0"/>
          <c:order val="1"/>
          <c:tx>
            <c:strRef>
              <c:f>'State &amp; Regional NeT GP View'!$C$182</c:f>
              <c:strCache>
                <c:ptCount val="1"/>
                <c:pt idx="0">
                  <c:v>EPA</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4-C80A-4B8C-96DF-218B61C933C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5-C80A-4B8C-96DF-218B61C933C1}"/>
              </c:ext>
            </c:extLst>
          </c:dPt>
          <c:dLbls>
            <c:dLbl>
              <c:idx val="0"/>
              <c:layout>
                <c:manualLayout>
                  <c:x val="8.6111111111111013E-2"/>
                  <c:y val="-4.6296296296297144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0A-4B8C-96DF-218B61C933C1}"/>
                </c:ext>
              </c:extLst>
            </c:dLbl>
            <c:dLbl>
              <c:idx val="1"/>
              <c:layout>
                <c:manualLayout>
                  <c:x val="-5.2777777777777826E-2"/>
                  <c:y val="-0.1342592592592592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C80A-4B8C-96DF-218B61C933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View'!$D$181:$E$181</c:f>
              <c:strCache>
                <c:ptCount val="2"/>
                <c:pt idx="0">
                  <c:v>Number of NeT General Permits - NeT Application Deployed</c:v>
                </c:pt>
                <c:pt idx="1">
                  <c:v>Number of NeT General Permits - NeT Application Not Deployed</c:v>
                </c:pt>
              </c:strCache>
            </c:strRef>
          </c:cat>
          <c:val>
            <c:numRef>
              <c:f>'State &amp; Regional NeT GP View'!$D$182:$E$182</c:f>
              <c:numCache>
                <c:formatCode>#,##0</c:formatCode>
                <c:ptCount val="2"/>
                <c:pt idx="0">
                  <c:v>159</c:v>
                </c:pt>
                <c:pt idx="1">
                  <c:v>38</c:v>
                </c:pt>
              </c:numCache>
            </c:numRef>
          </c:val>
          <c:extLst>
            <c:ext xmlns:c16="http://schemas.microsoft.com/office/drawing/2014/chart" uri="{C3380CC4-5D6E-409C-BE32-E72D297353CC}">
              <c16:uniqueId val="{00000000-C80A-4B8C-96DF-218B61C933C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General Permit Filers</a:t>
            </a:r>
            <a:endParaRPr lang="en-US"/>
          </a:p>
        </c:rich>
      </c:tx>
      <c:layout>
        <c:manualLayout>
          <c:xMode val="edge"/>
          <c:yMode val="edge"/>
          <c:x val="0.31446427824923706"/>
          <c:y val="2.635352864410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'State &amp; Regional NeT GP View'!$C$188</c:f>
              <c:strCache>
                <c:ptCount val="1"/>
                <c:pt idx="0">
                  <c:v>State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000C-4A64-8275-A31C5066415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000C-4A64-8275-A31C50664151}"/>
              </c:ext>
            </c:extLst>
          </c:dPt>
          <c:dLbls>
            <c:dLbl>
              <c:idx val="0"/>
              <c:layout>
                <c:manualLayout>
                  <c:x val="-7.2286355284557707E-2"/>
                  <c:y val="0.1520656705032839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000C-4A64-8275-A31C50664151}"/>
                </c:ext>
              </c:extLst>
            </c:dLbl>
            <c:dLbl>
              <c:idx val="1"/>
              <c:layout>
                <c:manualLayout>
                  <c:x val="9.8815943751356106E-2"/>
                  <c:y val="-0.1071225287601039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000C-4A64-8275-A31C506641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View'!$D$186:$E$186</c:f>
              <c:strCache>
                <c:ptCount val="2"/>
                <c:pt idx="0">
                  <c:v>Estimated Number of General Permit Covered Facilities - NeT Application Deployed</c:v>
                </c:pt>
                <c:pt idx="1">
                  <c:v>Estimated Number of General Permit Covered Facilities - NeT Application Not Deployed</c:v>
                </c:pt>
              </c:strCache>
            </c:strRef>
          </c:cat>
          <c:val>
            <c:numRef>
              <c:f>'State &amp; Regional NeT GP View'!$D$188:$E$188</c:f>
              <c:numCache>
                <c:formatCode>#,##0</c:formatCode>
                <c:ptCount val="2"/>
                <c:pt idx="0">
                  <c:v>9407</c:v>
                </c:pt>
                <c:pt idx="1">
                  <c:v>17185</c:v>
                </c:pt>
              </c:numCache>
            </c:numRef>
          </c:val>
          <c:extLst>
            <c:ext xmlns:c16="http://schemas.microsoft.com/office/drawing/2014/chart" uri="{C3380CC4-5D6E-409C-BE32-E72D297353CC}">
              <c16:uniqueId val="{00000004-000C-4A64-8275-A31C50664151}"/>
            </c:ext>
          </c:extLst>
        </c:ser>
        <c:ser>
          <c:idx val="0"/>
          <c:order val="1"/>
          <c:tx>
            <c:strRef>
              <c:f>'State &amp; Regional NeT GP View'!$C$187</c:f>
              <c:strCache>
                <c:ptCount val="1"/>
                <c:pt idx="0">
                  <c:v>EPA</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000C-4A64-8275-A31C5066415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000C-4A64-8275-A31C50664151}"/>
              </c:ext>
            </c:extLst>
          </c:dPt>
          <c:dLbls>
            <c:dLbl>
              <c:idx val="0"/>
              <c:layout>
                <c:manualLayout>
                  <c:x val="0.20240653261429986"/>
                  <c:y val="3.226522689246868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0C-4A64-8275-A31C50664151}"/>
                </c:ext>
              </c:extLst>
            </c:dLbl>
            <c:dLbl>
              <c:idx val="1"/>
              <c:layout>
                <c:manualLayout>
                  <c:x val="-0.1513760572997227"/>
                  <c:y val="-4.20218427175758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00C-4A64-8275-A31C506641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View'!$D$186:$E$186</c:f>
              <c:strCache>
                <c:ptCount val="2"/>
                <c:pt idx="0">
                  <c:v>Estimated Number of General Permit Covered Facilities - NeT Application Deployed</c:v>
                </c:pt>
                <c:pt idx="1">
                  <c:v>Estimated Number of General Permit Covered Facilities - NeT Application Not Deployed</c:v>
                </c:pt>
              </c:strCache>
            </c:strRef>
          </c:cat>
          <c:val>
            <c:numRef>
              <c:f>'State &amp; Regional NeT GP View'!$D$187:$E$187</c:f>
              <c:numCache>
                <c:formatCode>#,##0</c:formatCode>
                <c:ptCount val="2"/>
                <c:pt idx="0">
                  <c:v>23946</c:v>
                </c:pt>
                <c:pt idx="1">
                  <c:v>4507</c:v>
                </c:pt>
              </c:numCache>
            </c:numRef>
          </c:val>
          <c:extLst>
            <c:ext xmlns:c16="http://schemas.microsoft.com/office/drawing/2014/chart" uri="{C3380CC4-5D6E-409C-BE32-E72D297353CC}">
              <c16:uniqueId val="{00000009-000C-4A64-8275-A31C5066415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General Permit Proxy Cards</a:t>
            </a:r>
            <a:endParaRPr lang="en-US"/>
          </a:p>
        </c:rich>
      </c:tx>
      <c:layout>
        <c:manualLayout>
          <c:xMode val="edge"/>
          <c:yMode val="edge"/>
          <c:x val="0.25887973644134138"/>
          <c:y val="4.21656458305708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'State &amp; Regional NeT GP View'!$C$193</c:f>
              <c:strCache>
                <c:ptCount val="1"/>
                <c:pt idx="0">
                  <c:v>State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1BA4-418D-AD9F-6609882E24D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1BA4-418D-AD9F-6609882E24DC}"/>
              </c:ext>
            </c:extLst>
          </c:dPt>
          <c:dLbls>
            <c:dLbl>
              <c:idx val="0"/>
              <c:layout>
                <c:manualLayout>
                  <c:x val="-7.2286355284557707E-2"/>
                  <c:y val="0.1520656705032839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1BA4-418D-AD9F-6609882E24DC}"/>
                </c:ext>
              </c:extLst>
            </c:dLbl>
            <c:dLbl>
              <c:idx val="1"/>
              <c:layout>
                <c:manualLayout>
                  <c:x val="9.8815943751356106E-2"/>
                  <c:y val="-0.1071225287601039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1BA4-418D-AD9F-6609882E24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View'!$D$191:$E$191</c:f>
              <c:strCache>
                <c:ptCount val="2"/>
                <c:pt idx="0">
                  <c:v>Estimated Number of NeT Proxy Cards - General Permits - NeT Application Deployed</c:v>
                </c:pt>
                <c:pt idx="1">
                  <c:v>Estimated Number of NeT Proxy Cards - General Permits - NeT Application Not Deployed</c:v>
                </c:pt>
              </c:strCache>
            </c:strRef>
          </c:cat>
          <c:val>
            <c:numRef>
              <c:f>'State &amp; Regional NeT GP View'!$D$193:$E$193</c:f>
              <c:numCache>
                <c:formatCode>#,##0</c:formatCode>
                <c:ptCount val="2"/>
                <c:pt idx="0">
                  <c:v>14</c:v>
                </c:pt>
                <c:pt idx="1">
                  <c:v>53</c:v>
                </c:pt>
              </c:numCache>
            </c:numRef>
          </c:val>
          <c:extLst>
            <c:ext xmlns:c16="http://schemas.microsoft.com/office/drawing/2014/chart" uri="{C3380CC4-5D6E-409C-BE32-E72D297353CC}">
              <c16:uniqueId val="{00000004-1BA4-418D-AD9F-6609882E24DC}"/>
            </c:ext>
          </c:extLst>
        </c:ser>
        <c:ser>
          <c:idx val="0"/>
          <c:order val="1"/>
          <c:tx>
            <c:strRef>
              <c:f>'State &amp; Regional NeT GP View'!$C$192</c:f>
              <c:strCache>
                <c:ptCount val="1"/>
                <c:pt idx="0">
                  <c:v>EPA</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1BA4-418D-AD9F-6609882E24DC}"/>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1BA4-418D-AD9F-6609882E24DC}"/>
              </c:ext>
            </c:extLst>
          </c:dPt>
          <c:dLbls>
            <c:dLbl>
              <c:idx val="0"/>
              <c:layout>
                <c:manualLayout>
                  <c:x val="0.20240653261429986"/>
                  <c:y val="3.226522689246868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BA4-418D-AD9F-6609882E24DC}"/>
                </c:ext>
              </c:extLst>
            </c:dLbl>
            <c:dLbl>
              <c:idx val="1"/>
              <c:layout>
                <c:manualLayout>
                  <c:x val="-0.1513760572997227"/>
                  <c:y val="-4.20218427175758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BA4-418D-AD9F-6609882E24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View'!$D$191:$E$191</c:f>
              <c:strCache>
                <c:ptCount val="2"/>
                <c:pt idx="0">
                  <c:v>Estimated Number of NeT Proxy Cards - General Permits - NeT Application Deployed</c:v>
                </c:pt>
                <c:pt idx="1">
                  <c:v>Estimated Number of NeT Proxy Cards - General Permits - NeT Application Not Deployed</c:v>
                </c:pt>
              </c:strCache>
            </c:strRef>
          </c:cat>
          <c:val>
            <c:numRef>
              <c:f>'State &amp; Regional NeT GP View'!$D$192:$E$192</c:f>
              <c:numCache>
                <c:formatCode>#,##0</c:formatCode>
                <c:ptCount val="2"/>
                <c:pt idx="0">
                  <c:v>11</c:v>
                </c:pt>
                <c:pt idx="1">
                  <c:v>16</c:v>
                </c:pt>
              </c:numCache>
            </c:numRef>
          </c:val>
          <c:extLst>
            <c:ext xmlns:c16="http://schemas.microsoft.com/office/drawing/2014/chart" uri="{C3380CC4-5D6E-409C-BE32-E72D297353CC}">
              <c16:uniqueId val="{00000009-1BA4-418D-AD9F-6609882E24DC}"/>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9.0735525096191372E-2"/>
          <c:y val="0.85066581600893831"/>
          <c:w val="0.81852875111639634"/>
          <c:h val="0.108922638539806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Program Reports Using Net (State)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View'!$D$74</c:f>
              <c:strCache>
                <c:ptCount val="1"/>
                <c:pt idx="0">
                  <c:v>Number of Program Reports (State)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01-460D-92D8-CB4ED11DAEC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01-460D-92D8-CB4ED11DAEC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01-460D-92D8-CB4ED11DAEC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01-460D-92D8-CB4ED11DAEC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01-460D-92D8-CB4ED11DAEC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801-460D-92D8-CB4ED11DAEC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801-460D-92D8-CB4ED11DAEC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801-460D-92D8-CB4ED11DAEC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801-460D-92D8-CB4ED11DAEC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801-460D-92D8-CB4ED11DAEC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801-460D-92D8-CB4ED11DAEC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801-460D-92D8-CB4ED11DAECC}"/>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1801-460D-92D8-CB4ED11DAECC}"/>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743-478D-B6AB-C759C6EA60F3}"/>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6B5-4A56-A1FF-DCF6F66B547D}"/>
              </c:ext>
            </c:extLst>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cat>
            <c:strRef>
              <c:f>'State &amp; Regional NeT PR View'!$C$75:$C$91</c:f>
              <c:strCache>
                <c:ptCount val="17"/>
                <c:pt idx="0">
                  <c:v>Arizona</c:v>
                </c:pt>
                <c:pt idx="1">
                  <c:v>Connecticut</c:v>
                </c:pt>
                <c:pt idx="2">
                  <c:v>Delaware</c:v>
                </c:pt>
                <c:pt idx="3">
                  <c:v>Illinois</c:v>
                </c:pt>
                <c:pt idx="4">
                  <c:v>Indiana</c:v>
                </c:pt>
                <c:pt idx="5">
                  <c:v>Kentucky</c:v>
                </c:pt>
                <c:pt idx="6">
                  <c:v>Louisiana</c:v>
                </c:pt>
                <c:pt idx="7">
                  <c:v>Maine</c:v>
                </c:pt>
                <c:pt idx="8">
                  <c:v>Maryland</c:v>
                </c:pt>
                <c:pt idx="9">
                  <c:v>Mississippi</c:v>
                </c:pt>
                <c:pt idx="10">
                  <c:v>Nebraska</c:v>
                </c:pt>
                <c:pt idx="11">
                  <c:v>New Jersey</c:v>
                </c:pt>
                <c:pt idx="12">
                  <c:v>Rhode Island</c:v>
                </c:pt>
                <c:pt idx="13">
                  <c:v>South Dakota</c:v>
                </c:pt>
                <c:pt idx="14">
                  <c:v>Texas</c:v>
                </c:pt>
                <c:pt idx="15">
                  <c:v>Utah</c:v>
                </c:pt>
                <c:pt idx="16">
                  <c:v>Virgin Islands</c:v>
                </c:pt>
              </c:strCache>
            </c:strRef>
          </c:cat>
          <c:val>
            <c:numRef>
              <c:f>'State &amp; Regional NeT PR View'!$D$75:$D$91</c:f>
              <c:numCache>
                <c:formatCode>#,##0</c:formatCode>
                <c:ptCount val="17"/>
                <c:pt idx="0">
                  <c:v>1</c:v>
                </c:pt>
                <c:pt idx="1">
                  <c:v>3</c:v>
                </c:pt>
                <c:pt idx="2">
                  <c:v>1</c:v>
                </c:pt>
                <c:pt idx="3">
                  <c:v>3</c:v>
                </c:pt>
                <c:pt idx="4">
                  <c:v>1</c:v>
                </c:pt>
                <c:pt idx="5">
                  <c:v>2</c:v>
                </c:pt>
                <c:pt idx="6">
                  <c:v>6</c:v>
                </c:pt>
                <c:pt idx="7">
                  <c:v>5</c:v>
                </c:pt>
                <c:pt idx="8">
                  <c:v>3</c:v>
                </c:pt>
                <c:pt idx="9">
                  <c:v>4</c:v>
                </c:pt>
                <c:pt idx="10">
                  <c:v>5</c:v>
                </c:pt>
                <c:pt idx="11">
                  <c:v>1</c:v>
                </c:pt>
                <c:pt idx="12">
                  <c:v>4</c:v>
                </c:pt>
                <c:pt idx="13">
                  <c:v>5</c:v>
                </c:pt>
                <c:pt idx="14">
                  <c:v>6</c:v>
                </c:pt>
                <c:pt idx="15">
                  <c:v>6</c:v>
                </c:pt>
                <c:pt idx="16">
                  <c:v>2</c:v>
                </c:pt>
              </c:numCache>
            </c:numRef>
          </c:val>
          <c:extLst>
            <c:ext xmlns:c16="http://schemas.microsoft.com/office/drawing/2014/chart" uri="{C3380CC4-5D6E-409C-BE32-E72D297353CC}">
              <c16:uniqueId val="{00000000-8DB5-42E8-A545-54105817AAE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View'!$D$95</c:f>
              <c:strCache>
                <c:ptCount val="1"/>
                <c:pt idx="0">
                  <c:v>Estimated Number of Program Report Filers Using NeT (State)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644-40AE-9807-699354BE755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644-40AE-9807-699354BE755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644-40AE-9807-699354BE755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644-40AE-9807-699354BE755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644-40AE-9807-699354BE755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644-40AE-9807-699354BE755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644-40AE-9807-699354BE755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644-40AE-9807-699354BE755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644-40AE-9807-699354BE755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644-40AE-9807-699354BE755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644-40AE-9807-699354BE755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4644-40AE-9807-699354BE755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4644-40AE-9807-699354BE755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29E6-4677-8AEF-AACCE7AE3BA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6DF-45B5-85F6-78C08F254267}"/>
              </c:ext>
            </c:extLst>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cat>
            <c:strRef>
              <c:f>'State &amp; Regional NeT PR View'!$C$96:$C$112</c:f>
              <c:strCache>
                <c:ptCount val="17"/>
                <c:pt idx="0">
                  <c:v>Arizona</c:v>
                </c:pt>
                <c:pt idx="1">
                  <c:v>Connecticut</c:v>
                </c:pt>
                <c:pt idx="2">
                  <c:v>Delaware</c:v>
                </c:pt>
                <c:pt idx="3">
                  <c:v>Illinois</c:v>
                </c:pt>
                <c:pt idx="4">
                  <c:v>Indiana</c:v>
                </c:pt>
                <c:pt idx="5">
                  <c:v>Kentucky</c:v>
                </c:pt>
                <c:pt idx="6">
                  <c:v>Louisiana</c:v>
                </c:pt>
                <c:pt idx="7">
                  <c:v>Maine</c:v>
                </c:pt>
                <c:pt idx="8">
                  <c:v>Maryland</c:v>
                </c:pt>
                <c:pt idx="9">
                  <c:v>Mississippi</c:v>
                </c:pt>
                <c:pt idx="10">
                  <c:v>Nebraska</c:v>
                </c:pt>
                <c:pt idx="11">
                  <c:v>New Jersey</c:v>
                </c:pt>
                <c:pt idx="12">
                  <c:v>Rhode Island</c:v>
                </c:pt>
                <c:pt idx="13">
                  <c:v>South Dakota</c:v>
                </c:pt>
                <c:pt idx="14">
                  <c:v>Texas</c:v>
                </c:pt>
                <c:pt idx="15">
                  <c:v>Utah</c:v>
                </c:pt>
                <c:pt idx="16">
                  <c:v>Virgin Islands</c:v>
                </c:pt>
              </c:strCache>
            </c:strRef>
          </c:cat>
          <c:val>
            <c:numRef>
              <c:f>'State &amp; Regional NeT PR View'!$D$96:$D$112</c:f>
              <c:numCache>
                <c:formatCode>#,##0</c:formatCode>
                <c:ptCount val="17"/>
                <c:pt idx="0">
                  <c:v>72</c:v>
                </c:pt>
                <c:pt idx="1">
                  <c:v>325</c:v>
                </c:pt>
                <c:pt idx="2">
                  <c:v>3</c:v>
                </c:pt>
                <c:pt idx="3">
                  <c:v>1397</c:v>
                </c:pt>
                <c:pt idx="4">
                  <c:v>764</c:v>
                </c:pt>
                <c:pt idx="5">
                  <c:v>133</c:v>
                </c:pt>
                <c:pt idx="6">
                  <c:v>417</c:v>
                </c:pt>
                <c:pt idx="7">
                  <c:v>228</c:v>
                </c:pt>
                <c:pt idx="8">
                  <c:v>34</c:v>
                </c:pt>
                <c:pt idx="9">
                  <c:v>626</c:v>
                </c:pt>
                <c:pt idx="10">
                  <c:v>837</c:v>
                </c:pt>
                <c:pt idx="11">
                  <c:v>2</c:v>
                </c:pt>
                <c:pt idx="12">
                  <c:v>112</c:v>
                </c:pt>
                <c:pt idx="13">
                  <c:v>819</c:v>
                </c:pt>
                <c:pt idx="14">
                  <c:v>6584</c:v>
                </c:pt>
                <c:pt idx="15">
                  <c:v>234</c:v>
                </c:pt>
                <c:pt idx="16">
                  <c:v>11</c:v>
                </c:pt>
              </c:numCache>
            </c:numRef>
          </c:val>
          <c:extLst>
            <c:ext xmlns:c16="http://schemas.microsoft.com/office/drawing/2014/chart" uri="{C3380CC4-5D6E-409C-BE32-E72D297353CC}">
              <c16:uniqueId val="{00000000-C733-4094-9E12-0C3423E8903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Program Reports Using Net (State)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View'!$E$74</c:f>
              <c:strCache>
                <c:ptCount val="1"/>
                <c:pt idx="0">
                  <c:v>Number of Program Reports (State)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F61-4FEF-842E-8BD5736D72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F61-4FEF-842E-8BD5736D72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F61-4FEF-842E-8BD5736D728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F61-4FEF-842E-8BD5736D728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F61-4FEF-842E-8BD5736D728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F61-4FEF-842E-8BD5736D728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F61-4FEF-842E-8BD5736D728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F61-4FEF-842E-8BD5736D728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F61-4FEF-842E-8BD5736D728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F61-4FEF-842E-8BD5736D7281}"/>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F61-4FEF-842E-8BD5736D7281}"/>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F61-4FEF-842E-8BD5736D728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F61-4FEF-842E-8BD5736D728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9579-4CA4-A0E3-02647293D8C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BA7-4331-91A2-C0DC4A88E9B9}"/>
              </c:ext>
            </c:extLst>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cat>
            <c:strRef>
              <c:f>'State &amp; Regional NeT PR View'!$C$75:$C$91</c:f>
              <c:strCache>
                <c:ptCount val="17"/>
                <c:pt idx="0">
                  <c:v>Arizona</c:v>
                </c:pt>
                <c:pt idx="1">
                  <c:v>Connecticut</c:v>
                </c:pt>
                <c:pt idx="2">
                  <c:v>Delaware</c:v>
                </c:pt>
                <c:pt idx="3">
                  <c:v>Illinois</c:v>
                </c:pt>
                <c:pt idx="4">
                  <c:v>Indiana</c:v>
                </c:pt>
                <c:pt idx="5">
                  <c:v>Kentucky</c:v>
                </c:pt>
                <c:pt idx="6">
                  <c:v>Louisiana</c:v>
                </c:pt>
                <c:pt idx="7">
                  <c:v>Maine</c:v>
                </c:pt>
                <c:pt idx="8">
                  <c:v>Maryland</c:v>
                </c:pt>
                <c:pt idx="9">
                  <c:v>Mississippi</c:v>
                </c:pt>
                <c:pt idx="10">
                  <c:v>Nebraska</c:v>
                </c:pt>
                <c:pt idx="11">
                  <c:v>New Jersey</c:v>
                </c:pt>
                <c:pt idx="12">
                  <c:v>Rhode Island</c:v>
                </c:pt>
                <c:pt idx="13">
                  <c:v>South Dakota</c:v>
                </c:pt>
                <c:pt idx="14">
                  <c:v>Texas</c:v>
                </c:pt>
                <c:pt idx="15">
                  <c:v>Utah</c:v>
                </c:pt>
                <c:pt idx="16">
                  <c:v>Virgin Islands</c:v>
                </c:pt>
              </c:strCache>
            </c:strRef>
          </c:cat>
          <c:val>
            <c:numRef>
              <c:f>'State &amp; Regional NeT PR View'!$E$75:$E$91</c:f>
              <c:numCache>
                <c:formatCode>#,##0</c:formatCode>
                <c:ptCount val="17"/>
                <c:pt idx="0">
                  <c:v>1</c:v>
                </c:pt>
                <c:pt idx="1">
                  <c:v>0</c:v>
                </c:pt>
                <c:pt idx="2">
                  <c:v>1</c:v>
                </c:pt>
                <c:pt idx="3">
                  <c:v>1</c:v>
                </c:pt>
                <c:pt idx="4">
                  <c:v>1</c:v>
                </c:pt>
                <c:pt idx="5">
                  <c:v>0</c:v>
                </c:pt>
                <c:pt idx="6">
                  <c:v>2</c:v>
                </c:pt>
                <c:pt idx="7">
                  <c:v>2</c:v>
                </c:pt>
                <c:pt idx="8">
                  <c:v>1</c:v>
                </c:pt>
                <c:pt idx="9">
                  <c:v>1</c:v>
                </c:pt>
                <c:pt idx="10">
                  <c:v>1</c:v>
                </c:pt>
                <c:pt idx="11">
                  <c:v>0</c:v>
                </c:pt>
                <c:pt idx="12">
                  <c:v>2</c:v>
                </c:pt>
                <c:pt idx="13">
                  <c:v>3</c:v>
                </c:pt>
                <c:pt idx="14">
                  <c:v>4</c:v>
                </c:pt>
                <c:pt idx="15">
                  <c:v>4</c:v>
                </c:pt>
                <c:pt idx="16">
                  <c:v>1</c:v>
                </c:pt>
              </c:numCache>
            </c:numRef>
          </c:val>
          <c:extLst>
            <c:ext xmlns:c16="http://schemas.microsoft.com/office/drawing/2014/chart" uri="{C3380CC4-5D6E-409C-BE32-E72D297353CC}">
              <c16:uniqueId val="{0000001A-DF61-4FEF-842E-8BD5736D728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of Program Report Filers Using NeT (State)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View'!$E$95</c:f>
              <c:strCache>
                <c:ptCount val="1"/>
                <c:pt idx="0">
                  <c:v>Estimated Number of Program Report Filers Using NeT (State)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41-4CFB-B9DB-38EDE70D2F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F41-4CFB-B9DB-38EDE70D2F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F41-4CFB-B9DB-38EDE70D2F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F41-4CFB-B9DB-38EDE70D2FE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F41-4CFB-B9DB-38EDE70D2FE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F41-4CFB-B9DB-38EDE70D2FE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F41-4CFB-B9DB-38EDE70D2FE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F41-4CFB-B9DB-38EDE70D2FE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F41-4CFB-B9DB-38EDE70D2FE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F41-4CFB-B9DB-38EDE70D2FE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F41-4CFB-B9DB-38EDE70D2FE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F41-4CFB-B9DB-38EDE70D2FE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8F41-4CFB-B9DB-38EDE70D2FE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DD7-428B-8A0F-DCB99DA5D4D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354-4D1E-B376-8D59D5BE8B45}"/>
              </c:ext>
            </c:extLst>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cat>
            <c:strRef>
              <c:f>'State &amp; Regional NeT PR View'!$C$96:$C$112</c:f>
              <c:strCache>
                <c:ptCount val="17"/>
                <c:pt idx="0">
                  <c:v>Arizona</c:v>
                </c:pt>
                <c:pt idx="1">
                  <c:v>Connecticut</c:v>
                </c:pt>
                <c:pt idx="2">
                  <c:v>Delaware</c:v>
                </c:pt>
                <c:pt idx="3">
                  <c:v>Illinois</c:v>
                </c:pt>
                <c:pt idx="4">
                  <c:v>Indiana</c:v>
                </c:pt>
                <c:pt idx="5">
                  <c:v>Kentucky</c:v>
                </c:pt>
                <c:pt idx="6">
                  <c:v>Louisiana</c:v>
                </c:pt>
                <c:pt idx="7">
                  <c:v>Maine</c:v>
                </c:pt>
                <c:pt idx="8">
                  <c:v>Maryland</c:v>
                </c:pt>
                <c:pt idx="9">
                  <c:v>Mississippi</c:v>
                </c:pt>
                <c:pt idx="10">
                  <c:v>Nebraska</c:v>
                </c:pt>
                <c:pt idx="11">
                  <c:v>New Jersey</c:v>
                </c:pt>
                <c:pt idx="12">
                  <c:v>Rhode Island</c:v>
                </c:pt>
                <c:pt idx="13">
                  <c:v>South Dakota</c:v>
                </c:pt>
                <c:pt idx="14">
                  <c:v>Texas</c:v>
                </c:pt>
                <c:pt idx="15">
                  <c:v>Utah</c:v>
                </c:pt>
                <c:pt idx="16">
                  <c:v>Virgin Islands</c:v>
                </c:pt>
              </c:strCache>
            </c:strRef>
          </c:cat>
          <c:val>
            <c:numRef>
              <c:f>'State &amp; Regional NeT PR View'!$E$96:$E$112</c:f>
              <c:numCache>
                <c:formatCode>#,##0</c:formatCode>
                <c:ptCount val="17"/>
                <c:pt idx="0">
                  <c:v>72</c:v>
                </c:pt>
                <c:pt idx="1">
                  <c:v>0</c:v>
                </c:pt>
                <c:pt idx="2">
                  <c:v>3</c:v>
                </c:pt>
                <c:pt idx="3">
                  <c:v>889</c:v>
                </c:pt>
                <c:pt idx="4">
                  <c:v>764</c:v>
                </c:pt>
                <c:pt idx="5">
                  <c:v>0</c:v>
                </c:pt>
                <c:pt idx="6">
                  <c:v>329</c:v>
                </c:pt>
                <c:pt idx="7">
                  <c:v>171</c:v>
                </c:pt>
                <c:pt idx="8">
                  <c:v>20</c:v>
                </c:pt>
                <c:pt idx="9">
                  <c:v>346</c:v>
                </c:pt>
                <c:pt idx="10">
                  <c:v>246</c:v>
                </c:pt>
                <c:pt idx="11">
                  <c:v>0</c:v>
                </c:pt>
                <c:pt idx="12">
                  <c:v>71</c:v>
                </c:pt>
                <c:pt idx="13">
                  <c:v>352</c:v>
                </c:pt>
                <c:pt idx="14">
                  <c:v>5947</c:v>
                </c:pt>
                <c:pt idx="15">
                  <c:v>227</c:v>
                </c:pt>
                <c:pt idx="16">
                  <c:v>8</c:v>
                </c:pt>
              </c:numCache>
            </c:numRef>
          </c:val>
          <c:extLst>
            <c:ext xmlns:c16="http://schemas.microsoft.com/office/drawing/2014/chart" uri="{C3380CC4-5D6E-409C-BE32-E72D297353CC}">
              <c16:uniqueId val="{0000001A-8F41-4CFB-B9DB-38EDE70D2FE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Program</a:t>
            </a:r>
            <a:r>
              <a:rPr lang="en-US" baseline="0"/>
              <a:t> Reports (State</a:t>
            </a:r>
            <a:r>
              <a:rPr lang="en-US"/>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PR View'!$E$74</c:f>
              <c:strCache>
                <c:ptCount val="1"/>
                <c:pt idx="0">
                  <c:v>Number of Program Reports (State) - Deployed</c:v>
                </c:pt>
              </c:strCache>
            </c:strRef>
          </c:tx>
          <c:spPr>
            <a:solidFill>
              <a:schemeClr val="accent2"/>
            </a:solidFill>
            <a:ln>
              <a:noFill/>
            </a:ln>
            <a:effectLst/>
          </c:spPr>
          <c:invertIfNegative val="0"/>
          <c:cat>
            <c:strRef>
              <c:f>'State &amp; Regional NeT PR View'!$C$75:$C$91</c:f>
              <c:strCache>
                <c:ptCount val="17"/>
                <c:pt idx="0">
                  <c:v>Arizona</c:v>
                </c:pt>
                <c:pt idx="1">
                  <c:v>Connecticut</c:v>
                </c:pt>
                <c:pt idx="2">
                  <c:v>Delaware</c:v>
                </c:pt>
                <c:pt idx="3">
                  <c:v>Illinois</c:v>
                </c:pt>
                <c:pt idx="4">
                  <c:v>Indiana</c:v>
                </c:pt>
                <c:pt idx="5">
                  <c:v>Kentucky</c:v>
                </c:pt>
                <c:pt idx="6">
                  <c:v>Louisiana</c:v>
                </c:pt>
                <c:pt idx="7">
                  <c:v>Maine</c:v>
                </c:pt>
                <c:pt idx="8">
                  <c:v>Maryland</c:v>
                </c:pt>
                <c:pt idx="9">
                  <c:v>Mississippi</c:v>
                </c:pt>
                <c:pt idx="10">
                  <c:v>Nebraska</c:v>
                </c:pt>
                <c:pt idx="11">
                  <c:v>New Jersey</c:v>
                </c:pt>
                <c:pt idx="12">
                  <c:v>Rhode Island</c:v>
                </c:pt>
                <c:pt idx="13">
                  <c:v>South Dakota</c:v>
                </c:pt>
                <c:pt idx="14">
                  <c:v>Texas</c:v>
                </c:pt>
                <c:pt idx="15">
                  <c:v>Utah</c:v>
                </c:pt>
                <c:pt idx="16">
                  <c:v>Virgin Islands</c:v>
                </c:pt>
              </c:strCache>
            </c:strRef>
          </c:cat>
          <c:val>
            <c:numRef>
              <c:f>'State &amp; Regional NeT PR View'!$E$75:$E$91</c:f>
              <c:numCache>
                <c:formatCode>#,##0</c:formatCode>
                <c:ptCount val="17"/>
                <c:pt idx="0">
                  <c:v>1</c:v>
                </c:pt>
                <c:pt idx="1">
                  <c:v>0</c:v>
                </c:pt>
                <c:pt idx="2">
                  <c:v>1</c:v>
                </c:pt>
                <c:pt idx="3">
                  <c:v>1</c:v>
                </c:pt>
                <c:pt idx="4">
                  <c:v>1</c:v>
                </c:pt>
                <c:pt idx="5">
                  <c:v>0</c:v>
                </c:pt>
                <c:pt idx="6">
                  <c:v>2</c:v>
                </c:pt>
                <c:pt idx="7">
                  <c:v>2</c:v>
                </c:pt>
                <c:pt idx="8">
                  <c:v>1</c:v>
                </c:pt>
                <c:pt idx="9">
                  <c:v>1</c:v>
                </c:pt>
                <c:pt idx="10">
                  <c:v>1</c:v>
                </c:pt>
                <c:pt idx="11">
                  <c:v>0</c:v>
                </c:pt>
                <c:pt idx="12">
                  <c:v>2</c:v>
                </c:pt>
                <c:pt idx="13">
                  <c:v>3</c:v>
                </c:pt>
                <c:pt idx="14">
                  <c:v>4</c:v>
                </c:pt>
                <c:pt idx="15">
                  <c:v>4</c:v>
                </c:pt>
                <c:pt idx="16">
                  <c:v>1</c:v>
                </c:pt>
              </c:numCache>
            </c:numRef>
          </c:val>
          <c:extLst>
            <c:ext xmlns:c16="http://schemas.microsoft.com/office/drawing/2014/chart" uri="{C3380CC4-5D6E-409C-BE32-E72D297353CC}">
              <c16:uniqueId val="{00000001-775D-436E-BDCD-B79FB42CFE4F}"/>
            </c:ext>
          </c:extLst>
        </c:ser>
        <c:ser>
          <c:idx val="0"/>
          <c:order val="1"/>
          <c:tx>
            <c:strRef>
              <c:f>'State &amp; Regional NeT PR View'!$F$74</c:f>
              <c:strCache>
                <c:ptCount val="1"/>
                <c:pt idx="0">
                  <c:v>Number of Program Reports (State) - Not Deployed</c:v>
                </c:pt>
              </c:strCache>
            </c:strRef>
          </c:tx>
          <c:spPr>
            <a:solidFill>
              <a:schemeClr val="accent1"/>
            </a:solidFill>
            <a:ln>
              <a:noFill/>
            </a:ln>
            <a:effectLst/>
          </c:spPr>
          <c:invertIfNegative val="0"/>
          <c:cat>
            <c:strRef>
              <c:f>'State &amp; Regional NeT PR View'!$C$75:$C$91</c:f>
              <c:strCache>
                <c:ptCount val="17"/>
                <c:pt idx="0">
                  <c:v>Arizona</c:v>
                </c:pt>
                <c:pt idx="1">
                  <c:v>Connecticut</c:v>
                </c:pt>
                <c:pt idx="2">
                  <c:v>Delaware</c:v>
                </c:pt>
                <c:pt idx="3">
                  <c:v>Illinois</c:v>
                </c:pt>
                <c:pt idx="4">
                  <c:v>Indiana</c:v>
                </c:pt>
                <c:pt idx="5">
                  <c:v>Kentucky</c:v>
                </c:pt>
                <c:pt idx="6">
                  <c:v>Louisiana</c:v>
                </c:pt>
                <c:pt idx="7">
                  <c:v>Maine</c:v>
                </c:pt>
                <c:pt idx="8">
                  <c:v>Maryland</c:v>
                </c:pt>
                <c:pt idx="9">
                  <c:v>Mississippi</c:v>
                </c:pt>
                <c:pt idx="10">
                  <c:v>Nebraska</c:v>
                </c:pt>
                <c:pt idx="11">
                  <c:v>New Jersey</c:v>
                </c:pt>
                <c:pt idx="12">
                  <c:v>Rhode Island</c:v>
                </c:pt>
                <c:pt idx="13">
                  <c:v>South Dakota</c:v>
                </c:pt>
                <c:pt idx="14">
                  <c:v>Texas</c:v>
                </c:pt>
                <c:pt idx="15">
                  <c:v>Utah</c:v>
                </c:pt>
                <c:pt idx="16">
                  <c:v>Virgin Islands</c:v>
                </c:pt>
              </c:strCache>
            </c:strRef>
          </c:cat>
          <c:val>
            <c:numRef>
              <c:f>'State &amp; Regional NeT PR View'!$F$75:$F$91</c:f>
              <c:numCache>
                <c:formatCode>#,##0</c:formatCode>
                <c:ptCount val="17"/>
                <c:pt idx="0">
                  <c:v>0</c:v>
                </c:pt>
                <c:pt idx="1">
                  <c:v>3</c:v>
                </c:pt>
                <c:pt idx="2">
                  <c:v>0</c:v>
                </c:pt>
                <c:pt idx="3">
                  <c:v>2</c:v>
                </c:pt>
                <c:pt idx="4">
                  <c:v>0</c:v>
                </c:pt>
                <c:pt idx="5">
                  <c:v>2</c:v>
                </c:pt>
                <c:pt idx="6">
                  <c:v>4</c:v>
                </c:pt>
                <c:pt idx="7">
                  <c:v>3</c:v>
                </c:pt>
                <c:pt idx="8">
                  <c:v>2</c:v>
                </c:pt>
                <c:pt idx="9">
                  <c:v>3</c:v>
                </c:pt>
                <c:pt idx="10">
                  <c:v>4</c:v>
                </c:pt>
                <c:pt idx="11">
                  <c:v>1</c:v>
                </c:pt>
                <c:pt idx="12">
                  <c:v>2</c:v>
                </c:pt>
                <c:pt idx="13">
                  <c:v>2</c:v>
                </c:pt>
                <c:pt idx="14">
                  <c:v>2</c:v>
                </c:pt>
                <c:pt idx="15">
                  <c:v>2</c:v>
                </c:pt>
                <c:pt idx="16">
                  <c:v>1</c:v>
                </c:pt>
              </c:numCache>
            </c:numRef>
          </c:val>
          <c:extLst>
            <c:ext xmlns:c16="http://schemas.microsoft.com/office/drawing/2014/chart" uri="{C3380CC4-5D6E-409C-BE32-E72D297353CC}">
              <c16:uniqueId val="{00000000-775D-436E-BDCD-B79FB42CFE4F}"/>
            </c:ext>
          </c:extLst>
        </c:ser>
        <c:dLbls>
          <c:showLegendKey val="0"/>
          <c:showVal val="0"/>
          <c:showCatName val="0"/>
          <c:showSerName val="0"/>
          <c:showPercent val="0"/>
          <c:showBubbleSize val="0"/>
        </c:dLbls>
        <c:gapWidth val="150"/>
        <c:overlap val="100"/>
        <c:axId val="452211048"/>
        <c:axId val="452207768"/>
      </c:barChart>
      <c:catAx>
        <c:axId val="45221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207768"/>
        <c:crosses val="autoZero"/>
        <c:auto val="1"/>
        <c:lblAlgn val="ctr"/>
        <c:lblOffset val="100"/>
        <c:noMultiLvlLbl val="0"/>
      </c:catAx>
      <c:valAx>
        <c:axId val="452207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211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Program</a:t>
            </a:r>
            <a:r>
              <a:rPr lang="en-US" baseline="0"/>
              <a:t> Report Filers (State</a:t>
            </a:r>
            <a:r>
              <a:rPr lang="en-US"/>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PR View'!$E$95</c:f>
              <c:strCache>
                <c:ptCount val="1"/>
                <c:pt idx="0">
                  <c:v>Estimated Number of Program Report Filers Using NeT (State) - Deployed</c:v>
                </c:pt>
              </c:strCache>
            </c:strRef>
          </c:tx>
          <c:spPr>
            <a:solidFill>
              <a:schemeClr val="accent2"/>
            </a:solidFill>
            <a:ln>
              <a:noFill/>
            </a:ln>
            <a:effectLst/>
          </c:spPr>
          <c:invertIfNegative val="0"/>
          <c:cat>
            <c:strRef>
              <c:f>'State &amp; Regional NeT PR View'!$C$96:$C$112</c:f>
              <c:strCache>
                <c:ptCount val="17"/>
                <c:pt idx="0">
                  <c:v>Arizona</c:v>
                </c:pt>
                <c:pt idx="1">
                  <c:v>Connecticut</c:v>
                </c:pt>
                <c:pt idx="2">
                  <c:v>Delaware</c:v>
                </c:pt>
                <c:pt idx="3">
                  <c:v>Illinois</c:v>
                </c:pt>
                <c:pt idx="4">
                  <c:v>Indiana</c:v>
                </c:pt>
                <c:pt idx="5">
                  <c:v>Kentucky</c:v>
                </c:pt>
                <c:pt idx="6">
                  <c:v>Louisiana</c:v>
                </c:pt>
                <c:pt idx="7">
                  <c:v>Maine</c:v>
                </c:pt>
                <c:pt idx="8">
                  <c:v>Maryland</c:v>
                </c:pt>
                <c:pt idx="9">
                  <c:v>Mississippi</c:v>
                </c:pt>
                <c:pt idx="10">
                  <c:v>Nebraska</c:v>
                </c:pt>
                <c:pt idx="11">
                  <c:v>New Jersey</c:v>
                </c:pt>
                <c:pt idx="12">
                  <c:v>Rhode Island</c:v>
                </c:pt>
                <c:pt idx="13">
                  <c:v>South Dakota</c:v>
                </c:pt>
                <c:pt idx="14">
                  <c:v>Texas</c:v>
                </c:pt>
                <c:pt idx="15">
                  <c:v>Utah</c:v>
                </c:pt>
                <c:pt idx="16">
                  <c:v>Virgin Islands</c:v>
                </c:pt>
              </c:strCache>
            </c:strRef>
          </c:cat>
          <c:val>
            <c:numRef>
              <c:f>'State &amp; Regional NeT PR View'!$E$96:$E$112</c:f>
              <c:numCache>
                <c:formatCode>#,##0</c:formatCode>
                <c:ptCount val="17"/>
                <c:pt idx="0">
                  <c:v>72</c:v>
                </c:pt>
                <c:pt idx="1">
                  <c:v>0</c:v>
                </c:pt>
                <c:pt idx="2">
                  <c:v>3</c:v>
                </c:pt>
                <c:pt idx="3">
                  <c:v>889</c:v>
                </c:pt>
                <c:pt idx="4">
                  <c:v>764</c:v>
                </c:pt>
                <c:pt idx="5">
                  <c:v>0</c:v>
                </c:pt>
                <c:pt idx="6">
                  <c:v>329</c:v>
                </c:pt>
                <c:pt idx="7">
                  <c:v>171</c:v>
                </c:pt>
                <c:pt idx="8">
                  <c:v>20</c:v>
                </c:pt>
                <c:pt idx="9">
                  <c:v>346</c:v>
                </c:pt>
                <c:pt idx="10">
                  <c:v>246</c:v>
                </c:pt>
                <c:pt idx="11">
                  <c:v>0</c:v>
                </c:pt>
                <c:pt idx="12">
                  <c:v>71</c:v>
                </c:pt>
                <c:pt idx="13">
                  <c:v>352</c:v>
                </c:pt>
                <c:pt idx="14">
                  <c:v>5947</c:v>
                </c:pt>
                <c:pt idx="15">
                  <c:v>227</c:v>
                </c:pt>
                <c:pt idx="16">
                  <c:v>8</c:v>
                </c:pt>
              </c:numCache>
            </c:numRef>
          </c:val>
          <c:extLst>
            <c:ext xmlns:c16="http://schemas.microsoft.com/office/drawing/2014/chart" uri="{C3380CC4-5D6E-409C-BE32-E72D297353CC}">
              <c16:uniqueId val="{00000001-1C15-4F72-81A7-18D6ECF0F39C}"/>
            </c:ext>
          </c:extLst>
        </c:ser>
        <c:ser>
          <c:idx val="0"/>
          <c:order val="1"/>
          <c:tx>
            <c:strRef>
              <c:f>'State &amp; Regional NeT PR View'!$F$95</c:f>
              <c:strCache>
                <c:ptCount val="1"/>
                <c:pt idx="0">
                  <c:v>Estimated Number of Program Report Filers Using NeT (State) - Not Deployed</c:v>
                </c:pt>
              </c:strCache>
            </c:strRef>
          </c:tx>
          <c:spPr>
            <a:solidFill>
              <a:schemeClr val="accent1"/>
            </a:solidFill>
            <a:ln>
              <a:noFill/>
            </a:ln>
            <a:effectLst/>
          </c:spPr>
          <c:invertIfNegative val="0"/>
          <c:cat>
            <c:strRef>
              <c:f>'State &amp; Regional NeT PR View'!$C$96:$C$112</c:f>
              <c:strCache>
                <c:ptCount val="17"/>
                <c:pt idx="0">
                  <c:v>Arizona</c:v>
                </c:pt>
                <c:pt idx="1">
                  <c:v>Connecticut</c:v>
                </c:pt>
                <c:pt idx="2">
                  <c:v>Delaware</c:v>
                </c:pt>
                <c:pt idx="3">
                  <c:v>Illinois</c:v>
                </c:pt>
                <c:pt idx="4">
                  <c:v>Indiana</c:v>
                </c:pt>
                <c:pt idx="5">
                  <c:v>Kentucky</c:v>
                </c:pt>
                <c:pt idx="6">
                  <c:v>Louisiana</c:v>
                </c:pt>
                <c:pt idx="7">
                  <c:v>Maine</c:v>
                </c:pt>
                <c:pt idx="8">
                  <c:v>Maryland</c:v>
                </c:pt>
                <c:pt idx="9">
                  <c:v>Mississippi</c:v>
                </c:pt>
                <c:pt idx="10">
                  <c:v>Nebraska</c:v>
                </c:pt>
                <c:pt idx="11">
                  <c:v>New Jersey</c:v>
                </c:pt>
                <c:pt idx="12">
                  <c:v>Rhode Island</c:v>
                </c:pt>
                <c:pt idx="13">
                  <c:v>South Dakota</c:v>
                </c:pt>
                <c:pt idx="14">
                  <c:v>Texas</c:v>
                </c:pt>
                <c:pt idx="15">
                  <c:v>Utah</c:v>
                </c:pt>
                <c:pt idx="16">
                  <c:v>Virgin Islands</c:v>
                </c:pt>
              </c:strCache>
            </c:strRef>
          </c:cat>
          <c:val>
            <c:numRef>
              <c:f>'State &amp; Regional NeT PR View'!$F$96:$F$112</c:f>
              <c:numCache>
                <c:formatCode>#,##0</c:formatCode>
                <c:ptCount val="17"/>
                <c:pt idx="0">
                  <c:v>0</c:v>
                </c:pt>
                <c:pt idx="1">
                  <c:v>325</c:v>
                </c:pt>
                <c:pt idx="2">
                  <c:v>0</c:v>
                </c:pt>
                <c:pt idx="3">
                  <c:v>508</c:v>
                </c:pt>
                <c:pt idx="4">
                  <c:v>0</c:v>
                </c:pt>
                <c:pt idx="5">
                  <c:v>133</c:v>
                </c:pt>
                <c:pt idx="6">
                  <c:v>88</c:v>
                </c:pt>
                <c:pt idx="7">
                  <c:v>57</c:v>
                </c:pt>
                <c:pt idx="8">
                  <c:v>14</c:v>
                </c:pt>
                <c:pt idx="9">
                  <c:v>280</c:v>
                </c:pt>
                <c:pt idx="10">
                  <c:v>591</c:v>
                </c:pt>
                <c:pt idx="11">
                  <c:v>2</c:v>
                </c:pt>
                <c:pt idx="12">
                  <c:v>41</c:v>
                </c:pt>
                <c:pt idx="13">
                  <c:v>467</c:v>
                </c:pt>
                <c:pt idx="14">
                  <c:v>637</c:v>
                </c:pt>
                <c:pt idx="15">
                  <c:v>7</c:v>
                </c:pt>
                <c:pt idx="16">
                  <c:v>3</c:v>
                </c:pt>
              </c:numCache>
            </c:numRef>
          </c:val>
          <c:extLst>
            <c:ext xmlns:c16="http://schemas.microsoft.com/office/drawing/2014/chart" uri="{C3380CC4-5D6E-409C-BE32-E72D297353CC}">
              <c16:uniqueId val="{00000000-1C15-4F72-81A7-18D6ECF0F39C}"/>
            </c:ext>
          </c:extLst>
        </c:ser>
        <c:dLbls>
          <c:showLegendKey val="0"/>
          <c:showVal val="0"/>
          <c:showCatName val="0"/>
          <c:showSerName val="0"/>
          <c:showPercent val="0"/>
          <c:showBubbleSize val="0"/>
        </c:dLbls>
        <c:gapWidth val="150"/>
        <c:overlap val="100"/>
        <c:axId val="452211048"/>
        <c:axId val="452207768"/>
      </c:barChart>
      <c:catAx>
        <c:axId val="45221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207768"/>
        <c:crosses val="autoZero"/>
        <c:auto val="1"/>
        <c:lblAlgn val="ctr"/>
        <c:lblOffset val="100"/>
        <c:noMultiLvlLbl val="0"/>
      </c:catAx>
      <c:valAx>
        <c:axId val="452207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211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EPA-Issued NeT Program Reports (by Issuer)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PR View'!$E$118</c:f>
              <c:strCache>
                <c:ptCount val="1"/>
                <c:pt idx="0">
                  <c:v>Number of Program Reports (EPA) - Deployed</c:v>
                </c:pt>
              </c:strCache>
            </c:strRef>
          </c:tx>
          <c:spPr>
            <a:solidFill>
              <a:schemeClr val="accent2"/>
            </a:solidFill>
            <a:ln>
              <a:noFill/>
            </a:ln>
            <a:effectLst/>
          </c:spPr>
          <c:invertIfNegative val="0"/>
          <c:cat>
            <c:strRef>
              <c:f>'State &amp; Regional NeT PR View'!$C$119:$C$128</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View'!$E$119:$E$128</c:f>
              <c:numCache>
                <c:formatCode>#,##0</c:formatCode>
                <c:ptCount val="10"/>
                <c:pt idx="0">
                  <c:v>10</c:v>
                </c:pt>
                <c:pt idx="1">
                  <c:v>9</c:v>
                </c:pt>
                <c:pt idx="2">
                  <c:v>10</c:v>
                </c:pt>
                <c:pt idx="3">
                  <c:v>8</c:v>
                </c:pt>
                <c:pt idx="4">
                  <c:v>5</c:v>
                </c:pt>
                <c:pt idx="5">
                  <c:v>5</c:v>
                </c:pt>
                <c:pt idx="6">
                  <c:v>5</c:v>
                </c:pt>
                <c:pt idx="7">
                  <c:v>7</c:v>
                </c:pt>
                <c:pt idx="8">
                  <c:v>13</c:v>
                </c:pt>
                <c:pt idx="9">
                  <c:v>3</c:v>
                </c:pt>
              </c:numCache>
            </c:numRef>
          </c:val>
          <c:extLst>
            <c:ext xmlns:c16="http://schemas.microsoft.com/office/drawing/2014/chart" uri="{C3380CC4-5D6E-409C-BE32-E72D297353CC}">
              <c16:uniqueId val="{00000001-2D5D-409C-9FEB-F28F4B73DC39}"/>
            </c:ext>
          </c:extLst>
        </c:ser>
        <c:ser>
          <c:idx val="0"/>
          <c:order val="1"/>
          <c:tx>
            <c:strRef>
              <c:f>'State &amp; Regional NeT PR View'!$F$118</c:f>
              <c:strCache>
                <c:ptCount val="1"/>
                <c:pt idx="0">
                  <c:v>Number of Program Reports (EPA) - Not Deployed</c:v>
                </c:pt>
              </c:strCache>
            </c:strRef>
          </c:tx>
          <c:spPr>
            <a:solidFill>
              <a:schemeClr val="accent1"/>
            </a:solidFill>
            <a:ln>
              <a:noFill/>
            </a:ln>
            <a:effectLst/>
          </c:spPr>
          <c:invertIfNegative val="0"/>
          <c:cat>
            <c:strRef>
              <c:f>'State &amp; Regional NeT PR View'!$C$119:$C$128</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View'!$F$119:$F$128</c:f>
              <c:numCache>
                <c:formatCode>#,##0</c:formatCode>
                <c:ptCount val="10"/>
                <c:pt idx="0">
                  <c:v>7</c:v>
                </c:pt>
                <c:pt idx="1">
                  <c:v>2</c:v>
                </c:pt>
                <c:pt idx="2">
                  <c:v>4</c:v>
                </c:pt>
                <c:pt idx="3">
                  <c:v>0</c:v>
                </c:pt>
                <c:pt idx="4">
                  <c:v>2</c:v>
                </c:pt>
                <c:pt idx="5">
                  <c:v>3</c:v>
                </c:pt>
                <c:pt idx="6">
                  <c:v>1</c:v>
                </c:pt>
                <c:pt idx="7">
                  <c:v>3</c:v>
                </c:pt>
                <c:pt idx="8">
                  <c:v>5</c:v>
                </c:pt>
                <c:pt idx="9">
                  <c:v>0</c:v>
                </c:pt>
              </c:numCache>
            </c:numRef>
          </c:val>
          <c:extLst>
            <c:ext xmlns:c16="http://schemas.microsoft.com/office/drawing/2014/chart" uri="{C3380CC4-5D6E-409C-BE32-E72D297353CC}">
              <c16:uniqueId val="{00000000-2D5D-409C-9FEB-F28F4B73DC39}"/>
            </c:ext>
          </c:extLst>
        </c:ser>
        <c:dLbls>
          <c:showLegendKey val="0"/>
          <c:showVal val="0"/>
          <c:showCatName val="0"/>
          <c:showSerName val="0"/>
          <c:showPercent val="0"/>
          <c:showBubbleSize val="0"/>
        </c:dLbls>
        <c:gapWidth val="150"/>
        <c:overlap val="100"/>
        <c:axId val="446242184"/>
        <c:axId val="446253336"/>
      </c:barChart>
      <c:catAx>
        <c:axId val="4462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53336"/>
        <c:crosses val="autoZero"/>
        <c:auto val="1"/>
        <c:lblAlgn val="ctr"/>
        <c:lblOffset val="100"/>
        <c:noMultiLvlLbl val="0"/>
      </c:catAx>
      <c:valAx>
        <c:axId val="44625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42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EPA-Issued NeT Program Report</a:t>
            </a:r>
            <a:r>
              <a:rPr lang="en-US" baseline="0"/>
              <a:t> </a:t>
            </a:r>
            <a:r>
              <a:rPr lang="en-US"/>
              <a:t>Filers (by Issuer)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'State &amp; Regional NeT PR View'!$E$132</c:f>
              <c:strCache>
                <c:ptCount val="1"/>
                <c:pt idx="0">
                  <c:v>Number of Program Report Filers (EPA) - Deployed</c:v>
                </c:pt>
              </c:strCache>
            </c:strRef>
          </c:tx>
          <c:spPr>
            <a:solidFill>
              <a:schemeClr val="accent2"/>
            </a:solidFill>
            <a:ln>
              <a:noFill/>
            </a:ln>
            <a:effectLst/>
          </c:spPr>
          <c:invertIfNegative val="0"/>
          <c:cat>
            <c:strRef>
              <c:f>'State &amp; Regional NeT PR View'!$C$133:$C$142</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View'!$E$133:$E$142</c:f>
              <c:numCache>
                <c:formatCode>#,##0</c:formatCode>
                <c:ptCount val="10"/>
                <c:pt idx="0">
                  <c:v>511</c:v>
                </c:pt>
                <c:pt idx="1">
                  <c:v>363</c:v>
                </c:pt>
                <c:pt idx="2">
                  <c:v>377</c:v>
                </c:pt>
                <c:pt idx="3">
                  <c:v>479</c:v>
                </c:pt>
                <c:pt idx="4">
                  <c:v>391</c:v>
                </c:pt>
                <c:pt idx="5">
                  <c:v>152</c:v>
                </c:pt>
                <c:pt idx="6">
                  <c:v>257</c:v>
                </c:pt>
                <c:pt idx="7">
                  <c:v>141</c:v>
                </c:pt>
                <c:pt idx="8">
                  <c:v>273</c:v>
                </c:pt>
                <c:pt idx="9">
                  <c:v>110</c:v>
                </c:pt>
              </c:numCache>
            </c:numRef>
          </c:val>
          <c:extLst>
            <c:ext xmlns:c16="http://schemas.microsoft.com/office/drawing/2014/chart" uri="{C3380CC4-5D6E-409C-BE32-E72D297353CC}">
              <c16:uniqueId val="{00000001-9C10-4184-B24F-2F76339BFFA0}"/>
            </c:ext>
          </c:extLst>
        </c:ser>
        <c:ser>
          <c:idx val="0"/>
          <c:order val="1"/>
          <c:tx>
            <c:strRef>
              <c:f>'State &amp; Regional NeT PR View'!$F$132</c:f>
              <c:strCache>
                <c:ptCount val="1"/>
                <c:pt idx="0">
                  <c:v>Number of Program Report Filers (EPA) - Not Deployed</c:v>
                </c:pt>
              </c:strCache>
            </c:strRef>
          </c:tx>
          <c:spPr>
            <a:solidFill>
              <a:schemeClr val="accent1"/>
            </a:solidFill>
            <a:ln>
              <a:noFill/>
            </a:ln>
            <a:effectLst/>
          </c:spPr>
          <c:invertIfNegative val="0"/>
          <c:cat>
            <c:strRef>
              <c:f>'State &amp; Regional NeT PR View'!$C$133:$C$142</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View'!$F$133:$F$142</c:f>
              <c:numCache>
                <c:formatCode>#,##0</c:formatCode>
                <c:ptCount val="10"/>
                <c:pt idx="0">
                  <c:v>374</c:v>
                </c:pt>
                <c:pt idx="1">
                  <c:v>135</c:v>
                </c:pt>
                <c:pt idx="2">
                  <c:v>53</c:v>
                </c:pt>
                <c:pt idx="3">
                  <c:v>0</c:v>
                </c:pt>
                <c:pt idx="4">
                  <c:v>265</c:v>
                </c:pt>
                <c:pt idx="5">
                  <c:v>97</c:v>
                </c:pt>
                <c:pt idx="6">
                  <c:v>60</c:v>
                </c:pt>
                <c:pt idx="7">
                  <c:v>12</c:v>
                </c:pt>
                <c:pt idx="8">
                  <c:v>13</c:v>
                </c:pt>
                <c:pt idx="9">
                  <c:v>0</c:v>
                </c:pt>
              </c:numCache>
            </c:numRef>
          </c:val>
          <c:extLst>
            <c:ext xmlns:c16="http://schemas.microsoft.com/office/drawing/2014/chart" uri="{C3380CC4-5D6E-409C-BE32-E72D297353CC}">
              <c16:uniqueId val="{00000000-9C10-4184-B24F-2F76339BFFA0}"/>
            </c:ext>
          </c:extLst>
        </c:ser>
        <c:dLbls>
          <c:showLegendKey val="0"/>
          <c:showVal val="0"/>
          <c:showCatName val="0"/>
          <c:showSerName val="0"/>
          <c:showPercent val="0"/>
          <c:showBubbleSize val="0"/>
        </c:dLbls>
        <c:gapWidth val="150"/>
        <c:overlap val="100"/>
        <c:axId val="446242184"/>
        <c:axId val="446253336"/>
      </c:barChart>
      <c:catAx>
        <c:axId val="4462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53336"/>
        <c:crosses val="autoZero"/>
        <c:auto val="1"/>
        <c:lblAlgn val="ctr"/>
        <c:lblOffset val="100"/>
        <c:noMultiLvlLbl val="0"/>
      </c:catAx>
      <c:valAx>
        <c:axId val="446253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42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View'!$D$118</c:f>
              <c:strCache>
                <c:ptCount val="1"/>
                <c:pt idx="0">
                  <c:v>Number of Program Reports (EPA)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AC-46C8-B38A-6CD2D368C1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AC-46C8-B38A-6CD2D368C1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AC-46C8-B38A-6CD2D368C1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6AC-46C8-B38A-6CD2D368C1C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6AC-46C8-B38A-6CD2D368C1C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6AC-46C8-B38A-6CD2D368C1C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6AC-46C8-B38A-6CD2D368C1C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6AC-46C8-B38A-6CD2D368C1C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6AC-46C8-B38A-6CD2D368C1C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6AC-46C8-B38A-6CD2D368C1C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6AC-46C8-B38A-6CD2D368C1CD}"/>
              </c:ext>
            </c:extLst>
          </c:dPt>
          <c:cat>
            <c:strRef>
              <c:f>'State &amp; Regional NeT PR View'!$C$119:$C$128</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View'!$D$119:$D$128</c:f>
              <c:numCache>
                <c:formatCode>#,##0</c:formatCode>
                <c:ptCount val="10"/>
                <c:pt idx="0">
                  <c:v>17</c:v>
                </c:pt>
                <c:pt idx="1">
                  <c:v>11</c:v>
                </c:pt>
                <c:pt idx="2">
                  <c:v>14</c:v>
                </c:pt>
                <c:pt idx="3">
                  <c:v>8</c:v>
                </c:pt>
                <c:pt idx="4">
                  <c:v>7</c:v>
                </c:pt>
                <c:pt idx="5">
                  <c:v>8</c:v>
                </c:pt>
                <c:pt idx="6">
                  <c:v>6</c:v>
                </c:pt>
                <c:pt idx="7">
                  <c:v>10</c:v>
                </c:pt>
                <c:pt idx="8">
                  <c:v>18</c:v>
                </c:pt>
                <c:pt idx="9">
                  <c:v>3</c:v>
                </c:pt>
              </c:numCache>
            </c:numRef>
          </c:val>
          <c:extLst>
            <c:ext xmlns:c16="http://schemas.microsoft.com/office/drawing/2014/chart" uri="{C3380CC4-5D6E-409C-BE32-E72D297353CC}">
              <c16:uniqueId val="{00000016-36AC-46C8-B38A-6CD2D368C1C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NeT Program Reports (EPA)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View'!$E$118</c:f>
              <c:strCache>
                <c:ptCount val="1"/>
                <c:pt idx="0">
                  <c:v>Number of Program Reports (EPA)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57-4D4E-9AAB-5DFFD559C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57-4D4E-9AAB-5DFFD559C9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57-4D4E-9AAB-5DFFD559C9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57-4D4E-9AAB-5DFFD559C9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257-4D4E-9AAB-5DFFD559C95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257-4D4E-9AAB-5DFFD559C95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257-4D4E-9AAB-5DFFD559C95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257-4D4E-9AAB-5DFFD559C95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257-4D4E-9AAB-5DFFD559C95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257-4D4E-9AAB-5DFFD559C95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257-4D4E-9AAB-5DFFD559C95A}"/>
              </c:ext>
            </c:extLst>
          </c:dPt>
          <c:cat>
            <c:strRef>
              <c:f>'State &amp; Regional NeT PR View'!$C$119:$C$128</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View'!$E$119:$E$128</c:f>
              <c:numCache>
                <c:formatCode>#,##0</c:formatCode>
                <c:ptCount val="10"/>
                <c:pt idx="0">
                  <c:v>10</c:v>
                </c:pt>
                <c:pt idx="1">
                  <c:v>9</c:v>
                </c:pt>
                <c:pt idx="2">
                  <c:v>10</c:v>
                </c:pt>
                <c:pt idx="3">
                  <c:v>8</c:v>
                </c:pt>
                <c:pt idx="4">
                  <c:v>5</c:v>
                </c:pt>
                <c:pt idx="5">
                  <c:v>5</c:v>
                </c:pt>
                <c:pt idx="6">
                  <c:v>5</c:v>
                </c:pt>
                <c:pt idx="7">
                  <c:v>7</c:v>
                </c:pt>
                <c:pt idx="8">
                  <c:v>13</c:v>
                </c:pt>
                <c:pt idx="9">
                  <c:v>3</c:v>
                </c:pt>
              </c:numCache>
            </c:numRef>
          </c:val>
          <c:extLst>
            <c:ext xmlns:c16="http://schemas.microsoft.com/office/drawing/2014/chart" uri="{C3380CC4-5D6E-409C-BE32-E72D297353CC}">
              <c16:uniqueId val="{00000016-2257-4D4E-9AAB-5DFFD559C95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Program Report</a:t>
            </a:r>
            <a:r>
              <a:rPr lang="en-US" baseline="0"/>
              <a:t> Filers</a:t>
            </a:r>
            <a:r>
              <a:rPr lang="en-US"/>
              <a:t> (EPA)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View'!$D$132</c:f>
              <c:strCache>
                <c:ptCount val="1"/>
                <c:pt idx="0">
                  <c:v>Number of Program Report Filers (EPA)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13-419A-B41F-9F957993D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13-419A-B41F-9F957993D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513-419A-B41F-9F957993D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513-419A-B41F-9F957993D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513-419A-B41F-9F957993DB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513-419A-B41F-9F957993DB6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513-419A-B41F-9F957993DB6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513-419A-B41F-9F957993DB6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513-419A-B41F-9F957993DB6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513-419A-B41F-9F957993DB6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513-419A-B41F-9F957993DB69}"/>
              </c:ext>
            </c:extLst>
          </c:dPt>
          <c:cat>
            <c:strRef>
              <c:f>'State &amp; Regional NeT PR View'!$C$133:$C$142</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View'!$D$133:$D$142</c:f>
              <c:numCache>
                <c:formatCode>#,##0</c:formatCode>
                <c:ptCount val="10"/>
                <c:pt idx="0">
                  <c:v>885</c:v>
                </c:pt>
                <c:pt idx="1">
                  <c:v>498</c:v>
                </c:pt>
                <c:pt idx="2">
                  <c:v>430</c:v>
                </c:pt>
                <c:pt idx="3">
                  <c:v>479</c:v>
                </c:pt>
                <c:pt idx="4">
                  <c:v>656</c:v>
                </c:pt>
                <c:pt idx="5">
                  <c:v>249</c:v>
                </c:pt>
                <c:pt idx="6">
                  <c:v>317</c:v>
                </c:pt>
                <c:pt idx="7">
                  <c:v>153</c:v>
                </c:pt>
                <c:pt idx="8">
                  <c:v>286</c:v>
                </c:pt>
                <c:pt idx="9">
                  <c:v>110</c:v>
                </c:pt>
              </c:numCache>
            </c:numRef>
          </c:val>
          <c:extLst>
            <c:ext xmlns:c16="http://schemas.microsoft.com/office/drawing/2014/chart" uri="{C3380CC4-5D6E-409C-BE32-E72D297353CC}">
              <c16:uniqueId val="{00000016-5513-419A-B41F-9F957993D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Number of Program</a:t>
            </a:r>
            <a:r>
              <a:rPr lang="en-US" baseline="0"/>
              <a:t> Report Filers </a:t>
            </a:r>
            <a:r>
              <a:rPr lang="en-US"/>
              <a:t>(EPA) - Deployed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'State &amp; Regional NeT PR View'!$E$132</c:f>
              <c:strCache>
                <c:ptCount val="1"/>
                <c:pt idx="0">
                  <c:v>Number of Program Report Filers (EPA) - Deployed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B4-4B7F-864F-1E37F9C828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2B4-4B7F-864F-1E37F9C828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2B4-4B7F-864F-1E37F9C828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2B4-4B7F-864F-1E37F9C828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2B4-4B7F-864F-1E37F9C8285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2B4-4B7F-864F-1E37F9C8285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2B4-4B7F-864F-1E37F9C828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2B4-4B7F-864F-1E37F9C828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2B4-4B7F-864F-1E37F9C8285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2B4-4B7F-864F-1E37F9C8285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2B4-4B7F-864F-1E37F9C82858}"/>
              </c:ext>
            </c:extLst>
          </c:dPt>
          <c:cat>
            <c:strRef>
              <c:f>'State &amp; Regional NeT PR View'!$C$133:$C$142</c:f>
              <c:strCache>
                <c:ptCount val="10"/>
                <c:pt idx="0">
                  <c:v>R1</c:v>
                </c:pt>
                <c:pt idx="1">
                  <c:v>R2</c:v>
                </c:pt>
                <c:pt idx="2">
                  <c:v>R3</c:v>
                </c:pt>
                <c:pt idx="3">
                  <c:v>R4</c:v>
                </c:pt>
                <c:pt idx="4">
                  <c:v>R5</c:v>
                </c:pt>
                <c:pt idx="5">
                  <c:v>R6</c:v>
                </c:pt>
                <c:pt idx="6">
                  <c:v>R7</c:v>
                </c:pt>
                <c:pt idx="7">
                  <c:v>R8</c:v>
                </c:pt>
                <c:pt idx="8">
                  <c:v>R9</c:v>
                </c:pt>
                <c:pt idx="9">
                  <c:v>R10</c:v>
                </c:pt>
              </c:strCache>
            </c:strRef>
          </c:cat>
          <c:val>
            <c:numRef>
              <c:f>'State &amp; Regional NeT PR View'!$E$133:$E$142</c:f>
              <c:numCache>
                <c:formatCode>#,##0</c:formatCode>
                <c:ptCount val="10"/>
                <c:pt idx="0">
                  <c:v>511</c:v>
                </c:pt>
                <c:pt idx="1">
                  <c:v>363</c:v>
                </c:pt>
                <c:pt idx="2">
                  <c:v>377</c:v>
                </c:pt>
                <c:pt idx="3">
                  <c:v>479</c:v>
                </c:pt>
                <c:pt idx="4">
                  <c:v>391</c:v>
                </c:pt>
                <c:pt idx="5">
                  <c:v>152</c:v>
                </c:pt>
                <c:pt idx="6">
                  <c:v>257</c:v>
                </c:pt>
                <c:pt idx="7">
                  <c:v>141</c:v>
                </c:pt>
                <c:pt idx="8">
                  <c:v>273</c:v>
                </c:pt>
                <c:pt idx="9">
                  <c:v>110</c:v>
                </c:pt>
              </c:numCache>
            </c:numRef>
          </c:val>
          <c:extLst>
            <c:ext xmlns:c16="http://schemas.microsoft.com/office/drawing/2014/chart" uri="{C3380CC4-5D6E-409C-BE32-E72D297353CC}">
              <c16:uniqueId val="{00000016-72B4-4B7F-864F-1E37F9C8285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DE9A-453E-AE4D-2E31616E3DF9}"/>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DE9A-453E-AE4D-2E31616E3DF9}"/>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9A-453E-AE4D-2E31616E3DF9}"/>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9A-453E-AE4D-2E31616E3D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View'!$E$74:$F$74</c:f>
              <c:strCache>
                <c:ptCount val="2"/>
                <c:pt idx="0">
                  <c:v>Number of Program Reports (State) - Deployed</c:v>
                </c:pt>
                <c:pt idx="1">
                  <c:v>Number of Program Reports (State) - Not Deployed</c:v>
                </c:pt>
              </c:strCache>
            </c:strRef>
          </c:cat>
          <c:val>
            <c:numRef>
              <c:f>'State &amp; Regional NeT PR View'!$E$92:$F$92</c:f>
              <c:numCache>
                <c:formatCode>#,##0</c:formatCode>
                <c:ptCount val="2"/>
                <c:pt idx="0">
                  <c:v>25</c:v>
                </c:pt>
                <c:pt idx="1">
                  <c:v>33</c:v>
                </c:pt>
              </c:numCache>
            </c:numRef>
          </c:val>
          <c:extLst>
            <c:ext xmlns:c16="http://schemas.microsoft.com/office/drawing/2014/chart" uri="{C3380CC4-5D6E-409C-BE32-E72D297353CC}">
              <c16:uniqueId val="{00000004-DE9A-453E-AE4D-2E31616E3DF9}"/>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DE9A-453E-AE4D-2E31616E3D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DE9A-453E-AE4D-2E31616E3DF9}"/>
                    </c:ext>
                  </c:extLst>
                </c:dPt>
                <c:cat>
                  <c:strRef>
                    <c:extLst>
                      <c:ex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c:ext uri="{02D57815-91ED-43cb-92C2-25804820EDAC}">
                        <c15:formulaRef>
                          <c15:sqref>'State &amp; Regional NeT GP View'!$E$73:$F$73</c15:sqref>
                        </c15:formulaRef>
                      </c:ext>
                    </c:extLst>
                    <c:numCache>
                      <c:formatCode>#,##0</c:formatCode>
                      <c:ptCount val="2"/>
                      <c:pt idx="0">
                        <c:v>0</c:v>
                      </c:pt>
                      <c:pt idx="1">
                        <c:v>8</c:v>
                      </c:pt>
                    </c:numCache>
                  </c:numRef>
                </c:val>
                <c:extLst>
                  <c:ext xmlns:c16="http://schemas.microsoft.com/office/drawing/2014/chart" uri="{C3380CC4-5D6E-409C-BE32-E72D297353CC}">
                    <c16:uniqueId val="{00000009-DE9A-453E-AE4D-2E31616E3DF9}"/>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View'!$E$75:$F$75</c15:sqref>
                        </c15:formulaRef>
                      </c:ext>
                    </c:extLst>
                    <c:numCache>
                      <c:formatCode>#,##0</c:formatCode>
                      <c:ptCount val="2"/>
                      <c:pt idx="0">
                        <c:v>1</c:v>
                      </c:pt>
                      <c:pt idx="1">
                        <c:v>3</c:v>
                      </c:pt>
                    </c:numCache>
                  </c:numRef>
                </c:val>
                <c:extLst xmlns:c15="http://schemas.microsoft.com/office/drawing/2012/chart">
                  <c:ext xmlns:c16="http://schemas.microsoft.com/office/drawing/2014/chart" uri="{C3380CC4-5D6E-409C-BE32-E72D297353CC}">
                    <c16:uniqueId val="{0000000E-DE9A-453E-AE4D-2E31616E3DF9}"/>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View'!$E$76:$F$76</c15:sqref>
                        </c15:formulaRef>
                      </c:ext>
                    </c:extLst>
                    <c:numCache>
                      <c:formatCode>#,##0</c:formatCode>
                      <c:ptCount val="2"/>
                      <c:pt idx="0">
                        <c:v>2</c:v>
                      </c:pt>
                      <c:pt idx="1">
                        <c:v>11</c:v>
                      </c:pt>
                    </c:numCache>
                  </c:numRef>
                </c:val>
                <c:extLst xmlns:c15="http://schemas.microsoft.com/office/drawing/2012/chart">
                  <c:ext xmlns:c16="http://schemas.microsoft.com/office/drawing/2014/chart" uri="{C3380CC4-5D6E-409C-BE32-E72D297353CC}">
                    <c16:uniqueId val="{00000013-DE9A-453E-AE4D-2E31616E3DF9}"/>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DE9A-453E-AE4D-2E31616E3DF9}"/>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View'!$E$77:$F$77</c15:sqref>
                        </c15:formulaRef>
                      </c:ext>
                    </c:extLst>
                    <c:numCache>
                      <c:formatCode>#,##0</c:formatCode>
                      <c:ptCount val="2"/>
                      <c:pt idx="0">
                        <c:v>0</c:v>
                      </c:pt>
                      <c:pt idx="1">
                        <c:v>8</c:v>
                      </c:pt>
                    </c:numCache>
                  </c:numRef>
                </c:val>
                <c:extLst xmlns:c15="http://schemas.microsoft.com/office/drawing/2012/chart">
                  <c:ext xmlns:c16="http://schemas.microsoft.com/office/drawing/2014/chart" uri="{C3380CC4-5D6E-409C-BE32-E72D297353CC}">
                    <c16:uniqueId val="{0000001D-DE9A-453E-AE4D-2E31616E3DF9}"/>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View'!$E$79:$F$79</c15:sqref>
                        </c15:formulaRef>
                      </c:ext>
                    </c:extLst>
                    <c:numCache>
                      <c:formatCode>#,##0</c:formatCode>
                      <c:ptCount val="2"/>
                      <c:pt idx="0">
                        <c:v>0</c:v>
                      </c:pt>
                      <c:pt idx="1">
                        <c:v>10</c:v>
                      </c:pt>
                    </c:numCache>
                  </c:numRef>
                </c:val>
                <c:extLst xmlns:c15="http://schemas.microsoft.com/office/drawing/2012/chart">
                  <c:ext xmlns:c16="http://schemas.microsoft.com/office/drawing/2014/chart" uri="{C3380CC4-5D6E-409C-BE32-E72D297353CC}">
                    <c16:uniqueId val="{00000022-DE9A-453E-AE4D-2E31616E3DF9}"/>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View'!$E$80:$F$80</c15:sqref>
                        </c15:formulaRef>
                      </c:ext>
                    </c:extLst>
                    <c:numCache>
                      <c:formatCode>#,##0</c:formatCode>
                      <c:ptCount val="2"/>
                      <c:pt idx="0">
                        <c:v>1</c:v>
                      </c:pt>
                      <c:pt idx="1">
                        <c:v>10</c:v>
                      </c:pt>
                    </c:numCache>
                  </c:numRef>
                </c:val>
                <c:extLst xmlns:c15="http://schemas.microsoft.com/office/drawing/2012/chart">
                  <c:ext xmlns:c16="http://schemas.microsoft.com/office/drawing/2014/chart" uri="{C3380CC4-5D6E-409C-BE32-E72D297353CC}">
                    <c16:uniqueId val="{00000027-DE9A-453E-AE4D-2E31616E3DF9}"/>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View'!$E$81:$F$81</c15:sqref>
                        </c15:formulaRef>
                      </c:ext>
                    </c:extLst>
                    <c:numCache>
                      <c:formatCode>#,##0</c:formatCode>
                      <c:ptCount val="2"/>
                      <c:pt idx="0">
                        <c:v>1</c:v>
                      </c:pt>
                      <c:pt idx="1">
                        <c:v>4</c:v>
                      </c:pt>
                    </c:numCache>
                  </c:numRef>
                </c:val>
                <c:extLst xmlns:c15="http://schemas.microsoft.com/office/drawing/2012/chart">
                  <c:ext xmlns:c16="http://schemas.microsoft.com/office/drawing/2014/chart" uri="{C3380CC4-5D6E-409C-BE32-E72D297353CC}">
                    <c16:uniqueId val="{0000002C-DE9A-453E-AE4D-2E31616E3DF9}"/>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View'!$E$82:$F$82</c15:sqref>
                        </c15:formulaRef>
                      </c:ext>
                    </c:extLst>
                    <c:numCache>
                      <c:formatCode>#,##0</c:formatCode>
                      <c:ptCount val="2"/>
                      <c:pt idx="0">
                        <c:v>2</c:v>
                      </c:pt>
                      <c:pt idx="1">
                        <c:v>7</c:v>
                      </c:pt>
                    </c:numCache>
                  </c:numRef>
                </c:val>
                <c:extLst xmlns:c15="http://schemas.microsoft.com/office/drawing/2012/chart">
                  <c:ext xmlns:c16="http://schemas.microsoft.com/office/drawing/2014/chart" uri="{C3380CC4-5D6E-409C-BE32-E72D297353CC}">
                    <c16:uniqueId val="{00000031-DE9A-453E-AE4D-2E31616E3DF9}"/>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View'!$E$84:$F$84</c15:sqref>
                        </c15:formulaRef>
                      </c:ext>
                    </c:extLst>
                    <c:numCache>
                      <c:formatCode>#,##0</c:formatCode>
                      <c:ptCount val="2"/>
                      <c:pt idx="0">
                        <c:v>7</c:v>
                      </c:pt>
                      <c:pt idx="1">
                        <c:v>4</c:v>
                      </c:pt>
                    </c:numCache>
                  </c:numRef>
                </c:val>
                <c:extLst xmlns:c15="http://schemas.microsoft.com/office/drawing/2012/chart">
                  <c:ext xmlns:c16="http://schemas.microsoft.com/office/drawing/2014/chart" uri="{C3380CC4-5D6E-409C-BE32-E72D297353CC}">
                    <c16:uniqueId val="{00000036-DE9A-453E-AE4D-2E31616E3DF9}"/>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DE9A-453E-AE4D-2E31616E3DF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DE9A-453E-AE4D-2E31616E3DF9}"/>
                    </c:ext>
                  </c:extLst>
                </c:dPt>
                <c:cat>
                  <c:strRef>
                    <c:extLst xmlns:c15="http://schemas.microsoft.com/office/drawing/2012/chart">
                      <c:ext xmlns:c15="http://schemas.microsoft.com/office/drawing/2012/chart" uri="{02D57815-91ED-43cb-92C2-25804820EDAC}">
                        <c15:formulaRef>
                          <c15:sqref>'State &amp; Regional NeT PR View'!$E$74:$F$74</c15:sqref>
                        </c15:formulaRef>
                      </c:ext>
                    </c:extLst>
                    <c:strCache>
                      <c:ptCount val="2"/>
                      <c:pt idx="0">
                        <c:v>Number of Program Reports (State) - Deployed</c:v>
                      </c:pt>
                      <c:pt idx="1">
                        <c:v>Number of Program Reports (State) - Not Deployed</c:v>
                      </c:pt>
                    </c:strCache>
                  </c:strRef>
                </c:cat>
                <c:val>
                  <c:numRef>
                    <c:extLst xmlns:c15="http://schemas.microsoft.com/office/drawing/2012/chart">
                      <c:ext xmlns:c15="http://schemas.microsoft.com/office/drawing/2012/chart" uri="{02D57815-91ED-43cb-92C2-25804820EDAC}">
                        <c15:formulaRef>
                          <c15:sqref>'State &amp; Regional NeT GP View'!$E$85:$F$85</c15:sqref>
                        </c15:formulaRef>
                      </c:ext>
                    </c:extLst>
                    <c:numCache>
                      <c:formatCode>#,##0</c:formatCode>
                      <c:ptCount val="2"/>
                      <c:pt idx="0">
                        <c:v>0</c:v>
                      </c:pt>
                      <c:pt idx="1">
                        <c:v>4</c:v>
                      </c:pt>
                    </c:numCache>
                  </c:numRef>
                </c:val>
                <c:extLst xmlns:c15="http://schemas.microsoft.com/office/drawing/2012/chart">
                  <c:ext xmlns:c16="http://schemas.microsoft.com/office/drawing/2014/chart" uri="{C3380CC4-5D6E-409C-BE32-E72D297353CC}">
                    <c16:uniqueId val="{0000003B-DE9A-453E-AE4D-2E31616E3DF9}"/>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2D46-47DA-BE79-0D423B3562C5}"/>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2D46-47DA-BE79-0D423B3562C5}"/>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46-47DA-BE79-0D423B3562C5}"/>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46-47DA-BE79-0D423B3562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View'!$E$95:$F$95</c:f>
              <c:strCache>
                <c:ptCount val="2"/>
                <c:pt idx="0">
                  <c:v>Estimated Number of Program Report Filers Using NeT (State) - Deployed</c:v>
                </c:pt>
                <c:pt idx="1">
                  <c:v>Estimated Number of Program Report Filers Using NeT (State) - Not Deployed</c:v>
                </c:pt>
              </c:strCache>
            </c:strRef>
          </c:cat>
          <c:val>
            <c:numRef>
              <c:f>'State &amp; Regional NeT PR View'!$E$113:$F$113</c:f>
              <c:numCache>
                <c:formatCode>#,##0</c:formatCode>
                <c:ptCount val="2"/>
                <c:pt idx="0">
                  <c:v>9445</c:v>
                </c:pt>
                <c:pt idx="1">
                  <c:v>3153</c:v>
                </c:pt>
              </c:numCache>
            </c:numRef>
          </c:val>
          <c:extLst>
            <c:ext xmlns:c16="http://schemas.microsoft.com/office/drawing/2014/chart" uri="{C3380CC4-5D6E-409C-BE32-E72D297353CC}">
              <c16:uniqueId val="{00000004-2D46-47DA-BE79-0D423B3562C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2D46-47DA-BE79-0D423B3562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2D46-47DA-BE79-0D423B3562C5}"/>
                    </c:ext>
                  </c:extLst>
                </c:dPt>
                <c:cat>
                  <c:strRef>
                    <c:extLst>
                      <c:ext uri="{02D57815-91ED-43cb-92C2-25804820EDAC}">
                        <c15:formulaRef>
                          <c15:sqref>'State &amp; Regional NeT PR View'!$E$95:$F$95</c15:sqref>
                        </c15:formulaRef>
                      </c:ext>
                    </c:extLst>
                    <c:strCache>
                      <c:ptCount val="2"/>
                      <c:pt idx="0">
                        <c:v>Estimated Number of Program Report Filers Using NeT (State) - Deployed</c:v>
                      </c:pt>
                      <c:pt idx="1">
                        <c:v>Estimated Number of Program Report Filers Using NeT (State) - Not Deployed</c:v>
                      </c:pt>
                    </c:strCache>
                  </c:strRef>
                </c:cat>
                <c:val>
                  <c:numRef>
                    <c:extLst>
                      <c:ext uri="{02D57815-91ED-43cb-92C2-25804820EDAC}">
                        <c15:formulaRef>
                          <c15:sqref>'State &amp; Regional NeT GP View'!$E$92:$F$92</c15:sqref>
                        </c15:formulaRef>
                      </c:ext>
                    </c:extLst>
                    <c:numCache>
                      <c:formatCode>#,##0</c:formatCode>
                      <c:ptCount val="2"/>
                      <c:pt idx="0">
                        <c:v>0</c:v>
                      </c:pt>
                      <c:pt idx="1">
                        <c:v>2712</c:v>
                      </c:pt>
                    </c:numCache>
                  </c:numRef>
                </c:val>
                <c:extLst>
                  <c:ext xmlns:c16="http://schemas.microsoft.com/office/drawing/2014/chart" uri="{C3380CC4-5D6E-409C-BE32-E72D297353CC}">
                    <c16:uniqueId val="{00000009-2D46-47DA-BE79-0D423B3562C5}"/>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2D46-47DA-BE79-0D423B3562C5}"/>
                    </c:ext>
                  </c:extLst>
                </c:dPt>
                <c:cat>
                  <c:strRef>
                    <c:extLst xmlns:c15="http://schemas.microsoft.com/office/drawing/2012/chart">
                      <c:ext xmlns:c15="http://schemas.microsoft.com/office/drawing/2012/chart" uri="{02D57815-91ED-43cb-92C2-25804820EDAC}">
                        <c15:formulaRef>
                          <c15:sqref>'State &amp; Regional NeT PR View'!$E$95:$F$95</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View'!$E$94:$F$94</c15:sqref>
                        </c15:formulaRef>
                      </c:ext>
                    </c:extLst>
                    <c:numCache>
                      <c:formatCode>#,##0</c:formatCode>
                      <c:ptCount val="2"/>
                      <c:pt idx="0">
                        <c:v>10</c:v>
                      </c:pt>
                      <c:pt idx="1">
                        <c:v>190</c:v>
                      </c:pt>
                    </c:numCache>
                  </c:numRef>
                </c:val>
                <c:extLst xmlns:c15="http://schemas.microsoft.com/office/drawing/2012/chart">
                  <c:ext xmlns:c16="http://schemas.microsoft.com/office/drawing/2014/chart" uri="{C3380CC4-5D6E-409C-BE32-E72D297353CC}">
                    <c16:uniqueId val="{0000000E-2D46-47DA-BE79-0D423B3562C5}"/>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2D46-47DA-BE79-0D423B3562C5}"/>
                    </c:ext>
                  </c:extLst>
                </c:dPt>
                <c:cat>
                  <c:strRef>
                    <c:extLst xmlns:c15="http://schemas.microsoft.com/office/drawing/2012/chart">
                      <c:ext xmlns:c15="http://schemas.microsoft.com/office/drawing/2012/chart" uri="{02D57815-91ED-43cb-92C2-25804820EDAC}">
                        <c15:formulaRef>
                          <c15:sqref>'State &amp; Regional NeT PR View'!$E$95:$F$95</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View'!$E$95:$F$95</c15:sqref>
                        </c15:formulaRef>
                      </c:ext>
                    </c:extLst>
                    <c:numCache>
                      <c:formatCode>#,##0</c:formatCode>
                      <c:ptCount val="2"/>
                      <c:pt idx="0">
                        <c:v>1499</c:v>
                      </c:pt>
                      <c:pt idx="1">
                        <c:v>3989</c:v>
                      </c:pt>
                    </c:numCache>
                  </c:numRef>
                </c:val>
                <c:extLst xmlns:c15="http://schemas.microsoft.com/office/drawing/2012/chart">
                  <c:ext xmlns:c16="http://schemas.microsoft.com/office/drawing/2014/chart" uri="{C3380CC4-5D6E-409C-BE32-E72D297353CC}">
                    <c16:uniqueId val="{00000013-2D46-47DA-BE79-0D423B3562C5}"/>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2D46-47DA-BE79-0D423B3562C5}"/>
                    </c:ext>
                  </c:extLst>
                </c:dPt>
                <c:cat>
                  <c:strRef>
                    <c:extLst xmlns:c15="http://schemas.microsoft.com/office/drawing/2012/chart">
                      <c:ext xmlns:c15="http://schemas.microsoft.com/office/drawing/2012/chart" uri="{02D57815-91ED-43cb-92C2-25804820EDAC}">
                        <c15:formulaRef>
                          <c15:sqref>'State &amp; Regional NeT PR View'!$E$95:$F$95</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8-2D46-47DA-BE79-0D423B3562C5}"/>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2D46-47DA-BE79-0D423B3562C5}"/>
                    </c:ext>
                  </c:extLst>
                </c:dPt>
                <c:cat>
                  <c:strRef>
                    <c:extLst xmlns:c15="http://schemas.microsoft.com/office/drawing/2012/chart">
                      <c:ext xmlns:c15="http://schemas.microsoft.com/office/drawing/2012/chart" uri="{02D57815-91ED-43cb-92C2-25804820EDAC}">
                        <c15:formulaRef>
                          <c15:sqref>'State &amp; Regional NeT PR View'!$E$95:$F$95</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View'!$E$96:$F$96</c15:sqref>
                        </c15:formulaRef>
                      </c:ext>
                    </c:extLst>
                    <c:numCache>
                      <c:formatCode>#,##0</c:formatCode>
                      <c:ptCount val="2"/>
                      <c:pt idx="0">
                        <c:v>0</c:v>
                      </c:pt>
                      <c:pt idx="1">
                        <c:v>63</c:v>
                      </c:pt>
                    </c:numCache>
                  </c:numRef>
                </c:val>
                <c:extLst xmlns:c15="http://schemas.microsoft.com/office/drawing/2012/chart">
                  <c:ext xmlns:c16="http://schemas.microsoft.com/office/drawing/2014/chart" uri="{C3380CC4-5D6E-409C-BE32-E72D297353CC}">
                    <c16:uniqueId val="{0000001D-2D46-47DA-BE79-0D423B3562C5}"/>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2D46-47DA-BE79-0D423B3562C5}"/>
                    </c:ext>
                  </c:extLst>
                </c:dPt>
                <c:cat>
                  <c:strRef>
                    <c:extLst xmlns:c15="http://schemas.microsoft.com/office/drawing/2012/chart">
                      <c:ext xmlns:c15="http://schemas.microsoft.com/office/drawing/2012/chart" uri="{02D57815-91ED-43cb-92C2-25804820EDAC}">
                        <c15:formulaRef>
                          <c15:sqref>'State &amp; Regional NeT PR View'!$E$95:$F$95</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View'!$E$98:$F$98</c15:sqref>
                        </c15:formulaRef>
                      </c:ext>
                    </c:extLst>
                    <c:numCache>
                      <c:formatCode>#,##0</c:formatCode>
                      <c:ptCount val="2"/>
                      <c:pt idx="0">
                        <c:v>0</c:v>
                      </c:pt>
                      <c:pt idx="1">
                        <c:v>4123</c:v>
                      </c:pt>
                    </c:numCache>
                  </c:numRef>
                </c:val>
                <c:extLst xmlns:c15="http://schemas.microsoft.com/office/drawing/2012/chart">
                  <c:ext xmlns:c16="http://schemas.microsoft.com/office/drawing/2014/chart" uri="{C3380CC4-5D6E-409C-BE32-E72D297353CC}">
                    <c16:uniqueId val="{00000022-2D46-47DA-BE79-0D423B3562C5}"/>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2D46-47DA-BE79-0D423B3562C5}"/>
                    </c:ext>
                  </c:extLst>
                </c:dPt>
                <c:cat>
                  <c:strRef>
                    <c:extLst xmlns:c15="http://schemas.microsoft.com/office/drawing/2012/chart">
                      <c:ext xmlns:c15="http://schemas.microsoft.com/office/drawing/2012/chart" uri="{02D57815-91ED-43cb-92C2-25804820EDAC}">
                        <c15:formulaRef>
                          <c15:sqref>'State &amp; Regional NeT PR View'!$E$95:$F$95</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View'!$E$99:$F$99</c15:sqref>
                        </c15:formulaRef>
                      </c:ext>
                    </c:extLst>
                    <c:numCache>
                      <c:formatCode>#,##0</c:formatCode>
                      <c:ptCount val="2"/>
                      <c:pt idx="0">
                        <c:v>14</c:v>
                      </c:pt>
                      <c:pt idx="1">
                        <c:v>506</c:v>
                      </c:pt>
                    </c:numCache>
                  </c:numRef>
                </c:val>
                <c:extLst xmlns:c15="http://schemas.microsoft.com/office/drawing/2012/chart">
                  <c:ext xmlns:c16="http://schemas.microsoft.com/office/drawing/2014/chart" uri="{C3380CC4-5D6E-409C-BE32-E72D297353CC}">
                    <c16:uniqueId val="{00000027-2D46-47DA-BE79-0D423B3562C5}"/>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2D46-47DA-BE79-0D423B3562C5}"/>
                    </c:ext>
                  </c:extLst>
                </c:dPt>
                <c:cat>
                  <c:strRef>
                    <c:extLst xmlns:c15="http://schemas.microsoft.com/office/drawing/2012/chart">
                      <c:ext xmlns:c15="http://schemas.microsoft.com/office/drawing/2012/chart" uri="{02D57815-91ED-43cb-92C2-25804820EDAC}">
                        <c15:formulaRef>
                          <c15:sqref>'State &amp; Regional NeT PR View'!$E$95:$F$95</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View'!$E$100:$F$100</c15:sqref>
                        </c15:formulaRef>
                      </c:ext>
                    </c:extLst>
                    <c:numCache>
                      <c:formatCode>#,##0</c:formatCode>
                      <c:ptCount val="2"/>
                      <c:pt idx="0">
                        <c:v>171</c:v>
                      </c:pt>
                      <c:pt idx="1">
                        <c:v>112</c:v>
                      </c:pt>
                    </c:numCache>
                  </c:numRef>
                </c:val>
                <c:extLst xmlns:c15="http://schemas.microsoft.com/office/drawing/2012/chart">
                  <c:ext xmlns:c16="http://schemas.microsoft.com/office/drawing/2014/chart" uri="{C3380CC4-5D6E-409C-BE32-E72D297353CC}">
                    <c16:uniqueId val="{0000002C-2D46-47DA-BE79-0D423B3562C5}"/>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2D46-47DA-BE79-0D423B3562C5}"/>
                    </c:ext>
                  </c:extLst>
                </c:dPt>
                <c:cat>
                  <c:strRef>
                    <c:extLst xmlns:c15="http://schemas.microsoft.com/office/drawing/2012/chart">
                      <c:ext xmlns:c15="http://schemas.microsoft.com/office/drawing/2012/chart" uri="{02D57815-91ED-43cb-92C2-25804820EDAC}">
                        <c15:formulaRef>
                          <c15:sqref>'State &amp; Regional NeT PR View'!$E$95:$F$95</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View'!$E$101:$F$101</c15:sqref>
                        </c15:formulaRef>
                      </c:ext>
                    </c:extLst>
                    <c:numCache>
                      <c:formatCode>#,##0</c:formatCode>
                      <c:ptCount val="2"/>
                      <c:pt idx="0">
                        <c:v>2701</c:v>
                      </c:pt>
                      <c:pt idx="1">
                        <c:v>529</c:v>
                      </c:pt>
                    </c:numCache>
                  </c:numRef>
                </c:val>
                <c:extLst xmlns:c15="http://schemas.microsoft.com/office/drawing/2012/chart">
                  <c:ext xmlns:c16="http://schemas.microsoft.com/office/drawing/2014/chart" uri="{C3380CC4-5D6E-409C-BE32-E72D297353CC}">
                    <c16:uniqueId val="{00000031-2D46-47DA-BE79-0D423B3562C5}"/>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2D46-47DA-BE79-0D423B3562C5}"/>
                    </c:ext>
                  </c:extLst>
                </c:dPt>
                <c:cat>
                  <c:strRef>
                    <c:extLst xmlns:c15="http://schemas.microsoft.com/office/drawing/2012/chart">
                      <c:ext xmlns:c15="http://schemas.microsoft.com/office/drawing/2012/chart" uri="{02D57815-91ED-43cb-92C2-25804820EDAC}">
                        <c15:formulaRef>
                          <c15:sqref>'State &amp; Regional NeT PR View'!$E$95:$F$95</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View'!$E$103:$F$103</c15:sqref>
                        </c15:formulaRef>
                      </c:ext>
                    </c:extLst>
                    <c:numCache>
                      <c:formatCode>#,##0</c:formatCode>
                      <c:ptCount val="2"/>
                      <c:pt idx="0">
                        <c:v>4495</c:v>
                      </c:pt>
                      <c:pt idx="1">
                        <c:v>63</c:v>
                      </c:pt>
                    </c:numCache>
                  </c:numRef>
                </c:val>
                <c:extLst xmlns:c15="http://schemas.microsoft.com/office/drawing/2012/chart">
                  <c:ext xmlns:c16="http://schemas.microsoft.com/office/drawing/2014/chart" uri="{C3380CC4-5D6E-409C-BE32-E72D297353CC}">
                    <c16:uniqueId val="{00000036-2D46-47DA-BE79-0D423B3562C5}"/>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2D46-47DA-BE79-0D423B3562C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2D46-47DA-BE79-0D423B3562C5}"/>
                    </c:ext>
                  </c:extLst>
                </c:dPt>
                <c:cat>
                  <c:strRef>
                    <c:extLst xmlns:c15="http://schemas.microsoft.com/office/drawing/2012/chart">
                      <c:ext xmlns:c15="http://schemas.microsoft.com/office/drawing/2012/chart" uri="{02D57815-91ED-43cb-92C2-25804820EDAC}">
                        <c15:formulaRef>
                          <c15:sqref>'State &amp; Regional NeT PR View'!$E$95:$F$95</c15:sqref>
                        </c15:formulaRef>
                      </c:ext>
                    </c:extLst>
                    <c:strCache>
                      <c:ptCount val="2"/>
                      <c:pt idx="0">
                        <c:v>Estimated Number of Program Report Filers Using NeT (State) - Deployed</c:v>
                      </c:pt>
                      <c:pt idx="1">
                        <c:v>Estimated Number of Program Report Filers Using NeT (State) - Not Deployed</c:v>
                      </c:pt>
                    </c:strCache>
                  </c:strRef>
                </c:cat>
                <c:val>
                  <c:numRef>
                    <c:extLst xmlns:c15="http://schemas.microsoft.com/office/drawing/2012/chart">
                      <c:ext xmlns:c15="http://schemas.microsoft.com/office/drawing/2012/chart" uri="{02D57815-91ED-43cb-92C2-25804820EDAC}">
                        <c15:formulaRef>
                          <c15:sqref>'State &amp; Regional NeT GP View'!$E$104:$F$104</c15:sqref>
                        </c15:formulaRef>
                      </c:ext>
                    </c:extLst>
                    <c:numCache>
                      <c:formatCode>#,##0</c:formatCode>
                      <c:ptCount val="2"/>
                      <c:pt idx="0">
                        <c:v>0</c:v>
                      </c:pt>
                      <c:pt idx="1">
                        <c:v>147</c:v>
                      </c:pt>
                    </c:numCache>
                  </c:numRef>
                </c:val>
                <c:extLst xmlns:c15="http://schemas.microsoft.com/office/drawing/2012/chart">
                  <c:ext xmlns:c16="http://schemas.microsoft.com/office/drawing/2014/chart" uri="{C3380CC4-5D6E-409C-BE32-E72D297353CC}">
                    <c16:uniqueId val="{0000003B-2D46-47DA-BE79-0D423B3562C5}"/>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0858-4345-A011-0F7B356D10A5}"/>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0858-4345-A011-0F7B356D10A5}"/>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58-4345-A011-0F7B356D10A5}"/>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58-4345-A011-0F7B356D10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View'!$E$132:$F$132</c:f>
              <c:strCache>
                <c:ptCount val="2"/>
                <c:pt idx="0">
                  <c:v>Number of Program Report Filers (EPA) - Deployed</c:v>
                </c:pt>
                <c:pt idx="1">
                  <c:v>Number of Program Report Filers (EPA) - Not Deployed</c:v>
                </c:pt>
              </c:strCache>
            </c:strRef>
          </c:cat>
          <c:val>
            <c:numRef>
              <c:f>'State &amp; Regional NeT PR View'!$E$143:$F$143</c:f>
              <c:numCache>
                <c:formatCode>#,##0</c:formatCode>
                <c:ptCount val="2"/>
                <c:pt idx="0">
                  <c:v>3054</c:v>
                </c:pt>
                <c:pt idx="1">
                  <c:v>1009</c:v>
                </c:pt>
              </c:numCache>
            </c:numRef>
          </c:val>
          <c:extLst>
            <c:ext xmlns:c16="http://schemas.microsoft.com/office/drawing/2014/chart" uri="{C3380CC4-5D6E-409C-BE32-E72D297353CC}">
              <c16:uniqueId val="{00000004-0858-4345-A011-0F7B356D10A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0858-4345-A011-0F7B356D10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0858-4345-A011-0F7B356D10A5}"/>
                    </c:ext>
                  </c:extLst>
                </c:dPt>
                <c:cat>
                  <c:strRef>
                    <c:extLst>
                      <c:ext uri="{02D57815-91ED-43cb-92C2-25804820EDAC}">
                        <c15:formulaRef>
                          <c15:sqref>'State &amp; Regional NeT PR View'!$E$132:$F$132</c15:sqref>
                        </c15:formulaRef>
                      </c:ext>
                    </c:extLst>
                    <c:strCache>
                      <c:ptCount val="2"/>
                      <c:pt idx="0">
                        <c:v>Number of Program Report Filers (EPA) - Deployed</c:v>
                      </c:pt>
                      <c:pt idx="1">
                        <c:v>Number of Program Report Filers (EPA) - Not Deployed</c:v>
                      </c:pt>
                    </c:strCache>
                  </c:strRef>
                </c:cat>
                <c:val>
                  <c:numRef>
                    <c:extLst>
                      <c:ext uri="{02D57815-91ED-43cb-92C2-25804820EDAC}">
                        <c15:formulaRef>
                          <c15:sqref>'State &amp; Regional NeT GP View'!$E$130:$F$130</c15:sqref>
                        </c15:formulaRef>
                      </c:ext>
                    </c:extLst>
                    <c:numCache>
                      <c:formatCode>#,##0</c:formatCode>
                      <c:ptCount val="2"/>
                      <c:pt idx="0">
                        <c:v>140</c:v>
                      </c:pt>
                      <c:pt idx="1">
                        <c:v>0</c:v>
                      </c:pt>
                    </c:numCache>
                  </c:numRef>
                </c:val>
                <c:extLst>
                  <c:ext xmlns:c16="http://schemas.microsoft.com/office/drawing/2014/chart" uri="{C3380CC4-5D6E-409C-BE32-E72D297353CC}">
                    <c16:uniqueId val="{00000009-0858-4345-A011-0F7B356D10A5}"/>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0858-4345-A011-0F7B356D10A5}"/>
                    </c:ext>
                  </c:extLst>
                </c:dPt>
                <c:cat>
                  <c:strRef>
                    <c:extLst xmlns:c15="http://schemas.microsoft.com/office/drawing/2012/chart">
                      <c:ext xmlns:c15="http://schemas.microsoft.com/office/drawing/2012/chart" uri="{02D57815-91ED-43cb-92C2-25804820EDAC}">
                        <c15:formulaRef>
                          <c15:sqref>'State &amp; Regional NeT PR View'!$E$132:$F$132</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View'!$E$131:$F$131</c15:sqref>
                        </c15:formulaRef>
                      </c:ext>
                    </c:extLst>
                    <c:numCache>
                      <c:formatCode>#,##0</c:formatCode>
                      <c:ptCount val="2"/>
                      <c:pt idx="0">
                        <c:v>8</c:v>
                      </c:pt>
                      <c:pt idx="1">
                        <c:v>16</c:v>
                      </c:pt>
                    </c:numCache>
                  </c:numRef>
                </c:val>
                <c:extLst xmlns:c15="http://schemas.microsoft.com/office/drawing/2012/chart">
                  <c:ext xmlns:c16="http://schemas.microsoft.com/office/drawing/2014/chart" uri="{C3380CC4-5D6E-409C-BE32-E72D297353CC}">
                    <c16:uniqueId val="{0000000E-0858-4345-A011-0F7B356D10A5}"/>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0858-4345-A011-0F7B356D10A5}"/>
                    </c:ext>
                  </c:extLst>
                </c:dPt>
                <c:cat>
                  <c:strRef>
                    <c:extLst xmlns:c15="http://schemas.microsoft.com/office/drawing/2012/chart">
                      <c:ext xmlns:c15="http://schemas.microsoft.com/office/drawing/2012/chart" uri="{02D57815-91ED-43cb-92C2-25804820EDAC}">
                        <c15:formulaRef>
                          <c15:sqref>'State &amp; Regional NeT PR View'!$E$132:$F$132</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View'!$E$132:$F$132</c15:sqref>
                        </c15:formulaRef>
                      </c:ext>
                    </c:extLst>
                    <c:numCache>
                      <c:formatCode>#,##0</c:formatCode>
                      <c:ptCount val="2"/>
                      <c:pt idx="0">
                        <c:v>0</c:v>
                      </c:pt>
                      <c:pt idx="1">
                        <c:v>1</c:v>
                      </c:pt>
                    </c:numCache>
                  </c:numRef>
                </c:val>
                <c:extLst xmlns:c15="http://schemas.microsoft.com/office/drawing/2012/chart">
                  <c:ext xmlns:c16="http://schemas.microsoft.com/office/drawing/2014/chart" uri="{C3380CC4-5D6E-409C-BE32-E72D297353CC}">
                    <c16:uniqueId val="{00000013-0858-4345-A011-0F7B356D10A5}"/>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0858-4345-A011-0F7B356D10A5}"/>
                    </c:ext>
                  </c:extLst>
                </c:dPt>
                <c:cat>
                  <c:strRef>
                    <c:extLst xmlns:c15="http://schemas.microsoft.com/office/drawing/2012/chart">
                      <c:ext xmlns:c15="http://schemas.microsoft.com/office/drawing/2012/chart" uri="{02D57815-91ED-43cb-92C2-25804820EDAC}">
                        <c15:formulaRef>
                          <c15:sqref>'State &amp; Regional NeT PR View'!$E$132:$F$132</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View'!$E$133:$F$133</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18-0858-4345-A011-0F7B356D10A5}"/>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0858-4345-A011-0F7B356D10A5}"/>
                    </c:ext>
                  </c:extLst>
                </c:dPt>
                <c:cat>
                  <c:strRef>
                    <c:extLst xmlns:c15="http://schemas.microsoft.com/office/drawing/2012/chart">
                      <c:ext xmlns:c15="http://schemas.microsoft.com/office/drawing/2012/chart" uri="{02D57815-91ED-43cb-92C2-25804820EDAC}">
                        <c15:formulaRef>
                          <c15:sqref>'State &amp; Regional NeT PR View'!$E$132:$F$132</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View'!$E$134:$F$134</c15:sqref>
                        </c15:formulaRef>
                      </c:ext>
                    </c:extLst>
                    <c:numCache>
                      <c:formatCode>#,##0</c:formatCode>
                      <c:ptCount val="2"/>
                      <c:pt idx="0">
                        <c:v>1</c:v>
                      </c:pt>
                      <c:pt idx="1">
                        <c:v>0</c:v>
                      </c:pt>
                    </c:numCache>
                  </c:numRef>
                </c:val>
                <c:extLst xmlns:c15="http://schemas.microsoft.com/office/drawing/2012/chart">
                  <c:ext xmlns:c16="http://schemas.microsoft.com/office/drawing/2014/chart" uri="{C3380CC4-5D6E-409C-BE32-E72D297353CC}">
                    <c16:uniqueId val="{0000001D-0858-4345-A011-0F7B356D10A5}"/>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0858-4345-A011-0F7B356D10A5}"/>
                    </c:ext>
                  </c:extLst>
                </c:dPt>
                <c:cat>
                  <c:strRef>
                    <c:extLst xmlns:c15="http://schemas.microsoft.com/office/drawing/2012/chart">
                      <c:ext xmlns:c15="http://schemas.microsoft.com/office/drawing/2012/chart" uri="{02D57815-91ED-43cb-92C2-25804820EDAC}">
                        <c15:formulaRef>
                          <c15:sqref>'State &amp; Regional NeT PR View'!$E$132:$F$132</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View'!$E$135:$F$135</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2-0858-4345-A011-0F7B356D10A5}"/>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0858-4345-A011-0F7B356D10A5}"/>
                    </c:ext>
                  </c:extLst>
                </c:dPt>
                <c:cat>
                  <c:strRef>
                    <c:extLst xmlns:c15="http://schemas.microsoft.com/office/drawing/2012/chart">
                      <c:ext xmlns:c15="http://schemas.microsoft.com/office/drawing/2012/chart" uri="{02D57815-91ED-43cb-92C2-25804820EDAC}">
                        <c15:formulaRef>
                          <c15:sqref>'State &amp; Regional NeT PR View'!$E$132:$F$132</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View'!$E$136:$F$136</c15:sqref>
                        </c15:formulaRef>
                      </c:ext>
                    </c:extLst>
                    <c:numCache>
                      <c:formatCode>#,##0</c:formatCode>
                      <c:ptCount val="2"/>
                      <c:pt idx="0">
                        <c:v>7</c:v>
                      </c:pt>
                      <c:pt idx="1">
                        <c:v>3</c:v>
                      </c:pt>
                    </c:numCache>
                  </c:numRef>
                </c:val>
                <c:extLst xmlns:c15="http://schemas.microsoft.com/office/drawing/2012/chart">
                  <c:ext xmlns:c16="http://schemas.microsoft.com/office/drawing/2014/chart" uri="{C3380CC4-5D6E-409C-BE32-E72D297353CC}">
                    <c16:uniqueId val="{00000027-0858-4345-A011-0F7B356D10A5}"/>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0858-4345-A011-0F7B356D10A5}"/>
                    </c:ext>
                  </c:extLst>
                </c:dPt>
                <c:cat>
                  <c:strRef>
                    <c:extLst xmlns:c15="http://schemas.microsoft.com/office/drawing/2012/chart">
                      <c:ext xmlns:c15="http://schemas.microsoft.com/office/drawing/2012/chart" uri="{02D57815-91ED-43cb-92C2-25804820EDAC}">
                        <c15:formulaRef>
                          <c15:sqref>'State &amp; Regional NeT PR View'!$E$132:$F$132</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View'!$E$137:$F$137</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C-0858-4345-A011-0F7B356D10A5}"/>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0858-4345-A011-0F7B356D10A5}"/>
                    </c:ext>
                  </c:extLst>
                </c:dPt>
                <c:cat>
                  <c:strRef>
                    <c:extLst xmlns:c15="http://schemas.microsoft.com/office/drawing/2012/chart">
                      <c:ext xmlns:c15="http://schemas.microsoft.com/office/drawing/2012/chart" uri="{02D57815-91ED-43cb-92C2-25804820EDAC}">
                        <c15:formulaRef>
                          <c15:sqref>'State &amp; Regional NeT PR View'!$E$132:$F$132</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View'!$E$138:$F$138</c15:sqref>
                        </c15:formulaRef>
                      </c:ext>
                    </c:extLst>
                    <c:numCache>
                      <c:formatCode>#,##0</c:formatCode>
                      <c:ptCount val="2"/>
                      <c:pt idx="0">
                        <c:v>0</c:v>
                      </c:pt>
                      <c:pt idx="1">
                        <c:v>12</c:v>
                      </c:pt>
                    </c:numCache>
                  </c:numRef>
                </c:val>
                <c:extLst xmlns:c15="http://schemas.microsoft.com/office/drawing/2012/chart">
                  <c:ext xmlns:c16="http://schemas.microsoft.com/office/drawing/2014/chart" uri="{C3380CC4-5D6E-409C-BE32-E72D297353CC}">
                    <c16:uniqueId val="{00000031-0858-4345-A011-0F7B356D10A5}"/>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0858-4345-A011-0F7B356D10A5}"/>
                    </c:ext>
                  </c:extLst>
                </c:dPt>
                <c:cat>
                  <c:strRef>
                    <c:extLst xmlns:c15="http://schemas.microsoft.com/office/drawing/2012/chart">
                      <c:ext xmlns:c15="http://schemas.microsoft.com/office/drawing/2012/chart" uri="{02D57815-91ED-43cb-92C2-25804820EDAC}">
                        <c15:formulaRef>
                          <c15:sqref>'State &amp; Regional NeT PR View'!$E$132:$F$132</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View'!$E$139:$F$139</c15:sqref>
                        </c15:formulaRef>
                      </c:ext>
                    </c:extLst>
                    <c:numCache>
                      <c:formatCode>#,##0</c:formatCode>
                      <c:ptCount val="2"/>
                      <c:pt idx="0">
                        <c:v>0</c:v>
                      </c:pt>
                      <c:pt idx="1">
                        <c:v>3</c:v>
                      </c:pt>
                    </c:numCache>
                  </c:numRef>
                </c:val>
                <c:extLst xmlns:c15="http://schemas.microsoft.com/office/drawing/2012/chart">
                  <c:ext xmlns:c16="http://schemas.microsoft.com/office/drawing/2014/chart" uri="{C3380CC4-5D6E-409C-BE32-E72D297353CC}">
                    <c16:uniqueId val="{00000036-0858-4345-A011-0F7B356D10A5}"/>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0858-4345-A011-0F7B356D10A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0858-4345-A011-0F7B356D10A5}"/>
                    </c:ext>
                  </c:extLst>
                </c:dPt>
                <c:cat>
                  <c:strRef>
                    <c:extLst xmlns:c15="http://schemas.microsoft.com/office/drawing/2012/chart">
                      <c:ext xmlns:c15="http://schemas.microsoft.com/office/drawing/2012/chart" uri="{02D57815-91ED-43cb-92C2-25804820EDAC}">
                        <c15:formulaRef>
                          <c15:sqref>'State &amp; Regional NeT PR View'!$E$132:$F$132</c15:sqref>
                        </c15:formulaRef>
                      </c:ext>
                    </c:extLst>
                    <c:strCache>
                      <c:ptCount val="2"/>
                      <c:pt idx="0">
                        <c:v>Number of Program Report Filers (EPA) - Deployed</c:v>
                      </c:pt>
                      <c:pt idx="1">
                        <c:v>Number of Program Report Filers (EPA) - Not Deployed</c:v>
                      </c:pt>
                    </c:strCache>
                  </c:strRef>
                </c:cat>
                <c:val>
                  <c:numRef>
                    <c:extLst xmlns:c15="http://schemas.microsoft.com/office/drawing/2012/chart">
                      <c:ext xmlns:c15="http://schemas.microsoft.com/office/drawing/2012/chart" uri="{02D57815-91ED-43cb-92C2-25804820EDAC}">
                        <c15:formulaRef>
                          <c15:sqref>'State &amp; Regional NeT GP View'!$E$140:$F$140</c15:sqref>
                        </c15:formulaRef>
                      </c:ext>
                    </c:extLst>
                    <c:numCache>
                      <c:formatCode>#,##0</c:formatCode>
                      <c:ptCount val="2"/>
                      <c:pt idx="0">
                        <c:v>3</c:v>
                      </c:pt>
                      <c:pt idx="1">
                        <c:v>3</c:v>
                      </c:pt>
                    </c:numCache>
                  </c:numRef>
                </c:val>
                <c:extLst xmlns:c15="http://schemas.microsoft.com/office/drawing/2012/chart">
                  <c:ext xmlns:c16="http://schemas.microsoft.com/office/drawing/2014/chart" uri="{C3380CC4-5D6E-409C-BE32-E72D297353CC}">
                    <c16:uniqueId val="{0000003B-0858-4345-A011-0F7B356D10A5}"/>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1"/>
          <c:order val="11"/>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1-1248-4E48-8654-BB172FCE2A20}"/>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1248-4E48-8654-BB172FCE2A20}"/>
              </c:ext>
            </c:extLst>
          </c:dPt>
          <c:dLbls>
            <c:dLbl>
              <c:idx val="0"/>
              <c:layout>
                <c:manualLayout>
                  <c:x val="8.1414195726149954E-2"/>
                  <c:y val="2.592706105145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48-4E48-8654-BB172FCE2A20}"/>
                </c:ext>
              </c:extLst>
            </c:dLbl>
            <c:dLbl>
              <c:idx val="1"/>
              <c:layout>
                <c:manualLayout>
                  <c:x val="-0.12492613249334546"/>
                  <c:y val="-4.3978681092966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48-4E48-8654-BB172FCE2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View'!$E$118:$F$118</c:f>
              <c:strCache>
                <c:ptCount val="2"/>
                <c:pt idx="0">
                  <c:v>Number of Program Reports (EPA) - Deployed</c:v>
                </c:pt>
                <c:pt idx="1">
                  <c:v>Number of Program Reports (EPA) - Not Deployed</c:v>
                </c:pt>
              </c:strCache>
            </c:strRef>
          </c:cat>
          <c:val>
            <c:numRef>
              <c:f>'State &amp; Regional NeT PR View'!$E$129:$F$129</c:f>
              <c:numCache>
                <c:formatCode>#,##0</c:formatCode>
                <c:ptCount val="2"/>
                <c:pt idx="0">
                  <c:v>75</c:v>
                </c:pt>
                <c:pt idx="1">
                  <c:v>27</c:v>
                </c:pt>
              </c:numCache>
            </c:numRef>
          </c:val>
          <c:extLst>
            <c:ext xmlns:c16="http://schemas.microsoft.com/office/drawing/2014/chart" uri="{C3380CC4-5D6E-409C-BE32-E72D297353CC}">
              <c16:uniqueId val="{00000004-1248-4E48-8654-BB172FCE2A20}"/>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6-1248-4E48-8654-BB172FCE2A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1248-4E48-8654-BB172FCE2A20}"/>
                    </c:ext>
                  </c:extLst>
                </c:dPt>
                <c:cat>
                  <c:strRef>
                    <c:extLst>
                      <c:ext uri="{02D57815-91ED-43cb-92C2-25804820EDAC}">
                        <c15:formulaRef>
                          <c15:sqref>'State &amp; Regional NeT PR View'!$E$118:$F$118</c15:sqref>
                        </c15:formulaRef>
                      </c:ext>
                    </c:extLst>
                    <c:strCache>
                      <c:ptCount val="2"/>
                      <c:pt idx="0">
                        <c:v>Number of Program Reports (EPA) - Deployed</c:v>
                      </c:pt>
                      <c:pt idx="1">
                        <c:v>Number of Program Reports (EPA) - Not Deployed</c:v>
                      </c:pt>
                    </c:strCache>
                  </c:strRef>
                </c:cat>
                <c:val>
                  <c:numRef>
                    <c:extLst>
                      <c:ext uri="{02D57815-91ED-43cb-92C2-25804820EDAC}">
                        <c15:formulaRef>
                          <c15:sqref>'State &amp; Regional NeT GP View'!$E$130:$F$130</c15:sqref>
                        </c15:formulaRef>
                      </c:ext>
                    </c:extLst>
                    <c:numCache>
                      <c:formatCode>#,##0</c:formatCode>
                      <c:ptCount val="2"/>
                      <c:pt idx="0">
                        <c:v>140</c:v>
                      </c:pt>
                      <c:pt idx="1">
                        <c:v>0</c:v>
                      </c:pt>
                    </c:numCache>
                  </c:numRef>
                </c:val>
                <c:extLst>
                  <c:ext xmlns:c16="http://schemas.microsoft.com/office/drawing/2014/chart" uri="{C3380CC4-5D6E-409C-BE32-E72D297353CC}">
                    <c16:uniqueId val="{00000009-1248-4E48-8654-BB172FCE2A20}"/>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D-1248-4E48-8654-BB172FCE2A20}"/>
                    </c:ext>
                  </c:extLst>
                </c:dPt>
                <c:cat>
                  <c:strRef>
                    <c:extLst xmlns:c15="http://schemas.microsoft.com/office/drawing/2012/chart">
                      <c:ext xmlns:c15="http://schemas.microsoft.com/office/drawing/2012/chart" uri="{02D57815-91ED-43cb-92C2-25804820EDAC}">
                        <c15:formulaRef>
                          <c15:sqref>'State &amp; Regional NeT PR View'!$E$118:$F$118</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View'!$E$131:$F$131</c15:sqref>
                        </c15:formulaRef>
                      </c:ext>
                    </c:extLst>
                    <c:numCache>
                      <c:formatCode>#,##0</c:formatCode>
                      <c:ptCount val="2"/>
                      <c:pt idx="0">
                        <c:v>8</c:v>
                      </c:pt>
                      <c:pt idx="1">
                        <c:v>16</c:v>
                      </c:pt>
                    </c:numCache>
                  </c:numRef>
                </c:val>
                <c:extLst xmlns:c15="http://schemas.microsoft.com/office/drawing/2012/chart">
                  <c:ext xmlns:c16="http://schemas.microsoft.com/office/drawing/2014/chart" uri="{C3380CC4-5D6E-409C-BE32-E72D297353CC}">
                    <c16:uniqueId val="{0000000E-1248-4E48-8654-BB172FCE2A20}"/>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1248-4E48-8654-BB172FCE2A20}"/>
                    </c:ext>
                  </c:extLst>
                </c:dPt>
                <c:cat>
                  <c:strRef>
                    <c:extLst xmlns:c15="http://schemas.microsoft.com/office/drawing/2012/chart">
                      <c:ext xmlns:c15="http://schemas.microsoft.com/office/drawing/2012/chart" uri="{02D57815-91ED-43cb-92C2-25804820EDAC}">
                        <c15:formulaRef>
                          <c15:sqref>'State &amp; Regional NeT PR View'!$E$118:$F$118</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View'!$E$132:$F$132</c15:sqref>
                        </c15:formulaRef>
                      </c:ext>
                    </c:extLst>
                    <c:numCache>
                      <c:formatCode>#,##0</c:formatCode>
                      <c:ptCount val="2"/>
                      <c:pt idx="0">
                        <c:v>0</c:v>
                      </c:pt>
                      <c:pt idx="1">
                        <c:v>1</c:v>
                      </c:pt>
                    </c:numCache>
                  </c:numRef>
                </c:val>
                <c:extLst xmlns:c15="http://schemas.microsoft.com/office/drawing/2012/chart">
                  <c:ext xmlns:c16="http://schemas.microsoft.com/office/drawing/2014/chart" uri="{C3380CC4-5D6E-409C-BE32-E72D297353CC}">
                    <c16:uniqueId val="{00000013-1248-4E48-8654-BB172FCE2A20}"/>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5-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7-1248-4E48-8654-BB172FCE2A20}"/>
                    </c:ext>
                  </c:extLst>
                </c:dPt>
                <c:cat>
                  <c:strRef>
                    <c:extLst xmlns:c15="http://schemas.microsoft.com/office/drawing/2012/chart">
                      <c:ext xmlns:c15="http://schemas.microsoft.com/office/drawing/2012/chart" uri="{02D57815-91ED-43cb-92C2-25804820EDAC}">
                        <c15:formulaRef>
                          <c15:sqref>'State &amp; Regional NeT PR View'!$E$118:$F$118</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View'!$E$133:$F$133</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18-1248-4E48-8654-BB172FCE2A20}"/>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A-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C-1248-4E48-8654-BB172FCE2A20}"/>
                    </c:ext>
                  </c:extLst>
                </c:dPt>
                <c:cat>
                  <c:strRef>
                    <c:extLst xmlns:c15="http://schemas.microsoft.com/office/drawing/2012/chart">
                      <c:ext xmlns:c15="http://schemas.microsoft.com/office/drawing/2012/chart" uri="{02D57815-91ED-43cb-92C2-25804820EDAC}">
                        <c15:formulaRef>
                          <c15:sqref>'State &amp; Regional NeT PR View'!$E$118:$F$118</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View'!$E$134:$F$134</c15:sqref>
                        </c15:formulaRef>
                      </c:ext>
                    </c:extLst>
                    <c:numCache>
                      <c:formatCode>#,##0</c:formatCode>
                      <c:ptCount val="2"/>
                      <c:pt idx="0">
                        <c:v>1</c:v>
                      </c:pt>
                      <c:pt idx="1">
                        <c:v>0</c:v>
                      </c:pt>
                    </c:numCache>
                  </c:numRef>
                </c:val>
                <c:extLst xmlns:c15="http://schemas.microsoft.com/office/drawing/2012/chart">
                  <c:ext xmlns:c16="http://schemas.microsoft.com/office/drawing/2014/chart" uri="{C3380CC4-5D6E-409C-BE32-E72D297353CC}">
                    <c16:uniqueId val="{0000001D-1248-4E48-8654-BB172FCE2A20}"/>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1248-4E48-8654-BB172FCE2A20}"/>
                    </c:ext>
                  </c:extLst>
                </c:dPt>
                <c:cat>
                  <c:strRef>
                    <c:extLst xmlns:c15="http://schemas.microsoft.com/office/drawing/2012/chart">
                      <c:ext xmlns:c15="http://schemas.microsoft.com/office/drawing/2012/chart" uri="{02D57815-91ED-43cb-92C2-25804820EDAC}">
                        <c15:formulaRef>
                          <c15:sqref>'State &amp; Regional NeT PR View'!$E$118:$F$118</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View'!$E$135:$F$135</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2-1248-4E48-8654-BB172FCE2A20}"/>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4-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6-1248-4E48-8654-BB172FCE2A20}"/>
                    </c:ext>
                  </c:extLst>
                </c:dPt>
                <c:cat>
                  <c:strRef>
                    <c:extLst xmlns:c15="http://schemas.microsoft.com/office/drawing/2012/chart">
                      <c:ext xmlns:c15="http://schemas.microsoft.com/office/drawing/2012/chart" uri="{02D57815-91ED-43cb-92C2-25804820EDAC}">
                        <c15:formulaRef>
                          <c15:sqref>'State &amp; Regional NeT PR View'!$E$118:$F$118</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View'!$E$136:$F$136</c15:sqref>
                        </c15:formulaRef>
                      </c:ext>
                    </c:extLst>
                    <c:numCache>
                      <c:formatCode>#,##0</c:formatCode>
                      <c:ptCount val="2"/>
                      <c:pt idx="0">
                        <c:v>7</c:v>
                      </c:pt>
                      <c:pt idx="1">
                        <c:v>3</c:v>
                      </c:pt>
                    </c:numCache>
                  </c:numRef>
                </c:val>
                <c:extLst xmlns:c15="http://schemas.microsoft.com/office/drawing/2012/chart">
                  <c:ext xmlns:c16="http://schemas.microsoft.com/office/drawing/2014/chart" uri="{C3380CC4-5D6E-409C-BE32-E72D297353CC}">
                    <c16:uniqueId val="{00000027-1248-4E48-8654-BB172FCE2A20}"/>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9-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B-1248-4E48-8654-BB172FCE2A20}"/>
                    </c:ext>
                  </c:extLst>
                </c:dPt>
                <c:cat>
                  <c:strRef>
                    <c:extLst xmlns:c15="http://schemas.microsoft.com/office/drawing/2012/chart">
                      <c:ext xmlns:c15="http://schemas.microsoft.com/office/drawing/2012/chart" uri="{02D57815-91ED-43cb-92C2-25804820EDAC}">
                        <c15:formulaRef>
                          <c15:sqref>'State &amp; Regional NeT PR View'!$E$118:$F$118</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View'!$E$137:$F$137</c15:sqref>
                        </c15:formulaRef>
                      </c:ext>
                    </c:extLst>
                    <c:numCache>
                      <c:formatCode>#,##0</c:formatCode>
                      <c:ptCount val="2"/>
                      <c:pt idx="0">
                        <c:v>0</c:v>
                      </c:pt>
                      <c:pt idx="1">
                        <c:v>0</c:v>
                      </c:pt>
                    </c:numCache>
                  </c:numRef>
                </c:val>
                <c:extLst xmlns:c15="http://schemas.microsoft.com/office/drawing/2012/chart">
                  <c:ext xmlns:c16="http://schemas.microsoft.com/office/drawing/2014/chart" uri="{C3380CC4-5D6E-409C-BE32-E72D297353CC}">
                    <c16:uniqueId val="{0000002C-1248-4E48-8654-BB172FCE2A20}"/>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1248-4E48-8654-BB172FCE2A20}"/>
                    </c:ext>
                  </c:extLst>
                </c:dPt>
                <c:cat>
                  <c:strRef>
                    <c:extLst xmlns:c15="http://schemas.microsoft.com/office/drawing/2012/chart">
                      <c:ext xmlns:c15="http://schemas.microsoft.com/office/drawing/2012/chart" uri="{02D57815-91ED-43cb-92C2-25804820EDAC}">
                        <c15:formulaRef>
                          <c15:sqref>'State &amp; Regional NeT PR View'!$E$118:$F$118</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View'!$E$138:$F$138</c15:sqref>
                        </c15:formulaRef>
                      </c:ext>
                    </c:extLst>
                    <c:numCache>
                      <c:formatCode>#,##0</c:formatCode>
                      <c:ptCount val="2"/>
                      <c:pt idx="0">
                        <c:v>0</c:v>
                      </c:pt>
                      <c:pt idx="1">
                        <c:v>12</c:v>
                      </c:pt>
                    </c:numCache>
                  </c:numRef>
                </c:val>
                <c:extLst xmlns:c15="http://schemas.microsoft.com/office/drawing/2012/chart">
                  <c:ext xmlns:c16="http://schemas.microsoft.com/office/drawing/2014/chart" uri="{C3380CC4-5D6E-409C-BE32-E72D297353CC}">
                    <c16:uniqueId val="{00000031-1248-4E48-8654-BB172FCE2A20}"/>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3-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5-1248-4E48-8654-BB172FCE2A20}"/>
                    </c:ext>
                  </c:extLst>
                </c:dPt>
                <c:cat>
                  <c:strRef>
                    <c:extLst xmlns:c15="http://schemas.microsoft.com/office/drawing/2012/chart">
                      <c:ext xmlns:c15="http://schemas.microsoft.com/office/drawing/2012/chart" uri="{02D57815-91ED-43cb-92C2-25804820EDAC}">
                        <c15:formulaRef>
                          <c15:sqref>'State &amp; Regional NeT PR View'!$E$118:$F$118</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View'!$E$139:$F$139</c15:sqref>
                        </c15:formulaRef>
                      </c:ext>
                    </c:extLst>
                    <c:numCache>
                      <c:formatCode>#,##0</c:formatCode>
                      <c:ptCount val="2"/>
                      <c:pt idx="0">
                        <c:v>0</c:v>
                      </c:pt>
                      <c:pt idx="1">
                        <c:v>3</c:v>
                      </c:pt>
                    </c:numCache>
                  </c:numRef>
                </c:val>
                <c:extLst xmlns:c15="http://schemas.microsoft.com/office/drawing/2012/chart">
                  <c:ext xmlns:c16="http://schemas.microsoft.com/office/drawing/2014/chart" uri="{C3380CC4-5D6E-409C-BE32-E72D297353CC}">
                    <c16:uniqueId val="{00000036-1248-4E48-8654-BB172FCE2A20}"/>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248-4E48-8654-BB172FCE2A2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248-4E48-8654-BB172FCE2A20}"/>
                    </c:ext>
                  </c:extLst>
                </c:dPt>
                <c:cat>
                  <c:strRef>
                    <c:extLst xmlns:c15="http://schemas.microsoft.com/office/drawing/2012/chart">
                      <c:ext xmlns:c15="http://schemas.microsoft.com/office/drawing/2012/chart" uri="{02D57815-91ED-43cb-92C2-25804820EDAC}">
                        <c15:formulaRef>
                          <c15:sqref>'State &amp; Regional NeT PR View'!$E$118:$F$118</c15:sqref>
                        </c15:formulaRef>
                      </c:ext>
                    </c:extLst>
                    <c:strCache>
                      <c:ptCount val="2"/>
                      <c:pt idx="0">
                        <c:v>Number of Program Reports (EPA) - Deployed</c:v>
                      </c:pt>
                      <c:pt idx="1">
                        <c:v>Number of Program Reports (EPA) - Not Deployed</c:v>
                      </c:pt>
                    </c:strCache>
                  </c:strRef>
                </c:cat>
                <c:val>
                  <c:numRef>
                    <c:extLst xmlns:c15="http://schemas.microsoft.com/office/drawing/2012/chart">
                      <c:ext xmlns:c15="http://schemas.microsoft.com/office/drawing/2012/chart" uri="{02D57815-91ED-43cb-92C2-25804820EDAC}">
                        <c15:formulaRef>
                          <c15:sqref>'State &amp; Regional NeT GP View'!$E$140:$F$140</c15:sqref>
                        </c15:formulaRef>
                      </c:ext>
                    </c:extLst>
                    <c:numCache>
                      <c:formatCode>#,##0</c:formatCode>
                      <c:ptCount val="2"/>
                      <c:pt idx="0">
                        <c:v>3</c:v>
                      </c:pt>
                      <c:pt idx="1">
                        <c:v>3</c:v>
                      </c:pt>
                    </c:numCache>
                  </c:numRef>
                </c:val>
                <c:extLst xmlns:c15="http://schemas.microsoft.com/office/drawing/2012/chart">
                  <c:ext xmlns:c16="http://schemas.microsoft.com/office/drawing/2014/chart" uri="{C3380CC4-5D6E-409C-BE32-E72D297353CC}">
                    <c16:uniqueId val="{0000003B-1248-4E48-8654-BB172FCE2A20}"/>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Program Reports</a:t>
            </a:r>
            <a:endParaRPr lang="en-US"/>
          </a:p>
        </c:rich>
      </c:tx>
      <c:layout>
        <c:manualLayout>
          <c:xMode val="edge"/>
          <c:yMode val="edge"/>
          <c:x val="0.32859053909595276"/>
          <c:y val="5.53488534257765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'State &amp; Regional NeT PR View'!$C$153</c:f>
              <c:strCache>
                <c:ptCount val="1"/>
                <c:pt idx="0">
                  <c:v>State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63AB-4F62-86D4-E89457EF753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63AB-4F62-86D4-E89457EF7531}"/>
              </c:ext>
            </c:extLst>
          </c:dPt>
          <c:dLbls>
            <c:dLbl>
              <c:idx val="0"/>
              <c:layout>
                <c:manualLayout>
                  <c:x val="-1.6666666666666767E-2"/>
                  <c:y val="0.13888888888888884"/>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AB-4F62-86D4-E89457EF7531}"/>
                </c:ext>
              </c:extLst>
            </c:dLbl>
            <c:dLbl>
              <c:idx val="1"/>
              <c:layout>
                <c:manualLayout>
                  <c:x val="3.0555555555555506E-2"/>
                  <c:y val="-0.10185185185185194"/>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3AB-4F62-86D4-E89457EF75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View'!$D$151:$E$151</c:f>
              <c:strCache>
                <c:ptCount val="2"/>
                <c:pt idx="0">
                  <c:v>Number of NeT Program Reports - NeT Application Deployed</c:v>
                </c:pt>
                <c:pt idx="1">
                  <c:v>Number of NeT Program Reports - NeT Application Not Deployed</c:v>
                </c:pt>
              </c:strCache>
            </c:strRef>
          </c:cat>
          <c:val>
            <c:numRef>
              <c:f>'State &amp; Regional NeT PR View'!$D$153:$E$153</c:f>
              <c:numCache>
                <c:formatCode>#,##0</c:formatCode>
                <c:ptCount val="2"/>
                <c:pt idx="0">
                  <c:v>25</c:v>
                </c:pt>
                <c:pt idx="1">
                  <c:v>33</c:v>
                </c:pt>
              </c:numCache>
            </c:numRef>
          </c:val>
          <c:extLst>
            <c:ext xmlns:c16="http://schemas.microsoft.com/office/drawing/2014/chart" uri="{C3380CC4-5D6E-409C-BE32-E72D297353CC}">
              <c16:uniqueId val="{00000004-63AB-4F62-86D4-E89457EF7531}"/>
            </c:ext>
          </c:extLst>
        </c:ser>
        <c:ser>
          <c:idx val="0"/>
          <c:order val="1"/>
          <c:tx>
            <c:strRef>
              <c:f>'State &amp; Regional NeT PR View'!$C$152</c:f>
              <c:strCache>
                <c:ptCount val="1"/>
                <c:pt idx="0">
                  <c:v>EPA</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63AB-4F62-86D4-E89457EF7531}"/>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63AB-4F62-86D4-E89457EF7531}"/>
              </c:ext>
            </c:extLst>
          </c:dPt>
          <c:dLbls>
            <c:dLbl>
              <c:idx val="0"/>
              <c:layout>
                <c:manualLayout>
                  <c:x val="8.6111111111111013E-2"/>
                  <c:y val="-4.6296296296297144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3AB-4F62-86D4-E89457EF7531}"/>
                </c:ext>
              </c:extLst>
            </c:dLbl>
            <c:dLbl>
              <c:idx val="1"/>
              <c:layout>
                <c:manualLayout>
                  <c:x val="-5.2777777777777826E-2"/>
                  <c:y val="-0.1342592592592592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3AB-4F62-86D4-E89457EF75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View'!$D$151:$E$151</c:f>
              <c:strCache>
                <c:ptCount val="2"/>
                <c:pt idx="0">
                  <c:v>Number of NeT Program Reports - NeT Application Deployed</c:v>
                </c:pt>
                <c:pt idx="1">
                  <c:v>Number of NeT Program Reports - NeT Application Not Deployed</c:v>
                </c:pt>
              </c:strCache>
            </c:strRef>
          </c:cat>
          <c:val>
            <c:numRef>
              <c:f>'State &amp; Regional NeT PR View'!$D$152:$E$152</c:f>
              <c:numCache>
                <c:formatCode>#,##0</c:formatCode>
                <c:ptCount val="2"/>
                <c:pt idx="0">
                  <c:v>75</c:v>
                </c:pt>
                <c:pt idx="1">
                  <c:v>27</c:v>
                </c:pt>
              </c:numCache>
            </c:numRef>
          </c:val>
          <c:extLst>
            <c:ext xmlns:c16="http://schemas.microsoft.com/office/drawing/2014/chart" uri="{C3380CC4-5D6E-409C-BE32-E72D297353CC}">
              <c16:uniqueId val="{00000009-63AB-4F62-86D4-E89457EF753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Program Report Filers</a:t>
            </a:r>
            <a:endParaRPr lang="en-US"/>
          </a:p>
        </c:rich>
      </c:tx>
      <c:layout>
        <c:manualLayout>
          <c:xMode val="edge"/>
          <c:yMode val="edge"/>
          <c:x val="0.3144643627240557"/>
          <c:y val="5.5352587947709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'State &amp; Regional NeT PR View'!$C$158</c:f>
              <c:strCache>
                <c:ptCount val="1"/>
                <c:pt idx="0">
                  <c:v>State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2B38-40F8-BADF-26FEC0CE4C2E}"/>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2B38-40F8-BADF-26FEC0CE4C2E}"/>
              </c:ext>
            </c:extLst>
          </c:dPt>
          <c:dLbls>
            <c:dLbl>
              <c:idx val="0"/>
              <c:layout>
                <c:manualLayout>
                  <c:x val="-7.2286355284557707E-2"/>
                  <c:y val="0.1520656705032839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2B38-40F8-BADF-26FEC0CE4C2E}"/>
                </c:ext>
              </c:extLst>
            </c:dLbl>
            <c:dLbl>
              <c:idx val="1"/>
              <c:layout>
                <c:manualLayout>
                  <c:x val="9.8815943751356106E-2"/>
                  <c:y val="-0.1071225287601039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2B38-40F8-BADF-26FEC0CE4C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View'!$D$156:$E$156</c:f>
              <c:strCache>
                <c:ptCount val="2"/>
                <c:pt idx="0">
                  <c:v>Estimated Number of Program Report Filers - NeT Application Deployed</c:v>
                </c:pt>
                <c:pt idx="1">
                  <c:v>Estimated Number of Program Report Filers - NeT Application Not Deployed</c:v>
                </c:pt>
              </c:strCache>
            </c:strRef>
          </c:cat>
          <c:val>
            <c:numRef>
              <c:f>'State &amp; Regional NeT PR View'!$D$158:$E$158</c:f>
              <c:numCache>
                <c:formatCode>#,##0</c:formatCode>
                <c:ptCount val="2"/>
                <c:pt idx="0">
                  <c:v>9445</c:v>
                </c:pt>
                <c:pt idx="1">
                  <c:v>3153</c:v>
                </c:pt>
              </c:numCache>
            </c:numRef>
          </c:val>
          <c:extLst>
            <c:ext xmlns:c16="http://schemas.microsoft.com/office/drawing/2014/chart" uri="{C3380CC4-5D6E-409C-BE32-E72D297353CC}">
              <c16:uniqueId val="{00000004-2B38-40F8-BADF-26FEC0CE4C2E}"/>
            </c:ext>
          </c:extLst>
        </c:ser>
        <c:ser>
          <c:idx val="0"/>
          <c:order val="1"/>
          <c:tx>
            <c:strRef>
              <c:f>'State &amp; Regional NeT PR View'!$C$157</c:f>
              <c:strCache>
                <c:ptCount val="1"/>
                <c:pt idx="0">
                  <c:v>EPA</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2B38-40F8-BADF-26FEC0CE4C2E}"/>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2B38-40F8-BADF-26FEC0CE4C2E}"/>
              </c:ext>
            </c:extLst>
          </c:dPt>
          <c:dLbls>
            <c:dLbl>
              <c:idx val="0"/>
              <c:layout>
                <c:manualLayout>
                  <c:x val="0.20240653261429986"/>
                  <c:y val="3.226522689246868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B38-40F8-BADF-26FEC0CE4C2E}"/>
                </c:ext>
              </c:extLst>
            </c:dLbl>
            <c:dLbl>
              <c:idx val="1"/>
              <c:layout>
                <c:manualLayout>
                  <c:x val="-0.1513760572997227"/>
                  <c:y val="-4.20218427175758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B38-40F8-BADF-26FEC0CE4C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PR View'!$D$156:$E$156</c:f>
              <c:strCache>
                <c:ptCount val="2"/>
                <c:pt idx="0">
                  <c:v>Estimated Number of Program Report Filers - NeT Application Deployed</c:v>
                </c:pt>
                <c:pt idx="1">
                  <c:v>Estimated Number of Program Report Filers - NeT Application Not Deployed</c:v>
                </c:pt>
              </c:strCache>
            </c:strRef>
          </c:cat>
          <c:val>
            <c:numRef>
              <c:f>'State &amp; Regional NeT PR View'!$D$157:$E$157</c:f>
              <c:numCache>
                <c:formatCode>#,##0</c:formatCode>
                <c:ptCount val="2"/>
                <c:pt idx="0">
                  <c:v>3054</c:v>
                </c:pt>
                <c:pt idx="1">
                  <c:v>1009</c:v>
                </c:pt>
              </c:numCache>
            </c:numRef>
          </c:val>
          <c:extLst>
            <c:ext xmlns:c16="http://schemas.microsoft.com/office/drawing/2014/chart" uri="{C3380CC4-5D6E-409C-BE32-E72D297353CC}">
              <c16:uniqueId val="{00000009-2B38-40F8-BADF-26FEC0CE4C2E}"/>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Program Report Proxy Cards</a:t>
            </a:r>
            <a:endParaRPr lang="en-US"/>
          </a:p>
        </c:rich>
      </c:tx>
      <c:layout>
        <c:manualLayout>
          <c:xMode val="edge"/>
          <c:yMode val="edge"/>
          <c:x val="0.25887973644134138"/>
          <c:y val="4.21656458305708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0"/>
          <c:tx>
            <c:strRef>
              <c:f>'State &amp; Regional NeT PR View'!$C$163</c:f>
              <c:strCache>
                <c:ptCount val="1"/>
                <c:pt idx="0">
                  <c:v>State</c:v>
                </c:pt>
              </c:strCache>
            </c:strRef>
          </c:tx>
          <c:dPt>
            <c:idx val="0"/>
            <c:bubble3D val="0"/>
            <c:spPr>
              <a:solidFill>
                <a:srgbClr val="ED7D31"/>
              </a:solidFill>
              <a:ln w="19050">
                <a:solidFill>
                  <a:schemeClr val="lt1"/>
                </a:solidFill>
              </a:ln>
              <a:effectLst/>
            </c:spPr>
            <c:extLst>
              <c:ext xmlns:c16="http://schemas.microsoft.com/office/drawing/2014/chart" uri="{C3380CC4-5D6E-409C-BE32-E72D297353CC}">
                <c16:uniqueId val="{00000001-E4DC-44D6-8F65-DCEC4A91090B}"/>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3-E4DC-44D6-8F65-DCEC4A91090B}"/>
              </c:ext>
            </c:extLst>
          </c:dPt>
          <c:dLbls>
            <c:dLbl>
              <c:idx val="0"/>
              <c:layout>
                <c:manualLayout>
                  <c:x val="-7.2286355284557707E-2"/>
                  <c:y val="0.1520656705032839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E4DC-44D6-8F65-DCEC4A91090B}"/>
                </c:ext>
              </c:extLst>
            </c:dLbl>
            <c:dLbl>
              <c:idx val="1"/>
              <c:layout>
                <c:manualLayout>
                  <c:x val="9.8815943751356106E-2"/>
                  <c:y val="-0.1071225287601039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E4DC-44D6-8F65-DCEC4A9109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View'!$D$191:$E$191</c:f>
              <c:strCache>
                <c:ptCount val="2"/>
                <c:pt idx="0">
                  <c:v>Estimated Number of NeT Proxy Cards - General Permits - NeT Application Deployed</c:v>
                </c:pt>
                <c:pt idx="1">
                  <c:v>Estimated Number of NeT Proxy Cards - General Permits - NeT Application Not Deployed</c:v>
                </c:pt>
              </c:strCache>
            </c:strRef>
          </c:cat>
          <c:val>
            <c:numRef>
              <c:f>'State &amp; Regional NeT PR View'!$D$163:$E$163</c:f>
              <c:numCache>
                <c:formatCode>#,##0</c:formatCode>
                <c:ptCount val="2"/>
                <c:pt idx="0">
                  <c:v>25</c:v>
                </c:pt>
                <c:pt idx="1">
                  <c:v>33</c:v>
                </c:pt>
              </c:numCache>
            </c:numRef>
          </c:val>
          <c:extLst>
            <c:ext xmlns:c16="http://schemas.microsoft.com/office/drawing/2014/chart" uri="{C3380CC4-5D6E-409C-BE32-E72D297353CC}">
              <c16:uniqueId val="{00000004-E4DC-44D6-8F65-DCEC4A91090B}"/>
            </c:ext>
          </c:extLst>
        </c:ser>
        <c:ser>
          <c:idx val="0"/>
          <c:order val="1"/>
          <c:tx>
            <c:strRef>
              <c:f>'State &amp; Regional NeT PR View'!$C$162</c:f>
              <c:strCache>
                <c:ptCount val="1"/>
                <c:pt idx="0">
                  <c:v>EPA</c:v>
                </c:pt>
              </c:strCache>
            </c:strRef>
          </c:tx>
          <c:spPr>
            <a:solidFill>
              <a:srgbClr val="ED7D31"/>
            </a:solidFill>
          </c:spPr>
          <c:dPt>
            <c:idx val="0"/>
            <c:bubble3D val="0"/>
            <c:spPr>
              <a:solidFill>
                <a:srgbClr val="ED7D31"/>
              </a:solidFill>
              <a:ln w="19050">
                <a:solidFill>
                  <a:schemeClr val="lt1"/>
                </a:solidFill>
              </a:ln>
              <a:effectLst/>
            </c:spPr>
            <c:extLst>
              <c:ext xmlns:c16="http://schemas.microsoft.com/office/drawing/2014/chart" uri="{C3380CC4-5D6E-409C-BE32-E72D297353CC}">
                <c16:uniqueId val="{00000006-E4DC-44D6-8F65-DCEC4A91090B}"/>
              </c:ext>
            </c:extLst>
          </c:dPt>
          <c:dPt>
            <c:idx val="1"/>
            <c:bubble3D val="0"/>
            <c:spPr>
              <a:solidFill>
                <a:srgbClr val="4472C4"/>
              </a:solidFill>
              <a:ln w="19050">
                <a:solidFill>
                  <a:schemeClr val="lt1"/>
                </a:solidFill>
              </a:ln>
              <a:effectLst/>
            </c:spPr>
            <c:extLst>
              <c:ext xmlns:c16="http://schemas.microsoft.com/office/drawing/2014/chart" uri="{C3380CC4-5D6E-409C-BE32-E72D297353CC}">
                <c16:uniqueId val="{00000008-E4DC-44D6-8F65-DCEC4A91090B}"/>
              </c:ext>
            </c:extLst>
          </c:dPt>
          <c:dLbls>
            <c:dLbl>
              <c:idx val="0"/>
              <c:layout>
                <c:manualLayout>
                  <c:x val="0.20240653261429986"/>
                  <c:y val="3.226522689246868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4DC-44D6-8F65-DCEC4A91090B}"/>
                </c:ext>
              </c:extLst>
            </c:dLbl>
            <c:dLbl>
              <c:idx val="1"/>
              <c:layout>
                <c:manualLayout>
                  <c:x val="-0.1513760572997227"/>
                  <c:y val="-4.20218427175758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4DC-44D6-8F65-DCEC4A9109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'State &amp; Regional NeT GP View'!$D$191:$E$191</c:f>
              <c:strCache>
                <c:ptCount val="2"/>
                <c:pt idx="0">
                  <c:v>Estimated Number of NeT Proxy Cards - General Permits - NeT Application Deployed</c:v>
                </c:pt>
                <c:pt idx="1">
                  <c:v>Estimated Number of NeT Proxy Cards - General Permits - NeT Application Not Deployed</c:v>
                </c:pt>
              </c:strCache>
            </c:strRef>
          </c:cat>
          <c:val>
            <c:numRef>
              <c:f>'State &amp; Regional NeT PR View'!$D$162:$E$162</c:f>
              <c:numCache>
                <c:formatCode>#,##0</c:formatCode>
                <c:ptCount val="2"/>
                <c:pt idx="0">
                  <c:v>3</c:v>
                </c:pt>
                <c:pt idx="1">
                  <c:v>4</c:v>
                </c:pt>
              </c:numCache>
            </c:numRef>
          </c:val>
          <c:extLst>
            <c:ext xmlns:c16="http://schemas.microsoft.com/office/drawing/2014/chart" uri="{C3380CC4-5D6E-409C-BE32-E72D297353CC}">
              <c16:uniqueId val="{00000009-E4DC-44D6-8F65-DCEC4A91090B}"/>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'NeT GP View'!$F$104</c:f>
              <c:strCache>
                <c:ptCount val="1"/>
                <c:pt idx="0">
                  <c:v>Cumulative Percentage of Total Number of General Permits Using NeT</c:v>
                </c:pt>
              </c:strCache>
            </c:strRef>
          </c:tx>
          <c:spPr>
            <a:solidFill>
              <a:schemeClr val="accent1"/>
            </a:solidFill>
            <a:ln>
              <a:noFill/>
            </a:ln>
            <a:effectLst/>
          </c:spPr>
          <c:invertIfNegative val="0"/>
          <c:cat>
            <c:strRef>
              <c:f>'NeT GP View'!$B$105:$B$111</c:f>
              <c:strCache>
                <c:ptCount val="7"/>
                <c:pt idx="0">
                  <c:v>A</c:v>
                </c:pt>
                <c:pt idx="1">
                  <c:v>B</c:v>
                </c:pt>
                <c:pt idx="2">
                  <c:v>C</c:v>
                </c:pt>
                <c:pt idx="3">
                  <c:v>D</c:v>
                </c:pt>
                <c:pt idx="4">
                  <c:v>E</c:v>
                </c:pt>
                <c:pt idx="5">
                  <c:v>F</c:v>
                </c:pt>
                <c:pt idx="6">
                  <c:v>G</c:v>
                </c:pt>
              </c:strCache>
            </c:strRef>
          </c:cat>
          <c:val>
            <c:numRef>
              <c:f>'NeT GP View'!$F$105:$F$111</c:f>
              <c:numCache>
                <c:formatCode>0%</c:formatCode>
                <c:ptCount val="7"/>
                <c:pt idx="0">
                  <c:v>0.44329896907216493</c:v>
                </c:pt>
                <c:pt idx="1">
                  <c:v>0.58419243986254288</c:v>
                </c:pt>
                <c:pt idx="2">
                  <c:v>0.72508591065292083</c:v>
                </c:pt>
                <c:pt idx="3">
                  <c:v>0.91752577319587614</c:v>
                </c:pt>
                <c:pt idx="4">
                  <c:v>0.96219931271477643</c:v>
                </c:pt>
                <c:pt idx="5">
                  <c:v>0.99312714776632283</c:v>
                </c:pt>
                <c:pt idx="6">
                  <c:v>0.99999999999999978</c:v>
                </c:pt>
              </c:numCache>
            </c:numRef>
          </c:val>
          <c:extLst>
            <c:ext xmlns:c16="http://schemas.microsoft.com/office/drawing/2014/chart" uri="{C3380CC4-5D6E-409C-BE32-E72D297353CC}">
              <c16:uniqueId val="{00000000-16BD-4CAD-AAD8-50AD2C95C6D6}"/>
            </c:ext>
          </c:extLst>
        </c:ser>
        <c:dLbls>
          <c:showLegendKey val="0"/>
          <c:showVal val="0"/>
          <c:showCatName val="0"/>
          <c:showSerName val="0"/>
          <c:showPercent val="0"/>
          <c:showBubbleSize val="0"/>
        </c:dLbls>
        <c:gapWidth val="219"/>
        <c:overlap val="-27"/>
        <c:axId val="439355592"/>
        <c:axId val="439356248"/>
      </c:barChart>
      <c:catAx>
        <c:axId val="439355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356248"/>
        <c:crosses val="autoZero"/>
        <c:auto val="1"/>
        <c:lblAlgn val="ctr"/>
        <c:lblOffset val="100"/>
        <c:noMultiLvlLbl val="0"/>
      </c:catAx>
      <c:valAx>
        <c:axId val="4393562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355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'NeT GP View'!$I$104</c:f>
              <c:strCache>
                <c:ptCount val="1"/>
                <c:pt idx="0">
                  <c:v>Cumulative Percentage of Total Number of General Permit Covered Facilities Using NeT</c:v>
                </c:pt>
              </c:strCache>
            </c:strRef>
          </c:tx>
          <c:spPr>
            <a:solidFill>
              <a:schemeClr val="accent1"/>
            </a:solidFill>
            <a:ln>
              <a:noFill/>
            </a:ln>
            <a:effectLst/>
          </c:spPr>
          <c:invertIfNegative val="0"/>
          <c:cat>
            <c:strRef>
              <c:f>'NeT GP View'!$B$105:$B$111</c:f>
              <c:strCache>
                <c:ptCount val="7"/>
                <c:pt idx="0">
                  <c:v>A</c:v>
                </c:pt>
                <c:pt idx="1">
                  <c:v>B</c:v>
                </c:pt>
                <c:pt idx="2">
                  <c:v>C</c:v>
                </c:pt>
                <c:pt idx="3">
                  <c:v>D</c:v>
                </c:pt>
                <c:pt idx="4">
                  <c:v>E</c:v>
                </c:pt>
                <c:pt idx="5">
                  <c:v>F</c:v>
                </c:pt>
                <c:pt idx="6">
                  <c:v>G</c:v>
                </c:pt>
              </c:strCache>
            </c:strRef>
          </c:cat>
          <c:val>
            <c:numRef>
              <c:f>'NeT GP View'!$I$105:$I$111</c:f>
              <c:numCache>
                <c:formatCode>0%</c:formatCode>
                <c:ptCount val="7"/>
                <c:pt idx="0">
                  <c:v>0.56900717594695249</c:v>
                </c:pt>
                <c:pt idx="1">
                  <c:v>0.61349804705241162</c:v>
                </c:pt>
                <c:pt idx="2">
                  <c:v>0.65666273049323276</c:v>
                </c:pt>
                <c:pt idx="3">
                  <c:v>0.71169043509855567</c:v>
                </c:pt>
                <c:pt idx="4">
                  <c:v>0.91105459169770187</c:v>
                </c:pt>
                <c:pt idx="5">
                  <c:v>0.99929148878190566</c:v>
                </c:pt>
                <c:pt idx="6">
                  <c:v>0.99999999999999989</c:v>
                </c:pt>
              </c:numCache>
            </c:numRef>
          </c:val>
          <c:extLst>
            <c:ext xmlns:c16="http://schemas.microsoft.com/office/drawing/2014/chart" uri="{C3380CC4-5D6E-409C-BE32-E72D297353CC}">
              <c16:uniqueId val="{00000000-2B7C-4B81-96C5-993E1A70F1A9}"/>
            </c:ext>
          </c:extLst>
        </c:ser>
        <c:dLbls>
          <c:showLegendKey val="0"/>
          <c:showVal val="0"/>
          <c:showCatName val="0"/>
          <c:showSerName val="0"/>
          <c:showPercent val="0"/>
          <c:showBubbleSize val="0"/>
        </c:dLbls>
        <c:gapWidth val="219"/>
        <c:overlap val="-27"/>
        <c:axId val="505524304"/>
        <c:axId val="505523320"/>
      </c:barChart>
      <c:catAx>
        <c:axId val="50552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523320"/>
        <c:crosses val="autoZero"/>
        <c:auto val="1"/>
        <c:lblAlgn val="ctr"/>
        <c:lblOffset val="100"/>
        <c:noMultiLvlLbl val="0"/>
      </c:catAx>
      <c:valAx>
        <c:axId val="5055233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524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General Permits</a:t>
            </a:r>
            <a:r>
              <a:rPr lang="en-US" baseline="0"/>
              <a:t> - Net Deployment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'NeT GP View'!$D$117</c:f>
              <c:strCache>
                <c:ptCount val="1"/>
                <c:pt idx="0">
                  <c:v>Number of General Permits Using NeT - 
NeT Deployed</c:v>
                </c:pt>
              </c:strCache>
            </c:strRef>
          </c:tx>
          <c:spPr>
            <a:solidFill>
              <a:schemeClr val="accent2"/>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View'!$D$118:$D$124</c:f>
              <c:numCache>
                <c:formatCode>General</c:formatCode>
                <c:ptCount val="7"/>
                <c:pt idx="0">
                  <c:v>114</c:v>
                </c:pt>
                <c:pt idx="1">
                  <c:v>5</c:v>
                </c:pt>
                <c:pt idx="2">
                  <c:v>3</c:v>
                </c:pt>
                <c:pt idx="3">
                  <c:v>45</c:v>
                </c:pt>
                <c:pt idx="4">
                  <c:v>8</c:v>
                </c:pt>
                <c:pt idx="5">
                  <c:v>0</c:v>
                </c:pt>
                <c:pt idx="6">
                  <c:v>0</c:v>
                </c:pt>
              </c:numCache>
            </c:numRef>
          </c:val>
          <c:extLst>
            <c:ext xmlns:c16="http://schemas.microsoft.com/office/drawing/2014/chart" uri="{C3380CC4-5D6E-409C-BE32-E72D297353CC}">
              <c16:uniqueId val="{00000001-3E1A-41F3-BB41-089D5189DEB5}"/>
            </c:ext>
          </c:extLst>
        </c:ser>
        <c:ser>
          <c:idx val="2"/>
          <c:order val="1"/>
          <c:tx>
            <c:strRef>
              <c:f>'NeT GP View'!$E$117</c:f>
              <c:strCache>
                <c:ptCount val="1"/>
                <c:pt idx="0">
                  <c:v>Number of General Permits Using NeT - 
NeT Not Deployed</c:v>
                </c:pt>
              </c:strCache>
            </c:strRef>
          </c:tx>
          <c:spPr>
            <a:solidFill>
              <a:schemeClr val="accent1"/>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View'!$E$118:$E$124</c:f>
              <c:numCache>
                <c:formatCode>General</c:formatCode>
                <c:ptCount val="7"/>
                <c:pt idx="0">
                  <c:v>15</c:v>
                </c:pt>
                <c:pt idx="1">
                  <c:v>36</c:v>
                </c:pt>
                <c:pt idx="2">
                  <c:v>38</c:v>
                </c:pt>
                <c:pt idx="3">
                  <c:v>11</c:v>
                </c:pt>
                <c:pt idx="4">
                  <c:v>5</c:v>
                </c:pt>
                <c:pt idx="5">
                  <c:v>9</c:v>
                </c:pt>
                <c:pt idx="6">
                  <c:v>2</c:v>
                </c:pt>
              </c:numCache>
            </c:numRef>
          </c:val>
          <c:extLst>
            <c:ext xmlns:c16="http://schemas.microsoft.com/office/drawing/2014/chart" uri="{C3380CC4-5D6E-409C-BE32-E72D297353CC}">
              <c16:uniqueId val="{00000002-3E1A-41F3-BB41-089D5189DEB5}"/>
            </c:ext>
          </c:extLst>
        </c:ser>
        <c:dLbls>
          <c:showLegendKey val="0"/>
          <c:showVal val="0"/>
          <c:showCatName val="0"/>
          <c:showSerName val="0"/>
          <c:showPercent val="0"/>
          <c:showBubbleSize val="0"/>
        </c:dLbls>
        <c:gapWidth val="150"/>
        <c:overlap val="100"/>
        <c:axId val="556064832"/>
        <c:axId val="556065488"/>
      </c:barChart>
      <c:catAx>
        <c:axId val="55606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065488"/>
        <c:crosses val="autoZero"/>
        <c:auto val="1"/>
        <c:lblAlgn val="ctr"/>
        <c:lblOffset val="100"/>
        <c:noMultiLvlLbl val="0"/>
      </c:catAx>
      <c:valAx>
        <c:axId val="556065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06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General Permit Covered</a:t>
            </a:r>
            <a:r>
              <a:rPr lang="en-US" baseline="0"/>
              <a:t> Facilities - NeT Deployment</a:t>
            </a:r>
            <a:endParaRPr lang="en-US"/>
          </a:p>
        </c:rich>
      </c:tx>
      <c:layout>
        <c:manualLayout>
          <c:xMode val="edge"/>
          <c:yMode val="edge"/>
          <c:x val="0.14810388154164433"/>
          <c:y val="4.55875077828350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318933375682615E-2"/>
          <c:y val="0.14919548001655117"/>
          <c:w val="0.89967053842879019"/>
          <c:h val="0.61479175939716157"/>
        </c:manualLayout>
      </c:layout>
      <c:barChart>
        <c:barDir val="col"/>
        <c:grouping val="stacked"/>
        <c:varyColors val="0"/>
        <c:ser>
          <c:idx val="5"/>
          <c:order val="0"/>
          <c:tx>
            <c:strRef>
              <c:f>'NeT GP View'!$H$117</c:f>
              <c:strCache>
                <c:ptCount val="1"/>
                <c:pt idx="0">
                  <c:v>Number of General Permit Covered Facilities - 
NeT Deployed</c:v>
                </c:pt>
              </c:strCache>
            </c:strRef>
          </c:tx>
          <c:spPr>
            <a:solidFill>
              <a:schemeClr val="accent2"/>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View'!$H$118:$H$124</c:f>
              <c:numCache>
                <c:formatCode>#,##0</c:formatCode>
                <c:ptCount val="7"/>
                <c:pt idx="0">
                  <c:v>21255</c:v>
                </c:pt>
                <c:pt idx="1">
                  <c:v>152</c:v>
                </c:pt>
                <c:pt idx="2">
                  <c:v>609</c:v>
                </c:pt>
                <c:pt idx="3">
                  <c:v>793</c:v>
                </c:pt>
                <c:pt idx="4">
                  <c:v>10544</c:v>
                </c:pt>
                <c:pt idx="5">
                  <c:v>0</c:v>
                </c:pt>
                <c:pt idx="6">
                  <c:v>0</c:v>
                </c:pt>
              </c:numCache>
            </c:numRef>
          </c:val>
          <c:extLst>
            <c:ext xmlns:c16="http://schemas.microsoft.com/office/drawing/2014/chart" uri="{C3380CC4-5D6E-409C-BE32-E72D297353CC}">
              <c16:uniqueId val="{00000005-197D-49AA-974F-8F0A7EF62EE5}"/>
            </c:ext>
          </c:extLst>
        </c:ser>
        <c:ser>
          <c:idx val="6"/>
          <c:order val="1"/>
          <c:tx>
            <c:strRef>
              <c:f>'NeT GP View'!$I$117</c:f>
              <c:strCache>
                <c:ptCount val="1"/>
                <c:pt idx="0">
                  <c:v>Number of General Permit Covered Facilities - 
NeT Not Deployed</c:v>
                </c:pt>
              </c:strCache>
            </c:strRef>
          </c:tx>
          <c:spPr>
            <a:solidFill>
              <a:schemeClr val="accent1"/>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View'!$I$118:$I$124</c:f>
              <c:numCache>
                <c:formatCode>#,##0</c:formatCode>
                <c:ptCount val="7"/>
                <c:pt idx="0">
                  <c:v>10066</c:v>
                </c:pt>
                <c:pt idx="1">
                  <c:v>2297</c:v>
                </c:pt>
                <c:pt idx="2">
                  <c:v>1767</c:v>
                </c:pt>
                <c:pt idx="3">
                  <c:v>2236</c:v>
                </c:pt>
                <c:pt idx="4">
                  <c:v>430</c:v>
                </c:pt>
                <c:pt idx="5">
                  <c:v>4857</c:v>
                </c:pt>
                <c:pt idx="6">
                  <c:v>39</c:v>
                </c:pt>
              </c:numCache>
            </c:numRef>
          </c:val>
          <c:extLst>
            <c:ext xmlns:c16="http://schemas.microsoft.com/office/drawing/2014/chart" uri="{C3380CC4-5D6E-409C-BE32-E72D297353CC}">
              <c16:uniqueId val="{00000006-197D-49AA-974F-8F0A7EF62EE5}"/>
            </c:ext>
          </c:extLst>
        </c:ser>
        <c:dLbls>
          <c:showLegendKey val="0"/>
          <c:showVal val="0"/>
          <c:showCatName val="0"/>
          <c:showSerName val="0"/>
          <c:showPercent val="0"/>
          <c:showBubbleSize val="0"/>
        </c:dLbls>
        <c:gapWidth val="150"/>
        <c:overlap val="100"/>
        <c:axId val="549006240"/>
        <c:axId val="549005256"/>
      </c:barChart>
      <c:catAx>
        <c:axId val="54900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005256"/>
        <c:crosses val="autoZero"/>
        <c:auto val="1"/>
        <c:lblAlgn val="ctr"/>
        <c:lblOffset val="100"/>
        <c:noMultiLvlLbl val="0"/>
      </c:catAx>
      <c:valAx>
        <c:axId val="549005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006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a:t>
            </a:r>
            <a:r>
              <a:rPr lang="en-US" baseline="0"/>
              <a:t> Permits - NeT Deployment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2"/>
            </a:solidFill>
            <a:ln>
              <a:solidFill>
                <a:srgbClr val="ED7D31"/>
              </a:solidFill>
            </a:ln>
          </c:spPr>
          <c:dPt>
            <c:idx val="0"/>
            <c:bubble3D val="0"/>
            <c:spPr>
              <a:solidFill>
                <a:schemeClr val="accent2"/>
              </a:solidFill>
              <a:ln w="19050">
                <a:solidFill>
                  <a:srgbClr val="ED7D31"/>
                </a:solidFill>
              </a:ln>
              <a:effectLst/>
            </c:spPr>
            <c:extLst>
              <c:ext xmlns:c16="http://schemas.microsoft.com/office/drawing/2014/chart" uri="{C3380CC4-5D6E-409C-BE32-E72D297353CC}">
                <c16:uniqueId val="{00000002-39EB-40FA-AF7A-DFC32CF30AD5}"/>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1-39EB-40FA-AF7A-DFC32CF30AD5}"/>
              </c:ext>
            </c:extLst>
          </c:dPt>
          <c:dLbls>
            <c:dLbl>
              <c:idx val="0"/>
              <c:layout>
                <c:manualLayout>
                  <c:x val="4.8959920872459477E-2"/>
                  <c:y val="-3.9065252830498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EB-40FA-AF7A-DFC32CF30AD5}"/>
                </c:ext>
              </c:extLst>
            </c:dLbl>
            <c:dLbl>
              <c:idx val="1"/>
              <c:layout>
                <c:manualLayout>
                  <c:x val="-3.3157793585332024E-2"/>
                  <c:y val="2.0387801008942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B-40FA-AF7A-DFC32CF30AD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View'!$B$129:$B$130</c:f>
              <c:strCache>
                <c:ptCount val="2"/>
                <c:pt idx="0">
                  <c:v>NeT Deployed</c:v>
                </c:pt>
                <c:pt idx="1">
                  <c:v>NeT Not Deployed</c:v>
                </c:pt>
              </c:strCache>
            </c:strRef>
          </c:cat>
          <c:val>
            <c:numRef>
              <c:f>'NeT GP View'!$C$129:$C$130</c:f>
              <c:numCache>
                <c:formatCode>General</c:formatCode>
                <c:ptCount val="2"/>
                <c:pt idx="0">
                  <c:v>175</c:v>
                </c:pt>
                <c:pt idx="1">
                  <c:v>116</c:v>
                </c:pt>
              </c:numCache>
            </c:numRef>
          </c:val>
          <c:extLst>
            <c:ext xmlns:c16="http://schemas.microsoft.com/office/drawing/2014/chart" uri="{C3380CC4-5D6E-409C-BE32-E72D297353CC}">
              <c16:uniqueId val="{00000000-39EB-40FA-AF7A-DFC32CF30AD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Permit Covered Facilities - NeT Deployment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'NeT GP View'!$D$128</c:f>
              <c:strCache>
                <c:ptCount val="1"/>
                <c:pt idx="0">
                  <c:v>Number of General Permit Covered Facilities - NeT</c:v>
                </c:pt>
              </c:strCache>
            </c:strRef>
          </c:tx>
          <c:spPr>
            <a:solidFill>
              <a:schemeClr val="accent2"/>
            </a:solidFill>
          </c:spPr>
          <c:dPt>
            <c:idx val="0"/>
            <c:bubble3D val="0"/>
            <c:spPr>
              <a:solidFill>
                <a:schemeClr val="accent2"/>
              </a:solidFill>
              <a:ln w="19050">
                <a:solidFill>
                  <a:srgbClr val="ED7D31"/>
                </a:solidFill>
              </a:ln>
              <a:effectLst/>
            </c:spPr>
            <c:extLst>
              <c:ext xmlns:c16="http://schemas.microsoft.com/office/drawing/2014/chart" uri="{C3380CC4-5D6E-409C-BE32-E72D297353CC}">
                <c16:uniqueId val="{00000002-2A07-44D9-93FD-92C6A1A6525D}"/>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1-2A07-44D9-93FD-92C6A1A6525D}"/>
              </c:ext>
            </c:extLst>
          </c:dPt>
          <c:dLbls>
            <c:dLbl>
              <c:idx val="0"/>
              <c:layout>
                <c:manualLayout>
                  <c:x val="1.9116321990746241E-2"/>
                  <c:y val="8.1164922911656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7-44D9-93FD-92C6A1A6525D}"/>
                </c:ext>
              </c:extLst>
            </c:dLbl>
            <c:dLbl>
              <c:idx val="1"/>
              <c:layout>
                <c:manualLayout>
                  <c:x val="-2.7803238483356394E-2"/>
                  <c:y val="-8.5124043859536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7-44D9-93FD-92C6A1A6525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View'!$B$129:$B$130</c:f>
              <c:strCache>
                <c:ptCount val="2"/>
                <c:pt idx="0">
                  <c:v>NeT Deployed</c:v>
                </c:pt>
                <c:pt idx="1">
                  <c:v>NeT Not Deployed</c:v>
                </c:pt>
              </c:strCache>
            </c:strRef>
          </c:cat>
          <c:val>
            <c:numRef>
              <c:f>'NeT GP View'!$D$129:$D$130</c:f>
              <c:numCache>
                <c:formatCode>#,##0_);\(#,##0\)</c:formatCode>
                <c:ptCount val="2"/>
                <c:pt idx="0">
                  <c:v>33353</c:v>
                </c:pt>
                <c:pt idx="1">
                  <c:v>21692</c:v>
                </c:pt>
              </c:numCache>
            </c:numRef>
          </c:val>
          <c:extLst>
            <c:ext xmlns:c16="http://schemas.microsoft.com/office/drawing/2014/chart" uri="{C3380CC4-5D6E-409C-BE32-E72D297353CC}">
              <c16:uniqueId val="{00000000-2A07-44D9-93FD-92C6A1A6525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of </a:t>
            </a:r>
            <a:r>
              <a:rPr lang="en-US"/>
              <a:t>General Permits - Info Gathering Complete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'NeT GP View'!$D$91</c:f>
              <c:strCache>
                <c:ptCount val="1"/>
                <c:pt idx="0">
                  <c:v>Number of General Permits in Group Using NeT - 
Info Gathering Complete</c:v>
                </c:pt>
              </c:strCache>
            </c:strRef>
          </c:tx>
          <c:spPr>
            <a:solidFill>
              <a:schemeClr val="accent2"/>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View'!$D$92:$D$98</c:f>
              <c:numCache>
                <c:formatCode>General</c:formatCode>
                <c:ptCount val="7"/>
                <c:pt idx="0">
                  <c:v>129</c:v>
                </c:pt>
                <c:pt idx="1">
                  <c:v>41</c:v>
                </c:pt>
                <c:pt idx="2">
                  <c:v>41</c:v>
                </c:pt>
                <c:pt idx="3">
                  <c:v>56</c:v>
                </c:pt>
                <c:pt idx="4">
                  <c:v>13</c:v>
                </c:pt>
                <c:pt idx="5">
                  <c:v>9</c:v>
                </c:pt>
                <c:pt idx="6">
                  <c:v>2</c:v>
                </c:pt>
              </c:numCache>
            </c:numRef>
          </c:val>
          <c:extLst>
            <c:ext xmlns:c16="http://schemas.microsoft.com/office/drawing/2014/chart" uri="{C3380CC4-5D6E-409C-BE32-E72D297353CC}">
              <c16:uniqueId val="{00000000-F863-4D49-AF66-FC60804A66F5}"/>
            </c:ext>
          </c:extLst>
        </c:ser>
        <c:ser>
          <c:idx val="2"/>
          <c:order val="1"/>
          <c:tx>
            <c:strRef>
              <c:f>'NeT GP View'!$E$91</c:f>
              <c:strCache>
                <c:ptCount val="1"/>
                <c:pt idx="0">
                  <c:v>Number of General Permits in Group Using NeT - 
Info Gathering Not Complete</c:v>
                </c:pt>
              </c:strCache>
            </c:strRef>
          </c:tx>
          <c:spPr>
            <a:solidFill>
              <a:schemeClr val="accent1"/>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View'!$E$92:$E$98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F863-4D49-AF66-FC60804A66F5}"/>
            </c:ext>
          </c:extLst>
        </c:ser>
        <c:dLbls>
          <c:showLegendKey val="0"/>
          <c:showVal val="0"/>
          <c:showCatName val="0"/>
          <c:showSerName val="0"/>
          <c:showPercent val="0"/>
          <c:showBubbleSize val="0"/>
        </c:dLbls>
        <c:gapWidth val="150"/>
        <c:overlap val="100"/>
        <c:axId val="556064832"/>
        <c:axId val="556065488"/>
      </c:barChart>
      <c:catAx>
        <c:axId val="55606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065488"/>
        <c:crosses val="autoZero"/>
        <c:auto val="1"/>
        <c:lblAlgn val="ctr"/>
        <c:lblOffset val="100"/>
        <c:noMultiLvlLbl val="0"/>
      </c:catAx>
      <c:valAx>
        <c:axId val="556065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06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US" sz="1200" b="0" i="0" baseline="0">
                <a:effectLst/>
              </a:rPr>
              <a:t>Number of General Permit Covered Facilities - Info Gathering Complete</a:t>
            </a:r>
            <a:endParaRPr lang="en-US" sz="1200"/>
          </a:p>
        </c:rich>
      </c:tx>
      <c:layout>
        <c:manualLayout>
          <c:xMode val="edge"/>
          <c:yMode val="edge"/>
          <c:x val="0.16221467070615814"/>
          <c:y val="4.558741593660336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7.6318933375682615E-2"/>
          <c:y val="0.14919548001655117"/>
          <c:w val="0.89967053842879019"/>
          <c:h val="0.61479175939716157"/>
        </c:manualLayout>
      </c:layout>
      <c:barChart>
        <c:barDir val="col"/>
        <c:grouping val="stacked"/>
        <c:varyColors val="0"/>
        <c:ser>
          <c:idx val="5"/>
          <c:order val="0"/>
          <c:tx>
            <c:strRef>
              <c:f>'NeT GP View'!$H$91</c:f>
              <c:strCache>
                <c:ptCount val="1"/>
                <c:pt idx="0">
                  <c:v>Number of General Permit Covered Facilities in Group - 
Info Gathering Complete</c:v>
                </c:pt>
              </c:strCache>
            </c:strRef>
          </c:tx>
          <c:spPr>
            <a:solidFill>
              <a:schemeClr val="accent2"/>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View'!$H$92:$H$98</c:f>
              <c:numCache>
                <c:formatCode>#,##0</c:formatCode>
                <c:ptCount val="7"/>
                <c:pt idx="0">
                  <c:v>31321</c:v>
                </c:pt>
                <c:pt idx="1">
                  <c:v>2449</c:v>
                </c:pt>
                <c:pt idx="2">
                  <c:v>2376</c:v>
                </c:pt>
                <c:pt idx="3">
                  <c:v>3029</c:v>
                </c:pt>
                <c:pt idx="4">
                  <c:v>10974</c:v>
                </c:pt>
                <c:pt idx="5">
                  <c:v>4857</c:v>
                </c:pt>
                <c:pt idx="6">
                  <c:v>39</c:v>
                </c:pt>
              </c:numCache>
            </c:numRef>
          </c:val>
          <c:extLst>
            <c:ext xmlns:c16="http://schemas.microsoft.com/office/drawing/2014/chart" uri="{C3380CC4-5D6E-409C-BE32-E72D297353CC}">
              <c16:uniqueId val="{00000000-4BD9-4C86-BC1E-7AB638D36D57}"/>
            </c:ext>
          </c:extLst>
        </c:ser>
        <c:ser>
          <c:idx val="6"/>
          <c:order val="1"/>
          <c:tx>
            <c:strRef>
              <c:f>'NeT GP View'!$I$91</c:f>
              <c:strCache>
                <c:ptCount val="1"/>
                <c:pt idx="0">
                  <c:v>Number of General Permit Covered Facilities in Group - 
Info Gathering Not Complete</c:v>
                </c:pt>
              </c:strCache>
            </c:strRef>
          </c:tx>
          <c:spPr>
            <a:solidFill>
              <a:schemeClr val="accent1"/>
            </a:solidFill>
            <a:ln>
              <a:noFill/>
            </a:ln>
            <a:effectLst/>
          </c:spPr>
          <c:invertIfNegative val="0"/>
          <c:cat>
            <c:strRef>
              <c:f>'NeT GP View'!$B$118:$B$124</c:f>
              <c:strCache>
                <c:ptCount val="7"/>
                <c:pt idx="0">
                  <c:v>A</c:v>
                </c:pt>
                <c:pt idx="1">
                  <c:v>B</c:v>
                </c:pt>
                <c:pt idx="2">
                  <c:v>C</c:v>
                </c:pt>
                <c:pt idx="3">
                  <c:v>D</c:v>
                </c:pt>
                <c:pt idx="4">
                  <c:v>E</c:v>
                </c:pt>
                <c:pt idx="5">
                  <c:v>F</c:v>
                </c:pt>
                <c:pt idx="6">
                  <c:v>G</c:v>
                </c:pt>
              </c:strCache>
            </c:strRef>
          </c:cat>
          <c:val>
            <c:numRef>
              <c:f>'NeT GP View'!$I$92:$I$98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4BD9-4C86-BC1E-7AB638D36D57}"/>
            </c:ext>
          </c:extLst>
        </c:ser>
        <c:dLbls>
          <c:showLegendKey val="0"/>
          <c:showVal val="0"/>
          <c:showCatName val="0"/>
          <c:showSerName val="0"/>
          <c:showPercent val="0"/>
          <c:showBubbleSize val="0"/>
        </c:dLbls>
        <c:gapWidth val="150"/>
        <c:overlap val="100"/>
        <c:axId val="549006240"/>
        <c:axId val="549005256"/>
      </c:barChart>
      <c:catAx>
        <c:axId val="54900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005256"/>
        <c:crosses val="autoZero"/>
        <c:auto val="1"/>
        <c:lblAlgn val="ctr"/>
        <c:lblOffset val="100"/>
        <c:noMultiLvlLbl val="0"/>
      </c:catAx>
      <c:valAx>
        <c:axId val="549005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006240"/>
        <c:crosses val="autoZero"/>
        <c:crossBetween val="between"/>
      </c:valAx>
      <c:spPr>
        <a:noFill/>
        <a:ln>
          <a:noFill/>
        </a:ln>
        <a:effectLst/>
      </c:spPr>
    </c:plotArea>
    <c:legend>
      <c:legendPos val="b"/>
      <c:layout>
        <c:manualLayout>
          <c:xMode val="edge"/>
          <c:yMode val="edge"/>
          <c:x val="7.458572699973158E-2"/>
          <c:y val="0.8500532970119774"/>
          <c:w val="0.86025485493718945"/>
          <c:h val="0.10211122227331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a:t>
            </a:r>
            <a:r>
              <a:rPr lang="en-US" baseline="0"/>
              <a:t> Permits - Info Gathering Complete</a:t>
            </a:r>
            <a:endParaRPr lang="en-US"/>
          </a:p>
        </c:rich>
      </c:tx>
      <c:layout>
        <c:manualLayout>
          <c:xMode val="edge"/>
          <c:yMode val="edge"/>
          <c:x val="0.12859774460797391"/>
          <c:y val="3.74128873813171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2"/>
            </a:solidFill>
            <a:ln>
              <a:solidFill>
                <a:srgbClr val="4472C4"/>
              </a:solidFill>
            </a:ln>
          </c:spPr>
          <c:dPt>
            <c:idx val="0"/>
            <c:bubble3D val="0"/>
            <c:spPr>
              <a:solidFill>
                <a:schemeClr val="accent2"/>
              </a:solidFill>
              <a:ln w="19050">
                <a:solidFill>
                  <a:srgbClr val="ED7D31"/>
                </a:solidFill>
              </a:ln>
              <a:effectLst/>
            </c:spPr>
            <c:extLst>
              <c:ext xmlns:c16="http://schemas.microsoft.com/office/drawing/2014/chart" uri="{C3380CC4-5D6E-409C-BE32-E72D297353CC}">
                <c16:uniqueId val="{00000002-FDBA-4C51-BC7C-9A578DB9FF4A}"/>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1-FDBA-4C51-BC7C-9A578DB9FF4A}"/>
              </c:ext>
            </c:extLst>
          </c:dPt>
          <c:dLbls>
            <c:dLbl>
              <c:idx val="0"/>
              <c:layout>
                <c:manualLayout>
                  <c:x val="0.25941260839141916"/>
                  <c:y val="-4.3687647233460886E-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BA-4C51-BC7C-9A578DB9FF4A}"/>
                </c:ext>
              </c:extLst>
            </c:dLbl>
            <c:dLbl>
              <c:idx val="1"/>
              <c:layout>
                <c:manualLayout>
                  <c:x val="-0.14432311821929439"/>
                  <c:y val="1.3992681738092113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BA-4C51-BC7C-9A578DB9FF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'NeT GP View'!$B$135:$B$136</c:f>
              <c:strCache>
                <c:ptCount val="2"/>
                <c:pt idx="0">
                  <c:v>Info Gathering Complete</c:v>
                </c:pt>
                <c:pt idx="1">
                  <c:v>Info Gathering Not Complete</c:v>
                </c:pt>
              </c:strCache>
            </c:strRef>
          </c:cat>
          <c:val>
            <c:numRef>
              <c:f>'NeT GP View'!$C$135:$C$136</c:f>
              <c:numCache>
                <c:formatCode>General</c:formatCode>
                <c:ptCount val="2"/>
                <c:pt idx="0">
                  <c:v>291</c:v>
                </c:pt>
                <c:pt idx="1">
                  <c:v>0</c:v>
                </c:pt>
              </c:numCache>
            </c:numRef>
          </c:val>
          <c:extLst>
            <c:ext xmlns:c16="http://schemas.microsoft.com/office/drawing/2014/chart" uri="{C3380CC4-5D6E-409C-BE32-E72D297353CC}">
              <c16:uniqueId val="{00000000-FDBA-4C51-BC7C-9A578DB9FF4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Permit Covered Facilities - Info Gathering Complete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851794271225691"/>
          <c:y val="0.23404209199621265"/>
          <c:w val="0.57821105309251641"/>
          <c:h val="0.60521491145124207"/>
        </c:manualLayout>
      </c:layout>
      <c:pieChart>
        <c:varyColors val="1"/>
        <c:ser>
          <c:idx val="0"/>
          <c:order val="0"/>
          <c:spPr>
            <a:ln>
              <a:solidFill>
                <a:srgbClr val="4472C4"/>
              </a:solidFill>
            </a:ln>
          </c:spPr>
          <c:dPt>
            <c:idx val="0"/>
            <c:bubble3D val="0"/>
            <c:spPr>
              <a:solidFill>
                <a:schemeClr val="accent2"/>
              </a:solidFill>
              <a:ln w="19050">
                <a:solidFill>
                  <a:srgbClr val="ED7D31"/>
                </a:solidFill>
              </a:ln>
              <a:effectLst/>
            </c:spPr>
            <c:extLst>
              <c:ext xmlns:c16="http://schemas.microsoft.com/office/drawing/2014/chart" uri="{C3380CC4-5D6E-409C-BE32-E72D297353CC}">
                <c16:uniqueId val="{00000002-7594-408F-81C2-93F063AE5B12}"/>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3-7594-408F-81C2-93F063AE5B12}"/>
              </c:ext>
            </c:extLst>
          </c:dPt>
          <c:dLbls>
            <c:dLbl>
              <c:idx val="0"/>
              <c:layout>
                <c:manualLayout>
                  <c:x val="2.0800556562327096E-2"/>
                  <c:y val="6.5036701853281809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94-408F-81C2-93F063AE5B12}"/>
                </c:ext>
              </c:extLst>
            </c:dLbl>
            <c:dLbl>
              <c:idx val="1"/>
              <c:layout>
                <c:manualLayout>
                  <c:x val="-6.33641887677895E-2"/>
                  <c:y val="-8.8113663594513517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94-408F-81C2-93F063AE5B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View'!$G$135:$G$136</c:f>
              <c:strCache>
                <c:ptCount val="2"/>
                <c:pt idx="0">
                  <c:v>Info Gathering Complete</c:v>
                </c:pt>
                <c:pt idx="1">
                  <c:v>Info Gathering Not Complete</c:v>
                </c:pt>
              </c:strCache>
            </c:strRef>
          </c:cat>
          <c:val>
            <c:numRef>
              <c:f>'NeT GP View'!$H$135:$H$136</c:f>
              <c:numCache>
                <c:formatCode>#,##0_);\(#,##0\)</c:formatCode>
                <c:ptCount val="2"/>
                <c:pt idx="0">
                  <c:v>55045</c:v>
                </c:pt>
                <c:pt idx="1">
                  <c:v>0</c:v>
                </c:pt>
              </c:numCache>
            </c:numRef>
          </c:val>
          <c:extLst>
            <c:ext xmlns:c16="http://schemas.microsoft.com/office/drawing/2014/chart" uri="{C3380CC4-5D6E-409C-BE32-E72D297353CC}">
              <c16:uniqueId val="{00000000-7594-408F-81C2-93F063AE5B12}"/>
            </c:ext>
          </c:extLst>
        </c:ser>
        <c:dLbls>
          <c:showLegendKey val="0"/>
          <c:showVal val="0"/>
          <c:showCatName val="0"/>
          <c:showSerName val="0"/>
          <c:showPercent val="0"/>
          <c:showBubbleSize val="0"/>
          <c:showLeaderLines val="1"/>
        </c:dLbls>
        <c:firstSliceAng val="31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General Permit Proxy Cards - NeT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'NeT GP View'!$E$128</c:f>
              <c:strCache>
                <c:ptCount val="1"/>
                <c:pt idx="0">
                  <c:v>Number of General Permit Proxy Cards - NeT</c:v>
                </c:pt>
              </c:strCache>
            </c:strRef>
          </c:tx>
          <c:spPr>
            <a:solidFill>
              <a:schemeClr val="accent2"/>
            </a:solidFill>
          </c:spPr>
          <c:dPt>
            <c:idx val="0"/>
            <c:bubble3D val="0"/>
            <c:spPr>
              <a:solidFill>
                <a:schemeClr val="accent2"/>
              </a:solidFill>
              <a:ln w="19050">
                <a:solidFill>
                  <a:srgbClr val="ED7D31"/>
                </a:solidFill>
              </a:ln>
              <a:effectLst/>
            </c:spPr>
            <c:extLst>
              <c:ext xmlns:c16="http://schemas.microsoft.com/office/drawing/2014/chart" uri="{C3380CC4-5D6E-409C-BE32-E72D297353CC}">
                <c16:uniqueId val="{00000001-8F8D-4912-B8A8-98C92963C656}"/>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3-8F8D-4912-B8A8-98C92963C656}"/>
              </c:ext>
            </c:extLst>
          </c:dPt>
          <c:dLbls>
            <c:dLbl>
              <c:idx val="0"/>
              <c:layout>
                <c:manualLayout>
                  <c:x val="0.10321524589864112"/>
                  <c:y val="-1.4956988621013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8D-4912-B8A8-98C92963C656}"/>
                </c:ext>
              </c:extLst>
            </c:dLbl>
            <c:dLbl>
              <c:idx val="1"/>
              <c:layout>
                <c:manualLayout>
                  <c:x val="-0.13593025624466695"/>
                  <c:y val="-6.004876191529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8D-4912-B8A8-98C92963C65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View'!$B$129:$B$130</c:f>
              <c:strCache>
                <c:ptCount val="2"/>
                <c:pt idx="0">
                  <c:v>NeT Deployed</c:v>
                </c:pt>
                <c:pt idx="1">
                  <c:v>NeT Not Deployed</c:v>
                </c:pt>
              </c:strCache>
            </c:strRef>
          </c:cat>
          <c:val>
            <c:numRef>
              <c:f>'NeT GP View'!$E$129:$E$130</c:f>
              <c:numCache>
                <c:formatCode>#,##0_);\(#,##0\)</c:formatCode>
                <c:ptCount val="2"/>
                <c:pt idx="0">
                  <c:v>25</c:v>
                </c:pt>
                <c:pt idx="1">
                  <c:v>69</c:v>
                </c:pt>
              </c:numCache>
            </c:numRef>
          </c:val>
          <c:extLst>
            <c:ext xmlns:c16="http://schemas.microsoft.com/office/drawing/2014/chart" uri="{C3380CC4-5D6E-409C-BE32-E72D297353CC}">
              <c16:uniqueId val="{00000004-8F8D-4912-B8A8-98C92963C65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Program Reports </a:t>
            </a:r>
            <a:r>
              <a:rPr lang="en-US" baseline="0"/>
              <a:t>- </a:t>
            </a:r>
          </a:p>
          <a:p>
            <a:pPr>
              <a:defRPr/>
            </a:pPr>
            <a:r>
              <a:rPr lang="en-US" baseline="0"/>
              <a:t>NeT Deployment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2"/>
            </a:solidFill>
          </c:spPr>
          <c:dPt>
            <c:idx val="0"/>
            <c:bubble3D val="0"/>
            <c:spPr>
              <a:solidFill>
                <a:schemeClr val="accent2"/>
              </a:solidFill>
              <a:ln w="19050">
                <a:solidFill>
                  <a:schemeClr val="lt1"/>
                </a:solidFill>
              </a:ln>
              <a:effectLst/>
            </c:spPr>
            <c:extLst>
              <c:ext xmlns:c16="http://schemas.microsoft.com/office/drawing/2014/chart" uri="{C3380CC4-5D6E-409C-BE32-E72D297353CC}">
                <c16:uniqueId val="{00000001-D86E-4CFF-BF6C-E5F6D3913472}"/>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3-D86E-4CFF-BF6C-E5F6D3913472}"/>
              </c:ext>
            </c:extLst>
          </c:dPt>
          <c:dLbls>
            <c:dLbl>
              <c:idx val="0"/>
              <c:layout>
                <c:manualLayout>
                  <c:x val="4.8959920872459477E-2"/>
                  <c:y val="-3.9065252830498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6E-4CFF-BF6C-E5F6D3913472}"/>
                </c:ext>
              </c:extLst>
            </c:dLbl>
            <c:dLbl>
              <c:idx val="1"/>
              <c:layout>
                <c:manualLayout>
                  <c:x val="-3.3157793585332024E-2"/>
                  <c:y val="2.0387801008942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6E-4CFF-BF6C-E5F6D391347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PR View'!$B$104:$B$105</c:f>
              <c:strCache>
                <c:ptCount val="2"/>
                <c:pt idx="0">
                  <c:v>NeT Deployed</c:v>
                </c:pt>
                <c:pt idx="1">
                  <c:v>NeT Not Deployed</c:v>
                </c:pt>
              </c:strCache>
            </c:strRef>
          </c:cat>
          <c:val>
            <c:numRef>
              <c:f>'NeT PR View'!$C$104:$C$105</c:f>
              <c:numCache>
                <c:formatCode>#,##0</c:formatCode>
                <c:ptCount val="2"/>
                <c:pt idx="0">
                  <c:v>100</c:v>
                </c:pt>
                <c:pt idx="1">
                  <c:v>60</c:v>
                </c:pt>
              </c:numCache>
            </c:numRef>
          </c:val>
          <c:extLst>
            <c:ext xmlns:c16="http://schemas.microsoft.com/office/drawing/2014/chart" uri="{C3380CC4-5D6E-409C-BE32-E72D297353CC}">
              <c16:uniqueId val="{00000004-D86E-4CFF-BF6C-E5F6D391347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Program Report Filers </a:t>
            </a:r>
            <a:r>
              <a:rPr lang="en-US" baseline="0"/>
              <a:t>- </a:t>
            </a:r>
          </a:p>
          <a:p>
            <a:pPr>
              <a:defRPr sz="1400" b="0" i="0" u="none" strike="noStrike" kern="1200" spc="0" baseline="0">
                <a:solidFill>
                  <a:schemeClr val="tx1">
                    <a:lumMod val="65000"/>
                    <a:lumOff val="35000"/>
                  </a:schemeClr>
                </a:solidFill>
                <a:latin typeface="+mn-lt"/>
                <a:ea typeface="+mn-ea"/>
                <a:cs typeface="+mn-cs"/>
              </a:defRPr>
            </a:pPr>
            <a:r>
              <a:rPr lang="en-US" baseline="0"/>
              <a:t>NeT Deployment</a:t>
            </a:r>
            <a:endParaRPr lang="en-US"/>
          </a:p>
        </c:rich>
      </c:tx>
      <c:overlay val="0"/>
      <c:spPr>
        <a:noFill/>
        <a:ln>
          <a:noFill/>
        </a:ln>
        <a:effectLst/>
      </c:spPr>
    </c:title>
    <c:autoTitleDeleted val="0"/>
    <c:plotArea>
      <c:layout>
        <c:manualLayout>
          <c:layoutTarget val="inner"/>
          <c:xMode val="edge"/>
          <c:yMode val="edge"/>
          <c:x val="0.27957417732242912"/>
          <c:y val="0.26918889074786684"/>
          <c:w val="0.41519932917317592"/>
          <c:h val="0.48148034130834866"/>
        </c:manualLayout>
      </c:layout>
      <c:pieChart>
        <c:varyColors val="1"/>
        <c:ser>
          <c:idx val="1"/>
          <c:order val="0"/>
          <c:spPr>
            <a:solidFill>
              <a:schemeClr val="accent2"/>
            </a:solidFill>
          </c:spPr>
          <c:dPt>
            <c:idx val="0"/>
            <c:bubble3D val="0"/>
            <c:extLst>
              <c:ext xmlns:c16="http://schemas.microsoft.com/office/drawing/2014/chart" uri="{C3380CC4-5D6E-409C-BE32-E72D297353CC}">
                <c16:uniqueId val="{0000000B-5712-4CE5-8A15-4254213D27BA}"/>
              </c:ext>
            </c:extLst>
          </c:dPt>
          <c:dPt>
            <c:idx val="1"/>
            <c:bubble3D val="0"/>
            <c:spPr>
              <a:solidFill>
                <a:schemeClr val="accent1"/>
              </a:solidFill>
            </c:spPr>
            <c:extLst>
              <c:ext xmlns:c16="http://schemas.microsoft.com/office/drawing/2014/chart" uri="{C3380CC4-5D6E-409C-BE32-E72D297353CC}">
                <c16:uniqueId val="{0000000C-5712-4CE5-8A15-4254213D27BA}"/>
              </c:ext>
            </c:extLst>
          </c:dPt>
          <c:dLbls>
            <c:dLbl>
              <c:idx val="0"/>
              <c:layout>
                <c:manualLayout>
                  <c:x val="0.10820718299479394"/>
                  <c:y val="-1.8961351848753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12-4CE5-8A15-4254213D27BA}"/>
                </c:ext>
              </c:extLst>
            </c:dLbl>
            <c:dLbl>
              <c:idx val="1"/>
              <c:layout>
                <c:manualLayout>
                  <c:x val="-4.973750380167901E-2"/>
                  <c:y val="-1.729964865317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12-4CE5-8A15-4254213D27BA}"/>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'NeT PR View'!$B$104:$B$105</c:f>
              <c:strCache>
                <c:ptCount val="2"/>
                <c:pt idx="0">
                  <c:v>NeT Deployed</c:v>
                </c:pt>
                <c:pt idx="1">
                  <c:v>NeT Not Deployed</c:v>
                </c:pt>
              </c:strCache>
            </c:strRef>
          </c:cat>
          <c:val>
            <c:numRef>
              <c:f>'NeT PR View'!$D$104:$D$105</c:f>
              <c:numCache>
                <c:formatCode>#,##0_);\(#,##0\)</c:formatCode>
                <c:ptCount val="2"/>
                <c:pt idx="0">
                  <c:v>12499</c:v>
                </c:pt>
                <c:pt idx="1">
                  <c:v>4162</c:v>
                </c:pt>
              </c:numCache>
            </c:numRef>
          </c:val>
          <c:extLst>
            <c:ext xmlns:c16="http://schemas.microsoft.com/office/drawing/2014/chart" uri="{C3380CC4-5D6E-409C-BE32-E72D297353CC}">
              <c16:uniqueId val="{0000000A-5712-4CE5-8A15-4254213D27BA}"/>
            </c:ext>
          </c:extLst>
        </c:ser>
        <c:ser>
          <c:idx val="0"/>
          <c:order val="1"/>
          <c:spPr>
            <a:solidFill>
              <a:schemeClr val="accent2"/>
            </a:solidFill>
          </c:spPr>
          <c:dPt>
            <c:idx val="0"/>
            <c:bubble3D val="0"/>
            <c:spPr>
              <a:solidFill>
                <a:schemeClr val="accent2"/>
              </a:solidFill>
              <a:ln w="19050">
                <a:solidFill>
                  <a:schemeClr val="lt1"/>
                </a:solidFill>
              </a:ln>
              <a:effectLst/>
            </c:spPr>
            <c:extLst>
              <c:ext xmlns:c16="http://schemas.microsoft.com/office/drawing/2014/chart" uri="{C3380CC4-5D6E-409C-BE32-E72D297353CC}">
                <c16:uniqueId val="{00000006-5712-4CE5-8A15-4254213D27BA}"/>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8-5712-4CE5-8A15-4254213D27BA}"/>
              </c:ext>
            </c:extLst>
          </c:dPt>
          <c:dLbls>
            <c:dLbl>
              <c:idx val="0"/>
              <c:layout>
                <c:manualLayout>
                  <c:x val="4.8959920872459477E-2"/>
                  <c:y val="-3.9065252830498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12-4CE5-8A15-4254213D27BA}"/>
                </c:ext>
              </c:extLst>
            </c:dLbl>
            <c:dLbl>
              <c:idx val="1"/>
              <c:layout>
                <c:manualLayout>
                  <c:x val="-3.3157793585332024E-2"/>
                  <c:y val="2.0387801008942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12-4CE5-8A15-4254213D27B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PR View'!$B$104:$B$105</c:f>
              <c:strCache>
                <c:ptCount val="2"/>
                <c:pt idx="0">
                  <c:v>NeT Deployed</c:v>
                </c:pt>
                <c:pt idx="1">
                  <c:v>NeT Not Deployed</c:v>
                </c:pt>
              </c:strCache>
            </c:strRef>
          </c:cat>
          <c:val>
            <c:numRef>
              <c:f>'NeT PR View'!$C$92:$C$93</c:f>
              <c:numCache>
                <c:formatCode>#,##0</c:formatCode>
                <c:ptCount val="2"/>
                <c:pt idx="0">
                  <c:v>100</c:v>
                </c:pt>
                <c:pt idx="1">
                  <c:v>60</c:v>
                </c:pt>
              </c:numCache>
            </c:numRef>
          </c:val>
          <c:extLst>
            <c:ext xmlns:c16="http://schemas.microsoft.com/office/drawing/2014/chart" uri="{C3380CC4-5D6E-409C-BE32-E72D297353CC}">
              <c16:uniqueId val="{00000009-5712-4CE5-8A15-4254213D27BA}"/>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a:t>
            </a:r>
            <a:r>
              <a:rPr lang="en-US"/>
              <a:t>Program Reports </a:t>
            </a:r>
            <a:r>
              <a:rPr lang="en-US" baseline="0"/>
              <a:t>- Info Gathering </a:t>
            </a:r>
            <a:endParaRPr lang="en-US"/>
          </a:p>
        </c:rich>
      </c:tx>
      <c:layout>
        <c:manualLayout>
          <c:xMode val="edge"/>
          <c:yMode val="edge"/>
          <c:x val="0.17743717741811305"/>
          <c:y val="4.77957779761592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2"/>
            </a:solidFill>
            <a:ln>
              <a:solidFill>
                <a:srgbClr val="4472C4"/>
              </a:solidFill>
            </a:ln>
          </c:spPr>
          <c:dPt>
            <c:idx val="0"/>
            <c:bubble3D val="0"/>
            <c:spPr>
              <a:solidFill>
                <a:schemeClr val="accent2"/>
              </a:solidFill>
              <a:ln w="19050">
                <a:solidFill>
                  <a:srgbClr val="4472C4"/>
                </a:solidFill>
              </a:ln>
              <a:effectLst/>
            </c:spPr>
            <c:extLst>
              <c:ext xmlns:c16="http://schemas.microsoft.com/office/drawing/2014/chart" uri="{C3380CC4-5D6E-409C-BE32-E72D297353CC}">
                <c16:uniqueId val="{00000001-0818-4A3A-9614-5403055A35D4}"/>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3-0818-4A3A-9614-5403055A35D4}"/>
              </c:ext>
            </c:extLst>
          </c:dPt>
          <c:dLbls>
            <c:dLbl>
              <c:idx val="0"/>
              <c:layout>
                <c:manualLayout>
                  <c:x val="0.11972175392785049"/>
                  <c:y val="1.6561195254970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18-4A3A-9614-5403055A35D4}"/>
                </c:ext>
              </c:extLst>
            </c:dLbl>
            <c:dLbl>
              <c:idx val="1"/>
              <c:layout>
                <c:manualLayout>
                  <c:x val="-8.3122416895893544E-2"/>
                  <c:y val="7.57121096123945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18-4A3A-9614-5403055A35D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PR View'!$B$98:$B$99</c:f>
              <c:strCache>
                <c:ptCount val="2"/>
                <c:pt idx="0">
                  <c:v>Info Gathering Complete</c:v>
                </c:pt>
                <c:pt idx="1">
                  <c:v>Info Gathering Not Complete</c:v>
                </c:pt>
              </c:strCache>
            </c:strRef>
          </c:cat>
          <c:val>
            <c:numRef>
              <c:f>'NeT PR View'!$C$98:$C$99</c:f>
              <c:numCache>
                <c:formatCode>#,##0</c:formatCode>
                <c:ptCount val="2"/>
                <c:pt idx="0">
                  <c:v>160</c:v>
                </c:pt>
                <c:pt idx="1">
                  <c:v>0</c:v>
                </c:pt>
              </c:numCache>
            </c:numRef>
          </c:val>
          <c:extLst>
            <c:ext xmlns:c16="http://schemas.microsoft.com/office/drawing/2014/chart" uri="{C3380CC4-5D6E-409C-BE32-E72D297353CC}">
              <c16:uniqueId val="{00000004-0818-4A3A-9614-5403055A35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a:t>
            </a:r>
            <a:r>
              <a:rPr lang="en-US"/>
              <a:t>Program Report Filers </a:t>
            </a:r>
            <a:r>
              <a:rPr lang="en-US" baseline="0"/>
              <a:t>- Info Gathering </a:t>
            </a:r>
            <a:endParaRPr lang="en-US"/>
          </a:p>
        </c:rich>
      </c:tx>
      <c:layout>
        <c:manualLayout>
          <c:xMode val="edge"/>
          <c:yMode val="edge"/>
          <c:x val="0.11463262356634116"/>
          <c:y val="5.1960790744044492E-2"/>
        </c:manualLayout>
      </c:layout>
      <c:overlay val="0"/>
      <c:spPr>
        <a:noFill/>
        <a:ln>
          <a:noFill/>
        </a:ln>
        <a:effectLst/>
      </c:spPr>
    </c:title>
    <c:autoTitleDeleted val="0"/>
    <c:plotArea>
      <c:layout/>
      <c:pieChart>
        <c:varyColors val="1"/>
        <c:ser>
          <c:idx val="1"/>
          <c:order val="0"/>
          <c:spPr>
            <a:ln>
              <a:solidFill>
                <a:schemeClr val="accent1"/>
              </a:solidFill>
            </a:ln>
          </c:spPr>
          <c:dPt>
            <c:idx val="0"/>
            <c:bubble3D val="0"/>
            <c:spPr>
              <a:solidFill>
                <a:schemeClr val="accent2"/>
              </a:solidFill>
              <a:ln>
                <a:solidFill>
                  <a:schemeClr val="accent1"/>
                </a:solidFill>
              </a:ln>
            </c:spPr>
            <c:extLst>
              <c:ext xmlns:c16="http://schemas.microsoft.com/office/drawing/2014/chart" uri="{C3380CC4-5D6E-409C-BE32-E72D297353CC}">
                <c16:uniqueId val="{0000000B-97F2-4D4C-B84D-1BCA362C2D67}"/>
              </c:ext>
            </c:extLst>
          </c:dPt>
          <c:dPt>
            <c:idx val="1"/>
            <c:bubble3D val="0"/>
            <c:spPr>
              <a:solidFill>
                <a:schemeClr val="accent1"/>
              </a:solidFill>
              <a:ln>
                <a:solidFill>
                  <a:schemeClr val="accent1"/>
                </a:solidFill>
              </a:ln>
            </c:spPr>
            <c:extLst>
              <c:ext xmlns:c16="http://schemas.microsoft.com/office/drawing/2014/chart" uri="{C3380CC4-5D6E-409C-BE32-E72D297353CC}">
                <c16:uniqueId val="{0000000C-97F2-4D4C-B84D-1BCA362C2D67}"/>
              </c:ext>
            </c:extLst>
          </c:dPt>
          <c:dLbls>
            <c:dLbl>
              <c:idx val="0"/>
              <c:layout>
                <c:manualLayout>
                  <c:x val="0.33369829668681567"/>
                  <c:y val="-0.1777773769545597"/>
                </c:manualLayout>
              </c:layout>
              <c:spPr>
                <a:noFill/>
                <a:ln>
                  <a:noFill/>
                </a:ln>
                <a:effectLst/>
              </c:spPr>
              <c:txPr>
                <a:bodyPr wrap="square" lIns="38100" tIns="19050" rIns="38100" bIns="19050" anchor="ctr">
                  <a:noAutofit/>
                </a:bodyPr>
                <a:lstStyle/>
                <a:p>
                  <a:pPr>
                    <a:defRPr sz="1400"/>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8466413290755648"/>
                      <c:h val="9.2482159722950985E-2"/>
                    </c:manualLayout>
                  </c15:layout>
                </c:ext>
                <c:ext xmlns:c16="http://schemas.microsoft.com/office/drawing/2014/chart" uri="{C3380CC4-5D6E-409C-BE32-E72D297353CC}">
                  <c16:uniqueId val="{0000000B-97F2-4D4C-B84D-1BCA362C2D67}"/>
                </c:ext>
              </c:extLst>
            </c:dLbl>
            <c:dLbl>
              <c:idx val="1"/>
              <c:layout>
                <c:manualLayout>
                  <c:x val="-0.23859444259974052"/>
                  <c:y val="4.47285916675411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F2-4D4C-B84D-1BCA362C2D67}"/>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'NeT PR View'!$E$98:$E$99</c:f>
              <c:strCache>
                <c:ptCount val="2"/>
                <c:pt idx="0">
                  <c:v>Info Gathering Complete</c:v>
                </c:pt>
                <c:pt idx="1">
                  <c:v>Info Gathering Not Complete</c:v>
                </c:pt>
              </c:strCache>
            </c:strRef>
          </c:cat>
          <c:val>
            <c:numRef>
              <c:f>'NeT PR View'!$F$98:$F$99</c:f>
              <c:numCache>
                <c:formatCode>#,##0</c:formatCode>
                <c:ptCount val="2"/>
                <c:pt idx="0">
                  <c:v>16661</c:v>
                </c:pt>
                <c:pt idx="1">
                  <c:v>0</c:v>
                </c:pt>
              </c:numCache>
            </c:numRef>
          </c:val>
          <c:extLst>
            <c:ext xmlns:c16="http://schemas.microsoft.com/office/drawing/2014/chart" uri="{C3380CC4-5D6E-409C-BE32-E72D297353CC}">
              <c16:uniqueId val="{0000000A-97F2-4D4C-B84D-1BCA362C2D67}"/>
            </c:ext>
          </c:extLst>
        </c:ser>
        <c:ser>
          <c:idx val="0"/>
          <c:order val="1"/>
          <c:spPr>
            <a:solidFill>
              <a:schemeClr val="accent2"/>
            </a:solidFill>
          </c:spPr>
          <c:dPt>
            <c:idx val="0"/>
            <c:bubble3D val="0"/>
            <c:spPr>
              <a:solidFill>
                <a:schemeClr val="accent2"/>
              </a:solidFill>
              <a:ln w="19050">
                <a:solidFill>
                  <a:schemeClr val="lt1"/>
                </a:solidFill>
              </a:ln>
              <a:effectLst/>
            </c:spPr>
            <c:extLst>
              <c:ext xmlns:c16="http://schemas.microsoft.com/office/drawing/2014/chart" uri="{C3380CC4-5D6E-409C-BE32-E72D297353CC}">
                <c16:uniqueId val="{00000006-97F2-4D4C-B84D-1BCA362C2D67}"/>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8-97F2-4D4C-B84D-1BCA362C2D67}"/>
              </c:ext>
            </c:extLst>
          </c:dPt>
          <c:dLbls>
            <c:dLbl>
              <c:idx val="0"/>
              <c:layout>
                <c:manualLayout>
                  <c:x val="0.11972175392785049"/>
                  <c:y val="1.6561195254970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F2-4D4C-B84D-1BCA362C2D67}"/>
                </c:ext>
              </c:extLst>
            </c:dLbl>
            <c:dLbl>
              <c:idx val="1"/>
              <c:layout>
                <c:manualLayout>
                  <c:x val="-8.3122416895893544E-2"/>
                  <c:y val="7.57121096123945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F2-4D4C-B84D-1BCA362C2D6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PR View'!$B$98:$B$99</c:f>
              <c:strCache>
                <c:ptCount val="2"/>
                <c:pt idx="0">
                  <c:v>Info Gathering Complete</c:v>
                </c:pt>
                <c:pt idx="1">
                  <c:v>Info Gathering Not Complete</c:v>
                </c:pt>
              </c:strCache>
            </c:strRef>
          </c:cat>
          <c:val>
            <c:numRef>
              <c:f>'NeT PR View'!$C$98:$C$99</c:f>
              <c:numCache>
                <c:formatCode>#,##0</c:formatCode>
                <c:ptCount val="2"/>
                <c:pt idx="0">
                  <c:v>160</c:v>
                </c:pt>
                <c:pt idx="1">
                  <c:v>0</c:v>
                </c:pt>
              </c:numCache>
            </c:numRef>
          </c:val>
          <c:extLst>
            <c:ext xmlns:c16="http://schemas.microsoft.com/office/drawing/2014/chart" uri="{C3380CC4-5D6E-409C-BE32-E72D297353CC}">
              <c16:uniqueId val="{00000009-97F2-4D4C-B84D-1BCA362C2D67}"/>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NeT Program Report Deployment</a:t>
            </a:r>
          </a:p>
          <a:p>
            <a:pPr>
              <a:defRPr b="1"/>
            </a:pPr>
            <a:r>
              <a:rPr lang="en-US" b="1"/>
              <a:t>Number of Program</a:t>
            </a:r>
            <a:r>
              <a:rPr lang="en-US" b="1" baseline="0"/>
              <a:t> Reports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'NeT PR View'!$C$80</c:f>
              <c:strCache>
                <c:ptCount val="1"/>
                <c:pt idx="0">
                  <c:v>Number of Program Reports Using NeT - 
NeT Deployment Complete</c:v>
                </c:pt>
              </c:strCache>
            </c:strRef>
          </c:tx>
          <c:spPr>
            <a:solidFill>
              <a:srgbClr val="ED7D31"/>
            </a:solidFill>
            <a:ln>
              <a:noFill/>
            </a:ln>
            <a:effectLst/>
          </c:spPr>
          <c:invertIfNegative val="0"/>
          <c:cat>
            <c:strRef>
              <c:f>'NeT PR View'!$B$81:$B$87</c:f>
              <c:strCache>
                <c:ptCount val="7"/>
                <c:pt idx="0">
                  <c:v>Biosolids Annual Report - Part 503</c:v>
                </c:pt>
                <c:pt idx="1">
                  <c:v>CAFO Annual Report - Part 122</c:v>
                </c:pt>
                <c:pt idx="2">
                  <c:v>MS4 Program Report - Part 122</c:v>
                </c:pt>
                <c:pt idx="3">
                  <c:v>Pretreatment Program Report - Part 403</c:v>
                </c:pt>
                <c:pt idx="4">
                  <c:v>SIU and CIU Semi-Annual Report - Part 403</c:v>
                </c:pt>
                <c:pt idx="5">
                  <c:v>Sewer Over and Bypass Event Report - Part 122</c:v>
                </c:pt>
                <c:pt idx="6">
                  <c:v>316(b) Annual Report - Part 122</c:v>
                </c:pt>
              </c:strCache>
            </c:strRef>
          </c:cat>
          <c:val>
            <c:numRef>
              <c:f>'NeT PR View'!$C$81:$C$87</c:f>
              <c:numCache>
                <c:formatCode>#,##0</c:formatCode>
                <c:ptCount val="7"/>
                <c:pt idx="0">
                  <c:v>54</c:v>
                </c:pt>
                <c:pt idx="1">
                  <c:v>0</c:v>
                </c:pt>
                <c:pt idx="2">
                  <c:v>3</c:v>
                </c:pt>
                <c:pt idx="3">
                  <c:v>22</c:v>
                </c:pt>
                <c:pt idx="4">
                  <c:v>0</c:v>
                </c:pt>
                <c:pt idx="5">
                  <c:v>21</c:v>
                </c:pt>
                <c:pt idx="6">
                  <c:v>0</c:v>
                </c:pt>
              </c:numCache>
            </c:numRef>
          </c:val>
          <c:extLst>
            <c:ext xmlns:c16="http://schemas.microsoft.com/office/drawing/2014/chart" uri="{C3380CC4-5D6E-409C-BE32-E72D297353CC}">
              <c16:uniqueId val="{00000000-1906-4850-BB88-1ACC2BE5A863}"/>
            </c:ext>
          </c:extLst>
        </c:ser>
        <c:ser>
          <c:idx val="1"/>
          <c:order val="1"/>
          <c:tx>
            <c:strRef>
              <c:f>'NeT PR View'!$D$80</c:f>
              <c:strCache>
                <c:ptCount val="1"/>
                <c:pt idx="0">
                  <c:v>Number of Program Reports Using NeT - 
NeT Deployment Not Complete</c:v>
                </c:pt>
              </c:strCache>
            </c:strRef>
          </c:tx>
          <c:spPr>
            <a:solidFill>
              <a:srgbClr val="4472C4"/>
            </a:solidFill>
            <a:ln>
              <a:noFill/>
            </a:ln>
            <a:effectLst/>
          </c:spPr>
          <c:invertIfNegative val="0"/>
          <c:cat>
            <c:strRef>
              <c:f>'NeT PR View'!$B$81:$B$87</c:f>
              <c:strCache>
                <c:ptCount val="7"/>
                <c:pt idx="0">
                  <c:v>Biosolids Annual Report - Part 503</c:v>
                </c:pt>
                <c:pt idx="1">
                  <c:v>CAFO Annual Report - Part 122</c:v>
                </c:pt>
                <c:pt idx="2">
                  <c:v>MS4 Program Report - Part 122</c:v>
                </c:pt>
                <c:pt idx="3">
                  <c:v>Pretreatment Program Report - Part 403</c:v>
                </c:pt>
                <c:pt idx="4">
                  <c:v>SIU and CIU Semi-Annual Report - Part 403</c:v>
                </c:pt>
                <c:pt idx="5">
                  <c:v>Sewer Over and Bypass Event Report - Part 122</c:v>
                </c:pt>
                <c:pt idx="6">
                  <c:v>316(b) Annual Report - Part 122</c:v>
                </c:pt>
              </c:strCache>
            </c:strRef>
          </c:cat>
          <c:val>
            <c:numRef>
              <c:f>'NeT PR View'!$D$81:$D$87</c:f>
              <c:numCache>
                <c:formatCode>#,##0</c:formatCode>
                <c:ptCount val="7"/>
                <c:pt idx="0">
                  <c:v>0</c:v>
                </c:pt>
                <c:pt idx="1">
                  <c:v>12</c:v>
                </c:pt>
                <c:pt idx="2">
                  <c:v>16</c:v>
                </c:pt>
                <c:pt idx="3">
                  <c:v>0</c:v>
                </c:pt>
                <c:pt idx="4">
                  <c:v>21</c:v>
                </c:pt>
                <c:pt idx="5">
                  <c:v>0</c:v>
                </c:pt>
                <c:pt idx="6">
                  <c:v>11</c:v>
                </c:pt>
              </c:numCache>
            </c:numRef>
          </c:val>
          <c:extLst>
            <c:ext xmlns:c16="http://schemas.microsoft.com/office/drawing/2014/chart" uri="{C3380CC4-5D6E-409C-BE32-E72D297353CC}">
              <c16:uniqueId val="{00000001-1906-4850-BB88-1ACC2BE5A863}"/>
            </c:ext>
          </c:extLst>
        </c:ser>
        <c:dLbls>
          <c:showLegendKey val="0"/>
          <c:showVal val="0"/>
          <c:showCatName val="0"/>
          <c:showSerName val="0"/>
          <c:showPercent val="0"/>
          <c:showBubbleSize val="0"/>
        </c:dLbls>
        <c:gapWidth val="150"/>
        <c:overlap val="100"/>
        <c:axId val="505840384"/>
        <c:axId val="505840712"/>
      </c:barChart>
      <c:catAx>
        <c:axId val="50584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840712"/>
        <c:crosses val="autoZero"/>
        <c:auto val="1"/>
        <c:lblAlgn val="ctr"/>
        <c:lblOffset val="100"/>
        <c:noMultiLvlLbl val="0"/>
      </c:catAx>
      <c:valAx>
        <c:axId val="505840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84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NeT Program Report Deployment</a:t>
            </a:r>
            <a:endParaRPr lang="en-US" sz="1400">
              <a:effectLst/>
            </a:endParaRPr>
          </a:p>
          <a:p>
            <a:pPr>
              <a:defRPr/>
            </a:pPr>
            <a:r>
              <a:rPr lang="en-US" sz="1400" b="1" i="0" baseline="0">
                <a:effectLst/>
              </a:rPr>
              <a:t>Number of Program Report Filers</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'NeT PR View'!$E$80</c:f>
              <c:strCache>
                <c:ptCount val="1"/>
                <c:pt idx="0">
                  <c:v>Number of NeT Program Reports Filers - 
NeT Deployment Complete</c:v>
                </c:pt>
              </c:strCache>
            </c:strRef>
          </c:tx>
          <c:spPr>
            <a:solidFill>
              <a:srgbClr val="ED7D31"/>
            </a:solidFill>
            <a:ln>
              <a:noFill/>
            </a:ln>
            <a:effectLst/>
          </c:spPr>
          <c:invertIfNegative val="0"/>
          <c:cat>
            <c:strRef>
              <c:f>'NeT PR View'!$B$81:$B$87</c:f>
              <c:strCache>
                <c:ptCount val="7"/>
                <c:pt idx="0">
                  <c:v>Biosolids Annual Report - Part 503</c:v>
                </c:pt>
                <c:pt idx="1">
                  <c:v>CAFO Annual Report - Part 122</c:v>
                </c:pt>
                <c:pt idx="2">
                  <c:v>MS4 Program Report - Part 122</c:v>
                </c:pt>
                <c:pt idx="3">
                  <c:v>Pretreatment Program Report - Part 403</c:v>
                </c:pt>
                <c:pt idx="4">
                  <c:v>SIU and CIU Semi-Annual Report - Part 403</c:v>
                </c:pt>
                <c:pt idx="5">
                  <c:v>Sewer Over and Bypass Event Report - Part 122</c:v>
                </c:pt>
                <c:pt idx="6">
                  <c:v>316(b) Annual Report - Part 122</c:v>
                </c:pt>
              </c:strCache>
            </c:strRef>
          </c:cat>
          <c:val>
            <c:numRef>
              <c:f>'NeT PR View'!$E$81:$E$87</c:f>
              <c:numCache>
                <c:formatCode>#,##0</c:formatCode>
                <c:ptCount val="7"/>
                <c:pt idx="0">
                  <c:v>4477</c:v>
                </c:pt>
                <c:pt idx="1">
                  <c:v>0</c:v>
                </c:pt>
                <c:pt idx="2">
                  <c:v>660</c:v>
                </c:pt>
                <c:pt idx="3">
                  <c:v>556</c:v>
                </c:pt>
                <c:pt idx="4">
                  <c:v>0</c:v>
                </c:pt>
                <c:pt idx="5">
                  <c:v>6806</c:v>
                </c:pt>
                <c:pt idx="6">
                  <c:v>0</c:v>
                </c:pt>
              </c:numCache>
            </c:numRef>
          </c:val>
          <c:extLst>
            <c:ext xmlns:c16="http://schemas.microsoft.com/office/drawing/2014/chart" uri="{C3380CC4-5D6E-409C-BE32-E72D297353CC}">
              <c16:uniqueId val="{00000000-9A2E-4509-851A-4FA82DFA0C4E}"/>
            </c:ext>
          </c:extLst>
        </c:ser>
        <c:ser>
          <c:idx val="1"/>
          <c:order val="1"/>
          <c:tx>
            <c:strRef>
              <c:f>'NeT PR View'!$F$80</c:f>
              <c:strCache>
                <c:ptCount val="1"/>
                <c:pt idx="0">
                  <c:v>Number of NeT Program Reports Filers - 
NeT Deployment Not Complete</c:v>
                </c:pt>
              </c:strCache>
            </c:strRef>
          </c:tx>
          <c:spPr>
            <a:solidFill>
              <a:srgbClr val="4472C4"/>
            </a:solidFill>
            <a:ln>
              <a:noFill/>
            </a:ln>
            <a:effectLst/>
          </c:spPr>
          <c:invertIfNegative val="0"/>
          <c:cat>
            <c:strRef>
              <c:f>'NeT PR View'!$B$81:$B$87</c:f>
              <c:strCache>
                <c:ptCount val="7"/>
                <c:pt idx="0">
                  <c:v>Biosolids Annual Report - Part 503</c:v>
                </c:pt>
                <c:pt idx="1">
                  <c:v>CAFO Annual Report - Part 122</c:v>
                </c:pt>
                <c:pt idx="2">
                  <c:v>MS4 Program Report - Part 122</c:v>
                </c:pt>
                <c:pt idx="3">
                  <c:v>Pretreatment Program Report - Part 403</c:v>
                </c:pt>
                <c:pt idx="4">
                  <c:v>SIU and CIU Semi-Annual Report - Part 403</c:v>
                </c:pt>
                <c:pt idx="5">
                  <c:v>Sewer Over and Bypass Event Report - Part 122</c:v>
                </c:pt>
                <c:pt idx="6">
                  <c:v>316(b) Annual Report - Part 122</c:v>
                </c:pt>
              </c:strCache>
            </c:strRef>
          </c:cat>
          <c:val>
            <c:numRef>
              <c:f>'NeT PR View'!$F$81:$F$87</c:f>
              <c:numCache>
                <c:formatCode>#,##0</c:formatCode>
                <c:ptCount val="7"/>
                <c:pt idx="0">
                  <c:v>0</c:v>
                </c:pt>
                <c:pt idx="1">
                  <c:v>1553</c:v>
                </c:pt>
                <c:pt idx="2">
                  <c:v>1380</c:v>
                </c:pt>
                <c:pt idx="3">
                  <c:v>0</c:v>
                </c:pt>
                <c:pt idx="4">
                  <c:v>1155</c:v>
                </c:pt>
                <c:pt idx="5">
                  <c:v>0</c:v>
                </c:pt>
                <c:pt idx="6">
                  <c:v>74</c:v>
                </c:pt>
              </c:numCache>
            </c:numRef>
          </c:val>
          <c:extLst>
            <c:ext xmlns:c16="http://schemas.microsoft.com/office/drawing/2014/chart" uri="{C3380CC4-5D6E-409C-BE32-E72D297353CC}">
              <c16:uniqueId val="{00000001-9A2E-4509-851A-4FA82DFA0C4E}"/>
            </c:ext>
          </c:extLst>
        </c:ser>
        <c:dLbls>
          <c:showLegendKey val="0"/>
          <c:showVal val="0"/>
          <c:showCatName val="0"/>
          <c:showSerName val="0"/>
          <c:showPercent val="0"/>
          <c:showBubbleSize val="0"/>
        </c:dLbls>
        <c:gapWidth val="150"/>
        <c:overlap val="100"/>
        <c:axId val="679185560"/>
        <c:axId val="679181952"/>
      </c:barChart>
      <c:catAx>
        <c:axId val="679185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181952"/>
        <c:crosses val="autoZero"/>
        <c:auto val="1"/>
        <c:lblAlgn val="ctr"/>
        <c:lblOffset val="100"/>
        <c:noMultiLvlLbl val="0"/>
      </c:catAx>
      <c:valAx>
        <c:axId val="679181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185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NeT Proxy Cards - Program</a:t>
            </a:r>
            <a:r>
              <a:rPr lang="en-US" baseline="0"/>
              <a:t> Reports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'NeT PR View'!$E$103</c:f>
              <c:strCache>
                <c:ptCount val="1"/>
                <c:pt idx="0">
                  <c:v>Number of NeT Program Report Proxy Cards</c:v>
                </c:pt>
              </c:strCache>
            </c:strRef>
          </c:tx>
          <c:spPr>
            <a:solidFill>
              <a:schemeClr val="accent2"/>
            </a:solidFill>
          </c:spPr>
          <c:dPt>
            <c:idx val="0"/>
            <c:bubble3D val="0"/>
            <c:spPr>
              <a:solidFill>
                <a:schemeClr val="accent2"/>
              </a:solidFill>
              <a:ln w="19050">
                <a:solidFill>
                  <a:srgbClr val="ED7D31"/>
                </a:solidFill>
              </a:ln>
              <a:effectLst/>
            </c:spPr>
            <c:extLst>
              <c:ext xmlns:c16="http://schemas.microsoft.com/office/drawing/2014/chart" uri="{C3380CC4-5D6E-409C-BE32-E72D297353CC}">
                <c16:uniqueId val="{00000001-464C-448A-B550-CFB25D5CB056}"/>
              </c:ext>
            </c:extLst>
          </c:dPt>
          <c:dPt>
            <c:idx val="1"/>
            <c:bubble3D val="0"/>
            <c:spPr>
              <a:solidFill>
                <a:schemeClr val="accent1"/>
              </a:solidFill>
              <a:ln w="19050">
                <a:solidFill>
                  <a:srgbClr val="4472C4"/>
                </a:solidFill>
              </a:ln>
              <a:effectLst/>
            </c:spPr>
            <c:extLst>
              <c:ext xmlns:c16="http://schemas.microsoft.com/office/drawing/2014/chart" uri="{C3380CC4-5D6E-409C-BE32-E72D297353CC}">
                <c16:uniqueId val="{00000003-464C-448A-B550-CFB25D5CB056}"/>
              </c:ext>
            </c:extLst>
          </c:dPt>
          <c:dLbls>
            <c:dLbl>
              <c:idx val="0"/>
              <c:layout>
                <c:manualLayout>
                  <c:x val="0.10321524589864112"/>
                  <c:y val="-1.4956988621013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4C-448A-B550-CFB25D5CB056}"/>
                </c:ext>
              </c:extLst>
            </c:dLbl>
            <c:dLbl>
              <c:idx val="1"/>
              <c:layout>
                <c:manualLayout>
                  <c:x val="-0.13593025624466695"/>
                  <c:y val="-6.004876191529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4C-448A-B550-CFB25D5CB05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PR View'!$B$104:$B$105</c:f>
              <c:strCache>
                <c:ptCount val="2"/>
                <c:pt idx="0">
                  <c:v>NeT Deployed</c:v>
                </c:pt>
                <c:pt idx="1">
                  <c:v>NeT Not Deployed</c:v>
                </c:pt>
              </c:strCache>
            </c:strRef>
          </c:cat>
          <c:val>
            <c:numRef>
              <c:f>'NeT PR View'!$E$104:$E$105</c:f>
              <c:numCache>
                <c:formatCode>#,##0_);\(#,##0\)</c:formatCode>
                <c:ptCount val="2"/>
                <c:pt idx="0">
                  <c:v>28</c:v>
                </c:pt>
                <c:pt idx="1">
                  <c:v>37</c:v>
                </c:pt>
              </c:numCache>
            </c:numRef>
          </c:val>
          <c:extLst>
            <c:ext xmlns:c16="http://schemas.microsoft.com/office/drawing/2014/chart" uri="{C3380CC4-5D6E-409C-BE32-E72D297353CC}">
              <c16:uniqueId val="{00000004-464C-448A-B550-CFB25D5CB05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General Permits</a:t>
            </a:r>
            <a:r>
              <a:rPr lang="en-US" baseline="0"/>
              <a:t> by Deployment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'NeT GP Proxy Cards'!$A$113</c:f>
              <c:strCache>
                <c:ptCount val="1"/>
                <c:pt idx="0">
                  <c:v>EPA</c:v>
                </c:pt>
              </c:strCache>
            </c:strRef>
          </c:tx>
          <c:dPt>
            <c:idx val="0"/>
            <c:bubble3D val="0"/>
            <c:spPr>
              <a:solidFill>
                <a:srgbClr val="228833"/>
              </a:solidFill>
              <a:ln w="19050">
                <a:solidFill>
                  <a:schemeClr val="lt1"/>
                </a:solidFill>
              </a:ln>
              <a:effectLst/>
            </c:spPr>
            <c:extLst>
              <c:ext xmlns:c16="http://schemas.microsoft.com/office/drawing/2014/chart" uri="{C3380CC4-5D6E-409C-BE32-E72D297353CC}">
                <c16:uniqueId val="{0000000A-1061-4121-8E5B-8D39477EAE63}"/>
              </c:ext>
            </c:extLst>
          </c:dPt>
          <c:dPt>
            <c:idx val="1"/>
            <c:bubble3D val="0"/>
            <c:spPr>
              <a:solidFill>
                <a:srgbClr val="CBC063"/>
              </a:solidFill>
              <a:ln w="19050">
                <a:solidFill>
                  <a:schemeClr val="lt1"/>
                </a:solidFill>
              </a:ln>
              <a:effectLst/>
            </c:spPr>
            <c:extLst>
              <c:ext xmlns:c16="http://schemas.microsoft.com/office/drawing/2014/chart" uri="{C3380CC4-5D6E-409C-BE32-E72D297353CC}">
                <c16:uniqueId val="{00000008-1061-4121-8E5B-8D39477EAE63}"/>
              </c:ext>
            </c:extLst>
          </c:dPt>
          <c:dPt>
            <c:idx val="2"/>
            <c:bubble3D val="0"/>
            <c:spPr>
              <a:solidFill>
                <a:srgbClr val="FF7F00"/>
              </a:solidFill>
              <a:ln w="19050">
                <a:solidFill>
                  <a:schemeClr val="lt1"/>
                </a:solidFill>
              </a:ln>
              <a:effectLst/>
            </c:spPr>
            <c:extLst>
              <c:ext xmlns:c16="http://schemas.microsoft.com/office/drawing/2014/chart" uri="{C3380CC4-5D6E-409C-BE32-E72D297353CC}">
                <c16:uniqueId val="{00000007-1061-4121-8E5B-8D39477EAE63}"/>
              </c:ext>
            </c:extLst>
          </c:dPt>
          <c:dPt>
            <c:idx val="3"/>
            <c:bubble3D val="0"/>
            <c:spPr>
              <a:solidFill>
                <a:srgbClr val="AA3377"/>
              </a:solidFill>
              <a:ln w="19050">
                <a:solidFill>
                  <a:schemeClr val="lt1"/>
                </a:solidFill>
              </a:ln>
              <a:effectLst/>
            </c:spPr>
            <c:extLst>
              <c:ext xmlns:c16="http://schemas.microsoft.com/office/drawing/2014/chart" uri="{C3380CC4-5D6E-409C-BE32-E72D297353CC}">
                <c16:uniqueId val="{00000009-1061-4121-8E5B-8D39477EAE63}"/>
              </c:ext>
            </c:extLst>
          </c:dPt>
          <c:dLbls>
            <c:dLbl>
              <c:idx val="0"/>
              <c:layout>
                <c:manualLayout>
                  <c:x val="-4.7598060819744444E-2"/>
                  <c:y val="-8.3005357372658448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061-4121-8E5B-8D39477EAE63}"/>
                </c:ext>
              </c:extLst>
            </c:dLbl>
            <c:dLbl>
              <c:idx val="1"/>
              <c:layout>
                <c:manualLayout>
                  <c:x val="7.5804319083296601E-2"/>
                  <c:y val="-3.434704443006556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061-4121-8E5B-8D39477EAE63}"/>
                </c:ext>
              </c:extLst>
            </c:dLbl>
            <c:dLbl>
              <c:idx val="2"/>
              <c:layout>
                <c:manualLayout>
                  <c:x val="7.227853680035258E-2"/>
                  <c:y val="3.720929813257097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1061-4121-8E5B-8D39477EAE63}"/>
                </c:ext>
              </c:extLst>
            </c:dLbl>
            <c:dLbl>
              <c:idx val="3"/>
              <c:layout>
                <c:manualLayout>
                  <c:x val="8.9907448215072724E-2"/>
                  <c:y val="4.2933805537581957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1061-4121-8E5B-8D39477EAE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Proxy Cards'!$B$112:$E$112</c:f>
              <c:strCache>
                <c:ptCount val="4"/>
                <c:pt idx="0">
                  <c:v>Number of NeT General Permits - NeT Application Deployed</c:v>
                </c:pt>
                <c:pt idx="1">
                  <c:v>Number of NeT General Permits - NeT Application Pending</c:v>
                </c:pt>
                <c:pt idx="2">
                  <c:v>Number of NeT General Permits - NeT Application on Hold</c:v>
                </c:pt>
                <c:pt idx="3">
                  <c:v>Number of NeT General Permits - NeT Application Not Deployed</c:v>
                </c:pt>
              </c:strCache>
            </c:strRef>
          </c:cat>
          <c:val>
            <c:numRef>
              <c:f>'NeT GP Proxy Cards'!$B$113:$E$113</c:f>
              <c:numCache>
                <c:formatCode>#,##0</c:formatCode>
                <c:ptCount val="4"/>
                <c:pt idx="0">
                  <c:v>160</c:v>
                </c:pt>
                <c:pt idx="1">
                  <c:v>14</c:v>
                </c:pt>
                <c:pt idx="2" formatCode="General">
                  <c:v>12</c:v>
                </c:pt>
                <c:pt idx="3" formatCode="General">
                  <c:v>12</c:v>
                </c:pt>
              </c:numCache>
            </c:numRef>
          </c:val>
          <c:extLst>
            <c:ext xmlns:c16="http://schemas.microsoft.com/office/drawing/2014/chart" uri="{C3380CC4-5D6E-409C-BE32-E72D297353CC}">
              <c16:uniqueId val="{00000000-1061-4121-8E5B-8D39477EAE63}"/>
            </c:ext>
          </c:extLst>
        </c:ser>
        <c:ser>
          <c:idx val="1"/>
          <c:order val="1"/>
          <c:tx>
            <c:strRef>
              <c:f>'NeT GP Proxy Cards'!$A$114</c:f>
              <c:strCache>
                <c:ptCount val="1"/>
                <c:pt idx="0">
                  <c:v>State</c:v>
                </c:pt>
              </c:strCache>
            </c:strRef>
          </c:tx>
          <c:dPt>
            <c:idx val="0"/>
            <c:bubble3D val="0"/>
            <c:spPr>
              <a:solidFill>
                <a:srgbClr val="228833"/>
              </a:solidFill>
              <a:ln w="19050">
                <a:solidFill>
                  <a:schemeClr val="lt1"/>
                </a:solidFill>
              </a:ln>
              <a:effectLst/>
            </c:spPr>
            <c:extLst>
              <c:ext xmlns:c16="http://schemas.microsoft.com/office/drawing/2014/chart" uri="{C3380CC4-5D6E-409C-BE32-E72D297353CC}">
                <c16:uniqueId val="{00000005-1061-4121-8E5B-8D39477EAE63}"/>
              </c:ext>
            </c:extLst>
          </c:dPt>
          <c:dPt>
            <c:idx val="1"/>
            <c:bubble3D val="0"/>
            <c:spPr>
              <a:solidFill>
                <a:srgbClr val="CBC063"/>
              </a:solidFill>
              <a:ln w="19050">
                <a:solidFill>
                  <a:schemeClr val="lt1"/>
                </a:solidFill>
              </a:ln>
              <a:effectLst/>
            </c:spPr>
            <c:extLst>
              <c:ext xmlns:c16="http://schemas.microsoft.com/office/drawing/2014/chart" uri="{C3380CC4-5D6E-409C-BE32-E72D297353CC}">
                <c16:uniqueId val="{00000004-1061-4121-8E5B-8D39477EAE63}"/>
              </c:ext>
            </c:extLst>
          </c:dPt>
          <c:dPt>
            <c:idx val="2"/>
            <c:bubble3D val="0"/>
            <c:spPr>
              <a:solidFill>
                <a:srgbClr val="FF7F00"/>
              </a:solidFill>
              <a:ln w="19050">
                <a:solidFill>
                  <a:schemeClr val="lt1"/>
                </a:solidFill>
              </a:ln>
              <a:effectLst/>
            </c:spPr>
            <c:extLst>
              <c:ext xmlns:c16="http://schemas.microsoft.com/office/drawing/2014/chart" uri="{C3380CC4-5D6E-409C-BE32-E72D297353CC}">
                <c16:uniqueId val="{00000003-1061-4121-8E5B-8D39477EAE63}"/>
              </c:ext>
            </c:extLst>
          </c:dPt>
          <c:dPt>
            <c:idx val="3"/>
            <c:bubble3D val="0"/>
            <c:spPr>
              <a:solidFill>
                <a:srgbClr val="AA3377"/>
              </a:solidFill>
              <a:ln w="19050">
                <a:solidFill>
                  <a:schemeClr val="lt1"/>
                </a:solidFill>
              </a:ln>
              <a:effectLst/>
            </c:spPr>
            <c:extLst>
              <c:ext xmlns:c16="http://schemas.microsoft.com/office/drawing/2014/chart" uri="{C3380CC4-5D6E-409C-BE32-E72D297353CC}">
                <c16:uniqueId val="{00000006-1061-4121-8E5B-8D39477EAE63}"/>
              </c:ext>
            </c:extLst>
          </c:dPt>
          <c:dLbls>
            <c:dLbl>
              <c:idx val="0"/>
              <c:layout>
                <c:manualLayout>
                  <c:x val="2.1154693697664168E-2"/>
                  <c:y val="-7.155634256263659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1061-4121-8E5B-8D39477EAE63}"/>
                </c:ext>
              </c:extLst>
            </c:dLbl>
            <c:dLbl>
              <c:idx val="1"/>
              <c:layout>
                <c:manualLayout>
                  <c:x val="5.1123843102688277E-2"/>
                  <c:y val="-0.1116278943977131"/>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061-4121-8E5B-8D39477EAE63}"/>
                </c:ext>
              </c:extLst>
            </c:dLbl>
            <c:dLbl>
              <c:idx val="2"/>
              <c:layout>
                <c:manualLayout>
                  <c:x val="9.5196121639488637E-2"/>
                  <c:y val="-9.7316625885185762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1061-4121-8E5B-8D39477EAE63}"/>
                </c:ext>
              </c:extLst>
            </c:dLbl>
            <c:dLbl>
              <c:idx val="3"/>
              <c:layout>
                <c:manualLayout>
                  <c:x val="-0.10577346848832085"/>
                  <c:y val="3.720929813257112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61-4121-8E5B-8D39477EAE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Proxy Cards'!$B$112:$E$112</c:f>
              <c:strCache>
                <c:ptCount val="4"/>
                <c:pt idx="0">
                  <c:v>Number of NeT General Permits - NeT Application Deployed</c:v>
                </c:pt>
                <c:pt idx="1">
                  <c:v>Number of NeT General Permits - NeT Application Pending</c:v>
                </c:pt>
                <c:pt idx="2">
                  <c:v>Number of NeT General Permits - NeT Application on Hold</c:v>
                </c:pt>
                <c:pt idx="3">
                  <c:v>Number of NeT General Permits - NeT Application Not Deployed</c:v>
                </c:pt>
              </c:strCache>
            </c:strRef>
          </c:cat>
          <c:val>
            <c:numRef>
              <c:f>'NeT GP Proxy Cards'!$B$114:$E$114</c:f>
              <c:numCache>
                <c:formatCode>#,##0</c:formatCode>
                <c:ptCount val="4"/>
                <c:pt idx="0">
                  <c:v>16</c:v>
                </c:pt>
                <c:pt idx="1">
                  <c:v>5</c:v>
                </c:pt>
                <c:pt idx="2" formatCode="General">
                  <c:v>14</c:v>
                </c:pt>
                <c:pt idx="3" formatCode="General">
                  <c:v>58</c:v>
                </c:pt>
              </c:numCache>
            </c:numRef>
          </c:val>
          <c:extLst>
            <c:ext xmlns:c16="http://schemas.microsoft.com/office/drawing/2014/chart" uri="{C3380CC4-5D6E-409C-BE32-E72D297353CC}">
              <c16:uniqueId val="{00000001-1061-4121-8E5B-8D39477EAE63}"/>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General Permit Filers</a:t>
            </a:r>
            <a:r>
              <a:rPr lang="en-US" baseline="0"/>
              <a:t> by Deployment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'NeT GP Proxy Cards'!$A$120</c:f>
              <c:strCache>
                <c:ptCount val="1"/>
                <c:pt idx="0">
                  <c:v>EPA</c:v>
                </c:pt>
              </c:strCache>
            </c:strRef>
          </c:tx>
          <c:dPt>
            <c:idx val="0"/>
            <c:bubble3D val="0"/>
            <c:spPr>
              <a:solidFill>
                <a:srgbClr val="228833"/>
              </a:solidFill>
              <a:ln w="19050">
                <a:solidFill>
                  <a:schemeClr val="lt1"/>
                </a:solidFill>
              </a:ln>
              <a:effectLst/>
            </c:spPr>
            <c:extLst>
              <c:ext xmlns:c16="http://schemas.microsoft.com/office/drawing/2014/chart" uri="{C3380CC4-5D6E-409C-BE32-E72D297353CC}">
                <c16:uniqueId val="{00000001-8727-4FFF-BF76-645826B6F2D6}"/>
              </c:ext>
            </c:extLst>
          </c:dPt>
          <c:dPt>
            <c:idx val="1"/>
            <c:bubble3D val="0"/>
            <c:spPr>
              <a:solidFill>
                <a:srgbClr val="CBC063"/>
              </a:solidFill>
              <a:ln w="19050">
                <a:solidFill>
                  <a:schemeClr val="lt1"/>
                </a:solidFill>
              </a:ln>
              <a:effectLst/>
            </c:spPr>
            <c:extLst>
              <c:ext xmlns:c16="http://schemas.microsoft.com/office/drawing/2014/chart" uri="{C3380CC4-5D6E-409C-BE32-E72D297353CC}">
                <c16:uniqueId val="{00000003-8727-4FFF-BF76-645826B6F2D6}"/>
              </c:ext>
            </c:extLst>
          </c:dPt>
          <c:dPt>
            <c:idx val="2"/>
            <c:bubble3D val="0"/>
            <c:spPr>
              <a:solidFill>
                <a:srgbClr val="FF7F00"/>
              </a:solidFill>
              <a:ln w="19050">
                <a:solidFill>
                  <a:schemeClr val="lt1"/>
                </a:solidFill>
              </a:ln>
              <a:effectLst/>
            </c:spPr>
            <c:extLst>
              <c:ext xmlns:c16="http://schemas.microsoft.com/office/drawing/2014/chart" uri="{C3380CC4-5D6E-409C-BE32-E72D297353CC}">
                <c16:uniqueId val="{00000005-8727-4FFF-BF76-645826B6F2D6}"/>
              </c:ext>
            </c:extLst>
          </c:dPt>
          <c:dPt>
            <c:idx val="3"/>
            <c:bubble3D val="0"/>
            <c:spPr>
              <a:solidFill>
                <a:srgbClr val="AA3377"/>
              </a:solidFill>
              <a:ln w="19050">
                <a:solidFill>
                  <a:schemeClr val="lt1"/>
                </a:solidFill>
              </a:ln>
              <a:effectLst/>
            </c:spPr>
            <c:extLst>
              <c:ext xmlns:c16="http://schemas.microsoft.com/office/drawing/2014/chart" uri="{C3380CC4-5D6E-409C-BE32-E72D297353CC}">
                <c16:uniqueId val="{00000007-8727-4FFF-BF76-645826B6F2D6}"/>
              </c:ext>
            </c:extLst>
          </c:dPt>
          <c:dLbls>
            <c:dLbl>
              <c:idx val="0"/>
              <c:layout>
                <c:manualLayout>
                  <c:x val="-4.7598060819744444E-2"/>
                  <c:y val="-8.3005357372658448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8727-4FFF-BF76-645826B6F2D6}"/>
                </c:ext>
              </c:extLst>
            </c:dLbl>
            <c:dLbl>
              <c:idx val="1"/>
              <c:layout>
                <c:manualLayout>
                  <c:x val="8.7848741129580386E-3"/>
                  <c:y val="8.872986477766937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727-4FFF-BF76-645826B6F2D6}"/>
                </c:ext>
              </c:extLst>
            </c:dLbl>
            <c:dLbl>
              <c:idx val="2"/>
              <c:layout>
                <c:manualLayout>
                  <c:x val="-3.1777833326389823E-2"/>
                  <c:y val="0.13738817772026221"/>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8727-4FFF-BF76-645826B6F2D6}"/>
                </c:ext>
              </c:extLst>
            </c:dLbl>
            <c:dLbl>
              <c:idx val="3"/>
              <c:layout>
                <c:manualLayout>
                  <c:x val="7.5798164118374034E-2"/>
                  <c:y val="0.1001788795876911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8727-4FFF-BF76-645826B6F2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Proxy Cards'!$B$119:$E$119</c:f>
              <c:strCache>
                <c:ptCount val="4"/>
                <c:pt idx="0">
                  <c:v>Estimated Number of General Permit Covered Facilities - NeT Application Deployed</c:v>
                </c:pt>
                <c:pt idx="1">
                  <c:v>Estimated Number of General Permit Covered Facilities - NeT Application Pending</c:v>
                </c:pt>
                <c:pt idx="2">
                  <c:v>Estimated Number of General Permit Covered Facilities - NeT Application on Hold</c:v>
                </c:pt>
                <c:pt idx="3">
                  <c:v>Estimated Number of General Permit Covered Facilities - NeT Application Not Deployed</c:v>
                </c:pt>
              </c:strCache>
            </c:strRef>
          </c:cat>
          <c:val>
            <c:numRef>
              <c:f>'NeT GP Proxy Cards'!$B$120:$E$120</c:f>
              <c:numCache>
                <c:formatCode>#,##0</c:formatCode>
                <c:ptCount val="4"/>
                <c:pt idx="0">
                  <c:v>23956</c:v>
                </c:pt>
                <c:pt idx="1">
                  <c:v>409</c:v>
                </c:pt>
                <c:pt idx="2">
                  <c:v>392</c:v>
                </c:pt>
                <c:pt idx="3">
                  <c:v>3706</c:v>
                </c:pt>
              </c:numCache>
            </c:numRef>
          </c:val>
          <c:extLst>
            <c:ext xmlns:c16="http://schemas.microsoft.com/office/drawing/2014/chart" uri="{C3380CC4-5D6E-409C-BE32-E72D297353CC}">
              <c16:uniqueId val="{00000008-8727-4FFF-BF76-645826B6F2D6}"/>
            </c:ext>
          </c:extLst>
        </c:ser>
        <c:ser>
          <c:idx val="1"/>
          <c:order val="1"/>
          <c:tx>
            <c:strRef>
              <c:f>'NeT GP Proxy Cards'!$A$121</c:f>
              <c:strCache>
                <c:ptCount val="1"/>
                <c:pt idx="0">
                  <c:v>State</c:v>
                </c:pt>
              </c:strCache>
            </c:strRef>
          </c:tx>
          <c:dPt>
            <c:idx val="0"/>
            <c:bubble3D val="0"/>
            <c:spPr>
              <a:solidFill>
                <a:srgbClr val="228833"/>
              </a:solidFill>
              <a:ln w="19050">
                <a:solidFill>
                  <a:schemeClr val="lt1"/>
                </a:solidFill>
              </a:ln>
              <a:effectLst/>
            </c:spPr>
            <c:extLst>
              <c:ext xmlns:c16="http://schemas.microsoft.com/office/drawing/2014/chart" uri="{C3380CC4-5D6E-409C-BE32-E72D297353CC}">
                <c16:uniqueId val="{0000000A-8727-4FFF-BF76-645826B6F2D6}"/>
              </c:ext>
            </c:extLst>
          </c:dPt>
          <c:dPt>
            <c:idx val="1"/>
            <c:bubble3D val="0"/>
            <c:spPr>
              <a:solidFill>
                <a:srgbClr val="CBC063"/>
              </a:solidFill>
              <a:ln w="19050">
                <a:solidFill>
                  <a:schemeClr val="lt1"/>
                </a:solidFill>
              </a:ln>
              <a:effectLst/>
            </c:spPr>
            <c:extLst>
              <c:ext xmlns:c16="http://schemas.microsoft.com/office/drawing/2014/chart" uri="{C3380CC4-5D6E-409C-BE32-E72D297353CC}">
                <c16:uniqueId val="{0000000C-8727-4FFF-BF76-645826B6F2D6}"/>
              </c:ext>
            </c:extLst>
          </c:dPt>
          <c:dPt>
            <c:idx val="2"/>
            <c:bubble3D val="0"/>
            <c:spPr>
              <a:solidFill>
                <a:srgbClr val="FF7F00"/>
              </a:solidFill>
              <a:ln w="19050">
                <a:solidFill>
                  <a:schemeClr val="lt1"/>
                </a:solidFill>
              </a:ln>
              <a:effectLst/>
            </c:spPr>
            <c:extLst>
              <c:ext xmlns:c16="http://schemas.microsoft.com/office/drawing/2014/chart" uri="{C3380CC4-5D6E-409C-BE32-E72D297353CC}">
                <c16:uniqueId val="{0000000E-8727-4FFF-BF76-645826B6F2D6}"/>
              </c:ext>
            </c:extLst>
          </c:dPt>
          <c:dPt>
            <c:idx val="3"/>
            <c:bubble3D val="0"/>
            <c:spPr>
              <a:solidFill>
                <a:srgbClr val="AA3377"/>
              </a:solidFill>
              <a:ln w="19050">
                <a:solidFill>
                  <a:schemeClr val="lt1"/>
                </a:solidFill>
              </a:ln>
              <a:effectLst/>
            </c:spPr>
            <c:extLst>
              <c:ext xmlns:c16="http://schemas.microsoft.com/office/drawing/2014/chart" uri="{C3380CC4-5D6E-409C-BE32-E72D297353CC}">
                <c16:uniqueId val="{00000010-8727-4FFF-BF76-645826B6F2D6}"/>
              </c:ext>
            </c:extLst>
          </c:dPt>
          <c:dLbls>
            <c:dLbl>
              <c:idx val="0"/>
              <c:layout>
                <c:manualLayout>
                  <c:x val="5.1137080087211323E-2"/>
                  <c:y val="-0.1001788795876912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727-4FFF-BF76-645826B6F2D6}"/>
                </c:ext>
              </c:extLst>
            </c:dLbl>
            <c:dLbl>
              <c:idx val="1"/>
              <c:layout>
                <c:manualLayout>
                  <c:x val="0.12343429293560527"/>
                  <c:y val="-8.872986477766937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727-4FFF-BF76-645826B6F2D6}"/>
                </c:ext>
              </c:extLst>
            </c:dLbl>
            <c:dLbl>
              <c:idx val="2"/>
              <c:layout>
                <c:manualLayout>
                  <c:x val="0.11636017720007208"/>
                  <c:y val="-2.862253702505474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8727-4FFF-BF76-645826B6F2D6}"/>
                </c:ext>
              </c:extLst>
            </c:dLbl>
            <c:dLbl>
              <c:idx val="3"/>
              <c:layout>
                <c:manualLayout>
                  <c:x val="-0.10577346848832085"/>
                  <c:y val="3.720929813257112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8727-4FFF-BF76-645826B6F2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Proxy Cards'!$B$119:$E$119</c:f>
              <c:strCache>
                <c:ptCount val="4"/>
                <c:pt idx="0">
                  <c:v>Estimated Number of General Permit Covered Facilities - NeT Application Deployed</c:v>
                </c:pt>
                <c:pt idx="1">
                  <c:v>Estimated Number of General Permit Covered Facilities - NeT Application Pending</c:v>
                </c:pt>
                <c:pt idx="2">
                  <c:v>Estimated Number of General Permit Covered Facilities - NeT Application on Hold</c:v>
                </c:pt>
                <c:pt idx="3">
                  <c:v>Estimated Number of General Permit Covered Facilities - NeT Application Not Deployed</c:v>
                </c:pt>
              </c:strCache>
            </c:strRef>
          </c:cat>
          <c:val>
            <c:numRef>
              <c:f>'NeT GP Proxy Cards'!$B$121:$E$121</c:f>
              <c:numCache>
                <c:formatCode>#,##0</c:formatCode>
                <c:ptCount val="4"/>
                <c:pt idx="0">
                  <c:v>9404</c:v>
                </c:pt>
                <c:pt idx="1">
                  <c:v>2513</c:v>
                </c:pt>
                <c:pt idx="2">
                  <c:v>6578</c:v>
                </c:pt>
                <c:pt idx="3">
                  <c:v>8087</c:v>
                </c:pt>
              </c:numCache>
            </c:numRef>
          </c:val>
          <c:extLst>
            <c:ext xmlns:c16="http://schemas.microsoft.com/office/drawing/2014/chart" uri="{C3380CC4-5D6E-409C-BE32-E72D297353CC}">
              <c16:uniqueId val="{00000011-8727-4FFF-BF76-645826B6F2D6}"/>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General Permit Proxy Cards</a:t>
            </a:r>
            <a:r>
              <a:rPr lang="en-US" baseline="0"/>
              <a:t> by Deployment Status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'NeT GP Proxy Cards'!$A$127</c:f>
              <c:strCache>
                <c:ptCount val="1"/>
                <c:pt idx="0">
                  <c:v>EPA</c:v>
                </c:pt>
              </c:strCache>
            </c:strRef>
          </c:tx>
          <c:dPt>
            <c:idx val="0"/>
            <c:bubble3D val="0"/>
            <c:spPr>
              <a:solidFill>
                <a:srgbClr val="228833"/>
              </a:solidFill>
              <a:ln w="19050">
                <a:solidFill>
                  <a:schemeClr val="lt1"/>
                </a:solidFill>
              </a:ln>
              <a:effectLst/>
            </c:spPr>
            <c:extLst>
              <c:ext xmlns:c16="http://schemas.microsoft.com/office/drawing/2014/chart" uri="{C3380CC4-5D6E-409C-BE32-E72D297353CC}">
                <c16:uniqueId val="{00000001-6327-4D71-9F2B-33AFF5B8639B}"/>
              </c:ext>
            </c:extLst>
          </c:dPt>
          <c:dPt>
            <c:idx val="1"/>
            <c:bubble3D val="0"/>
            <c:spPr>
              <a:solidFill>
                <a:srgbClr val="CBC063"/>
              </a:solidFill>
              <a:ln w="19050">
                <a:solidFill>
                  <a:schemeClr val="lt1"/>
                </a:solidFill>
              </a:ln>
              <a:effectLst/>
            </c:spPr>
            <c:extLst>
              <c:ext xmlns:c16="http://schemas.microsoft.com/office/drawing/2014/chart" uri="{C3380CC4-5D6E-409C-BE32-E72D297353CC}">
                <c16:uniqueId val="{00000003-6327-4D71-9F2B-33AFF5B8639B}"/>
              </c:ext>
            </c:extLst>
          </c:dPt>
          <c:dPt>
            <c:idx val="2"/>
            <c:bubble3D val="0"/>
            <c:spPr>
              <a:solidFill>
                <a:srgbClr val="FF7F00"/>
              </a:solidFill>
              <a:ln w="19050">
                <a:solidFill>
                  <a:schemeClr val="lt1"/>
                </a:solidFill>
              </a:ln>
              <a:effectLst/>
            </c:spPr>
            <c:extLst>
              <c:ext xmlns:c16="http://schemas.microsoft.com/office/drawing/2014/chart" uri="{C3380CC4-5D6E-409C-BE32-E72D297353CC}">
                <c16:uniqueId val="{00000005-6327-4D71-9F2B-33AFF5B8639B}"/>
              </c:ext>
            </c:extLst>
          </c:dPt>
          <c:dPt>
            <c:idx val="3"/>
            <c:bubble3D val="0"/>
            <c:spPr>
              <a:solidFill>
                <a:srgbClr val="AA3377"/>
              </a:solidFill>
              <a:ln w="19050">
                <a:solidFill>
                  <a:schemeClr val="lt1"/>
                </a:solidFill>
              </a:ln>
              <a:effectLst/>
            </c:spPr>
            <c:extLst>
              <c:ext xmlns:c16="http://schemas.microsoft.com/office/drawing/2014/chart" uri="{C3380CC4-5D6E-409C-BE32-E72D297353CC}">
                <c16:uniqueId val="{00000007-6327-4D71-9F2B-33AFF5B8639B}"/>
              </c:ext>
            </c:extLst>
          </c:dPt>
          <c:dLbls>
            <c:dLbl>
              <c:idx val="0"/>
              <c:layout>
                <c:manualLayout>
                  <c:x val="-8.0032452822710209E-2"/>
                  <c:y val="-2.9140296477145795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27-4D71-9F2B-33AFF5B8639B}"/>
                </c:ext>
              </c:extLst>
            </c:dLbl>
            <c:dLbl>
              <c:idx val="1"/>
              <c:layout>
                <c:manualLayout>
                  <c:x val="-2.4946932667850339E-2"/>
                  <c:y val="-0.13652361537708191"/>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327-4D71-9F2B-33AFF5B8639B}"/>
                </c:ext>
              </c:extLst>
            </c:dLbl>
            <c:dLbl>
              <c:idx val="2"/>
              <c:layout>
                <c:manualLayout>
                  <c:x val="-6.161755991099787E-2"/>
                  <c:y val="-6.8278001883153486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6327-4D71-9F2B-33AFF5B8639B}"/>
                </c:ext>
              </c:extLst>
            </c:dLbl>
            <c:dLbl>
              <c:idx val="3"/>
              <c:layout>
                <c:manualLayout>
                  <c:x val="9.9150994194593736E-2"/>
                  <c:y val="4.3865446292724632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6327-4D71-9F2B-33AFF5B863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Proxy Cards'!$B$126:$E$126</c:f>
              <c:strCache>
                <c:ptCount val="4"/>
                <c:pt idx="0">
                  <c:v>Estimated Number of NeT Proxy Cards - Proxy Cards - NeT Application Deployed</c:v>
                </c:pt>
                <c:pt idx="1">
                  <c:v>Estimated Number of NeT Proxy Cards - Proxy Cards - NeT Application Pending</c:v>
                </c:pt>
                <c:pt idx="2">
                  <c:v>Estimated Number of NeT Proxy Cards - Proxy Cards - NeT Application on Hold</c:v>
                </c:pt>
                <c:pt idx="3">
                  <c:v>Estimated Number of NeT Proxy Cards - Proxy Cards - NeT Application Not Deployed</c:v>
                </c:pt>
              </c:strCache>
            </c:strRef>
          </c:cat>
          <c:val>
            <c:numRef>
              <c:f>'NeT GP Proxy Cards'!$B$127:$E$127</c:f>
              <c:numCache>
                <c:formatCode>#,##0</c:formatCode>
                <c:ptCount val="4"/>
                <c:pt idx="0">
                  <c:v>11</c:v>
                </c:pt>
                <c:pt idx="1">
                  <c:v>3</c:v>
                </c:pt>
                <c:pt idx="2" formatCode="General">
                  <c:v>6</c:v>
                </c:pt>
                <c:pt idx="3" formatCode="General">
                  <c:v>7</c:v>
                </c:pt>
              </c:numCache>
            </c:numRef>
          </c:val>
          <c:extLst>
            <c:ext xmlns:c16="http://schemas.microsoft.com/office/drawing/2014/chart" uri="{C3380CC4-5D6E-409C-BE32-E72D297353CC}">
              <c16:uniqueId val="{00000008-6327-4D71-9F2B-33AFF5B8639B}"/>
            </c:ext>
          </c:extLst>
        </c:ser>
        <c:ser>
          <c:idx val="1"/>
          <c:order val="1"/>
          <c:tx>
            <c:strRef>
              <c:f>'NeT GP Proxy Cards'!$A$128</c:f>
              <c:strCache>
                <c:ptCount val="1"/>
                <c:pt idx="0">
                  <c:v>State</c:v>
                </c:pt>
              </c:strCache>
            </c:strRef>
          </c:tx>
          <c:dPt>
            <c:idx val="0"/>
            <c:bubble3D val="0"/>
            <c:spPr>
              <a:solidFill>
                <a:srgbClr val="228833"/>
              </a:solidFill>
              <a:ln w="19050">
                <a:solidFill>
                  <a:schemeClr val="lt1"/>
                </a:solidFill>
              </a:ln>
              <a:effectLst/>
            </c:spPr>
            <c:extLst>
              <c:ext xmlns:c16="http://schemas.microsoft.com/office/drawing/2014/chart" uri="{C3380CC4-5D6E-409C-BE32-E72D297353CC}">
                <c16:uniqueId val="{0000000A-6327-4D71-9F2B-33AFF5B8639B}"/>
              </c:ext>
            </c:extLst>
          </c:dPt>
          <c:dPt>
            <c:idx val="1"/>
            <c:bubble3D val="0"/>
            <c:spPr>
              <a:solidFill>
                <a:srgbClr val="CBC063"/>
              </a:solidFill>
              <a:ln w="19050">
                <a:solidFill>
                  <a:schemeClr val="lt1"/>
                </a:solidFill>
              </a:ln>
              <a:effectLst/>
            </c:spPr>
            <c:extLst>
              <c:ext xmlns:c16="http://schemas.microsoft.com/office/drawing/2014/chart" uri="{C3380CC4-5D6E-409C-BE32-E72D297353CC}">
                <c16:uniqueId val="{0000000C-6327-4D71-9F2B-33AFF5B8639B}"/>
              </c:ext>
            </c:extLst>
          </c:dPt>
          <c:dPt>
            <c:idx val="2"/>
            <c:bubble3D val="0"/>
            <c:spPr>
              <a:solidFill>
                <a:srgbClr val="FF7F00"/>
              </a:solidFill>
              <a:ln w="19050">
                <a:solidFill>
                  <a:schemeClr val="lt1"/>
                </a:solidFill>
              </a:ln>
              <a:effectLst/>
            </c:spPr>
            <c:extLst>
              <c:ext xmlns:c16="http://schemas.microsoft.com/office/drawing/2014/chart" uri="{C3380CC4-5D6E-409C-BE32-E72D297353CC}">
                <c16:uniqueId val="{0000000E-6327-4D71-9F2B-33AFF5B8639B}"/>
              </c:ext>
            </c:extLst>
          </c:dPt>
          <c:dPt>
            <c:idx val="3"/>
            <c:bubble3D val="0"/>
            <c:spPr>
              <a:solidFill>
                <a:srgbClr val="AA3377"/>
              </a:solidFill>
              <a:ln w="19050">
                <a:solidFill>
                  <a:schemeClr val="lt1"/>
                </a:solidFill>
              </a:ln>
              <a:effectLst/>
            </c:spPr>
            <c:extLst>
              <c:ext xmlns:c16="http://schemas.microsoft.com/office/drawing/2014/chart" uri="{C3380CC4-5D6E-409C-BE32-E72D297353CC}">
                <c16:uniqueId val="{00000010-6327-4D71-9F2B-33AFF5B8639B}"/>
              </c:ext>
            </c:extLst>
          </c:dPt>
          <c:dLbls>
            <c:dLbl>
              <c:idx val="0"/>
              <c:layout>
                <c:manualLayout>
                  <c:x val="5.1137080087211323E-2"/>
                  <c:y val="-0.1001788795876912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327-4D71-9F2B-33AFF5B8639B}"/>
                </c:ext>
              </c:extLst>
            </c:dLbl>
            <c:dLbl>
              <c:idx val="1"/>
              <c:layout>
                <c:manualLayout>
                  <c:x val="0.12343429293560527"/>
                  <c:y val="-8.872986477766937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327-4D71-9F2B-33AFF5B8639B}"/>
                </c:ext>
              </c:extLst>
            </c:dLbl>
            <c:dLbl>
              <c:idx val="2"/>
              <c:layout>
                <c:manualLayout>
                  <c:x val="0.11636017720007208"/>
                  <c:y val="-2.862253702505474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327-4D71-9F2B-33AFF5B8639B}"/>
                </c:ext>
              </c:extLst>
            </c:dLbl>
            <c:dLbl>
              <c:idx val="3"/>
              <c:layout>
                <c:manualLayout>
                  <c:x val="-0.10577346848832085"/>
                  <c:y val="3.7209298132571129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6327-4D71-9F2B-33AFF5B863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GP Proxy Cards'!$B$126:$E$126</c:f>
              <c:strCache>
                <c:ptCount val="4"/>
                <c:pt idx="0">
                  <c:v>Estimated Number of NeT Proxy Cards - Proxy Cards - NeT Application Deployed</c:v>
                </c:pt>
                <c:pt idx="1">
                  <c:v>Estimated Number of NeT Proxy Cards - Proxy Cards - NeT Application Pending</c:v>
                </c:pt>
                <c:pt idx="2">
                  <c:v>Estimated Number of NeT Proxy Cards - Proxy Cards - NeT Application on Hold</c:v>
                </c:pt>
                <c:pt idx="3">
                  <c:v>Estimated Number of NeT Proxy Cards - Proxy Cards - NeT Application Not Deployed</c:v>
                </c:pt>
              </c:strCache>
            </c:strRef>
          </c:cat>
          <c:val>
            <c:numRef>
              <c:f>'NeT GP Proxy Cards'!$B$128:$E$128</c:f>
              <c:numCache>
                <c:formatCode>#,##0</c:formatCode>
                <c:ptCount val="4"/>
                <c:pt idx="0">
                  <c:v>14</c:v>
                </c:pt>
                <c:pt idx="1">
                  <c:v>5</c:v>
                </c:pt>
                <c:pt idx="2" formatCode="General">
                  <c:v>9</c:v>
                </c:pt>
                <c:pt idx="3" formatCode="General">
                  <c:v>39</c:v>
                </c:pt>
              </c:numCache>
            </c:numRef>
          </c:val>
          <c:extLst>
            <c:ext xmlns:c16="http://schemas.microsoft.com/office/drawing/2014/chart" uri="{C3380CC4-5D6E-409C-BE32-E72D297353CC}">
              <c16:uniqueId val="{00000011-6327-4D71-9F2B-33AFF5B8639B}"/>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 Type="http://schemas.openxmlformats.org/officeDocument/2006/relationships/chart" Target="../charts/chart7.xml"/><Relationship Id="rId21" Type="http://schemas.openxmlformats.org/officeDocument/2006/relationships/chart" Target="../charts/chart25.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18" Type="http://schemas.openxmlformats.org/officeDocument/2006/relationships/chart" Target="../charts/chart49.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17" Type="http://schemas.openxmlformats.org/officeDocument/2006/relationships/chart" Target="../charts/chart48.xml"/><Relationship Id="rId2" Type="http://schemas.openxmlformats.org/officeDocument/2006/relationships/chart" Target="../charts/chart33.xml"/><Relationship Id="rId16" Type="http://schemas.openxmlformats.org/officeDocument/2006/relationships/chart" Target="../charts/chart47.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5" Type="http://schemas.openxmlformats.org/officeDocument/2006/relationships/chart" Target="../charts/chart46.xml"/><Relationship Id="rId10" Type="http://schemas.openxmlformats.org/officeDocument/2006/relationships/chart" Target="../charts/chart41.xml"/><Relationship Id="rId19" Type="http://schemas.openxmlformats.org/officeDocument/2006/relationships/chart" Target="../charts/chart50.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chart" Target="../charts/chart4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8.xml"/><Relationship Id="rId3" Type="http://schemas.openxmlformats.org/officeDocument/2006/relationships/chart" Target="../charts/chart53.xml"/><Relationship Id="rId7" Type="http://schemas.openxmlformats.org/officeDocument/2006/relationships/chart" Target="../charts/chart57.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0" Type="http://schemas.openxmlformats.org/officeDocument/2006/relationships/chart" Target="../charts/chart60.xml"/><Relationship Id="rId4" Type="http://schemas.openxmlformats.org/officeDocument/2006/relationships/chart" Target="../charts/chart54.xml"/><Relationship Id="rId9" Type="http://schemas.openxmlformats.org/officeDocument/2006/relationships/chart" Target="../charts/chart5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4.xml"/><Relationship Id="rId7" Type="http://schemas.openxmlformats.org/officeDocument/2006/relationships/chart" Target="../charts/chart68.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s>
</file>

<file path=xl/drawings/drawing1.xml><?xml version="1.0" encoding="utf-8"?>
<xdr:wsDr xmlns:xdr="http://schemas.openxmlformats.org/drawingml/2006/spreadsheetDrawing" xmlns:a="http://schemas.openxmlformats.org/drawingml/2006/main">
  <xdr:twoCellAnchor>
    <xdr:from>
      <xdr:col>4</xdr:col>
      <xdr:colOff>588737</xdr:colOff>
      <xdr:row>41</xdr:row>
      <xdr:rowOff>8577</xdr:rowOff>
    </xdr:from>
    <xdr:to>
      <xdr:col>7</xdr:col>
      <xdr:colOff>278147</xdr:colOff>
      <xdr:row>62</xdr:row>
      <xdr:rowOff>136071</xdr:rowOff>
    </xdr:to>
    <xdr:graphicFrame macro="">
      <xdr:nvGraphicFramePr>
        <xdr:cNvPr id="2" name="Chart 1">
          <a:extLst>
            <a:ext uri="{FF2B5EF4-FFF2-40B4-BE49-F238E27FC236}">
              <a16:creationId xmlns:a16="http://schemas.microsoft.com/office/drawing/2014/main" id="{7F611FA1-4813-44F9-9CCF-56794F77D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495914</xdr:colOff>
      <xdr:row>40</xdr:row>
      <xdr:rowOff>187871</xdr:rowOff>
    </xdr:from>
    <xdr:to>
      <xdr:col>9</xdr:col>
      <xdr:colOff>2086922</xdr:colOff>
      <xdr:row>63</xdr:row>
      <xdr:rowOff>13608</xdr:rowOff>
    </xdr:to>
    <xdr:graphicFrame macro="">
      <xdr:nvGraphicFramePr>
        <xdr:cNvPr id="3" name="Chart 2">
          <a:extLst>
            <a:ext uri="{FF2B5EF4-FFF2-40B4-BE49-F238E27FC236}">
              <a16:creationId xmlns:a16="http://schemas.microsoft.com/office/drawing/2014/main" id="{C251DDAC-0E24-4C87-9A27-0F8D48767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582413</xdr:colOff>
      <xdr:row>64</xdr:row>
      <xdr:rowOff>17462</xdr:rowOff>
    </xdr:from>
    <xdr:to>
      <xdr:col>7</xdr:col>
      <xdr:colOff>284524</xdr:colOff>
      <xdr:row>97</xdr:row>
      <xdr:rowOff>0</xdr:rowOff>
    </xdr:to>
    <xdr:graphicFrame macro="">
      <xdr:nvGraphicFramePr>
        <xdr:cNvPr id="4" name="Chart 3">
          <a:extLst>
            <a:ext uri="{FF2B5EF4-FFF2-40B4-BE49-F238E27FC236}">
              <a16:creationId xmlns:a16="http://schemas.microsoft.com/office/drawing/2014/main" id="{8B3F8EF0-DC70-4A02-A6FF-A83A54B72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496660</xdr:colOff>
      <xdr:row>63</xdr:row>
      <xdr:rowOff>170315</xdr:rowOff>
    </xdr:from>
    <xdr:to>
      <xdr:col>9</xdr:col>
      <xdr:colOff>2097195</xdr:colOff>
      <xdr:row>96</xdr:row>
      <xdr:rowOff>122463</xdr:rowOff>
    </xdr:to>
    <xdr:graphicFrame macro="">
      <xdr:nvGraphicFramePr>
        <xdr:cNvPr id="5" name="Chart 4">
          <a:extLst>
            <a:ext uri="{FF2B5EF4-FFF2-40B4-BE49-F238E27FC236}">
              <a16:creationId xmlns:a16="http://schemas.microsoft.com/office/drawing/2014/main" id="{B4BB501A-927B-4301-9A02-BF56CE17FC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791323</xdr:colOff>
      <xdr:row>71</xdr:row>
      <xdr:rowOff>34269</xdr:rowOff>
    </xdr:from>
    <xdr:to>
      <xdr:col>14</xdr:col>
      <xdr:colOff>809999</xdr:colOff>
      <xdr:row>86</xdr:row>
      <xdr:rowOff>6349</xdr:rowOff>
    </xdr:to>
    <xdr:graphicFrame macro="">
      <xdr:nvGraphicFramePr>
        <xdr:cNvPr id="5" name="Chart 4">
          <a:extLst>
            <a:ext uri="{FF2B5EF4-FFF2-40B4-BE49-F238E27FC236}">
              <a16:creationId xmlns:a16="http://schemas.microsoft.com/office/drawing/2014/main" id="{2DAFD975-FD09-4825-AF57-7D722E4950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812050</xdr:colOff>
      <xdr:row>90</xdr:row>
      <xdr:rowOff>10924</xdr:rowOff>
    </xdr:from>
    <xdr:to>
      <xdr:col>14</xdr:col>
      <xdr:colOff>787586</xdr:colOff>
      <xdr:row>103</xdr:row>
      <xdr:rowOff>168089</xdr:rowOff>
    </xdr:to>
    <xdr:graphicFrame macro="">
      <xdr:nvGraphicFramePr>
        <xdr:cNvPr id="6" name="Chart 5">
          <a:extLst>
            <a:ext uri="{FF2B5EF4-FFF2-40B4-BE49-F238E27FC236}">
              <a16:creationId xmlns:a16="http://schemas.microsoft.com/office/drawing/2014/main" id="{43D946A9-4E83-48DC-A3FC-5263CB1763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294526</xdr:colOff>
      <xdr:row>71</xdr:row>
      <xdr:rowOff>39968</xdr:rowOff>
    </xdr:from>
    <xdr:to>
      <xdr:col>21</xdr:col>
      <xdr:colOff>58642</xdr:colOff>
      <xdr:row>85</xdr:row>
      <xdr:rowOff>176119</xdr:rowOff>
    </xdr:to>
    <xdr:graphicFrame macro="">
      <xdr:nvGraphicFramePr>
        <xdr:cNvPr id="4" name="Chart 3">
          <a:extLst>
            <a:ext uri="{FF2B5EF4-FFF2-40B4-BE49-F238E27FC236}">
              <a16:creationId xmlns:a16="http://schemas.microsoft.com/office/drawing/2014/main" id="{4808C10B-4EAC-4E41-B355-C276593085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313765</xdr:colOff>
      <xdr:row>90</xdr:row>
      <xdr:rowOff>11205</xdr:rowOff>
    </xdr:from>
    <xdr:to>
      <xdr:col>21</xdr:col>
      <xdr:colOff>31565</xdr:colOff>
      <xdr:row>104</xdr:row>
      <xdr:rowOff>8125</xdr:rowOff>
    </xdr:to>
    <xdr:graphicFrame macro="">
      <xdr:nvGraphicFramePr>
        <xdr:cNvPr id="7" name="Chart 6">
          <a:extLst>
            <a:ext uri="{FF2B5EF4-FFF2-40B4-BE49-F238E27FC236}">
              <a16:creationId xmlns:a16="http://schemas.microsoft.com/office/drawing/2014/main" id="{42AAFE0F-6DAE-41D9-8E36-A1799E8B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736413</xdr:colOff>
      <xdr:row>71</xdr:row>
      <xdr:rowOff>22411</xdr:rowOff>
    </xdr:from>
    <xdr:to>
      <xdr:col>11</xdr:col>
      <xdr:colOff>505946</xdr:colOff>
      <xdr:row>86</xdr:row>
      <xdr:rowOff>0</xdr:rowOff>
    </xdr:to>
    <xdr:graphicFrame macro="">
      <xdr:nvGraphicFramePr>
        <xdr:cNvPr id="2" name="Chart 1">
          <a:extLst>
            <a:ext uri="{FF2B5EF4-FFF2-40B4-BE49-F238E27FC236}">
              <a16:creationId xmlns:a16="http://schemas.microsoft.com/office/drawing/2014/main" id="{A2BC646E-CA1C-4C98-AB3F-05828C9B6B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732303</xdr:colOff>
      <xdr:row>90</xdr:row>
      <xdr:rowOff>31562</xdr:rowOff>
    </xdr:from>
    <xdr:to>
      <xdr:col>11</xdr:col>
      <xdr:colOff>523501</xdr:colOff>
      <xdr:row>107</xdr:row>
      <xdr:rowOff>11206</xdr:rowOff>
    </xdr:to>
    <xdr:graphicFrame macro="">
      <xdr:nvGraphicFramePr>
        <xdr:cNvPr id="3" name="Chart 2">
          <a:extLst>
            <a:ext uri="{FF2B5EF4-FFF2-40B4-BE49-F238E27FC236}">
              <a16:creationId xmlns:a16="http://schemas.microsoft.com/office/drawing/2014/main" id="{37079879-0457-4B25-B5C6-D4A2B7023B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722778</xdr:colOff>
      <xdr:row>127</xdr:row>
      <xdr:rowOff>161177</xdr:rowOff>
    </xdr:from>
    <xdr:to>
      <xdr:col>11</xdr:col>
      <xdr:colOff>541057</xdr:colOff>
      <xdr:row>141</xdr:row>
      <xdr:rowOff>0</xdr:rowOff>
    </xdr:to>
    <xdr:graphicFrame macro="">
      <xdr:nvGraphicFramePr>
        <xdr:cNvPr id="8" name="Chart 7">
          <a:extLst>
            <a:ext uri="{FF2B5EF4-FFF2-40B4-BE49-F238E27FC236}">
              <a16:creationId xmlns:a16="http://schemas.microsoft.com/office/drawing/2014/main" id="{FC9BB447-2C39-436B-91B3-8FCAA05BB9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705971</xdr:colOff>
      <xdr:row>143</xdr:row>
      <xdr:rowOff>8031</xdr:rowOff>
    </xdr:from>
    <xdr:to>
      <xdr:col>11</xdr:col>
      <xdr:colOff>524250</xdr:colOff>
      <xdr:row>156</xdr:row>
      <xdr:rowOff>11206</xdr:rowOff>
    </xdr:to>
    <xdr:graphicFrame macro="">
      <xdr:nvGraphicFramePr>
        <xdr:cNvPr id="9" name="Chart 8">
          <a:extLst>
            <a:ext uri="{FF2B5EF4-FFF2-40B4-BE49-F238E27FC236}">
              <a16:creationId xmlns:a16="http://schemas.microsoft.com/office/drawing/2014/main" id="{4C649654-EA51-4B6D-8077-8E63A22EC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821204</xdr:colOff>
      <xdr:row>127</xdr:row>
      <xdr:rowOff>164913</xdr:rowOff>
    </xdr:from>
    <xdr:to>
      <xdr:col>14</xdr:col>
      <xdr:colOff>843055</xdr:colOff>
      <xdr:row>140</xdr:row>
      <xdr:rowOff>159405</xdr:rowOff>
    </xdr:to>
    <xdr:graphicFrame macro="">
      <xdr:nvGraphicFramePr>
        <xdr:cNvPr id="11" name="Chart 10">
          <a:extLst>
            <a:ext uri="{FF2B5EF4-FFF2-40B4-BE49-F238E27FC236}">
              <a16:creationId xmlns:a16="http://schemas.microsoft.com/office/drawing/2014/main" id="{3D82EDB3-7157-4FF9-88DB-0B7162079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336177</xdr:colOff>
      <xdr:row>127</xdr:row>
      <xdr:rowOff>145677</xdr:rowOff>
    </xdr:from>
    <xdr:to>
      <xdr:col>21</xdr:col>
      <xdr:colOff>56030</xdr:colOff>
      <xdr:row>141</xdr:row>
      <xdr:rowOff>33618</xdr:rowOff>
    </xdr:to>
    <xdr:graphicFrame macro="">
      <xdr:nvGraphicFramePr>
        <xdr:cNvPr id="12" name="Chart 11">
          <a:extLst>
            <a:ext uri="{FF2B5EF4-FFF2-40B4-BE49-F238E27FC236}">
              <a16:creationId xmlns:a16="http://schemas.microsoft.com/office/drawing/2014/main" id="{68C64A32-1BA5-4D79-80D7-919631FCE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848472</xdr:colOff>
      <xdr:row>143</xdr:row>
      <xdr:rowOff>27265</xdr:rowOff>
    </xdr:from>
    <xdr:to>
      <xdr:col>14</xdr:col>
      <xdr:colOff>827183</xdr:colOff>
      <xdr:row>156</xdr:row>
      <xdr:rowOff>52852</xdr:rowOff>
    </xdr:to>
    <xdr:graphicFrame macro="">
      <xdr:nvGraphicFramePr>
        <xdr:cNvPr id="13" name="Chart 12">
          <a:extLst>
            <a:ext uri="{FF2B5EF4-FFF2-40B4-BE49-F238E27FC236}">
              <a16:creationId xmlns:a16="http://schemas.microsoft.com/office/drawing/2014/main" id="{72F02A3B-8DF4-4A64-A76F-5AE263925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389031</xdr:colOff>
      <xdr:row>143</xdr:row>
      <xdr:rowOff>27267</xdr:rowOff>
    </xdr:from>
    <xdr:to>
      <xdr:col>21</xdr:col>
      <xdr:colOff>83297</xdr:colOff>
      <xdr:row>156</xdr:row>
      <xdr:rowOff>44918</xdr:rowOff>
    </xdr:to>
    <xdr:graphicFrame macro="">
      <xdr:nvGraphicFramePr>
        <xdr:cNvPr id="14" name="Chart 13">
          <a:extLst>
            <a:ext uri="{FF2B5EF4-FFF2-40B4-BE49-F238E27FC236}">
              <a16:creationId xmlns:a16="http://schemas.microsoft.com/office/drawing/2014/main" id="{BD38A988-C400-4940-9C14-0A10E22C0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762000</xdr:colOff>
      <xdr:row>109</xdr:row>
      <xdr:rowOff>25586</xdr:rowOff>
    </xdr:from>
    <xdr:to>
      <xdr:col>11</xdr:col>
      <xdr:colOff>553198</xdr:colOff>
      <xdr:row>123</xdr:row>
      <xdr:rowOff>168088</xdr:rowOff>
    </xdr:to>
    <xdr:graphicFrame macro="">
      <xdr:nvGraphicFramePr>
        <xdr:cNvPr id="15" name="Chart 14">
          <a:extLst>
            <a:ext uri="{FF2B5EF4-FFF2-40B4-BE49-F238E27FC236}">
              <a16:creationId xmlns:a16="http://schemas.microsoft.com/office/drawing/2014/main" id="{CBA7BECE-8BF5-4B2C-A968-9D7C7E9FF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821204</xdr:colOff>
      <xdr:row>109</xdr:row>
      <xdr:rowOff>8030</xdr:rowOff>
    </xdr:from>
    <xdr:to>
      <xdr:col>14</xdr:col>
      <xdr:colOff>796740</xdr:colOff>
      <xdr:row>123</xdr:row>
      <xdr:rowOff>161737</xdr:rowOff>
    </xdr:to>
    <xdr:graphicFrame macro="">
      <xdr:nvGraphicFramePr>
        <xdr:cNvPr id="16" name="Chart 15">
          <a:extLst>
            <a:ext uri="{FF2B5EF4-FFF2-40B4-BE49-F238E27FC236}">
              <a16:creationId xmlns:a16="http://schemas.microsoft.com/office/drawing/2014/main" id="{DD4B2AFD-00DA-47C4-A87F-AF776343C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305735</xdr:colOff>
      <xdr:row>109</xdr:row>
      <xdr:rowOff>14381</xdr:rowOff>
    </xdr:from>
    <xdr:to>
      <xdr:col>21</xdr:col>
      <xdr:colOff>17185</xdr:colOff>
      <xdr:row>124</xdr:row>
      <xdr:rowOff>16062</xdr:rowOff>
    </xdr:to>
    <xdr:graphicFrame macro="">
      <xdr:nvGraphicFramePr>
        <xdr:cNvPr id="17" name="Chart 16">
          <a:extLst>
            <a:ext uri="{FF2B5EF4-FFF2-40B4-BE49-F238E27FC236}">
              <a16:creationId xmlns:a16="http://schemas.microsoft.com/office/drawing/2014/main" id="{B36979D1-4A49-45F8-8251-64EDBD092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697940</xdr:colOff>
      <xdr:row>159</xdr:row>
      <xdr:rowOff>47998</xdr:rowOff>
    </xdr:from>
    <xdr:to>
      <xdr:col>11</xdr:col>
      <xdr:colOff>516219</xdr:colOff>
      <xdr:row>172</xdr:row>
      <xdr:rowOff>44824</xdr:rowOff>
    </xdr:to>
    <xdr:graphicFrame macro="">
      <xdr:nvGraphicFramePr>
        <xdr:cNvPr id="18" name="Chart 17">
          <a:extLst>
            <a:ext uri="{FF2B5EF4-FFF2-40B4-BE49-F238E27FC236}">
              <a16:creationId xmlns:a16="http://schemas.microsoft.com/office/drawing/2014/main" id="{6255A8CF-EFDA-40A3-B8FB-F4FAADD0C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885264</xdr:colOff>
      <xdr:row>159</xdr:row>
      <xdr:rowOff>22411</xdr:rowOff>
    </xdr:from>
    <xdr:to>
      <xdr:col>14</xdr:col>
      <xdr:colOff>876675</xdr:colOff>
      <xdr:row>172</xdr:row>
      <xdr:rowOff>60885</xdr:rowOff>
    </xdr:to>
    <xdr:graphicFrame macro="">
      <xdr:nvGraphicFramePr>
        <xdr:cNvPr id="19" name="Chart 18">
          <a:extLst>
            <a:ext uri="{FF2B5EF4-FFF2-40B4-BE49-F238E27FC236}">
              <a16:creationId xmlns:a16="http://schemas.microsoft.com/office/drawing/2014/main" id="{09A26E0F-3A24-43F6-8577-D7F3FC83F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18</xdr:col>
      <xdr:colOff>451411</xdr:colOff>
      <xdr:row>159</xdr:row>
      <xdr:rowOff>14381</xdr:rowOff>
    </xdr:from>
    <xdr:to>
      <xdr:col>21</xdr:col>
      <xdr:colOff>95998</xdr:colOff>
      <xdr:row>172</xdr:row>
      <xdr:rowOff>81617</xdr:rowOff>
    </xdr:to>
    <xdr:graphicFrame macro="">
      <xdr:nvGraphicFramePr>
        <xdr:cNvPr id="20" name="Chart 19">
          <a:extLst>
            <a:ext uri="{FF2B5EF4-FFF2-40B4-BE49-F238E27FC236}">
              <a16:creationId xmlns:a16="http://schemas.microsoft.com/office/drawing/2014/main" id="{9B77D752-9764-4D05-B594-C896B71A3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1065492</xdr:colOff>
      <xdr:row>71</xdr:row>
      <xdr:rowOff>31563</xdr:rowOff>
    </xdr:from>
    <xdr:to>
      <xdr:col>17</xdr:col>
      <xdr:colOff>1904999</xdr:colOff>
      <xdr:row>85</xdr:row>
      <xdr:rowOff>160057</xdr:rowOff>
    </xdr:to>
    <xdr:graphicFrame macro="">
      <xdr:nvGraphicFramePr>
        <xdr:cNvPr id="25" name="Chart 24">
          <a:extLst>
            <a:ext uri="{FF2B5EF4-FFF2-40B4-BE49-F238E27FC236}">
              <a16:creationId xmlns:a16="http://schemas.microsoft.com/office/drawing/2014/main" id="{C12BF80F-9919-40AB-B15B-9ADA95A871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14</xdr:col>
      <xdr:colOff>1090146</xdr:colOff>
      <xdr:row>90</xdr:row>
      <xdr:rowOff>22411</xdr:rowOff>
    </xdr:from>
    <xdr:to>
      <xdr:col>18</xdr:col>
      <xdr:colOff>11953</xdr:colOff>
      <xdr:row>103</xdr:row>
      <xdr:rowOff>155762</xdr:rowOff>
    </xdr:to>
    <xdr:graphicFrame macro="">
      <xdr:nvGraphicFramePr>
        <xdr:cNvPr id="26" name="Chart 25">
          <a:extLst>
            <a:ext uri="{FF2B5EF4-FFF2-40B4-BE49-F238E27FC236}">
              <a16:creationId xmlns:a16="http://schemas.microsoft.com/office/drawing/2014/main" id="{60FFF4B8-448E-4FC3-9ECF-1FD41C17F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1106208</xdr:colOff>
      <xdr:row>108</xdr:row>
      <xdr:rowOff>174437</xdr:rowOff>
    </xdr:from>
    <xdr:to>
      <xdr:col>18</xdr:col>
      <xdr:colOff>34365</xdr:colOff>
      <xdr:row>123</xdr:row>
      <xdr:rowOff>131294</xdr:rowOff>
    </xdr:to>
    <xdr:graphicFrame macro="">
      <xdr:nvGraphicFramePr>
        <xdr:cNvPr id="27" name="Chart 26">
          <a:extLst>
            <a:ext uri="{FF2B5EF4-FFF2-40B4-BE49-F238E27FC236}">
              <a16:creationId xmlns:a16="http://schemas.microsoft.com/office/drawing/2014/main" id="{9A06E4BA-7E99-4EB5-BF7A-B8C141AA9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1154206</xdr:colOff>
      <xdr:row>127</xdr:row>
      <xdr:rowOff>140821</xdr:rowOff>
    </xdr:from>
    <xdr:to>
      <xdr:col>18</xdr:col>
      <xdr:colOff>85538</xdr:colOff>
      <xdr:row>141</xdr:row>
      <xdr:rowOff>11206</xdr:rowOff>
    </xdr:to>
    <xdr:graphicFrame macro="">
      <xdr:nvGraphicFramePr>
        <xdr:cNvPr id="28" name="Chart 27">
          <a:extLst>
            <a:ext uri="{FF2B5EF4-FFF2-40B4-BE49-F238E27FC236}">
              <a16:creationId xmlns:a16="http://schemas.microsoft.com/office/drawing/2014/main" id="{D033450B-DE51-4FAF-8C53-6C046D290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14</xdr:col>
      <xdr:colOff>1221441</xdr:colOff>
      <xdr:row>143</xdr:row>
      <xdr:rowOff>100853</xdr:rowOff>
    </xdr:from>
    <xdr:to>
      <xdr:col>18</xdr:col>
      <xdr:colOff>149598</xdr:colOff>
      <xdr:row>156</xdr:row>
      <xdr:rowOff>134471</xdr:rowOff>
    </xdr:to>
    <xdr:graphicFrame macro="">
      <xdr:nvGraphicFramePr>
        <xdr:cNvPr id="29" name="Chart 28">
          <a:extLst>
            <a:ext uri="{FF2B5EF4-FFF2-40B4-BE49-F238E27FC236}">
              <a16:creationId xmlns:a16="http://schemas.microsoft.com/office/drawing/2014/main" id="{E0E1FF18-E6FD-43D5-87ED-3FD90763F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1224616</xdr:colOff>
      <xdr:row>159</xdr:row>
      <xdr:rowOff>30443</xdr:rowOff>
    </xdr:from>
    <xdr:to>
      <xdr:col>18</xdr:col>
      <xdr:colOff>143248</xdr:colOff>
      <xdr:row>172</xdr:row>
      <xdr:rowOff>64061</xdr:rowOff>
    </xdr:to>
    <xdr:graphicFrame macro="">
      <xdr:nvGraphicFramePr>
        <xdr:cNvPr id="30" name="Chart 29">
          <a:extLst>
            <a:ext uri="{FF2B5EF4-FFF2-40B4-BE49-F238E27FC236}">
              <a16:creationId xmlns:a16="http://schemas.microsoft.com/office/drawing/2014/main" id="{43667E72-79B8-4458-93DB-01FD7547C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227293</xdr:colOff>
      <xdr:row>179</xdr:row>
      <xdr:rowOff>190499</xdr:rowOff>
    </xdr:from>
    <xdr:to>
      <xdr:col>9</xdr:col>
      <xdr:colOff>381000</xdr:colOff>
      <xdr:row>194</xdr:row>
      <xdr:rowOff>168087</xdr:rowOff>
    </xdr:to>
    <xdr:graphicFrame macro="">
      <xdr:nvGraphicFramePr>
        <xdr:cNvPr id="37" name="Chart 36">
          <a:extLst>
            <a:ext uri="{FF2B5EF4-FFF2-40B4-BE49-F238E27FC236}">
              <a16:creationId xmlns:a16="http://schemas.microsoft.com/office/drawing/2014/main" id="{308606E6-AC00-449E-88BB-66F9E3152B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598767</xdr:colOff>
      <xdr:row>179</xdr:row>
      <xdr:rowOff>179293</xdr:rowOff>
    </xdr:from>
    <xdr:to>
      <xdr:col>12</xdr:col>
      <xdr:colOff>47998</xdr:colOff>
      <xdr:row>194</xdr:row>
      <xdr:rowOff>148850</xdr:rowOff>
    </xdr:to>
    <xdr:graphicFrame macro="">
      <xdr:nvGraphicFramePr>
        <xdr:cNvPr id="38" name="Chart 37">
          <a:extLst>
            <a:ext uri="{FF2B5EF4-FFF2-40B4-BE49-F238E27FC236}">
              <a16:creationId xmlns:a16="http://schemas.microsoft.com/office/drawing/2014/main" id="{BBAE8B04-7CFA-4E1F-BB42-8F5D1857B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172944</xdr:colOff>
      <xdr:row>179</xdr:row>
      <xdr:rowOff>168087</xdr:rowOff>
    </xdr:from>
    <xdr:to>
      <xdr:col>15</xdr:col>
      <xdr:colOff>230467</xdr:colOff>
      <xdr:row>194</xdr:row>
      <xdr:rowOff>142500</xdr:rowOff>
    </xdr:to>
    <xdr:graphicFrame macro="">
      <xdr:nvGraphicFramePr>
        <xdr:cNvPr id="39" name="Chart 38">
          <a:extLst>
            <a:ext uri="{FF2B5EF4-FFF2-40B4-BE49-F238E27FC236}">
              <a16:creationId xmlns:a16="http://schemas.microsoft.com/office/drawing/2014/main" id="{7B8A3FFE-3F12-425D-AC08-F18A1140E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162860</xdr:colOff>
      <xdr:row>73</xdr:row>
      <xdr:rowOff>3080</xdr:rowOff>
    </xdr:from>
    <xdr:to>
      <xdr:col>14</xdr:col>
      <xdr:colOff>814855</xdr:colOff>
      <xdr:row>91</xdr:row>
      <xdr:rowOff>11018</xdr:rowOff>
    </xdr:to>
    <xdr:graphicFrame macro="">
      <xdr:nvGraphicFramePr>
        <xdr:cNvPr id="2" name="Chart 1">
          <a:extLst>
            <a:ext uri="{FF2B5EF4-FFF2-40B4-BE49-F238E27FC236}">
              <a16:creationId xmlns:a16="http://schemas.microsoft.com/office/drawing/2014/main" id="{500F0D44-0637-4F42-B1E0-085192EBCE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118220</xdr:colOff>
      <xdr:row>93</xdr:row>
      <xdr:rowOff>166315</xdr:rowOff>
    </xdr:from>
    <xdr:to>
      <xdr:col>14</xdr:col>
      <xdr:colOff>866027</xdr:colOff>
      <xdr:row>112</xdr:row>
      <xdr:rowOff>64808</xdr:rowOff>
    </xdr:to>
    <xdr:graphicFrame macro="">
      <xdr:nvGraphicFramePr>
        <xdr:cNvPr id="3" name="Chart 2">
          <a:extLst>
            <a:ext uri="{FF2B5EF4-FFF2-40B4-BE49-F238E27FC236}">
              <a16:creationId xmlns:a16="http://schemas.microsoft.com/office/drawing/2014/main" id="{DA6B7E78-521C-4FD3-96B9-D24FDDC616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857998</xdr:colOff>
      <xdr:row>73</xdr:row>
      <xdr:rowOff>108883</xdr:rowOff>
    </xdr:from>
    <xdr:to>
      <xdr:col>20</xdr:col>
      <xdr:colOff>2219885</xdr:colOff>
      <xdr:row>91</xdr:row>
      <xdr:rowOff>113646</xdr:rowOff>
    </xdr:to>
    <xdr:graphicFrame macro="">
      <xdr:nvGraphicFramePr>
        <xdr:cNvPr id="4" name="Chart 3">
          <a:extLst>
            <a:ext uri="{FF2B5EF4-FFF2-40B4-BE49-F238E27FC236}">
              <a16:creationId xmlns:a16="http://schemas.microsoft.com/office/drawing/2014/main" id="{A091B527-5114-43F7-A9AE-FA91B487C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926913</xdr:colOff>
      <xdr:row>94</xdr:row>
      <xdr:rowOff>22411</xdr:rowOff>
    </xdr:from>
    <xdr:to>
      <xdr:col>21</xdr:col>
      <xdr:colOff>14567</xdr:colOff>
      <xdr:row>112</xdr:row>
      <xdr:rowOff>119248</xdr:rowOff>
    </xdr:to>
    <xdr:graphicFrame macro="">
      <xdr:nvGraphicFramePr>
        <xdr:cNvPr id="5" name="Chart 4">
          <a:extLst>
            <a:ext uri="{FF2B5EF4-FFF2-40B4-BE49-F238E27FC236}">
              <a16:creationId xmlns:a16="http://schemas.microsoft.com/office/drawing/2014/main" id="{C167011A-119C-4DB5-A9BB-BEA01E52B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268940</xdr:colOff>
      <xdr:row>73</xdr:row>
      <xdr:rowOff>0</xdr:rowOff>
    </xdr:from>
    <xdr:to>
      <xdr:col>11</xdr:col>
      <xdr:colOff>11206</xdr:colOff>
      <xdr:row>91</xdr:row>
      <xdr:rowOff>1</xdr:rowOff>
    </xdr:to>
    <xdr:graphicFrame macro="">
      <xdr:nvGraphicFramePr>
        <xdr:cNvPr id="6" name="Chart 5">
          <a:extLst>
            <a:ext uri="{FF2B5EF4-FFF2-40B4-BE49-F238E27FC236}">
              <a16:creationId xmlns:a16="http://schemas.microsoft.com/office/drawing/2014/main" id="{CE7CB8A4-7CD6-4C81-8DC2-1D42B54C3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201706</xdr:colOff>
      <xdr:row>94</xdr:row>
      <xdr:rowOff>11206</xdr:rowOff>
    </xdr:from>
    <xdr:to>
      <xdr:col>10</xdr:col>
      <xdr:colOff>1871384</xdr:colOff>
      <xdr:row>113</xdr:row>
      <xdr:rowOff>11207</xdr:rowOff>
    </xdr:to>
    <xdr:graphicFrame macro="">
      <xdr:nvGraphicFramePr>
        <xdr:cNvPr id="7" name="Chart 6">
          <a:extLst>
            <a:ext uri="{FF2B5EF4-FFF2-40B4-BE49-F238E27FC236}">
              <a16:creationId xmlns:a16="http://schemas.microsoft.com/office/drawing/2014/main" id="{5691C567-D258-4297-B66E-959C89D3F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145676</xdr:colOff>
      <xdr:row>118</xdr:row>
      <xdr:rowOff>6537</xdr:rowOff>
    </xdr:from>
    <xdr:to>
      <xdr:col>10</xdr:col>
      <xdr:colOff>1829734</xdr:colOff>
      <xdr:row>129</xdr:row>
      <xdr:rowOff>156883</xdr:rowOff>
    </xdr:to>
    <xdr:graphicFrame macro="">
      <xdr:nvGraphicFramePr>
        <xdr:cNvPr id="8" name="Chart 7">
          <a:extLst>
            <a:ext uri="{FF2B5EF4-FFF2-40B4-BE49-F238E27FC236}">
              <a16:creationId xmlns:a16="http://schemas.microsoft.com/office/drawing/2014/main" id="{8E1595CD-6907-49A8-830C-E5731C774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160057</xdr:colOff>
      <xdr:row>132</xdr:row>
      <xdr:rowOff>8032</xdr:rowOff>
    </xdr:from>
    <xdr:to>
      <xdr:col>10</xdr:col>
      <xdr:colOff>1812178</xdr:colOff>
      <xdr:row>143</xdr:row>
      <xdr:rowOff>44824</xdr:rowOff>
    </xdr:to>
    <xdr:graphicFrame macro="">
      <xdr:nvGraphicFramePr>
        <xdr:cNvPr id="9" name="Chart 8">
          <a:extLst>
            <a:ext uri="{FF2B5EF4-FFF2-40B4-BE49-F238E27FC236}">
              <a16:creationId xmlns:a16="http://schemas.microsoft.com/office/drawing/2014/main" id="{173A68FF-3D8E-433D-BBF1-A0567BDA3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102534</xdr:colOff>
      <xdr:row>118</xdr:row>
      <xdr:rowOff>8031</xdr:rowOff>
    </xdr:from>
    <xdr:to>
      <xdr:col>14</xdr:col>
      <xdr:colOff>806824</xdr:colOff>
      <xdr:row>130</xdr:row>
      <xdr:rowOff>0</xdr:rowOff>
    </xdr:to>
    <xdr:graphicFrame macro="">
      <xdr:nvGraphicFramePr>
        <xdr:cNvPr id="10" name="Chart 9">
          <a:extLst>
            <a:ext uri="{FF2B5EF4-FFF2-40B4-BE49-F238E27FC236}">
              <a16:creationId xmlns:a16="http://schemas.microsoft.com/office/drawing/2014/main" id="{4681BB42-9BC3-497A-918E-24943F253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923738</xdr:colOff>
      <xdr:row>117</xdr:row>
      <xdr:rowOff>164913</xdr:rowOff>
    </xdr:from>
    <xdr:to>
      <xdr:col>21</xdr:col>
      <xdr:colOff>22412</xdr:colOff>
      <xdr:row>130</xdr:row>
      <xdr:rowOff>144182</xdr:rowOff>
    </xdr:to>
    <xdr:graphicFrame macro="">
      <xdr:nvGraphicFramePr>
        <xdr:cNvPr id="11" name="Chart 10">
          <a:extLst>
            <a:ext uri="{FF2B5EF4-FFF2-40B4-BE49-F238E27FC236}">
              <a16:creationId xmlns:a16="http://schemas.microsoft.com/office/drawing/2014/main" id="{4879E3D2-0911-4DDC-9B64-122BB201C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132790</xdr:colOff>
      <xdr:row>132</xdr:row>
      <xdr:rowOff>19237</xdr:rowOff>
    </xdr:from>
    <xdr:to>
      <xdr:col>14</xdr:col>
      <xdr:colOff>811680</xdr:colOff>
      <xdr:row>143</xdr:row>
      <xdr:rowOff>86472</xdr:rowOff>
    </xdr:to>
    <xdr:graphicFrame macro="">
      <xdr:nvGraphicFramePr>
        <xdr:cNvPr id="12" name="Chart 11">
          <a:extLst>
            <a:ext uri="{FF2B5EF4-FFF2-40B4-BE49-F238E27FC236}">
              <a16:creationId xmlns:a16="http://schemas.microsoft.com/office/drawing/2014/main" id="{3AEA7BA0-E072-4669-B02B-FED68A5AB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928595</xdr:colOff>
      <xdr:row>131</xdr:row>
      <xdr:rowOff>164915</xdr:rowOff>
    </xdr:from>
    <xdr:to>
      <xdr:col>21</xdr:col>
      <xdr:colOff>33618</xdr:colOff>
      <xdr:row>143</xdr:row>
      <xdr:rowOff>126440</xdr:rowOff>
    </xdr:to>
    <xdr:graphicFrame macro="">
      <xdr:nvGraphicFramePr>
        <xdr:cNvPr id="13" name="Chart 12">
          <a:extLst>
            <a:ext uri="{FF2B5EF4-FFF2-40B4-BE49-F238E27FC236}">
              <a16:creationId xmlns:a16="http://schemas.microsoft.com/office/drawing/2014/main" id="{DBCA014D-6DC1-4363-8470-C343C3D1D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73</xdr:row>
      <xdr:rowOff>0</xdr:rowOff>
    </xdr:from>
    <xdr:to>
      <xdr:col>18</xdr:col>
      <xdr:colOff>223184</xdr:colOff>
      <xdr:row>90</xdr:row>
      <xdr:rowOff>157256</xdr:rowOff>
    </xdr:to>
    <xdr:graphicFrame macro="">
      <xdr:nvGraphicFramePr>
        <xdr:cNvPr id="14" name="Chart 13">
          <a:extLst>
            <a:ext uri="{FF2B5EF4-FFF2-40B4-BE49-F238E27FC236}">
              <a16:creationId xmlns:a16="http://schemas.microsoft.com/office/drawing/2014/main" id="{F153484D-0C5E-4E65-A296-750D21530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94</xdr:row>
      <xdr:rowOff>0</xdr:rowOff>
    </xdr:from>
    <xdr:to>
      <xdr:col>18</xdr:col>
      <xdr:colOff>204134</xdr:colOff>
      <xdr:row>112</xdr:row>
      <xdr:rowOff>144556</xdr:rowOff>
    </xdr:to>
    <xdr:graphicFrame macro="">
      <xdr:nvGraphicFramePr>
        <xdr:cNvPr id="15" name="Chart 14">
          <a:extLst>
            <a:ext uri="{FF2B5EF4-FFF2-40B4-BE49-F238E27FC236}">
              <a16:creationId xmlns:a16="http://schemas.microsoft.com/office/drawing/2014/main" id="{8570EDA0-7901-469A-8D2B-FC2C2BB83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78441</xdr:colOff>
      <xdr:row>131</xdr:row>
      <xdr:rowOff>142502</xdr:rowOff>
    </xdr:from>
    <xdr:to>
      <xdr:col>18</xdr:col>
      <xdr:colOff>304800</xdr:colOff>
      <xdr:row>143</xdr:row>
      <xdr:rowOff>78441</xdr:rowOff>
    </xdr:to>
    <xdr:graphicFrame macro="">
      <xdr:nvGraphicFramePr>
        <xdr:cNvPr id="16" name="Chart 15">
          <a:extLst>
            <a:ext uri="{FF2B5EF4-FFF2-40B4-BE49-F238E27FC236}">
              <a16:creationId xmlns:a16="http://schemas.microsoft.com/office/drawing/2014/main" id="{F0DBFDE3-5DBD-4F5A-B3BF-C1EFDF5A9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0</xdr:colOff>
      <xdr:row>118</xdr:row>
      <xdr:rowOff>0</xdr:rowOff>
    </xdr:from>
    <xdr:to>
      <xdr:col>18</xdr:col>
      <xdr:colOff>226359</xdr:colOff>
      <xdr:row>130</xdr:row>
      <xdr:rowOff>89647</xdr:rowOff>
    </xdr:to>
    <xdr:graphicFrame macro="">
      <xdr:nvGraphicFramePr>
        <xdr:cNvPr id="17" name="Chart 16">
          <a:extLst>
            <a:ext uri="{FF2B5EF4-FFF2-40B4-BE49-F238E27FC236}">
              <a16:creationId xmlns:a16="http://schemas.microsoft.com/office/drawing/2014/main" id="{8A3EA402-A9DF-4FBD-9FDB-855D32B5D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534707</xdr:colOff>
      <xdr:row>150</xdr:row>
      <xdr:rowOff>27267</xdr:rowOff>
    </xdr:from>
    <xdr:to>
      <xdr:col>8</xdr:col>
      <xdr:colOff>1722530</xdr:colOff>
      <xdr:row>163</xdr:row>
      <xdr:rowOff>33617</xdr:rowOff>
    </xdr:to>
    <xdr:graphicFrame macro="">
      <xdr:nvGraphicFramePr>
        <xdr:cNvPr id="18" name="Chart 17">
          <a:extLst>
            <a:ext uri="{FF2B5EF4-FFF2-40B4-BE49-F238E27FC236}">
              <a16:creationId xmlns:a16="http://schemas.microsoft.com/office/drawing/2014/main" id="{9A67C77F-D600-443E-8B81-2C6415757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150531</xdr:colOff>
      <xdr:row>150</xdr:row>
      <xdr:rowOff>11206</xdr:rowOff>
    </xdr:from>
    <xdr:to>
      <xdr:col>11</xdr:col>
      <xdr:colOff>1371972</xdr:colOff>
      <xdr:row>163</xdr:row>
      <xdr:rowOff>18116</xdr:rowOff>
    </xdr:to>
    <xdr:graphicFrame macro="">
      <xdr:nvGraphicFramePr>
        <xdr:cNvPr id="19" name="Chart 18">
          <a:extLst>
            <a:ext uri="{FF2B5EF4-FFF2-40B4-BE49-F238E27FC236}">
              <a16:creationId xmlns:a16="http://schemas.microsoft.com/office/drawing/2014/main" id="{0C94D512-3F07-475C-BD4D-4417903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1520825</xdr:colOff>
      <xdr:row>150</xdr:row>
      <xdr:rowOff>8031</xdr:rowOff>
    </xdr:from>
    <xdr:to>
      <xdr:col>15</xdr:col>
      <xdr:colOff>41648</xdr:colOff>
      <xdr:row>162</xdr:row>
      <xdr:rowOff>179854</xdr:rowOff>
    </xdr:to>
    <xdr:graphicFrame macro="">
      <xdr:nvGraphicFramePr>
        <xdr:cNvPr id="20" name="Chart 19">
          <a:extLst>
            <a:ext uri="{FF2B5EF4-FFF2-40B4-BE49-F238E27FC236}">
              <a16:creationId xmlns:a16="http://schemas.microsoft.com/office/drawing/2014/main" id="{3DCBB75B-6AC9-4D54-8835-A027B8429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268941</xdr:colOff>
      <xdr:row>3</xdr:row>
      <xdr:rowOff>2313</xdr:rowOff>
    </xdr:from>
    <xdr:to>
      <xdr:col>5</xdr:col>
      <xdr:colOff>493058</xdr:colOff>
      <xdr:row>23</xdr:row>
      <xdr:rowOff>14940</xdr:rowOff>
    </xdr:to>
    <xdr:graphicFrame macro="">
      <xdr:nvGraphicFramePr>
        <xdr:cNvPr id="2" name="Chart 1">
          <a:extLst>
            <a:ext uri="{FF2B5EF4-FFF2-40B4-BE49-F238E27FC236}">
              <a16:creationId xmlns:a16="http://schemas.microsoft.com/office/drawing/2014/main" id="{9DF7D35D-90C1-4B67-9589-104142DDE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769470</xdr:colOff>
      <xdr:row>2</xdr:row>
      <xdr:rowOff>186763</xdr:rowOff>
    </xdr:from>
    <xdr:to>
      <xdr:col>8</xdr:col>
      <xdr:colOff>2061882</xdr:colOff>
      <xdr:row>22</xdr:row>
      <xdr:rowOff>179293</xdr:rowOff>
    </xdr:to>
    <xdr:graphicFrame macro="">
      <xdr:nvGraphicFramePr>
        <xdr:cNvPr id="3" name="Chart 2">
          <a:extLst>
            <a:ext uri="{FF2B5EF4-FFF2-40B4-BE49-F238E27FC236}">
              <a16:creationId xmlns:a16="http://schemas.microsoft.com/office/drawing/2014/main" id="{5BAEF078-B067-4F1F-8EC5-B3349E327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810187</xdr:colOff>
      <xdr:row>25</xdr:row>
      <xdr:rowOff>7563</xdr:rowOff>
    </xdr:from>
    <xdr:to>
      <xdr:col>8</xdr:col>
      <xdr:colOff>2069353</xdr:colOff>
      <xdr:row>44</xdr:row>
      <xdr:rowOff>171824</xdr:rowOff>
    </xdr:to>
    <xdr:graphicFrame macro="">
      <xdr:nvGraphicFramePr>
        <xdr:cNvPr id="5" name="Chart 4">
          <a:extLst>
            <a:ext uri="{FF2B5EF4-FFF2-40B4-BE49-F238E27FC236}">
              <a16:creationId xmlns:a16="http://schemas.microsoft.com/office/drawing/2014/main" id="{6B1E7690-B5FC-4CB5-9C64-866AED38F9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774513</xdr:colOff>
      <xdr:row>47</xdr:row>
      <xdr:rowOff>0</xdr:rowOff>
    </xdr:from>
    <xdr:to>
      <xdr:col>8</xdr:col>
      <xdr:colOff>2061882</xdr:colOff>
      <xdr:row>66</xdr:row>
      <xdr:rowOff>171823</xdr:rowOff>
    </xdr:to>
    <xdr:graphicFrame macro="">
      <xdr:nvGraphicFramePr>
        <xdr:cNvPr id="7" name="Chart 6">
          <a:extLst>
            <a:ext uri="{FF2B5EF4-FFF2-40B4-BE49-F238E27FC236}">
              <a16:creationId xmlns:a16="http://schemas.microsoft.com/office/drawing/2014/main" id="{9394A2F4-4C0D-4DB6-AFC2-4856BF3546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801221</xdr:colOff>
      <xdr:row>69</xdr:row>
      <xdr:rowOff>7472</xdr:rowOff>
    </xdr:from>
    <xdr:to>
      <xdr:col>7</xdr:col>
      <xdr:colOff>485589</xdr:colOff>
      <xdr:row>85</xdr:row>
      <xdr:rowOff>179294</xdr:rowOff>
    </xdr:to>
    <xdr:graphicFrame macro="">
      <xdr:nvGraphicFramePr>
        <xdr:cNvPr id="10" name="Chart 9">
          <a:extLst>
            <a:ext uri="{FF2B5EF4-FFF2-40B4-BE49-F238E27FC236}">
              <a16:creationId xmlns:a16="http://schemas.microsoft.com/office/drawing/2014/main" id="{EE543D1A-C0ED-40FC-9C2E-E695BD638F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627528</xdr:colOff>
      <xdr:row>68</xdr:row>
      <xdr:rowOff>183031</xdr:rowOff>
    </xdr:from>
    <xdr:to>
      <xdr:col>9</xdr:col>
      <xdr:colOff>0</xdr:colOff>
      <xdr:row>85</xdr:row>
      <xdr:rowOff>164353</xdr:rowOff>
    </xdr:to>
    <xdr:graphicFrame macro="">
      <xdr:nvGraphicFramePr>
        <xdr:cNvPr id="11" name="Chart 10">
          <a:extLst>
            <a:ext uri="{FF2B5EF4-FFF2-40B4-BE49-F238E27FC236}">
              <a16:creationId xmlns:a16="http://schemas.microsoft.com/office/drawing/2014/main" id="{2510ED8E-E2BF-46C2-80F2-273F2BF570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291353</xdr:colOff>
      <xdr:row>25</xdr:row>
      <xdr:rowOff>7471</xdr:rowOff>
    </xdr:from>
    <xdr:to>
      <xdr:col>5</xdr:col>
      <xdr:colOff>508000</xdr:colOff>
      <xdr:row>44</xdr:row>
      <xdr:rowOff>179294</xdr:rowOff>
    </xdr:to>
    <xdr:graphicFrame macro="">
      <xdr:nvGraphicFramePr>
        <xdr:cNvPr id="9" name="Chart 8">
          <a:extLst>
            <a:ext uri="{FF2B5EF4-FFF2-40B4-BE49-F238E27FC236}">
              <a16:creationId xmlns:a16="http://schemas.microsoft.com/office/drawing/2014/main" id="{9914D4CE-09B6-4C0E-BC51-11C9F49DF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272677</xdr:colOff>
      <xdr:row>46</xdr:row>
      <xdr:rowOff>168649</xdr:rowOff>
    </xdr:from>
    <xdr:to>
      <xdr:col>5</xdr:col>
      <xdr:colOff>493619</xdr:colOff>
      <xdr:row>66</xdr:row>
      <xdr:rowOff>138766</xdr:rowOff>
    </xdr:to>
    <xdr:graphicFrame macro="">
      <xdr:nvGraphicFramePr>
        <xdr:cNvPr id="12" name="Chart 11">
          <a:extLst>
            <a:ext uri="{FF2B5EF4-FFF2-40B4-BE49-F238E27FC236}">
              <a16:creationId xmlns:a16="http://schemas.microsoft.com/office/drawing/2014/main" id="{BB383F47-55ED-41D3-9761-F4259596F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298826</xdr:colOff>
      <xdr:row>68</xdr:row>
      <xdr:rowOff>186016</xdr:rowOff>
    </xdr:from>
    <xdr:to>
      <xdr:col>3</xdr:col>
      <xdr:colOff>276413</xdr:colOff>
      <xdr:row>86</xdr:row>
      <xdr:rowOff>7469</xdr:rowOff>
    </xdr:to>
    <xdr:graphicFrame macro="">
      <xdr:nvGraphicFramePr>
        <xdr:cNvPr id="6" name="Chart 5">
          <a:extLst>
            <a:ext uri="{FF2B5EF4-FFF2-40B4-BE49-F238E27FC236}">
              <a16:creationId xmlns:a16="http://schemas.microsoft.com/office/drawing/2014/main" id="{AE533C4A-96EB-466C-B960-938B6AC30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425825</xdr:colOff>
      <xdr:row>68</xdr:row>
      <xdr:rowOff>186017</xdr:rowOff>
    </xdr:from>
    <xdr:to>
      <xdr:col>5</xdr:col>
      <xdr:colOff>649942</xdr:colOff>
      <xdr:row>86</xdr:row>
      <xdr:rowOff>7470</xdr:rowOff>
    </xdr:to>
    <xdr:graphicFrame macro="">
      <xdr:nvGraphicFramePr>
        <xdr:cNvPr id="14" name="Chart 13">
          <a:extLst>
            <a:ext uri="{FF2B5EF4-FFF2-40B4-BE49-F238E27FC236}">
              <a16:creationId xmlns:a16="http://schemas.microsoft.com/office/drawing/2014/main" id="{4545D9CB-8877-4D1E-8FD8-24F8CC171B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179294</xdr:colOff>
      <xdr:row>69</xdr:row>
      <xdr:rowOff>11206</xdr:rowOff>
    </xdr:from>
    <xdr:to>
      <xdr:col>10</xdr:col>
      <xdr:colOff>941295</xdr:colOff>
      <xdr:row>85</xdr:row>
      <xdr:rowOff>174997</xdr:rowOff>
    </xdr:to>
    <xdr:graphicFrame macro="">
      <xdr:nvGraphicFramePr>
        <xdr:cNvPr id="13" name="Chart 12">
          <a:extLst>
            <a:ext uri="{FF2B5EF4-FFF2-40B4-BE49-F238E27FC236}">
              <a16:creationId xmlns:a16="http://schemas.microsoft.com/office/drawing/2014/main" id="{89A802EB-BE5C-48C8-AD9E-930377BE3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1242833</xdr:colOff>
      <xdr:row>37</xdr:row>
      <xdr:rowOff>184365</xdr:rowOff>
    </xdr:from>
    <xdr:to>
      <xdr:col>5</xdr:col>
      <xdr:colOff>1645226</xdr:colOff>
      <xdr:row>54</xdr:row>
      <xdr:rowOff>165687</xdr:rowOff>
    </xdr:to>
    <xdr:graphicFrame macro="">
      <xdr:nvGraphicFramePr>
        <xdr:cNvPr id="6" name="Chart 5">
          <a:extLst>
            <a:ext uri="{FF2B5EF4-FFF2-40B4-BE49-F238E27FC236}">
              <a16:creationId xmlns:a16="http://schemas.microsoft.com/office/drawing/2014/main" id="{0D41BBF4-6A70-4173-A78C-944208D7B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11206</xdr:colOff>
      <xdr:row>38</xdr:row>
      <xdr:rowOff>29933</xdr:rowOff>
    </xdr:from>
    <xdr:to>
      <xdr:col>7</xdr:col>
      <xdr:colOff>1391712</xdr:colOff>
      <xdr:row>55</xdr:row>
      <xdr:rowOff>11255</xdr:rowOff>
    </xdr:to>
    <xdr:graphicFrame macro="">
      <xdr:nvGraphicFramePr>
        <xdr:cNvPr id="7" name="Chart 6">
          <a:extLst>
            <a:ext uri="{FF2B5EF4-FFF2-40B4-BE49-F238E27FC236}">
              <a16:creationId xmlns:a16="http://schemas.microsoft.com/office/drawing/2014/main" id="{AF95E3BA-7C61-404E-B88A-649808D5A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414618</xdr:colOff>
      <xdr:row>37</xdr:row>
      <xdr:rowOff>159603</xdr:rowOff>
    </xdr:from>
    <xdr:to>
      <xdr:col>2</xdr:col>
      <xdr:colOff>308671</xdr:colOff>
      <xdr:row>55</xdr:row>
      <xdr:rowOff>22412</xdr:rowOff>
    </xdr:to>
    <xdr:graphicFrame macro="">
      <xdr:nvGraphicFramePr>
        <xdr:cNvPr id="10" name="Chart 9">
          <a:extLst>
            <a:ext uri="{FF2B5EF4-FFF2-40B4-BE49-F238E27FC236}">
              <a16:creationId xmlns:a16="http://schemas.microsoft.com/office/drawing/2014/main" id="{BD0FB694-9CBB-4230-B3F9-9032A0B7A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543485</xdr:colOff>
      <xdr:row>37</xdr:row>
      <xdr:rowOff>145997</xdr:rowOff>
    </xdr:from>
    <xdr:to>
      <xdr:col>4</xdr:col>
      <xdr:colOff>1036306</xdr:colOff>
      <xdr:row>55</xdr:row>
      <xdr:rowOff>11206</xdr:rowOff>
    </xdr:to>
    <xdr:graphicFrame macro="">
      <xdr:nvGraphicFramePr>
        <xdr:cNvPr id="11" name="Chart 10">
          <a:extLst>
            <a:ext uri="{FF2B5EF4-FFF2-40B4-BE49-F238E27FC236}">
              <a16:creationId xmlns:a16="http://schemas.microsoft.com/office/drawing/2014/main" id="{6E91F0E4-AE1E-4033-9E6A-F8ED6F965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605517</xdr:colOff>
      <xdr:row>3</xdr:row>
      <xdr:rowOff>138792</xdr:rowOff>
    </xdr:from>
    <xdr:to>
      <xdr:col>4</xdr:col>
      <xdr:colOff>979713</xdr:colOff>
      <xdr:row>35</xdr:row>
      <xdr:rowOff>81643</xdr:rowOff>
    </xdr:to>
    <xdr:graphicFrame macro="">
      <xdr:nvGraphicFramePr>
        <xdr:cNvPr id="14" name="Chart 13">
          <a:extLst>
            <a:ext uri="{FF2B5EF4-FFF2-40B4-BE49-F238E27FC236}">
              <a16:creationId xmlns:a16="http://schemas.microsoft.com/office/drawing/2014/main" id="{F7C8E19B-A916-4B82-9EB4-F40F969154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1421946</xdr:colOff>
      <xdr:row>3</xdr:row>
      <xdr:rowOff>166006</xdr:rowOff>
    </xdr:from>
    <xdr:to>
      <xdr:col>7</xdr:col>
      <xdr:colOff>1836964</xdr:colOff>
      <xdr:row>35</xdr:row>
      <xdr:rowOff>40821</xdr:rowOff>
    </xdr:to>
    <xdr:graphicFrame macro="">
      <xdr:nvGraphicFramePr>
        <xdr:cNvPr id="15" name="Chart 14">
          <a:extLst>
            <a:ext uri="{FF2B5EF4-FFF2-40B4-BE49-F238E27FC236}">
              <a16:creationId xmlns:a16="http://schemas.microsoft.com/office/drawing/2014/main" id="{61D13836-9DD1-4E5C-B0D7-A18AEBAFDA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38</xdr:row>
      <xdr:rowOff>13606</xdr:rowOff>
    </xdr:from>
    <xdr:to>
      <xdr:col>9</xdr:col>
      <xdr:colOff>1092548</xdr:colOff>
      <xdr:row>55</xdr:row>
      <xdr:rowOff>42100</xdr:rowOff>
    </xdr:to>
    <xdr:graphicFrame macro="">
      <xdr:nvGraphicFramePr>
        <xdr:cNvPr id="8" name="Chart 7">
          <a:extLst>
            <a:ext uri="{FF2B5EF4-FFF2-40B4-BE49-F238E27FC236}">
              <a16:creationId xmlns:a16="http://schemas.microsoft.com/office/drawing/2014/main" id="{A77DFECE-0ADB-426E-88E5-93017781E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393699</xdr:colOff>
      <xdr:row>132</xdr:row>
      <xdr:rowOff>115886</xdr:rowOff>
    </xdr:from>
    <xdr:to>
      <xdr:col>5</xdr:col>
      <xdr:colOff>762000</xdr:colOff>
      <xdr:row>161</xdr:row>
      <xdr:rowOff>114299</xdr:rowOff>
    </xdr:to>
    <xdr:graphicFrame macro="">
      <xdr:nvGraphicFramePr>
        <xdr:cNvPr id="6" name="Chart 5">
          <a:extLst>
            <a:ext uri="{FF2B5EF4-FFF2-40B4-BE49-F238E27FC236}">
              <a16:creationId xmlns:a16="http://schemas.microsoft.com/office/drawing/2014/main" id="{14C67CF6-E9D3-4BF7-AEE7-110332574C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350116</xdr:colOff>
      <xdr:row>163</xdr:row>
      <xdr:rowOff>68984</xdr:rowOff>
    </xdr:from>
    <xdr:to>
      <xdr:col>5</xdr:col>
      <xdr:colOff>723900</xdr:colOff>
      <xdr:row>192</xdr:row>
      <xdr:rowOff>152400</xdr:rowOff>
    </xdr:to>
    <xdr:graphicFrame macro="">
      <xdr:nvGraphicFramePr>
        <xdr:cNvPr id="7" name="Chart 6">
          <a:extLst>
            <a:ext uri="{FF2B5EF4-FFF2-40B4-BE49-F238E27FC236}">
              <a16:creationId xmlns:a16="http://schemas.microsoft.com/office/drawing/2014/main" id="{44B3F9D1-4FDC-4644-9F69-F5C3AF5C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181552</xdr:colOff>
      <xdr:row>196</xdr:row>
      <xdr:rowOff>82838</xdr:rowOff>
    </xdr:from>
    <xdr:to>
      <xdr:col>5</xdr:col>
      <xdr:colOff>676852</xdr:colOff>
      <xdr:row>225</xdr:row>
      <xdr:rowOff>139989</xdr:rowOff>
    </xdr:to>
    <xdr:graphicFrame macro="">
      <xdr:nvGraphicFramePr>
        <xdr:cNvPr id="8" name="Chart 7">
          <a:extLst>
            <a:ext uri="{FF2B5EF4-FFF2-40B4-BE49-F238E27FC236}">
              <a16:creationId xmlns:a16="http://schemas.microsoft.com/office/drawing/2014/main" id="{C44C4512-0351-4F38-BD46-C8E3B076D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52A0-79A9-4E18-B138-8AC4103ADE1C}">
  <dimension ref="B2:L17"/>
  <sheetViews>
    <sheetView workbookViewId="0"/>
  </sheetViews>
  <sheetFormatPr defaultColWidth="8.7265625" defaultRowHeight="12.5" x14ac:dyDescent="0.35"/>
  <cols>
    <col min="1" max="1" width="3.81640625" style="203" customWidth="1"/>
    <col min="2" max="2" width="23.453125" style="203" customWidth="1"/>
    <col min="3" max="3" width="103.7265625" style="203" customWidth="1"/>
    <col min="4" max="4" width="51" style="203" customWidth="1"/>
    <col min="5" max="16384" width="8.7265625" style="203"/>
  </cols>
  <sheetData>
    <row r="2" spans="2:12" ht="13" x14ac:dyDescent="0.35">
      <c r="B2" s="208" t="s">
        <v>2198</v>
      </c>
    </row>
    <row r="3" spans="2:12" ht="51.65" customHeight="1" x14ac:dyDescent="0.35">
      <c r="B3" s="251" t="s">
        <v>2199</v>
      </c>
      <c r="C3" s="251"/>
      <c r="D3" s="204"/>
      <c r="E3" s="204"/>
      <c r="F3" s="204"/>
      <c r="G3" s="204"/>
      <c r="H3" s="204"/>
      <c r="I3" s="204"/>
      <c r="J3" s="204"/>
      <c r="K3" s="204"/>
      <c r="L3" s="204"/>
    </row>
    <row r="5" spans="2:12" ht="13" x14ac:dyDescent="0.35">
      <c r="B5" s="202" t="s">
        <v>2200</v>
      </c>
      <c r="C5" s="205" t="s">
        <v>2201</v>
      </c>
      <c r="D5" s="202" t="s">
        <v>2212</v>
      </c>
    </row>
    <row r="6" spans="2:12" ht="40" customHeight="1" x14ac:dyDescent="0.35">
      <c r="B6" s="201" t="s">
        <v>2202</v>
      </c>
      <c r="C6" s="206" t="s">
        <v>2229</v>
      </c>
      <c r="D6" s="207" t="s">
        <v>2244</v>
      </c>
    </row>
    <row r="7" spans="2:12" ht="18" customHeight="1" x14ac:dyDescent="0.35">
      <c r="B7" s="201" t="s">
        <v>2203</v>
      </c>
      <c r="C7" s="206" t="s">
        <v>2226</v>
      </c>
      <c r="D7" s="207" t="s">
        <v>2225</v>
      </c>
    </row>
    <row r="8" spans="2:12" ht="19.5" customHeight="1" x14ac:dyDescent="0.35">
      <c r="B8" s="201" t="s">
        <v>2204</v>
      </c>
      <c r="C8" s="206" t="s">
        <v>2227</v>
      </c>
      <c r="D8" s="207" t="s">
        <v>2225</v>
      </c>
    </row>
    <row r="9" spans="2:12" ht="21.65" customHeight="1" x14ac:dyDescent="0.35">
      <c r="B9" s="201" t="s">
        <v>2205</v>
      </c>
      <c r="C9" s="206" t="s">
        <v>2224</v>
      </c>
      <c r="D9" s="207" t="s">
        <v>2225</v>
      </c>
    </row>
    <row r="10" spans="2:12" ht="21" customHeight="1" x14ac:dyDescent="0.35">
      <c r="B10" s="201" t="s">
        <v>2206</v>
      </c>
      <c r="C10" s="206" t="s">
        <v>2223</v>
      </c>
      <c r="D10" s="207" t="s">
        <v>2225</v>
      </c>
    </row>
    <row r="11" spans="2:12" ht="48" customHeight="1" x14ac:dyDescent="0.35">
      <c r="B11" s="201" t="s">
        <v>2218</v>
      </c>
      <c r="C11" s="206" t="s">
        <v>2221</v>
      </c>
      <c r="D11" s="207" t="s">
        <v>2220</v>
      </c>
    </row>
    <row r="12" spans="2:12" ht="50.15" customHeight="1" x14ac:dyDescent="0.35">
      <c r="B12" s="201" t="s">
        <v>2217</v>
      </c>
      <c r="C12" s="206" t="s">
        <v>2222</v>
      </c>
      <c r="D12" s="207" t="s">
        <v>2219</v>
      </c>
    </row>
    <row r="13" spans="2:12" ht="34" customHeight="1" x14ac:dyDescent="0.35">
      <c r="B13" s="201" t="s">
        <v>2208</v>
      </c>
      <c r="C13" s="206" t="s">
        <v>2211</v>
      </c>
      <c r="D13" s="207" t="s">
        <v>2215</v>
      </c>
    </row>
    <row r="14" spans="2:12" ht="54" customHeight="1" x14ac:dyDescent="0.35">
      <c r="B14" s="201" t="s">
        <v>3077</v>
      </c>
      <c r="C14" s="206" t="s">
        <v>3078</v>
      </c>
      <c r="D14" s="207" t="s">
        <v>2225</v>
      </c>
    </row>
    <row r="15" spans="2:12" ht="50.5" customHeight="1" x14ac:dyDescent="0.35">
      <c r="B15" s="201" t="s">
        <v>2209</v>
      </c>
      <c r="C15" s="206" t="s">
        <v>2213</v>
      </c>
      <c r="D15" s="207" t="s">
        <v>2228</v>
      </c>
    </row>
    <row r="16" spans="2:12" ht="46.5" customHeight="1" x14ac:dyDescent="0.35">
      <c r="B16" s="201" t="s">
        <v>2210</v>
      </c>
      <c r="C16" s="206" t="s">
        <v>2214</v>
      </c>
      <c r="D16" s="207" t="s">
        <v>2228</v>
      </c>
    </row>
    <row r="17" spans="2:4" ht="42.65" customHeight="1" x14ac:dyDescent="0.35">
      <c r="B17" s="201" t="s">
        <v>2207</v>
      </c>
      <c r="C17" s="244" t="s">
        <v>2050</v>
      </c>
      <c r="D17" s="207" t="s">
        <v>2216</v>
      </c>
    </row>
  </sheetData>
  <mergeCells count="1">
    <mergeCell ref="B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9232B-8431-44F7-93C6-ED467288B5C6}">
  <dimension ref="A1:AA58"/>
  <sheetViews>
    <sheetView tabSelected="1" zoomScale="70" zoomScaleNormal="70" workbookViewId="0">
      <pane xSplit="2" topLeftCell="C1" activePane="topRight" state="frozen"/>
      <selection activeCell="A5" sqref="A5"/>
      <selection pane="topRight"/>
    </sheetView>
  </sheetViews>
  <sheetFormatPr defaultColWidth="9.1796875" defaultRowHeight="14.5" x14ac:dyDescent="0.35"/>
  <cols>
    <col min="1" max="1" width="13.08984375" style="69" customWidth="1"/>
    <col min="2" max="2" width="55.1796875" style="69" customWidth="1"/>
    <col min="3" max="3" width="44" style="4" customWidth="1"/>
    <col min="4" max="4" width="31.54296875" style="69" customWidth="1"/>
    <col min="5" max="5" width="28.54296875" style="69" customWidth="1"/>
    <col min="6" max="6" width="20" style="69" customWidth="1"/>
    <col min="7" max="7" width="27.54296875" style="69" customWidth="1"/>
    <col min="8" max="8" width="24.81640625" style="4" customWidth="1"/>
    <col min="9" max="9" width="24.453125" style="4" customWidth="1"/>
    <col min="10" max="10" width="31.54296875" style="4" customWidth="1"/>
    <col min="11" max="11" width="24.453125" style="4" customWidth="1"/>
    <col min="12" max="12" width="28.54296875" style="4" customWidth="1"/>
    <col min="13" max="13" width="28.7265625" style="61" customWidth="1"/>
    <col min="14" max="14" width="35.7265625" style="61" customWidth="1"/>
    <col min="15" max="15" width="30.81640625" style="61" customWidth="1"/>
    <col min="16" max="16" width="27.81640625" style="61" customWidth="1"/>
    <col min="17" max="17" width="29.453125" style="69" customWidth="1"/>
    <col min="18" max="18" width="25.7265625" style="69" customWidth="1"/>
    <col min="19" max="19" width="42.81640625" style="69" customWidth="1"/>
    <col min="20" max="20" width="62.1796875" style="69" customWidth="1"/>
    <col min="21" max="21" width="30.453125" style="69" customWidth="1"/>
    <col min="22" max="22" width="33.81640625" style="69" customWidth="1"/>
    <col min="23" max="23" width="27.26953125" style="69" customWidth="1"/>
    <col min="24" max="24" width="39.1796875" style="69" customWidth="1"/>
    <col min="25" max="25" width="29.54296875" style="69" customWidth="1"/>
    <col min="26" max="26" width="29.453125" style="69" customWidth="1"/>
    <col min="27" max="27" width="30.1796875" style="69" customWidth="1"/>
    <col min="28" max="28" width="24.54296875" style="69" customWidth="1"/>
    <col min="29" max="16384" width="9.1796875" style="69"/>
  </cols>
  <sheetData>
    <row r="1" spans="1:27" x14ac:dyDescent="0.35">
      <c r="A1" s="68" t="s">
        <v>649</v>
      </c>
    </row>
    <row r="2" spans="1:27" x14ac:dyDescent="0.35">
      <c r="A2" s="68" t="s">
        <v>1881</v>
      </c>
    </row>
    <row r="3" spans="1:27" x14ac:dyDescent="0.35">
      <c r="A3" s="68" t="s">
        <v>462</v>
      </c>
      <c r="C3" s="28">
        <v>45688</v>
      </c>
    </row>
    <row r="4" spans="1:27" ht="15" thickBot="1" x14ac:dyDescent="0.4"/>
    <row r="5" spans="1:27" ht="68.25" customHeight="1" x14ac:dyDescent="0.35">
      <c r="A5" s="70" t="s">
        <v>421</v>
      </c>
      <c r="B5" s="71" t="s">
        <v>2053</v>
      </c>
      <c r="C5" s="72" t="s">
        <v>1857</v>
      </c>
      <c r="D5" s="73" t="s">
        <v>1858</v>
      </c>
      <c r="E5" s="74" t="s">
        <v>1859</v>
      </c>
      <c r="F5" s="74" t="s">
        <v>1860</v>
      </c>
      <c r="G5" s="75" t="s">
        <v>1861</v>
      </c>
      <c r="H5" s="72" t="s">
        <v>1862</v>
      </c>
      <c r="I5" s="73" t="s">
        <v>1863</v>
      </c>
      <c r="J5" s="74" t="s">
        <v>626</v>
      </c>
      <c r="K5" s="74" t="s">
        <v>1864</v>
      </c>
      <c r="L5" s="75" t="s">
        <v>625</v>
      </c>
      <c r="M5" s="72" t="s">
        <v>2054</v>
      </c>
      <c r="N5" s="73" t="s">
        <v>2055</v>
      </c>
      <c r="O5" s="74" t="s">
        <v>2056</v>
      </c>
      <c r="P5" s="74" t="s">
        <v>2057</v>
      </c>
      <c r="Q5" s="75" t="s">
        <v>2058</v>
      </c>
      <c r="R5" s="72" t="s">
        <v>2926</v>
      </c>
      <c r="S5" s="73" t="s">
        <v>1865</v>
      </c>
      <c r="T5" s="73" t="s">
        <v>627</v>
      </c>
      <c r="U5" s="73" t="s">
        <v>635</v>
      </c>
      <c r="V5" s="74" t="s">
        <v>1866</v>
      </c>
      <c r="W5" s="74" t="s">
        <v>1867</v>
      </c>
      <c r="X5" s="74" t="s">
        <v>1868</v>
      </c>
      <c r="Y5" s="86" t="s">
        <v>2195</v>
      </c>
      <c r="Z5" s="86" t="s">
        <v>2</v>
      </c>
      <c r="AA5" s="86" t="s">
        <v>2196</v>
      </c>
    </row>
    <row r="6" spans="1:27" ht="37.5" customHeight="1" x14ac:dyDescent="0.35">
      <c r="A6" s="198">
        <v>1</v>
      </c>
      <c r="B6" s="211" t="str">
        <f>VLOOKUP($A6,'ELMS Categories'!$B$5:$C$14,2,FALSE)</f>
        <v>Stormwater - Construction</v>
      </c>
      <c r="C6" s="78">
        <f>SUM(D6,F6)</f>
        <v>56</v>
      </c>
      <c r="D6" s="77">
        <f>COUNTIFS('NeT GP - table_export'!$Z:$Z,$B6, 'NeT GP - table_export'!$K:$K,"Yes",'NeT GP - table_export'!$L:$L,"Yes")</f>
        <v>49</v>
      </c>
      <c r="E6" s="79">
        <f>COUNTIFS('NeT GP - table_export'!$Z:$Z,$B6, 'NeT GP - table_export'!$K:$K,"Yes",'NeT GP - table_export'!$L:$L,"Yes",'NeT GP - table_export'!$AA:$AA,"Yes")</f>
        <v>49</v>
      </c>
      <c r="F6" s="79">
        <f>COUNTIFS('NeT GP - table_export'!$Z:$Z,$B6, 'NeT GP - table_export'!$K:$K,"No",'NeT GP - table_export'!$L:$L,"Yes")</f>
        <v>7</v>
      </c>
      <c r="G6" s="80">
        <f>COUNTIFS('NeT GP - table_export'!$Z:$Z,$B6, 'NeT GP - table_export'!$K:$K,"No",'NeT GP - table_export'!$L:$L,"Yes",'NeT GP - table_export'!$AA:$AA,"Yes")</f>
        <v>4</v>
      </c>
      <c r="H6" s="78">
        <f>SUM(I6,K6)</f>
        <v>19081</v>
      </c>
      <c r="I6" s="77">
        <f>SUMIFS('NeT GP - table_export'!$J:$J,'NeT GP - table_export'!$Z:$Z,$B6,'NeT GP - table_export'!$K:$K,"Yes",'NeT GP - table_export'!$L:$L,"Yes")</f>
        <v>10757</v>
      </c>
      <c r="J6" s="79">
        <f>SUMIFS('NeT GP - table_export'!$J:$J,'NeT GP - table_export'!$Z:$Z,$B6,'NeT GP - table_export'!$K:$K,"Yes",'NeT GP - table_export'!$L:$L,"Yes",'NeT GP - table_export'!$AA:$AA,"Yes")</f>
        <v>10757</v>
      </c>
      <c r="K6" s="79">
        <f>SUMIFS('NeT GP - table_export'!$J:$J,'NeT GP - table_export'!$Z:$Z,$B6,'NeT GP - table_export'!$K:$K,"No",'NeT GP - table_export'!$L:$L,"Yes")</f>
        <v>8324</v>
      </c>
      <c r="L6" s="80">
        <f>SUMIFS('NeT GP - table_export'!$J:$J,'NeT GP - table_export'!$Z:$Z,$B6,'NeT GP - table_export'!$K:$K,"No",'NeT GP - table_export'!$L:$L,"Yes",'NeT GP - table_export'!$AA:$AA,"Yes")</f>
        <v>6419</v>
      </c>
      <c r="M6" s="149">
        <f>SUM(N6,P6)</f>
        <v>7</v>
      </c>
      <c r="N6" s="150">
        <f>COUNTIFS('NeT GP Proxy Cards'!$B:$B,$B6,'NeT GP Proxy Cards'!$E:$E,"Yes")</f>
        <v>1</v>
      </c>
      <c r="O6" s="150">
        <f>COUNTIFS('NeT GP Proxy Cards'!$B:$B,$B6,'NeT GP Proxy Cards'!$E:$E,"Yes", 'NeT GP Proxy Cards'!$G:$G,"Yes")</f>
        <v>1</v>
      </c>
      <c r="P6" s="150">
        <f>COUNTIFS('NeT GP Proxy Cards'!$B:$B,$B6,'NeT GP Proxy Cards'!$E:$E,"No")</f>
        <v>6</v>
      </c>
      <c r="Q6" s="151">
        <f>COUNTIFS('NeT GP Proxy Cards'!$B:$B,$B6,'NeT GP Proxy Cards'!$E:$E,"No", 'NeT GP Proxy Cards'!$G:$G,"Yes")</f>
        <v>3</v>
      </c>
      <c r="R6" s="188">
        <f>LEN($S6)-LEN(SUBSTITUTE($S6,",",""))+1</f>
        <v>6</v>
      </c>
      <c r="S6" s="139" t="s">
        <v>3311</v>
      </c>
      <c r="T6" s="185">
        <f>IF(LEN($U6)=0,"",LEN($U6)-LEN(SUBSTITUTE($U6,",",""))+1)</f>
        <v>3</v>
      </c>
      <c r="U6" s="141" t="s">
        <v>3312</v>
      </c>
      <c r="V6" s="141" t="s">
        <v>10</v>
      </c>
      <c r="W6" s="141" t="s">
        <v>10</v>
      </c>
      <c r="X6" s="141" t="s">
        <v>629</v>
      </c>
      <c r="Y6" s="145">
        <v>1</v>
      </c>
      <c r="Z6" s="145" t="s">
        <v>630</v>
      </c>
      <c r="AA6" s="190" t="str">
        <f>IF(OR(E6&gt;0,G6&gt;0),"Yes","No")</f>
        <v>Yes</v>
      </c>
    </row>
    <row r="7" spans="1:27" ht="67.5" customHeight="1" x14ac:dyDescent="0.35">
      <c r="A7" s="198">
        <v>2</v>
      </c>
      <c r="B7" s="211" t="str">
        <f>VLOOKUP($A7,'ELMS Categories'!$B$5:$C$14,2,FALSE)</f>
        <v>Stormwater - Industrial</v>
      </c>
      <c r="C7" s="78">
        <f t="shared" ref="C7:C15" si="0">SUM(D7,F7)</f>
        <v>63</v>
      </c>
      <c r="D7" s="77">
        <f>COUNTIFS('NeT GP - table_export'!$Z:$Z,$B7, 'NeT GP - table_export'!$K:$K,"Yes",'NeT GP - table_export'!$L:$L,"Yes")</f>
        <v>50</v>
      </c>
      <c r="E7" s="79">
        <f>COUNTIFS('NeT GP - table_export'!$Z:$Z,$B7, 'NeT GP - table_export'!$K:$K,"Yes",'NeT GP - table_export'!$L:$L,"Yes",'NeT GP - table_export'!$AA:$AA,"Yes")</f>
        <v>50</v>
      </c>
      <c r="F7" s="79">
        <f>COUNTIFS('NeT GP - table_export'!$Z:$Z,$B7, 'NeT GP - table_export'!$K:$K,"No",'NeT GP - table_export'!$L:$L,"Yes")</f>
        <v>13</v>
      </c>
      <c r="G7" s="80">
        <f>COUNTIFS('NeT GP - table_export'!$Z:$Z,$B7, 'NeT GP - table_export'!$K:$K,"No",'NeT GP - table_export'!$L:$L,"Yes",'NeT GP - table_export'!$AA:$AA,"Yes")</f>
        <v>3</v>
      </c>
      <c r="H7" s="78">
        <f t="shared" ref="H7:H15" si="1">SUM(I7,K7)</f>
        <v>12070</v>
      </c>
      <c r="I7" s="77">
        <f>SUMIFS('NeT GP - table_export'!$J:$J,'NeT GP - table_export'!$Z:$Z,$B7,'NeT GP - table_export'!$K:$K,"Yes",'NeT GP - table_export'!$L:$L,"Yes")</f>
        <v>2292</v>
      </c>
      <c r="J7" s="79">
        <f>SUMIFS('NeT GP - table_export'!$J:$J,'NeT GP - table_export'!$Z:$Z,$B7,'NeT GP - table_export'!$K:$K,"Yes",'NeT GP - table_export'!$L:$L,"Yes",'NeT GP - table_export'!$AA:$AA,"Yes")</f>
        <v>2292</v>
      </c>
      <c r="K7" s="79">
        <f>SUMIFS('NeT GP - table_export'!$J:$J,'NeT GP - table_export'!$Z:$Z,$B7,'NeT GP - table_export'!$K:$K,"No",'NeT GP - table_export'!$L:$L,"Yes")</f>
        <v>9778</v>
      </c>
      <c r="L7" s="80">
        <f>SUMIFS('NeT GP - table_export'!$J:$J,'NeT GP - table_export'!$Z:$Z,$B7,'NeT GP - table_export'!$K:$K,"No",'NeT GP - table_export'!$L:$L,"Yes",'NeT GP - table_export'!$AA:$AA,"Yes")</f>
        <v>1715</v>
      </c>
      <c r="M7" s="149">
        <f t="shared" ref="M7:M15" si="2">SUM(N7,P7)</f>
        <v>10</v>
      </c>
      <c r="N7" s="150">
        <f>COUNTIFS('NeT GP Proxy Cards'!$B:$B,$B7,'NeT GP Proxy Cards'!$E:$E,"Yes")</f>
        <v>1</v>
      </c>
      <c r="O7" s="152">
        <f>COUNTIFS('NeT GP Proxy Cards'!$B:$B,$B7,'NeT GP Proxy Cards'!$E:$E,"Yes", 'NeT GP Proxy Cards'!$G:$G,"Yes")</f>
        <v>1</v>
      </c>
      <c r="P7" s="152">
        <f>COUNTIFS('NeT GP Proxy Cards'!$B:$B,$B7,'NeT GP Proxy Cards'!$E:$E,"No")</f>
        <v>9</v>
      </c>
      <c r="Q7" s="151">
        <f>COUNTIFS('NeT GP Proxy Cards'!$B:$B,$B7,'NeT GP Proxy Cards'!$E:$E,"No", 'NeT GP Proxy Cards'!$G:$G,"Yes")</f>
        <v>3</v>
      </c>
      <c r="R7" s="188">
        <f t="shared" ref="R7:R15" si="3">LEN($S7)-LEN(SUBSTITUTE($S7,",",""))+1</f>
        <v>9</v>
      </c>
      <c r="S7" s="139" t="s">
        <v>3313</v>
      </c>
      <c r="T7" s="185">
        <f t="shared" ref="T7:T15" si="4">IF(LEN($U7)=0,"",LEN($U7)-LEN(SUBSTITUTE($U7,",",""))+1)</f>
        <v>3</v>
      </c>
      <c r="U7" s="141" t="s">
        <v>2197</v>
      </c>
      <c r="V7" s="141" t="s">
        <v>10</v>
      </c>
      <c r="W7" s="141" t="s">
        <v>6</v>
      </c>
      <c r="X7" s="141" t="s">
        <v>628</v>
      </c>
      <c r="Y7" s="146">
        <v>1</v>
      </c>
      <c r="Z7" s="146" t="s">
        <v>630</v>
      </c>
      <c r="AA7" s="191" t="str">
        <f t="shared" ref="AA7:AA15" si="5">IF(OR(E7&gt;0,G7&gt;0),"Yes","No")</f>
        <v>Yes</v>
      </c>
    </row>
    <row r="8" spans="1:27" ht="85" customHeight="1" x14ac:dyDescent="0.35">
      <c r="A8" s="198">
        <v>3</v>
      </c>
      <c r="B8" s="211" t="str">
        <f>VLOOKUP($A8,'ELMS Categories'!$B$5:$C$14,2,FALSE)</f>
        <v>Oil and Gas Extraction</v>
      </c>
      <c r="C8" s="78">
        <f t="shared" si="0"/>
        <v>2</v>
      </c>
      <c r="D8" s="77">
        <f>COUNTIFS('NeT GP - table_export'!$Z:$Z,$B8, 'NeT GP - table_export'!$K:$K,"Yes",'NeT GP - table_export'!$L:$L,"Yes")</f>
        <v>2</v>
      </c>
      <c r="E8" s="79">
        <f>COUNTIFS('NeT GP - table_export'!$Z:$Z,$B8, 'NeT GP - table_export'!$K:$K,"Yes",'NeT GP - table_export'!$L:$L,"Yes",'NeT GP - table_export'!$AA:$AA,"Yes")</f>
        <v>2</v>
      </c>
      <c r="F8" s="79">
        <f>COUNTIFS('NeT GP - table_export'!$Z:$Z,$B8, 'NeT GP - table_export'!$K:$K,"No",'NeT GP - table_export'!$L:$L,"Yes")</f>
        <v>0</v>
      </c>
      <c r="G8" s="80">
        <f>COUNTIFS('NeT GP - table_export'!$Z:$Z,$B8, 'NeT GP - table_export'!$K:$K,"No",'NeT GP - table_export'!$L:$L,"Yes",'NeT GP - table_export'!$AA:$AA,"Yes")</f>
        <v>0</v>
      </c>
      <c r="H8" s="78">
        <f t="shared" si="1"/>
        <v>10521</v>
      </c>
      <c r="I8" s="77">
        <f>SUMIFS('NeT GP - table_export'!$J:$J,'NeT GP - table_export'!$Z:$Z,$B8,'NeT GP - table_export'!$K:$K,"Yes",'NeT GP - table_export'!$L:$L,"Yes")</f>
        <v>10521</v>
      </c>
      <c r="J8" s="79">
        <f>SUMIFS('NeT GP - table_export'!$J:$J,'NeT GP - table_export'!$Z:$Z,$B8,'NeT GP - table_export'!$K:$K,"Yes",'NeT GP - table_export'!$L:$L,"Yes",'NeT GP - table_export'!$AA:$AA,"Yes")</f>
        <v>10521</v>
      </c>
      <c r="K8" s="77">
        <f>SUMIFS('NeT GP - table_export'!$J:$J,'NeT GP - table_export'!$Z:$Z,$B8,'NeT GP - table_export'!$K:$K,"No",'NeT GP - table_export'!$L:$L,"Yes")</f>
        <v>0</v>
      </c>
      <c r="L8" s="80">
        <f>SUMIFS('NeT GP - table_export'!$J:$J,'NeT GP - table_export'!$Z:$Z,$B8,'NeT GP - table_export'!$K:$K,"No",'NeT GP - table_export'!$L:$L,"Yes",'NeT GP - table_export'!$AA:$AA,"Yes")</f>
        <v>0</v>
      </c>
      <c r="M8" s="149">
        <f t="shared" si="2"/>
        <v>2</v>
      </c>
      <c r="N8" s="150">
        <f>COUNTIFS('NeT GP Proxy Cards'!$B:$B,$B8,'NeT GP Proxy Cards'!$E:$E,"Yes")</f>
        <v>2</v>
      </c>
      <c r="O8" s="152">
        <f>COUNTIFS('NeT GP Proxy Cards'!$B:$B,$B8,'NeT GP Proxy Cards'!$E:$E,"Yes", 'NeT GP Proxy Cards'!$G:$G,"Yes")</f>
        <v>2</v>
      </c>
      <c r="P8" s="149">
        <f>COUNTIFS('NeT GP Proxy Cards'!$B:$B,$B8,'NeT GP Proxy Cards'!$E:$E,"No")</f>
        <v>0</v>
      </c>
      <c r="Q8" s="151">
        <f>COUNTIFS('NeT GP Proxy Cards'!$B:$B,$B8,'NeT GP Proxy Cards'!$E:$E,"No", 'NeT GP Proxy Cards'!$G:$G,"Yes")</f>
        <v>0</v>
      </c>
      <c r="R8" s="188">
        <f t="shared" si="3"/>
        <v>1</v>
      </c>
      <c r="S8" s="139" t="s">
        <v>634</v>
      </c>
      <c r="T8" s="185" t="str">
        <f t="shared" si="4"/>
        <v/>
      </c>
      <c r="U8" s="141"/>
      <c r="V8" s="141" t="s">
        <v>10</v>
      </c>
      <c r="W8" s="141" t="s">
        <v>6</v>
      </c>
      <c r="X8" s="141" t="s">
        <v>628</v>
      </c>
      <c r="Y8" s="146">
        <v>1</v>
      </c>
      <c r="Z8" s="146" t="s">
        <v>3220</v>
      </c>
      <c r="AA8" s="191" t="str">
        <f t="shared" si="5"/>
        <v>Yes</v>
      </c>
    </row>
    <row r="9" spans="1:27" ht="41" customHeight="1" x14ac:dyDescent="0.35">
      <c r="A9" s="198">
        <v>4</v>
      </c>
      <c r="B9" s="211" t="str">
        <f>VLOOKUP($A9,'ELMS Categories'!$B$5:$C$14,2,FALSE)</f>
        <v>Aquaculture and Seafood Processing</v>
      </c>
      <c r="C9" s="78">
        <f t="shared" si="0"/>
        <v>14</v>
      </c>
      <c r="D9" s="77">
        <f>COUNTIFS('NeT GP - table_export'!$Z:$Z,$B9, 'NeT GP - table_export'!$K:$K,"Yes",'NeT GP - table_export'!$L:$L,"Yes")</f>
        <v>8</v>
      </c>
      <c r="E9" s="79">
        <f>COUNTIFS('NeT GP - table_export'!$Z:$Z,$B9, 'NeT GP - table_export'!$K:$K,"Yes",'NeT GP - table_export'!$L:$L,"Yes",'NeT GP - table_export'!$AA:$AA,"Yes")</f>
        <v>6</v>
      </c>
      <c r="F9" s="79">
        <f>COUNTIFS('NeT GP - table_export'!$Z:$Z,$B9, 'NeT GP - table_export'!$K:$K,"No",'NeT GP - table_export'!$L:$L,"Yes")</f>
        <v>6</v>
      </c>
      <c r="G9" s="80">
        <f>COUNTIFS('NeT GP - table_export'!$Z:$Z,$B9, 'NeT GP - table_export'!$K:$K,"No",'NeT GP - table_export'!$L:$L,"Yes",'NeT GP - table_export'!$AA:$AA,"Yes")</f>
        <v>2</v>
      </c>
      <c r="H9" s="78">
        <f t="shared" si="1"/>
        <v>283</v>
      </c>
      <c r="I9" s="77">
        <f>SUMIFS('NeT GP - table_export'!$J:$J,'NeT GP - table_export'!$Z:$Z,$B9,'NeT GP - table_export'!$K:$K,"Yes",'NeT GP - table_export'!$L:$L,"Yes")</f>
        <v>138</v>
      </c>
      <c r="J9" s="79">
        <f>SUMIFS('NeT GP - table_export'!$J:$J,'NeT GP - table_export'!$Z:$Z,$B9,'NeT GP - table_export'!$K:$K,"Yes",'NeT GP - table_export'!$L:$L,"Yes",'NeT GP - table_export'!$AA:$AA,"Yes")</f>
        <v>50</v>
      </c>
      <c r="K9" s="79">
        <f>SUMIFS('NeT GP - table_export'!$J:$J,'NeT GP - table_export'!$Z:$Z,$B9,'NeT GP - table_export'!$K:$K,"No",'NeT GP - table_export'!$L:$L,"Yes")</f>
        <v>145</v>
      </c>
      <c r="L9" s="80">
        <f>SUMIFS('NeT GP - table_export'!$J:$J,'NeT GP - table_export'!$Z:$Z,$B9,'NeT GP - table_export'!$K:$K,"No",'NeT GP - table_export'!$L:$L,"Yes",'NeT GP - table_export'!$AA:$AA,"Yes")</f>
        <v>22</v>
      </c>
      <c r="M9" s="149">
        <f t="shared" si="2"/>
        <v>10</v>
      </c>
      <c r="N9" s="150">
        <f>COUNTIFS('NeT GP Proxy Cards'!$B:$B,$B9,'NeT GP Proxy Cards'!$E:$E,"Yes")</f>
        <v>5</v>
      </c>
      <c r="O9" s="152">
        <f>COUNTIFS('NeT GP Proxy Cards'!$B:$B,$B9,'NeT GP Proxy Cards'!$E:$E,"Yes", 'NeT GP Proxy Cards'!$G:$G,"Yes")</f>
        <v>4</v>
      </c>
      <c r="P9" s="152">
        <f>COUNTIFS('NeT GP Proxy Cards'!$B:$B,$B9,'NeT GP Proxy Cards'!$E:$E,"No")</f>
        <v>5</v>
      </c>
      <c r="Q9" s="151">
        <f>COUNTIFS('NeT GP Proxy Cards'!$B:$B,$B9,'NeT GP Proxy Cards'!$E:$E,"No", 'NeT GP Proxy Cards'!$G:$G,"Yes")</f>
        <v>1</v>
      </c>
      <c r="R9" s="188">
        <f t="shared" si="3"/>
        <v>4</v>
      </c>
      <c r="S9" s="139" t="s">
        <v>3314</v>
      </c>
      <c r="T9" s="185">
        <f t="shared" si="4"/>
        <v>2</v>
      </c>
      <c r="U9" s="141" t="s">
        <v>2161</v>
      </c>
      <c r="V9" s="141" t="s">
        <v>10</v>
      </c>
      <c r="W9" s="141" t="s">
        <v>6</v>
      </c>
      <c r="X9" s="141" t="s">
        <v>628</v>
      </c>
      <c r="Y9" s="146">
        <v>1</v>
      </c>
      <c r="Z9" s="146" t="s">
        <v>2257</v>
      </c>
      <c r="AA9" s="191" t="str">
        <f t="shared" si="5"/>
        <v>Yes</v>
      </c>
    </row>
    <row r="10" spans="1:27" ht="47.15" customHeight="1" x14ac:dyDescent="0.35">
      <c r="A10" s="198">
        <v>5</v>
      </c>
      <c r="B10" s="211" t="str">
        <f>VLOOKUP($A10,'ELMS Categories'!$B$5:$C$14,2,FALSE)</f>
        <v>Pesticide Application</v>
      </c>
      <c r="C10" s="78">
        <f t="shared" si="0"/>
        <v>52</v>
      </c>
      <c r="D10" s="77">
        <f>COUNTIFS('NeT GP - table_export'!$Z:$Z,$B10, 'NeT GP - table_export'!$K:$K,"Yes",'NeT GP - table_export'!$L:$L,"Yes")</f>
        <v>41</v>
      </c>
      <c r="E10" s="79">
        <f>COUNTIFS('NeT GP - table_export'!$Z:$Z,$B10, 'NeT GP - table_export'!$K:$K,"Yes",'NeT GP - table_export'!$L:$L,"Yes",'NeT GP - table_export'!$AA:$AA,"Yes")</f>
        <v>41</v>
      </c>
      <c r="F10" s="79">
        <f>COUNTIFS('NeT GP - table_export'!$Z:$Z,$B10, 'NeT GP - table_export'!$K:$K,"No",'NeT GP - table_export'!$L:$L,"Yes")</f>
        <v>11</v>
      </c>
      <c r="G10" s="80">
        <f>COUNTIFS('NeT GP - table_export'!$Z:$Z,$B10, 'NeT GP - table_export'!$K:$K,"No",'NeT GP - table_export'!$L:$L,"Yes",'NeT GP - table_export'!$AA:$AA,"Yes")</f>
        <v>3</v>
      </c>
      <c r="H10" s="78">
        <f t="shared" si="1"/>
        <v>2885</v>
      </c>
      <c r="I10" s="77">
        <f>SUMIFS('NeT GP - table_export'!$J:$J,'NeT GP - table_export'!$Z:$Z,$B10,'NeT GP - table_export'!$K:$K,"Yes",'NeT GP - table_export'!$L:$L,"Yes")</f>
        <v>151</v>
      </c>
      <c r="J10" s="79">
        <f>SUMIFS('NeT GP - table_export'!$J:$J,'NeT GP - table_export'!$Z:$Z,$B10,'NeT GP - table_export'!$K:$K,"Yes",'NeT GP - table_export'!$L:$L,"Yes",'NeT GP - table_export'!$AA:$AA,"Yes")</f>
        <v>151</v>
      </c>
      <c r="K10" s="79">
        <f>SUMIFS('NeT GP - table_export'!$J:$J,'NeT GP - table_export'!$Z:$Z,$B10,'NeT GP - table_export'!$K:$K,"No",'NeT GP - table_export'!$L:$L,"Yes")</f>
        <v>2734</v>
      </c>
      <c r="L10" s="80">
        <f>SUMIFS('NeT GP - table_export'!$J:$J,'NeT GP - table_export'!$Z:$Z,$B10,'NeT GP - table_export'!$K:$K,"No",'NeT GP - table_export'!$L:$L,"Yes",'NeT GP - table_export'!$AA:$AA,"Yes")</f>
        <v>603</v>
      </c>
      <c r="M10" s="149">
        <f t="shared" si="2"/>
        <v>9</v>
      </c>
      <c r="N10" s="150">
        <f>COUNTIFS('NeT GP Proxy Cards'!$B:$B,$B10,'NeT GP Proxy Cards'!$E:$E,"Yes")</f>
        <v>1</v>
      </c>
      <c r="O10" s="152">
        <f>COUNTIFS('NeT GP Proxy Cards'!$B:$B,$B10,'NeT GP Proxy Cards'!$E:$E,"Yes", 'NeT GP Proxy Cards'!$G:$G,"Yes")</f>
        <v>1</v>
      </c>
      <c r="P10" s="152">
        <f>COUNTIFS('NeT GP Proxy Cards'!$B:$B,$B10,'NeT GP Proxy Cards'!$E:$E,"No")</f>
        <v>8</v>
      </c>
      <c r="Q10" s="151">
        <f>COUNTIFS('NeT GP Proxy Cards'!$B:$B,$B10,'NeT GP Proxy Cards'!$E:$E,"No", 'NeT GP Proxy Cards'!$G:$G,"Yes")</f>
        <v>3</v>
      </c>
      <c r="R10" s="188">
        <f t="shared" si="3"/>
        <v>8</v>
      </c>
      <c r="S10" s="139" t="s">
        <v>3315</v>
      </c>
      <c r="T10" s="185">
        <f t="shared" si="4"/>
        <v>3</v>
      </c>
      <c r="U10" s="141" t="s">
        <v>3316</v>
      </c>
      <c r="V10" s="141" t="s">
        <v>10</v>
      </c>
      <c r="W10" s="141" t="s">
        <v>10</v>
      </c>
      <c r="X10" s="141" t="s">
        <v>629</v>
      </c>
      <c r="Y10" s="145">
        <v>2</v>
      </c>
      <c r="Z10" s="145" t="s">
        <v>630</v>
      </c>
      <c r="AA10" s="191" t="str">
        <f t="shared" si="5"/>
        <v>Yes</v>
      </c>
    </row>
    <row r="11" spans="1:27" ht="46.5" customHeight="1" x14ac:dyDescent="0.35">
      <c r="A11" s="198">
        <v>6</v>
      </c>
      <c r="B11" s="211" t="str">
        <f>VLOOKUP($A11,'ELMS Categories'!$B$5:$C$14,2,FALSE)</f>
        <v>Groundwater Remediation, Dewatering, and Hydrostatic Testing</v>
      </c>
      <c r="C11" s="78">
        <f t="shared" si="0"/>
        <v>24</v>
      </c>
      <c r="D11" s="77">
        <f>COUNTIFS('NeT GP - table_export'!$Z:$Z,$B11, 'NeT GP - table_export'!$K:$K,"Yes",'NeT GP - table_export'!$L:$L,"Yes")</f>
        <v>11</v>
      </c>
      <c r="E11" s="79">
        <f>COUNTIFS('NeT GP - table_export'!$Z:$Z,$B11, 'NeT GP - table_export'!$K:$K,"Yes",'NeT GP - table_export'!$L:$L,"Yes",'NeT GP - table_export'!$AA:$AA,"Yes")</f>
        <v>11</v>
      </c>
      <c r="F11" s="79">
        <f>COUNTIFS('NeT GP - table_export'!$Z:$Z,$B11, 'NeT GP - table_export'!$K:$K,"No",'NeT GP - table_export'!$L:$L,"Yes")</f>
        <v>13</v>
      </c>
      <c r="G11" s="80">
        <f>COUNTIFS('NeT GP - table_export'!$Z:$Z,$B11, 'NeT GP - table_export'!$K:$K,"No",'NeT GP - table_export'!$L:$L,"Yes",'NeT GP - table_export'!$AA:$AA,"Yes")</f>
        <v>1</v>
      </c>
      <c r="H11" s="78">
        <f t="shared" si="1"/>
        <v>1132</v>
      </c>
      <c r="I11" s="77">
        <f>SUMIFS('NeT GP - table_export'!$J:$J,'NeT GP - table_export'!$Z:$Z,$B11,'NeT GP - table_export'!$K:$K,"Yes",'NeT GP - table_export'!$L:$L,"Yes")</f>
        <v>175</v>
      </c>
      <c r="J11" s="79">
        <f>SUMIFS('NeT GP - table_export'!$J:$J,'NeT GP - table_export'!$Z:$Z,$B11,'NeT GP - table_export'!$K:$K,"Yes",'NeT GP - table_export'!$L:$L,"Yes",'NeT GP - table_export'!$AA:$AA,"Yes")</f>
        <v>175</v>
      </c>
      <c r="K11" s="79">
        <f>SUMIFS('NeT GP - table_export'!$J:$J,'NeT GP - table_export'!$Z:$Z,$B11,'NeT GP - table_export'!$K:$K,"No",'NeT GP - table_export'!$L:$L,"Yes")</f>
        <v>957</v>
      </c>
      <c r="L11" s="80">
        <f>SUMIFS('NeT GP - table_export'!$J:$J,'NeT GP - table_export'!$Z:$Z,$B11,'NeT GP - table_export'!$K:$K,"No",'NeT GP - table_export'!$L:$L,"Yes",'NeT GP - table_export'!$AA:$AA,"Yes")</f>
        <v>39</v>
      </c>
      <c r="M11" s="149">
        <f t="shared" si="2"/>
        <v>10</v>
      </c>
      <c r="N11" s="150">
        <f>COUNTIFS('NeT GP Proxy Cards'!$B:$B,$B11,'NeT GP Proxy Cards'!$E:$E,"Yes")</f>
        <v>2</v>
      </c>
      <c r="O11" s="152">
        <f>COUNTIFS('NeT GP Proxy Cards'!$B:$B,$B11,'NeT GP Proxy Cards'!$E:$E,"Yes", 'NeT GP Proxy Cards'!$G:$G,"Yes")</f>
        <v>2</v>
      </c>
      <c r="P11" s="152">
        <f>COUNTIFS('NeT GP Proxy Cards'!$B:$B,$B11,'NeT GP Proxy Cards'!$E:$E,"No")</f>
        <v>8</v>
      </c>
      <c r="Q11" s="151">
        <f>COUNTIFS('NeT GP Proxy Cards'!$B:$B,$B11,'NeT GP Proxy Cards'!$E:$E,"No", 'NeT GP Proxy Cards'!$G:$G,"Yes")</f>
        <v>1</v>
      </c>
      <c r="R11" s="188">
        <f t="shared" si="3"/>
        <v>8</v>
      </c>
      <c r="S11" s="139" t="s">
        <v>3317</v>
      </c>
      <c r="T11" s="185">
        <f t="shared" si="4"/>
        <v>1</v>
      </c>
      <c r="U11" s="141" t="s">
        <v>550</v>
      </c>
      <c r="V11" s="141" t="s">
        <v>10</v>
      </c>
      <c r="W11" s="141" t="s">
        <v>6</v>
      </c>
      <c r="X11" s="141" t="s">
        <v>629</v>
      </c>
      <c r="Y11" s="145">
        <v>2</v>
      </c>
      <c r="Z11" s="145" t="s">
        <v>630</v>
      </c>
      <c r="AA11" s="191" t="str">
        <f t="shared" si="5"/>
        <v>Yes</v>
      </c>
    </row>
    <row r="12" spans="1:27" ht="51.5" customHeight="1" x14ac:dyDescent="0.35">
      <c r="A12" s="198">
        <v>7</v>
      </c>
      <c r="B12" s="211" t="str">
        <f>VLOOKUP($A12,'ELMS Categories'!$B$5:$C$14,2,FALSE)</f>
        <v>Stormwater - MS4</v>
      </c>
      <c r="C12" s="78">
        <f t="shared" si="0"/>
        <v>23</v>
      </c>
      <c r="D12" s="77">
        <f>COUNTIFS('NeT GP - table_export'!$Z:$Z,$B12, 'NeT GP - table_export'!$K:$K,"Yes",'NeT GP - table_export'!$L:$L,"Yes")</f>
        <v>9</v>
      </c>
      <c r="E12" s="79">
        <f>COUNTIFS('NeT GP - table_export'!$Z:$Z,$B12, 'NeT GP - table_export'!$K:$K,"Yes",'NeT GP - table_export'!$L:$L,"Yes",'NeT GP - table_export'!$AA:$AA,"Yes")</f>
        <v>0</v>
      </c>
      <c r="F12" s="79">
        <f>COUNTIFS('NeT GP - table_export'!$Z:$Z,$B12, 'NeT GP - table_export'!$K:$K,"No",'NeT GP - table_export'!$L:$L,"Yes")</f>
        <v>14</v>
      </c>
      <c r="G12" s="80">
        <f>COUNTIFS('NeT GP - table_export'!$Z:$Z,$B12, 'NeT GP - table_export'!$K:$K,"No",'NeT GP - table_export'!$L:$L,"Yes",'NeT GP - table_export'!$AA:$AA,"Yes")</f>
        <v>3</v>
      </c>
      <c r="H12" s="78">
        <f t="shared" si="1"/>
        <v>1841</v>
      </c>
      <c r="I12" s="77">
        <f>SUMIFS('NeT GP - table_export'!$J:$J,'NeT GP - table_export'!$Z:$Z,$B12,'NeT GP - table_export'!$K:$K,"Yes",'NeT GP - table_export'!$L:$L,"Yes")</f>
        <v>445</v>
      </c>
      <c r="J12" s="79">
        <f>SUMIFS('NeT GP - table_export'!$J:$J,'NeT GP - table_export'!$Z:$Z,$B12,'NeT GP - table_export'!$K:$K,"Yes",'NeT GP - table_export'!$L:$L,"Yes",'NeT GP - table_export'!$AA:$AA,"Yes")</f>
        <v>0</v>
      </c>
      <c r="K12" s="79">
        <f>SUMIFS('NeT GP - table_export'!$J:$J,'NeT GP - table_export'!$Z:$Z,$B12,'NeT GP - table_export'!$K:$K,"No",'NeT GP - table_export'!$L:$L,"Yes")</f>
        <v>1396</v>
      </c>
      <c r="L12" s="80">
        <f>SUMIFS('NeT GP - table_export'!$J:$J,'NeT GP - table_export'!$Z:$Z,$B12,'NeT GP - table_export'!$K:$K,"No",'NeT GP - table_export'!$L:$L,"Yes",'NeT GP - table_export'!$AA:$AA,"Yes")</f>
        <v>609</v>
      </c>
      <c r="M12" s="149">
        <f t="shared" si="2"/>
        <v>14</v>
      </c>
      <c r="N12" s="150">
        <f>COUNTIFS('NeT GP Proxy Cards'!$B:$B,$B12,'NeT GP Proxy Cards'!$E:$E,"Yes")</f>
        <v>4</v>
      </c>
      <c r="O12" s="152">
        <f>COUNTIFS('NeT GP Proxy Cards'!$B:$B,$B12,'NeT GP Proxy Cards'!$E:$E,"Yes", 'NeT GP Proxy Cards'!$G:$G,"Yes")</f>
        <v>0</v>
      </c>
      <c r="P12" s="152">
        <f>COUNTIFS('NeT GP Proxy Cards'!$B:$B,$B12,'NeT GP Proxy Cards'!$E:$E,"No")</f>
        <v>10</v>
      </c>
      <c r="Q12" s="151">
        <f>COUNTIFS('NeT GP Proxy Cards'!$B:$B,$B12,'NeT GP Proxy Cards'!$E:$E,"No", 'NeT GP Proxy Cards'!$G:$G,"Yes")</f>
        <v>3</v>
      </c>
      <c r="R12" s="188">
        <f t="shared" si="3"/>
        <v>10</v>
      </c>
      <c r="S12" s="139" t="s">
        <v>3318</v>
      </c>
      <c r="T12" s="185">
        <f t="shared" si="4"/>
        <v>3</v>
      </c>
      <c r="U12" s="141" t="s">
        <v>3319</v>
      </c>
      <c r="V12" s="141" t="s">
        <v>6</v>
      </c>
      <c r="W12" s="141" t="s">
        <v>10</v>
      </c>
      <c r="X12" s="141" t="s">
        <v>631</v>
      </c>
      <c r="Y12" s="146">
        <v>2</v>
      </c>
      <c r="Z12" s="146" t="s">
        <v>630</v>
      </c>
      <c r="AA12" s="191" t="str">
        <f t="shared" si="5"/>
        <v>Yes</v>
      </c>
    </row>
    <row r="13" spans="1:27" ht="47" customHeight="1" x14ac:dyDescent="0.35">
      <c r="A13" s="198">
        <v>8</v>
      </c>
      <c r="B13" s="211" t="str">
        <f>VLOOKUP($A13,'ELMS Categories'!$B$5:$C$14,2,FALSE)</f>
        <v>Domestic Wastewater and Drinking Water Treatment</v>
      </c>
      <c r="C13" s="78">
        <f t="shared" si="0"/>
        <v>29</v>
      </c>
      <c r="D13" s="77">
        <f>COUNTIFS('NeT GP - table_export'!$Z:$Z,$B13, 'NeT GP - table_export'!$K:$K,"Yes",'NeT GP - table_export'!$L:$L,"Yes")</f>
        <v>17</v>
      </c>
      <c r="E13" s="79">
        <f>COUNTIFS('NeT GP - table_export'!$Z:$Z,$B13, 'NeT GP - table_export'!$K:$K,"Yes",'NeT GP - table_export'!$L:$L,"Yes",'NeT GP - table_export'!$AA:$AA,"Yes")</f>
        <v>0</v>
      </c>
      <c r="F13" s="79">
        <f>COUNTIFS('NeT GP - table_export'!$Z:$Z,$B13, 'NeT GP - table_export'!$K:$K,"No",'NeT GP - table_export'!$L:$L,"Yes")</f>
        <v>12</v>
      </c>
      <c r="G13" s="80">
        <f>COUNTIFS('NeT GP - table_export'!$Z:$Z,$B13, 'NeT GP - table_export'!$K:$K,"No",'NeT GP - table_export'!$L:$L,"Yes",'NeT GP - table_export'!$AA:$AA,"Yes")</f>
        <v>0</v>
      </c>
      <c r="H13" s="78">
        <f t="shared" si="1"/>
        <v>1508</v>
      </c>
      <c r="I13" s="77">
        <f>SUMIFS('NeT GP - table_export'!$J:$J,'NeT GP - table_export'!$Z:$Z,$B13,'NeT GP - table_export'!$K:$K,"Yes",'NeT GP - table_export'!$L:$L,"Yes")</f>
        <v>336</v>
      </c>
      <c r="J13" s="79">
        <f>SUMIFS('NeT GP - table_export'!$J:$J,'NeT GP - table_export'!$Z:$Z,$B13,'NeT GP - table_export'!$K:$K,"Yes",'NeT GP - table_export'!$L:$L,"Yes",'NeT GP - table_export'!$AA:$AA,"Yes")</f>
        <v>0</v>
      </c>
      <c r="K13" s="77">
        <f>SUMIFS('NeT GP - table_export'!$J:$J,'NeT GP - table_export'!$Z:$Z,$B13,'NeT GP - table_export'!$K:$K,"No",'NeT GP - table_export'!$L:$L,"Yes")</f>
        <v>1172</v>
      </c>
      <c r="L13" s="80">
        <f>SUMIFS('NeT GP - table_export'!$J:$J,'NeT GP - table_export'!$Z:$Z,$B13,'NeT GP - table_export'!$K:$K,"No",'NeT GP - table_export'!$L:$L,"Yes",'NeT GP - table_export'!$AA:$AA,"Yes")</f>
        <v>0</v>
      </c>
      <c r="M13" s="149">
        <f t="shared" si="2"/>
        <v>11</v>
      </c>
      <c r="N13" s="150">
        <f>COUNTIFS('NeT GP Proxy Cards'!$B:$B,$B13,'NeT GP Proxy Cards'!$E:$E,"Yes")</f>
        <v>4</v>
      </c>
      <c r="O13" s="152">
        <f>COUNTIFS('NeT GP Proxy Cards'!$B:$B,$B13,'NeT GP Proxy Cards'!$E:$E,"Yes", 'NeT GP Proxy Cards'!$G:$G,"Yes")</f>
        <v>0</v>
      </c>
      <c r="P13" s="152">
        <f>COUNTIFS('NeT GP Proxy Cards'!$B:$B,$B13,'NeT GP Proxy Cards'!$E:$E,"No")</f>
        <v>7</v>
      </c>
      <c r="Q13" s="151">
        <f>COUNTIFS('NeT GP Proxy Cards'!$B:$B,$B13,'NeT GP Proxy Cards'!$E:$E,"No", 'NeT GP Proxy Cards'!$G:$G,"Yes")</f>
        <v>0</v>
      </c>
      <c r="R13" s="188">
        <f t="shared" si="3"/>
        <v>4</v>
      </c>
      <c r="S13" s="139" t="s">
        <v>3070</v>
      </c>
      <c r="T13" s="185" t="str">
        <f t="shared" si="4"/>
        <v/>
      </c>
      <c r="U13" s="141"/>
      <c r="V13" s="141" t="s">
        <v>10</v>
      </c>
      <c r="W13" s="141" t="s">
        <v>6</v>
      </c>
      <c r="X13" s="141" t="s">
        <v>631</v>
      </c>
      <c r="Y13" s="146">
        <v>3</v>
      </c>
      <c r="Z13" s="146" t="s">
        <v>630</v>
      </c>
      <c r="AA13" s="191" t="str">
        <f t="shared" si="5"/>
        <v>No</v>
      </c>
    </row>
    <row r="14" spans="1:27" ht="59" customHeight="1" x14ac:dyDescent="0.35">
      <c r="A14" s="198">
        <v>9</v>
      </c>
      <c r="B14" s="211" t="str">
        <f>VLOOKUP($A14,'ELMS Categories'!$B$5:$C$14,2,FALSE)</f>
        <v>Miscellaneous Discharges</v>
      </c>
      <c r="C14" s="78">
        <f t="shared" si="0"/>
        <v>18</v>
      </c>
      <c r="D14" s="77">
        <f>COUNTIFS('NeT GP - table_export'!$Z:$Z,$B14, 'NeT GP - table_export'!$K:$K,"Yes",'NeT GP - table_export'!$L:$L,"Yes")</f>
        <v>8</v>
      </c>
      <c r="E14" s="79">
        <f>COUNTIFS('NeT GP - table_export'!$Z:$Z,$B14, 'NeT GP - table_export'!$K:$K,"Yes",'NeT GP - table_export'!$L:$L,"Yes",'NeT GP - table_export'!$AA:$AA,"Yes")</f>
        <v>0</v>
      </c>
      <c r="F14" s="79">
        <f>COUNTIFS('NeT GP - table_export'!$Z:$Z,$B14, 'NeT GP - table_export'!$K:$K,"No",'NeT GP - table_export'!$L:$L,"Yes")</f>
        <v>10</v>
      </c>
      <c r="G14" s="80">
        <f>COUNTIFS('NeT GP - table_export'!$Z:$Z,$B14, 'NeT GP - table_export'!$K:$K,"No",'NeT GP - table_export'!$L:$L,"Yes",'NeT GP - table_export'!$AA:$AA,"Yes")</f>
        <v>0</v>
      </c>
      <c r="H14" s="78">
        <f t="shared" si="1"/>
        <v>5222</v>
      </c>
      <c r="I14" s="77">
        <f>SUMIFS('NeT GP - table_export'!$J:$J,'NeT GP - table_export'!$Z:$Z,$B14,'NeT GP - table_export'!$K:$K,"Yes",'NeT GP - table_export'!$L:$L,"Yes")</f>
        <v>3618</v>
      </c>
      <c r="J14" s="79">
        <f>SUMIFS('NeT GP - table_export'!$J:$J,'NeT GP - table_export'!$Z:$Z,$B14,'NeT GP - table_export'!$K:$K,"Yes",'NeT GP - table_export'!$L:$L,"Yes",'NeT GP - table_export'!$AA:$AA,"Yes")</f>
        <v>0</v>
      </c>
      <c r="K14" s="79">
        <f>SUMIFS('NeT GP - table_export'!$J:$J,'NeT GP - table_export'!$Z:$Z,$B14,'NeT GP - table_export'!$K:$K,"No",'NeT GP - table_export'!$L:$L,"Yes")</f>
        <v>1604</v>
      </c>
      <c r="L14" s="80">
        <f>SUMIFS('NeT GP - table_export'!$J:$J,'NeT GP - table_export'!$Z:$Z,$B14,'NeT GP - table_export'!$K:$K,"No",'NeT GP - table_export'!$L:$L,"Yes",'NeT GP - table_export'!$AA:$AA,"Yes")</f>
        <v>0</v>
      </c>
      <c r="M14" s="149">
        <f t="shared" si="2"/>
        <v>14</v>
      </c>
      <c r="N14" s="150">
        <f>COUNTIFS('NeT GP Proxy Cards'!$B:$B,$B14,'NeT GP Proxy Cards'!$E:$E,"Yes")</f>
        <v>5</v>
      </c>
      <c r="O14" s="152">
        <f>COUNTIFS('NeT GP Proxy Cards'!$B:$B,$B14,'NeT GP Proxy Cards'!$E:$E,"Yes", 'NeT GP Proxy Cards'!$G:$G,"Yes")</f>
        <v>0</v>
      </c>
      <c r="P14" s="152">
        <f>COUNTIFS('NeT GP Proxy Cards'!$B:$B,$B14,'NeT GP Proxy Cards'!$E:$E,"No")</f>
        <v>9</v>
      </c>
      <c r="Q14" s="151">
        <f>COUNTIFS('NeT GP Proxy Cards'!$B:$B,$B14,'NeT GP Proxy Cards'!$E:$E,"No", 'NeT GP Proxy Cards'!$G:$G,"Yes")</f>
        <v>0</v>
      </c>
      <c r="R14" s="188">
        <f t="shared" si="3"/>
        <v>6</v>
      </c>
      <c r="S14" s="139" t="s">
        <v>3320</v>
      </c>
      <c r="T14" s="185" t="str">
        <f t="shared" si="4"/>
        <v/>
      </c>
      <c r="U14" s="141"/>
      <c r="V14" s="141" t="s">
        <v>6</v>
      </c>
      <c r="W14" s="141" t="s">
        <v>6</v>
      </c>
      <c r="X14" s="141" t="s">
        <v>632</v>
      </c>
      <c r="Y14" s="145">
        <v>3</v>
      </c>
      <c r="Z14" s="146" t="s">
        <v>630</v>
      </c>
      <c r="AA14" s="191" t="str">
        <f t="shared" si="5"/>
        <v>No</v>
      </c>
    </row>
    <row r="15" spans="1:27" ht="45.5" customHeight="1" thickBot="1" x14ac:dyDescent="0.4">
      <c r="A15" s="199">
        <v>10</v>
      </c>
      <c r="B15" s="214" t="str">
        <f>VLOOKUP($A15,'ELMS Categories'!$B$5:$C$14,2,FALSE)</f>
        <v>Concentrated Animal Feeding Operations (CAFOs)</v>
      </c>
      <c r="C15" s="81">
        <f t="shared" si="0"/>
        <v>10</v>
      </c>
      <c r="D15" s="82">
        <f>COUNTIFS('NeT GP - table_export'!$Z:$Z,$B15, 'NeT GP - table_export'!$K:$K,"Yes",'NeT GP - table_export'!$L:$L,"Yes")</f>
        <v>2</v>
      </c>
      <c r="E15" s="83">
        <f>COUNTIFS('NeT GP - table_export'!$Z:$Z,$B15, 'NeT GP - table_export'!$K:$K,"Yes",'NeT GP - table_export'!$L:$L,"Yes",'NeT GP - table_export'!$AA:$AA,"Yes")</f>
        <v>0</v>
      </c>
      <c r="F15" s="83">
        <f>COUNTIFS('NeT GP - table_export'!$Z:$Z,$B15, 'NeT GP - table_export'!$K:$K,"No",'NeT GP - table_export'!$L:$L,"Yes")</f>
        <v>8</v>
      </c>
      <c r="G15" s="84">
        <f>COUNTIFS('NeT GP - table_export'!$Z:$Z,$B15, 'NeT GP - table_export'!$K:$K,"No",'NeT GP - table_export'!$L:$L,"Yes",'NeT GP - table_export'!$AA:$AA,"Yes")</f>
        <v>0</v>
      </c>
      <c r="H15" s="81">
        <f t="shared" si="1"/>
        <v>502</v>
      </c>
      <c r="I15" s="82">
        <f>SUMIFS('NeT GP - table_export'!$J:$J,'NeT GP - table_export'!$Z:$Z,$B15,'NeT GP - table_export'!$K:$K,"Yes",'NeT GP - table_export'!$L:$L,"Yes")</f>
        <v>20</v>
      </c>
      <c r="J15" s="83">
        <f>SUMIFS('NeT GP - table_export'!$J:$J,'NeT GP - table_export'!$Z:$Z,$B15,'NeT GP - table_export'!$K:$K,"Yes",'NeT GP - table_export'!$L:$L,"Yes",'NeT GP - table_export'!$AA:$AA,"Yes")</f>
        <v>0</v>
      </c>
      <c r="K15" s="83">
        <f>SUMIFS('NeT GP - table_export'!$J:$J,'NeT GP - table_export'!$Z:$Z,$B15,'NeT GP - table_export'!$K:$K,"No",'NeT GP - table_export'!$L:$L,"Yes")</f>
        <v>482</v>
      </c>
      <c r="L15" s="84">
        <f>SUMIFS('NeT GP - table_export'!$J:$J,'NeT GP - table_export'!$Z:$Z,$B15,'NeT GP - table_export'!$K:$K,"No",'NeT GP - table_export'!$L:$L,"Yes",'NeT GP - table_export'!$AA:$AA,"Yes")</f>
        <v>0</v>
      </c>
      <c r="M15" s="153">
        <f t="shared" si="2"/>
        <v>7</v>
      </c>
      <c r="N15" s="154">
        <f>COUNTIFS('NeT GP Proxy Cards'!$B:$B,$B15,'NeT GP Proxy Cards'!$E:$E,"Yes")</f>
        <v>2</v>
      </c>
      <c r="O15" s="155">
        <f>COUNTIFS('NeT GP Proxy Cards'!$B:$B,$B15,'NeT GP Proxy Cards'!$E:$E,"Yes", 'NeT GP Proxy Cards'!$G:$G,"Yes")</f>
        <v>0</v>
      </c>
      <c r="P15" s="155">
        <f>COUNTIFS('NeT GP Proxy Cards'!$B:$B,$B15,'NeT GP Proxy Cards'!$E:$E,"No")</f>
        <v>5</v>
      </c>
      <c r="Q15" s="156">
        <f>COUNTIFS('NeT GP Proxy Cards'!$B:$B,$B15,'NeT GP Proxy Cards'!$E:$E,"No", 'NeT GP Proxy Cards'!$G:$G,"Yes")</f>
        <v>0</v>
      </c>
      <c r="R15" s="189">
        <f t="shared" si="3"/>
        <v>5</v>
      </c>
      <c r="S15" s="142" t="s">
        <v>633</v>
      </c>
      <c r="T15" s="186" t="str">
        <f t="shared" si="4"/>
        <v/>
      </c>
      <c r="U15" s="144"/>
      <c r="V15" s="144" t="s">
        <v>6</v>
      </c>
      <c r="W15" s="144" t="s">
        <v>10</v>
      </c>
      <c r="X15" s="144" t="s">
        <v>631</v>
      </c>
      <c r="Y15" s="147">
        <v>4</v>
      </c>
      <c r="Z15" s="147" t="s">
        <v>630</v>
      </c>
      <c r="AA15" s="192" t="str">
        <f t="shared" si="5"/>
        <v>No</v>
      </c>
    </row>
    <row r="17" spans="1:27" x14ac:dyDescent="0.35">
      <c r="B17" s="76" t="s">
        <v>420</v>
      </c>
      <c r="C17" s="4">
        <f t="shared" ref="C17:Q17" si="6">SUM(C6:C15)</f>
        <v>291</v>
      </c>
      <c r="D17" s="4">
        <f t="shared" si="6"/>
        <v>197</v>
      </c>
      <c r="E17" s="4">
        <f t="shared" si="6"/>
        <v>159</v>
      </c>
      <c r="F17" s="4">
        <f t="shared" si="6"/>
        <v>94</v>
      </c>
      <c r="G17" s="4">
        <f t="shared" si="6"/>
        <v>16</v>
      </c>
      <c r="H17" s="4">
        <f t="shared" si="6"/>
        <v>55045</v>
      </c>
      <c r="I17" s="4">
        <f t="shared" si="6"/>
        <v>28453</v>
      </c>
      <c r="J17" s="4">
        <f t="shared" si="6"/>
        <v>23946</v>
      </c>
      <c r="K17" s="4">
        <f t="shared" si="6"/>
        <v>26592</v>
      </c>
      <c r="L17" s="4">
        <f t="shared" si="6"/>
        <v>9407</v>
      </c>
      <c r="M17" s="4">
        <f t="shared" si="6"/>
        <v>94</v>
      </c>
      <c r="N17" s="4">
        <f t="shared" si="6"/>
        <v>27</v>
      </c>
      <c r="O17" s="4">
        <f t="shared" si="6"/>
        <v>11</v>
      </c>
      <c r="P17" s="4">
        <f t="shared" si="6"/>
        <v>67</v>
      </c>
      <c r="Q17" s="4">
        <f t="shared" si="6"/>
        <v>14</v>
      </c>
      <c r="U17" s="4"/>
    </row>
    <row r="20" spans="1:27" ht="15" thickBot="1" x14ac:dyDescent="0.4"/>
    <row r="21" spans="1:27" s="92" customFormat="1" ht="79.5" customHeight="1" x14ac:dyDescent="0.35">
      <c r="A21" s="72" t="s">
        <v>554</v>
      </c>
      <c r="B21" s="73" t="s">
        <v>553</v>
      </c>
      <c r="C21" s="75" t="s">
        <v>552</v>
      </c>
      <c r="D21" s="87" t="s">
        <v>557</v>
      </c>
      <c r="E21" s="73" t="s">
        <v>558</v>
      </c>
      <c r="F21" s="74" t="s">
        <v>636</v>
      </c>
      <c r="G21" s="74" t="s">
        <v>559</v>
      </c>
      <c r="H21" s="75" t="s">
        <v>637</v>
      </c>
      <c r="I21" s="72" t="s">
        <v>1843</v>
      </c>
      <c r="J21" s="73" t="s">
        <v>1844</v>
      </c>
      <c r="K21" s="73" t="s">
        <v>1847</v>
      </c>
      <c r="L21" s="74" t="s">
        <v>1845</v>
      </c>
      <c r="M21" s="75" t="s">
        <v>1848</v>
      </c>
      <c r="N21" s="157" t="s">
        <v>638</v>
      </c>
      <c r="O21" s="72" t="s">
        <v>2059</v>
      </c>
      <c r="P21" s="87" t="s">
        <v>2060</v>
      </c>
      <c r="Q21" s="87" t="s">
        <v>2061</v>
      </c>
      <c r="R21" s="87" t="s">
        <v>2062</v>
      </c>
      <c r="S21" s="75" t="s">
        <v>2063</v>
      </c>
      <c r="T21" s="72" t="s">
        <v>639</v>
      </c>
      <c r="U21" s="73" t="s">
        <v>640</v>
      </c>
      <c r="V21" s="75" t="s">
        <v>641</v>
      </c>
      <c r="W21" s="72" t="s">
        <v>642</v>
      </c>
      <c r="X21" s="73" t="s">
        <v>2195</v>
      </c>
      <c r="Y21" s="75" t="s">
        <v>2</v>
      </c>
      <c r="Z21" s="86" t="s">
        <v>3198</v>
      </c>
      <c r="AA21" s="91"/>
    </row>
    <row r="22" spans="1:27" s="92" customFormat="1" ht="37.5" customHeight="1" x14ac:dyDescent="0.35">
      <c r="A22" s="78">
        <v>4</v>
      </c>
      <c r="B22" s="77" t="s">
        <v>555</v>
      </c>
      <c r="C22" s="215" t="s">
        <v>548</v>
      </c>
      <c r="D22" s="88">
        <f>SUM(E22,G22)</f>
        <v>54</v>
      </c>
      <c r="E22" s="77">
        <f>COUNTIFS('NeT PR - table_export'!$D:$D,$C22, 'NeT PR - table_export'!$E:$E,"Yes",'NeT PR - table_export'!$F:$F,"Yes")</f>
        <v>50</v>
      </c>
      <c r="F22" s="77">
        <f>COUNTIFS('NeT PR - table_export'!$D:$D,$C22, 'NeT PR - table_export'!$E:$E,"Yes",'NeT PR - table_export'!$F:$F,"Yes",'NeT PR - table_export'!$J:$J,"Yes")</f>
        <v>50</v>
      </c>
      <c r="G22" s="77">
        <f>COUNTIFS('NeT PR - table_export'!$D:$D,$C22, 'NeT PR - table_export'!$E:$E,"No",'NeT PR - table_export'!$F:$F,"Yes")</f>
        <v>4</v>
      </c>
      <c r="H22" s="80">
        <f>COUNTIFS('NeT PR - table_export'!$D:$D,$C22, 'NeT PR - table_export'!$E:$E,"No",'NeT PR - table_export'!$F:$F,"Yes",'NeT PR - table_export'!$J:$J,"Yes")</f>
        <v>4</v>
      </c>
      <c r="I22" s="78">
        <f>SUM(J22,L22)</f>
        <v>4477</v>
      </c>
      <c r="J22" s="77">
        <f>SUMIFS('NeT PR - table_export'!$H:$H,'NeT PR - table_export'!$D:$D,$C22,'NeT PR - table_export'!$E:$E,"Yes",'NeT PR - table_export'!$F:$F,"Yes")</f>
        <v>2220</v>
      </c>
      <c r="K22" s="79">
        <f>SUMIFS('NeT PR - table_export'!$H:$H,'NeT PR - table_export'!$D:$D,$C22,'NeT PR - table_export'!$E:$E,"Yes",'NeT PR - table_export'!$F:$F,"Yes",'NeT PR - table_export'!$J:$J,"Yes")</f>
        <v>2220</v>
      </c>
      <c r="L22" s="77">
        <f>SUMIFS('NeT PR - table_export'!$H:$H,'NeT PR - table_export'!$D:$D,$C22,'NeT PR - table_export'!$E:$E,"No",'NeT PR - table_export'!$F:$F,"Yes")</f>
        <v>2257</v>
      </c>
      <c r="M22" s="80">
        <f>SUMIFS('NeT PR - table_export'!$H:$H,'NeT PR - table_export'!$D:$D,$C22,'NeT PR - table_export'!$E:$E,"No",'NeT PR - table_export'!$F:$F,"Yes",'NeT PR - table_export'!$J:$J,"Yes")</f>
        <v>2257</v>
      </c>
      <c r="N22" s="158">
        <f>G22</f>
        <v>4</v>
      </c>
      <c r="O22" s="78">
        <f>SUM(P22,R22)</f>
        <v>5</v>
      </c>
      <c r="P22" s="183">
        <f>IF(COUNTIFS('NeT PR - table_export'!$D:$D,$C22, 'NeT PR - table_export'!$E:$E,"Yes",'NeT PR - table_export'!$F:$F,"Yes")&gt;0,1,0)</f>
        <v>1</v>
      </c>
      <c r="Q22" s="183">
        <f>IF(COUNTIFS('NeT PR - table_export'!$D:$D,$C22, 'NeT PR - table_export'!$E:$E,"Yes",'NeT PR - table_export'!$F:$F,"Yes",'NeT PR - table_export'!$J:$J,"Yes")&gt;0,1,0)</f>
        <v>1</v>
      </c>
      <c r="R22" s="88">
        <f>COUNTIFS('NeT PR - table_export'!$D:$D,$C22, 'NeT PR - table_export'!$E:$E,"No",'NeT PR - table_export'!$F:$F,"Yes")</f>
        <v>4</v>
      </c>
      <c r="S22" s="80">
        <f>COUNTIFS('NeT PR - table_export'!$D:$D,$C22, 'NeT PR - table_export'!$E:$E,"No",'NeT PR - table_export'!$F:$F,"Yes",'NeT PR - table_export'!$J:$J,"Yes")</f>
        <v>4</v>
      </c>
      <c r="T22" s="198" t="s">
        <v>3219</v>
      </c>
      <c r="U22" s="185">
        <f>S22</f>
        <v>4</v>
      </c>
      <c r="V22" s="198" t="s">
        <v>3219</v>
      </c>
      <c r="W22" s="198" t="s">
        <v>643</v>
      </c>
      <c r="X22" s="140" t="s">
        <v>3217</v>
      </c>
      <c r="Y22" s="148" t="s">
        <v>3220</v>
      </c>
      <c r="Z22" s="210" t="str">
        <f>IF(OR($F22&gt;0,$H22&gt;0),"Yes","No")</f>
        <v>Yes</v>
      </c>
      <c r="AA22" s="91"/>
    </row>
    <row r="23" spans="1:27" s="92" customFormat="1" ht="43.5" x14ac:dyDescent="0.35">
      <c r="A23" s="78">
        <f t="shared" ref="A23:A28" si="7">A22+1</f>
        <v>5</v>
      </c>
      <c r="B23" s="77" t="s">
        <v>556</v>
      </c>
      <c r="C23" s="215" t="s">
        <v>533</v>
      </c>
      <c r="D23" s="88">
        <f t="shared" ref="D23:D28" si="8">SUM(E23,G23)</f>
        <v>12</v>
      </c>
      <c r="E23" s="77">
        <f>COUNTIFS('NeT PR - table_export'!$D:$D,$C23, 'NeT PR - table_export'!$E:$E,"Yes",'NeT PR - table_export'!$F:$F,"Yes")</f>
        <v>2</v>
      </c>
      <c r="F23" s="79">
        <f>COUNTIFS('NeT PR - table_export'!$D:$D,$C23, 'NeT PR - table_export'!$E:$E,"Yes",'NeT PR - table_export'!$F:$F,"Yes",'NeT PR - table_export'!$J:$J,"Yes")</f>
        <v>0</v>
      </c>
      <c r="G23" s="79">
        <f>COUNTIFS('NeT PR - table_export'!$D:$D,$C23, 'NeT PR - table_export'!$E:$E,"No",'NeT PR - table_export'!$F:$F,"Yes")</f>
        <v>10</v>
      </c>
      <c r="H23" s="80">
        <f>COUNTIFS('NeT PR - table_export'!$D:$D,$C23, 'NeT PR - table_export'!$E:$E,"No",'NeT PR - table_export'!$F:$F,"Yes",'NeT PR - table_export'!$J:$J,"Yes")</f>
        <v>0</v>
      </c>
      <c r="I23" s="78">
        <f t="shared" ref="I23:I28" si="9">SUM(J23,L23)</f>
        <v>1553</v>
      </c>
      <c r="J23" s="77">
        <f>SUMIFS('NeT PR - table_export'!$H:$H,'NeT PR - table_export'!$D:$D,$C23,'NeT PR - table_export'!$E:$E,"Yes",'NeT PR - table_export'!$F:$F,"Yes")</f>
        <v>55</v>
      </c>
      <c r="K23" s="79">
        <f>SUMIFS('NeT PR - table_export'!$H:$H,'NeT PR - table_export'!$D:$D,$C23,'NeT PR - table_export'!$E:$E,"Yes",'NeT PR - table_export'!$F:$F,"Yes",'NeT PR - table_export'!$J:$J,"Yes")</f>
        <v>0</v>
      </c>
      <c r="L23" s="79">
        <f>SUMIFS('NeT PR - table_export'!$H:$H,'NeT PR - table_export'!$D:$D,$C23,'NeT PR - table_export'!$E:$E,"No",'NeT PR - table_export'!$F:$F,"Yes")</f>
        <v>1498</v>
      </c>
      <c r="M23" s="80">
        <f>SUMIFS('NeT PR - table_export'!$H:$H,'NeT PR - table_export'!$D:$D,$C23,'NeT PR - table_export'!$E:$E,"No",'NeT PR - table_export'!$F:$F,"Yes",'NeT PR - table_export'!$J:$J,"Yes")</f>
        <v>0</v>
      </c>
      <c r="N23" s="158">
        <f t="shared" ref="N23:N28" si="10">G23</f>
        <v>10</v>
      </c>
      <c r="O23" s="78">
        <f t="shared" ref="O23:O28" si="11">SUM(P23,R23)</f>
        <v>11</v>
      </c>
      <c r="P23" s="183">
        <f>IF(COUNTIFS('NeT PR - table_export'!$D:$D,$C23, 'NeT PR - table_export'!$E:$E,"Yes",'NeT PR - table_export'!$F:$F,"Yes")&gt;0,1,0)</f>
        <v>1</v>
      </c>
      <c r="Q23" s="183">
        <f>IF(COUNTIFS('NeT PR - table_export'!$D:$D,$C23, 'NeT PR - table_export'!$E:$E,"Yes",'NeT PR - table_export'!$F:$F,"Yes",'NeT PR - table_export'!$J:$J,"Yes")&gt;0,1,0)</f>
        <v>0</v>
      </c>
      <c r="R23" s="88">
        <f>COUNTIFS('NeT PR - table_export'!$D:$D,$C23, 'NeT PR - table_export'!$E:$E,"No",'NeT PR - table_export'!$F:$F,"Yes")</f>
        <v>10</v>
      </c>
      <c r="S23" s="80">
        <f>COUNTIFS('NeT PR - table_export'!$D:$D,$C23, 'NeT PR - table_export'!$E:$E,"No",'NeT PR - table_export'!$F:$F,"Yes",'NeT PR - table_export'!$J:$J,"Yes")</f>
        <v>0</v>
      </c>
      <c r="T23" s="198" t="s">
        <v>3321</v>
      </c>
      <c r="U23" s="185">
        <f t="shared" ref="U23:U28" si="12">S23</f>
        <v>0</v>
      </c>
      <c r="V23" s="148"/>
      <c r="W23" s="198" t="s">
        <v>643</v>
      </c>
      <c r="X23" s="140">
        <v>4</v>
      </c>
      <c r="Y23" s="148"/>
      <c r="Z23" s="210" t="s">
        <v>3221</v>
      </c>
      <c r="AA23" s="91"/>
    </row>
    <row r="24" spans="1:27" s="92" customFormat="1" ht="43.5" x14ac:dyDescent="0.35">
      <c r="A24" s="78">
        <f t="shared" si="7"/>
        <v>6</v>
      </c>
      <c r="B24" s="77" t="s">
        <v>556</v>
      </c>
      <c r="C24" s="215" t="s">
        <v>534</v>
      </c>
      <c r="D24" s="88">
        <f t="shared" si="8"/>
        <v>19</v>
      </c>
      <c r="E24" s="77">
        <f>COUNTIFS('NeT PR - table_export'!$D:$D,$C24, 'NeT PR - table_export'!$E:$E,"Yes",'NeT PR - table_export'!$F:$F,"Yes")</f>
        <v>7</v>
      </c>
      <c r="F24" s="79">
        <f>COUNTIFS('NeT PR - table_export'!$D:$D,$C24, 'NeT PR - table_export'!$E:$E,"Yes",'NeT PR - table_export'!$F:$F,"Yes",'NeT PR - table_export'!$J:$J,"Yes")</f>
        <v>0</v>
      </c>
      <c r="G24" s="79">
        <f>COUNTIFS('NeT PR - table_export'!$D:$D,$C24, 'NeT PR - table_export'!$E:$E,"No",'NeT PR - table_export'!$F:$F,"Yes")</f>
        <v>12</v>
      </c>
      <c r="H24" s="80">
        <f>COUNTIFS('NeT PR - table_export'!$D:$D,$C24, 'NeT PR - table_export'!$E:$E,"No",'NeT PR - table_export'!$F:$F,"Yes",'NeT PR - table_export'!$J:$J,"Yes")</f>
        <v>3</v>
      </c>
      <c r="I24" s="78">
        <f t="shared" si="9"/>
        <v>2040</v>
      </c>
      <c r="J24" s="77">
        <f>SUMIFS('NeT PR - table_export'!$H:$H,'NeT PR - table_export'!$D:$D,$C24,'NeT PR - table_export'!$E:$E,"Yes",'NeT PR - table_export'!$F:$F,"Yes")</f>
        <v>450</v>
      </c>
      <c r="K24" s="79">
        <f>SUMIFS('NeT PR - table_export'!$H:$H,'NeT PR - table_export'!$D:$D,$C24,'NeT PR - table_export'!$E:$E,"Yes",'NeT PR - table_export'!$F:$F,"Yes",'NeT PR - table_export'!$J:$J,"Yes")</f>
        <v>0</v>
      </c>
      <c r="L24" s="79">
        <f>SUMIFS('NeT PR - table_export'!$H:$H,'NeT PR - table_export'!$D:$D,$C24,'NeT PR - table_export'!$E:$E,"No",'NeT PR - table_export'!$F:$F,"Yes")</f>
        <v>1590</v>
      </c>
      <c r="M24" s="80">
        <f>SUMIFS('NeT PR - table_export'!$H:$H,'NeT PR - table_export'!$D:$D,$C24,'NeT PR - table_export'!$E:$E,"No",'NeT PR - table_export'!$F:$F,"Yes",'NeT PR - table_export'!$J:$J,"Yes")</f>
        <v>660</v>
      </c>
      <c r="N24" s="158">
        <f t="shared" si="10"/>
        <v>12</v>
      </c>
      <c r="O24" s="78">
        <f t="shared" si="11"/>
        <v>13</v>
      </c>
      <c r="P24" s="183">
        <f>IF(COUNTIFS('NeT PR - table_export'!$D:$D,$C24, 'NeT PR - table_export'!$E:$E,"Yes",'NeT PR - table_export'!$F:$F,"Yes")&gt;0,1,0)</f>
        <v>1</v>
      </c>
      <c r="Q24" s="183">
        <f>IF(COUNTIFS('NeT PR - table_export'!$D:$D,$C24, 'NeT PR - table_export'!$E:$E,"Yes",'NeT PR - table_export'!$F:$F,"Yes",'NeT PR - table_export'!$J:$J,"Yes")&gt;0,1,0)</f>
        <v>0</v>
      </c>
      <c r="R24" s="88">
        <f>COUNTIFS('NeT PR - table_export'!$D:$D,$C24, 'NeT PR - table_export'!$E:$E,"No",'NeT PR - table_export'!$F:$F,"Yes")</f>
        <v>12</v>
      </c>
      <c r="S24" s="80">
        <f>COUNTIFS('NeT PR - table_export'!$D:$D,$C24, 'NeT PR - table_export'!$E:$E,"No",'NeT PR - table_export'!$F:$F,"Yes",'NeT PR - table_export'!$J:$J,"Yes")</f>
        <v>3</v>
      </c>
      <c r="T24" s="198" t="s">
        <v>3322</v>
      </c>
      <c r="U24" s="185">
        <f t="shared" si="12"/>
        <v>3</v>
      </c>
      <c r="V24" s="148"/>
      <c r="W24" s="198" t="s">
        <v>643</v>
      </c>
      <c r="X24" s="140">
        <v>2</v>
      </c>
      <c r="Y24" s="148" t="s">
        <v>630</v>
      </c>
      <c r="Z24" s="210" t="s">
        <v>3221</v>
      </c>
      <c r="AA24" s="91"/>
    </row>
    <row r="25" spans="1:27" s="92" customFormat="1" ht="52.5" customHeight="1" x14ac:dyDescent="0.35">
      <c r="A25" s="78">
        <f t="shared" si="7"/>
        <v>7</v>
      </c>
      <c r="B25" s="77" t="s">
        <v>556</v>
      </c>
      <c r="C25" s="215" t="s">
        <v>542</v>
      </c>
      <c r="D25" s="88">
        <f t="shared" si="8"/>
        <v>22</v>
      </c>
      <c r="E25" s="77">
        <f>COUNTIFS('NeT PR - table_export'!$D:$D,$C25, 'NeT PR - table_export'!$E:$E,"Yes",'NeT PR - table_export'!$F:$F,"Yes")</f>
        <v>15</v>
      </c>
      <c r="F25" s="79">
        <f>COUNTIFS('NeT PR - table_export'!$D:$D,$C25, 'NeT PR - table_export'!$E:$E,"Yes",'NeT PR - table_export'!$F:$F,"Yes",'NeT PR - table_export'!$J:$J,"Yes")</f>
        <v>15</v>
      </c>
      <c r="G25" s="79">
        <f>COUNTIFS('NeT PR - table_export'!$D:$D,$C25, 'NeT PR - table_export'!$E:$E,"No",'NeT PR - table_export'!$F:$F,"Yes")</f>
        <v>7</v>
      </c>
      <c r="H25" s="80">
        <f>COUNTIFS('NeT PR - table_export'!$D:$D,$C25, 'NeT PR - table_export'!$E:$E,"No",'NeT PR - table_export'!$F:$F,"Yes",'NeT PR - table_export'!$J:$J,"Yes")</f>
        <v>7</v>
      </c>
      <c r="I25" s="78">
        <f t="shared" si="9"/>
        <v>556</v>
      </c>
      <c r="J25" s="77">
        <f>SUMIFS('NeT PR - table_export'!$H:$H,'NeT PR - table_export'!$D:$D,$C25,'NeT PR - table_export'!$E:$E,"Yes",'NeT PR - table_export'!$F:$F,"Yes")</f>
        <v>393</v>
      </c>
      <c r="K25" s="79">
        <f>SUMIFS('NeT PR - table_export'!$H:$H,'NeT PR - table_export'!$D:$D,$C25,'NeT PR - table_export'!$E:$E,"Yes",'NeT PR - table_export'!$F:$F,"Yes",'NeT PR - table_export'!$J:$J,"Yes")</f>
        <v>393</v>
      </c>
      <c r="L25" s="79">
        <f>SUMIFS('NeT PR - table_export'!$H:$H,'NeT PR - table_export'!$D:$D,$C25,'NeT PR - table_export'!$E:$E,"No",'NeT PR - table_export'!$F:$F,"Yes")</f>
        <v>163</v>
      </c>
      <c r="M25" s="80">
        <f>SUMIFS('NeT PR - table_export'!$H:$H,'NeT PR - table_export'!$D:$D,$C25,'NeT PR - table_export'!$E:$E,"No",'NeT PR - table_export'!$F:$F,"Yes",'NeT PR - table_export'!$J:$J,"Yes")</f>
        <v>163</v>
      </c>
      <c r="N25" s="158">
        <f t="shared" si="10"/>
        <v>7</v>
      </c>
      <c r="O25" s="78">
        <f t="shared" si="11"/>
        <v>8</v>
      </c>
      <c r="P25" s="183">
        <f>IF(COUNTIFS('NeT PR - table_export'!$D:$D,$C25, 'NeT PR - table_export'!$E:$E,"Yes",'NeT PR - table_export'!$F:$F,"Yes")&gt;0,1,0)</f>
        <v>1</v>
      </c>
      <c r="Q25" s="183">
        <f>IF(COUNTIFS('NeT PR - table_export'!$D:$D,$C25, 'NeT PR - table_export'!$E:$E,"Yes",'NeT PR - table_export'!$F:$F,"Yes",'NeT PR - table_export'!$J:$J,"Yes")&gt;0,1,0)</f>
        <v>1</v>
      </c>
      <c r="R25" s="88">
        <f>COUNTIFS('NeT PR - table_export'!$D:$D,$C25, 'NeT PR - table_export'!$E:$E,"No",'NeT PR - table_export'!$F:$F,"Yes")</f>
        <v>7</v>
      </c>
      <c r="S25" s="80">
        <f>COUNTIFS('NeT PR - table_export'!$D:$D,$C25, 'NeT PR - table_export'!$E:$E,"No",'NeT PR - table_export'!$F:$F,"Yes",'NeT PR - table_export'!$J:$J,"Yes")</f>
        <v>7</v>
      </c>
      <c r="T25" s="198" t="s">
        <v>3323</v>
      </c>
      <c r="U25" s="185">
        <f t="shared" si="12"/>
        <v>7</v>
      </c>
      <c r="V25" s="198" t="s">
        <v>3323</v>
      </c>
      <c r="W25" s="198" t="s">
        <v>643</v>
      </c>
      <c r="X25" s="140">
        <v>3</v>
      </c>
      <c r="Y25" s="148" t="s">
        <v>3220</v>
      </c>
      <c r="Z25" s="210" t="str">
        <f t="shared" ref="Z25:Z27" si="13">IF(OR($F25&gt;0,$H25&gt;0),"Yes","No")</f>
        <v>Yes</v>
      </c>
      <c r="AA25" s="91"/>
    </row>
    <row r="26" spans="1:27" s="92" customFormat="1" ht="56.5" customHeight="1" x14ac:dyDescent="0.35">
      <c r="A26" s="78">
        <f t="shared" si="7"/>
        <v>8</v>
      </c>
      <c r="B26" s="77" t="s">
        <v>556</v>
      </c>
      <c r="C26" s="215" t="s">
        <v>535</v>
      </c>
      <c r="D26" s="88">
        <f t="shared" si="8"/>
        <v>21</v>
      </c>
      <c r="E26" s="77">
        <f>COUNTIFS('NeT PR - table_export'!$D:$D,$C26, 'NeT PR - table_export'!$E:$E,"Yes",'NeT PR - table_export'!$F:$F,"Yes")</f>
        <v>13</v>
      </c>
      <c r="F26" s="79">
        <f>COUNTIFS('NeT PR - table_export'!$D:$D,$C26, 'NeT PR - table_export'!$E:$E,"Yes",'NeT PR - table_export'!$F:$F,"Yes",'NeT PR - table_export'!$J:$J,"Yes")</f>
        <v>0</v>
      </c>
      <c r="G26" s="79">
        <f>COUNTIFS('NeT PR - table_export'!$D:$D,$C26, 'NeT PR - table_export'!$E:$E,"No",'NeT PR - table_export'!$F:$F,"Yes")</f>
        <v>8</v>
      </c>
      <c r="H26" s="80">
        <f>COUNTIFS('NeT PR - table_export'!$D:$D,$C26, 'NeT PR - table_export'!$E:$E,"No",'NeT PR - table_export'!$F:$F,"Yes",'NeT PR - table_export'!$J:$J,"Yes")</f>
        <v>0</v>
      </c>
      <c r="I26" s="78">
        <f t="shared" si="9"/>
        <v>1155</v>
      </c>
      <c r="J26" s="77">
        <f>SUMIFS('NeT PR - table_export'!$H:$H,'NeT PR - table_export'!$D:$D,$C26,'NeT PR - table_export'!$E:$E,"Yes",'NeT PR - table_export'!$F:$F,"Yes")</f>
        <v>479</v>
      </c>
      <c r="K26" s="79">
        <f>SUMIFS('NeT PR - table_export'!$H:$H,'NeT PR - table_export'!$D:$D,$C26,'NeT PR - table_export'!$E:$E,"Yes",'NeT PR - table_export'!$F:$F,"Yes",'NeT PR - table_export'!$J:$J,"Yes")</f>
        <v>0</v>
      </c>
      <c r="L26" s="79">
        <f>SUMIFS('NeT PR - table_export'!$H:$H,'NeT PR - table_export'!$D:$D,$C26,'NeT PR - table_export'!$E:$E,"No",'NeT PR - table_export'!$F:$F,"Yes")</f>
        <v>676</v>
      </c>
      <c r="M26" s="80">
        <f>SUMIFS('NeT PR - table_export'!$H:$H,'NeT PR - table_export'!$D:$D,$C26,'NeT PR - table_export'!$E:$E,"No",'NeT PR - table_export'!$F:$F,"Yes",'NeT PR - table_export'!$J:$J,"Yes")</f>
        <v>0</v>
      </c>
      <c r="N26" s="158">
        <f t="shared" si="10"/>
        <v>8</v>
      </c>
      <c r="O26" s="78">
        <f t="shared" si="11"/>
        <v>9</v>
      </c>
      <c r="P26" s="183">
        <f>IF(COUNTIFS('NeT PR - table_export'!$D:$D,$C26, 'NeT PR - table_export'!$E:$E,"Yes",'NeT PR - table_export'!$F:$F,"Yes")&gt;0,1,0)</f>
        <v>1</v>
      </c>
      <c r="Q26" s="183">
        <f>IF(COUNTIFS('NeT PR - table_export'!$D:$D,$C26, 'NeT PR - table_export'!$E:$E,"Yes",'NeT PR - table_export'!$F:$F,"Yes",'NeT PR - table_export'!$J:$J,"Yes")&gt;0,1,0)</f>
        <v>0</v>
      </c>
      <c r="R26" s="88">
        <f>COUNTIFS('NeT PR - table_export'!$D:$D,$C26, 'NeT PR - table_export'!$E:$E,"No",'NeT PR - table_export'!$F:$F,"Yes")</f>
        <v>8</v>
      </c>
      <c r="S26" s="80">
        <f>COUNTIFS('NeT PR - table_export'!$D:$D,$C26, 'NeT PR - table_export'!$E:$E,"No",'NeT PR - table_export'!$F:$F,"Yes",'NeT PR - table_export'!$J:$J,"Yes")</f>
        <v>0</v>
      </c>
      <c r="T26" s="198" t="s">
        <v>3324</v>
      </c>
      <c r="U26" s="185">
        <f t="shared" si="12"/>
        <v>0</v>
      </c>
      <c r="V26" s="148"/>
      <c r="W26" s="198" t="s">
        <v>644</v>
      </c>
      <c r="X26" s="140">
        <v>4</v>
      </c>
      <c r="Y26" s="148" t="s">
        <v>3199</v>
      </c>
      <c r="Z26" s="210" t="s">
        <v>6</v>
      </c>
      <c r="AA26" s="91"/>
    </row>
    <row r="27" spans="1:27" s="92" customFormat="1" ht="75.650000000000006" customHeight="1" x14ac:dyDescent="0.35">
      <c r="A27" s="78">
        <f t="shared" si="7"/>
        <v>9</v>
      </c>
      <c r="B27" s="77" t="s">
        <v>556</v>
      </c>
      <c r="C27" s="215" t="s">
        <v>537</v>
      </c>
      <c r="D27" s="88">
        <f t="shared" si="8"/>
        <v>21</v>
      </c>
      <c r="E27" s="77">
        <f>COUNTIFS('NeT PR - table_export'!$D:$D,$C27, 'NeT PR - table_export'!$E:$E,"Yes",'NeT PR - table_export'!$F:$F,"Yes")</f>
        <v>10</v>
      </c>
      <c r="F27" s="79">
        <f>COUNTIFS('NeT PR - table_export'!$D:$D,$C27, 'NeT PR - table_export'!$E:$E,"Yes",'NeT PR - table_export'!$F:$F,"Yes",'NeT PR - table_export'!$J:$J,"Yes")</f>
        <v>10</v>
      </c>
      <c r="G27" s="79">
        <f>COUNTIFS('NeT PR - table_export'!$D:$D,$C27, 'NeT PR - table_export'!$E:$E,"No",'NeT PR - table_export'!$F:$F,"Yes")</f>
        <v>11</v>
      </c>
      <c r="H27" s="80">
        <f>COUNTIFS('NeT PR - table_export'!$D:$D,$C27, 'NeT PR - table_export'!$E:$E,"No",'NeT PR - table_export'!$F:$F,"Yes",'NeT PR - table_export'!$J:$J,"Yes")</f>
        <v>11</v>
      </c>
      <c r="I27" s="78">
        <f t="shared" si="9"/>
        <v>6806</v>
      </c>
      <c r="J27" s="77">
        <f>SUMIFS('NeT PR - table_export'!$H:$H,'NeT PR - table_export'!$D:$D,$C27,'NeT PR - table_export'!$E:$E,"Yes",'NeT PR - table_export'!$F:$F,"Yes")</f>
        <v>441</v>
      </c>
      <c r="K27" s="79">
        <f>SUMIFS('NeT PR - table_export'!$H:$H,'NeT PR - table_export'!$D:$D,$C27,'NeT PR - table_export'!$E:$E,"Yes",'NeT PR - table_export'!$F:$F,"Yes",'NeT PR - table_export'!$J:$J,"Yes")</f>
        <v>441</v>
      </c>
      <c r="L27" s="79">
        <f>SUMIFS('NeT PR - table_export'!$H:$H,'NeT PR - table_export'!$D:$D,$C27,'NeT PR - table_export'!$E:$E,"No",'NeT PR - table_export'!$F:$F,"Yes")</f>
        <v>6365</v>
      </c>
      <c r="M27" s="80">
        <f>SUMIFS('NeT PR - table_export'!$H:$H,'NeT PR - table_export'!$D:$D,$C27,'NeT PR - table_export'!$E:$E,"No",'NeT PR - table_export'!$F:$F,"Yes",'NeT PR - table_export'!$J:$J,"Yes")</f>
        <v>6365</v>
      </c>
      <c r="N27" s="158">
        <f t="shared" si="10"/>
        <v>11</v>
      </c>
      <c r="O27" s="78">
        <f t="shared" si="11"/>
        <v>12</v>
      </c>
      <c r="P27" s="183">
        <f>IF(COUNTIFS('NeT PR - table_export'!$D:$D,$C27, 'NeT PR - table_export'!$E:$E,"Yes",'NeT PR - table_export'!$F:$F,"Yes")&gt;0,1,0)</f>
        <v>1</v>
      </c>
      <c r="Q27" s="183">
        <f>IF(COUNTIFS('NeT PR - table_export'!$D:$D,$C27, 'NeT PR - table_export'!$E:$E,"Yes",'NeT PR - table_export'!$F:$F,"Yes",'NeT PR - table_export'!$J:$J,"Yes")&gt;0,1,0)</f>
        <v>1</v>
      </c>
      <c r="R27" s="88">
        <f>COUNTIFS('NeT PR - table_export'!$D:$D,$C27, 'NeT PR - table_export'!$E:$E,"No",'NeT PR - table_export'!$F:$F,"Yes")</f>
        <v>11</v>
      </c>
      <c r="S27" s="80">
        <f>COUNTIFS('NeT PR - table_export'!$D:$D,$C27, 'NeT PR - table_export'!$E:$E,"No",'NeT PR - table_export'!$F:$F,"Yes",'NeT PR - table_export'!$J:$J,"Yes")</f>
        <v>11</v>
      </c>
      <c r="T27" s="198" t="s">
        <v>2258</v>
      </c>
      <c r="U27" s="185">
        <f t="shared" si="12"/>
        <v>11</v>
      </c>
      <c r="V27" s="198" t="s">
        <v>2258</v>
      </c>
      <c r="W27" s="198" t="s">
        <v>645</v>
      </c>
      <c r="X27" s="140">
        <v>2</v>
      </c>
      <c r="Y27" s="148" t="s">
        <v>3220</v>
      </c>
      <c r="Z27" s="210" t="str">
        <f t="shared" si="13"/>
        <v>Yes</v>
      </c>
      <c r="AA27" s="91"/>
    </row>
    <row r="28" spans="1:27" s="92" customFormat="1" ht="55" customHeight="1" thickBot="1" x14ac:dyDescent="0.4">
      <c r="A28" s="81">
        <f t="shared" si="7"/>
        <v>10</v>
      </c>
      <c r="B28" s="82" t="s">
        <v>556</v>
      </c>
      <c r="C28" s="216" t="s">
        <v>541</v>
      </c>
      <c r="D28" s="89">
        <f t="shared" si="8"/>
        <v>11</v>
      </c>
      <c r="E28" s="82">
        <f>COUNTIFS('NeT PR - table_export'!$D:$D,$C28, 'NeT PR - table_export'!$E:$E,"Yes",'NeT PR - table_export'!$F:$F,"Yes")</f>
        <v>5</v>
      </c>
      <c r="F28" s="83">
        <f>COUNTIFS('NeT PR - table_export'!$D:$D,$C28, 'NeT PR - table_export'!$E:$E,"Yes",'NeT PR - table_export'!$F:$F,"Yes",'NeT PR - table_export'!$J:$J,"Yes")</f>
        <v>0</v>
      </c>
      <c r="G28" s="83">
        <f>COUNTIFS('NeT PR - table_export'!$D:$D,$C28, 'NeT PR - table_export'!$E:$E,"No",'NeT PR - table_export'!$F:$F,"Yes")</f>
        <v>6</v>
      </c>
      <c r="H28" s="84">
        <f>COUNTIFS('NeT PR - table_export'!$D:$D,$C28, 'NeT PR - table_export'!$E:$E,"No",'NeT PR - table_export'!$F:$F,"Yes",'NeT PR - table_export'!$J:$J,"Yes")</f>
        <v>0</v>
      </c>
      <c r="I28" s="81">
        <f t="shared" si="9"/>
        <v>74</v>
      </c>
      <c r="J28" s="82">
        <f>SUMIFS('NeT PR - table_export'!$H:$H,'NeT PR - table_export'!$D:$D,$C28,'NeT PR - table_export'!$E:$E,"Yes",'NeT PR - table_export'!$F:$F,"Yes")</f>
        <v>25</v>
      </c>
      <c r="K28" s="83">
        <f>SUMIFS('NeT PR - table_export'!$H:$H,'NeT PR - table_export'!$D:$D,$C28,'NeT PR - table_export'!$E:$E,"Yes",'NeT PR - table_export'!$F:$F,"Yes",'NeT PR - table_export'!$J:$J,"Yes")</f>
        <v>0</v>
      </c>
      <c r="L28" s="83">
        <f>SUMIFS('NeT PR - table_export'!$H:$H,'NeT PR - table_export'!$D:$D,$C28,'NeT PR - table_export'!$E:$E,"No",'NeT PR - table_export'!$F:$F,"Yes")</f>
        <v>49</v>
      </c>
      <c r="M28" s="84">
        <f>SUMIFS('NeT PR - table_export'!$H:$H,'NeT PR - table_export'!$D:$D,$C28,'NeT PR - table_export'!$E:$E,"No",'NeT PR - table_export'!$F:$F,"Yes",'NeT PR - table_export'!$J:$J,"Yes")</f>
        <v>0</v>
      </c>
      <c r="N28" s="159">
        <f t="shared" si="10"/>
        <v>6</v>
      </c>
      <c r="O28" s="81">
        <f t="shared" si="11"/>
        <v>7</v>
      </c>
      <c r="P28" s="184">
        <f>IF(COUNTIFS('NeT PR - table_export'!$D:$D,$C28, 'NeT PR - table_export'!$E:$E,"Yes",'NeT PR - table_export'!$F:$F,"Yes")&gt;0,1,0)</f>
        <v>1</v>
      </c>
      <c r="Q28" s="184">
        <f>IF(COUNTIFS('NeT PR - table_export'!$D:$D,$C28, 'NeT PR - table_export'!$E:$E,"Yes",'NeT PR - table_export'!$F:$F,"Yes",'NeT PR - table_export'!$J:$J,"Yes")&gt;0,1,0)</f>
        <v>0</v>
      </c>
      <c r="R28" s="89">
        <f>COUNTIFS('NeT PR - table_export'!$D:$D,$C28, 'NeT PR - table_export'!$E:$E,"No",'NeT PR - table_export'!$F:$F,"Yes")</f>
        <v>6</v>
      </c>
      <c r="S28" s="84">
        <f>COUNTIFS('NeT PR - table_export'!$D:$D,$C28, 'NeT PR - table_export'!$E:$E,"No",'NeT PR - table_export'!$F:$F,"Yes",'NeT PR - table_export'!$J:$J,"Yes")</f>
        <v>0</v>
      </c>
      <c r="T28" s="199" t="s">
        <v>2919</v>
      </c>
      <c r="U28" s="186">
        <f t="shared" si="12"/>
        <v>0</v>
      </c>
      <c r="V28" s="200"/>
      <c r="W28" s="199" t="s">
        <v>643</v>
      </c>
      <c r="X28" s="143">
        <v>4</v>
      </c>
      <c r="Y28" s="200"/>
      <c r="Z28" s="210" t="s">
        <v>3221</v>
      </c>
      <c r="AA28" s="91"/>
    </row>
    <row r="29" spans="1:27" s="92" customFormat="1" x14ac:dyDescent="0.35">
      <c r="B29" s="90"/>
      <c r="D29" s="90"/>
      <c r="I29" s="90"/>
      <c r="J29" s="90"/>
      <c r="K29" s="90"/>
      <c r="L29" s="90"/>
      <c r="M29" s="90"/>
      <c r="N29" s="90"/>
      <c r="O29" s="90"/>
      <c r="S29" s="90"/>
      <c r="U29" s="91"/>
      <c r="V29" s="91"/>
    </row>
    <row r="30" spans="1:27" s="92" customFormat="1" x14ac:dyDescent="0.35">
      <c r="B30" s="90"/>
      <c r="C30" s="93" t="s">
        <v>420</v>
      </c>
      <c r="D30" s="90">
        <f t="shared" ref="D30:S30" si="14">SUM(D22:D28)</f>
        <v>160</v>
      </c>
      <c r="E30" s="90">
        <f t="shared" si="14"/>
        <v>102</v>
      </c>
      <c r="F30" s="90">
        <f t="shared" si="14"/>
        <v>75</v>
      </c>
      <c r="G30" s="90">
        <f t="shared" si="14"/>
        <v>58</v>
      </c>
      <c r="H30" s="90">
        <f t="shared" si="14"/>
        <v>25</v>
      </c>
      <c r="I30" s="90">
        <f t="shared" si="14"/>
        <v>16661</v>
      </c>
      <c r="J30" s="90">
        <f t="shared" si="14"/>
        <v>4063</v>
      </c>
      <c r="K30" s="90">
        <f t="shared" si="14"/>
        <v>3054</v>
      </c>
      <c r="L30" s="90">
        <f t="shared" si="14"/>
        <v>12598</v>
      </c>
      <c r="M30" s="90">
        <f t="shared" si="14"/>
        <v>9445</v>
      </c>
      <c r="N30" s="90"/>
      <c r="O30" s="90">
        <f t="shared" si="14"/>
        <v>65</v>
      </c>
      <c r="P30" s="90">
        <f t="shared" si="14"/>
        <v>7</v>
      </c>
      <c r="Q30" s="90">
        <f t="shared" si="14"/>
        <v>3</v>
      </c>
      <c r="R30" s="90">
        <f t="shared" si="14"/>
        <v>58</v>
      </c>
      <c r="S30" s="90">
        <f t="shared" si="14"/>
        <v>25</v>
      </c>
      <c r="U30" s="91"/>
      <c r="V30" s="91"/>
    </row>
    <row r="33" spans="2:18" x14ac:dyDescent="0.35">
      <c r="B33" s="68" t="str">
        <f>CONCATENATE("Proxy Card Inventory (as of ",TEXT($C3, "dd mmm yyyy"), ")")</f>
        <v>Proxy Card Inventory (as of 31 Jan 2025)</v>
      </c>
    </row>
    <row r="34" spans="2:18" ht="15" thickBot="1" x14ac:dyDescent="0.4"/>
    <row r="35" spans="2:18" ht="73.5" customHeight="1" thickBot="1" x14ac:dyDescent="0.4">
      <c r="B35" s="178" t="s">
        <v>648</v>
      </c>
      <c r="C35" s="104" t="s">
        <v>3071</v>
      </c>
      <c r="D35" s="106" t="s">
        <v>2051</v>
      </c>
      <c r="E35" s="169" t="s">
        <v>2728</v>
      </c>
      <c r="F35" s="182" t="s">
        <v>3072</v>
      </c>
      <c r="G35" s="187" t="s">
        <v>3073</v>
      </c>
      <c r="H35" s="181" t="s">
        <v>3074</v>
      </c>
      <c r="I35" s="181" t="s">
        <v>3075</v>
      </c>
      <c r="J35" s="182" t="s">
        <v>3076</v>
      </c>
      <c r="K35" s="234"/>
      <c r="Q35" s="61"/>
      <c r="R35" s="61"/>
    </row>
    <row r="36" spans="2:18" x14ac:dyDescent="0.35">
      <c r="B36" s="177" t="s">
        <v>646</v>
      </c>
      <c r="C36" s="123">
        <f>COUNTIF($AA$6:$AA$15,"Yes")+COUNTIF($AA$6:$AA$15,"No")</f>
        <v>10</v>
      </c>
      <c r="D36" s="179">
        <f>COUNTIF($AA$6:$AA$15,"Yes")</f>
        <v>7</v>
      </c>
      <c r="E36" s="180">
        <f>SUM(G36,I36)</f>
        <v>91</v>
      </c>
      <c r="F36" s="126">
        <f>SUM(H36,J36)</f>
        <v>25</v>
      </c>
      <c r="G36" s="120">
        <f>'State &amp; Regional NeT GP View'!D172</f>
        <v>24</v>
      </c>
      <c r="H36" s="121">
        <f>'State &amp; Regional NeT GP View'!E172</f>
        <v>11</v>
      </c>
      <c r="I36" s="121">
        <f>'State &amp; Regional NeT GP View'!D124</f>
        <v>67</v>
      </c>
      <c r="J36" s="126">
        <f>'State &amp; Regional NeT GP View'!E124</f>
        <v>14</v>
      </c>
      <c r="K36" s="94"/>
      <c r="Q36" s="61"/>
      <c r="R36" s="61"/>
    </row>
    <row r="37" spans="2:18" ht="15" thickBot="1" x14ac:dyDescent="0.4">
      <c r="B37" s="176" t="s">
        <v>647</v>
      </c>
      <c r="C37" s="22">
        <f>COUNTIF($Z$22:$Z$28,"Yes")+COUNTIF($Z$22:$Z$28,"No")</f>
        <v>4</v>
      </c>
      <c r="D37" s="136">
        <f>COUNTIF($Z$22:$Z$28,"Yes")</f>
        <v>4</v>
      </c>
      <c r="E37" s="22">
        <f>SUM(G37,I37)</f>
        <v>65</v>
      </c>
      <c r="F37" s="52">
        <f>SUM(H37,J37)</f>
        <v>28</v>
      </c>
      <c r="G37" s="135">
        <f>P30</f>
        <v>7</v>
      </c>
      <c r="H37" s="36">
        <f>Q30</f>
        <v>3</v>
      </c>
      <c r="I37" s="36">
        <f>R30</f>
        <v>58</v>
      </c>
      <c r="J37" s="52">
        <f>S30</f>
        <v>25</v>
      </c>
      <c r="K37" s="94"/>
      <c r="Q37" s="61"/>
      <c r="R37" s="61"/>
    </row>
    <row r="38" spans="2:18" x14ac:dyDescent="0.35">
      <c r="B38" s="98" t="s">
        <v>420</v>
      </c>
      <c r="C38" s="94">
        <f t="shared" ref="C38:J38" si="15">SUM(C36:C37)</f>
        <v>14</v>
      </c>
      <c r="D38" s="94">
        <f t="shared" si="15"/>
        <v>11</v>
      </c>
      <c r="E38" s="94">
        <f t="shared" si="15"/>
        <v>156</v>
      </c>
      <c r="F38" s="94">
        <f t="shared" si="15"/>
        <v>53</v>
      </c>
      <c r="G38" s="94">
        <f t="shared" si="15"/>
        <v>31</v>
      </c>
      <c r="H38" s="94">
        <f t="shared" si="15"/>
        <v>14</v>
      </c>
      <c r="I38" s="94">
        <f t="shared" si="15"/>
        <v>125</v>
      </c>
      <c r="J38" s="94">
        <f t="shared" si="15"/>
        <v>39</v>
      </c>
      <c r="K38" s="94"/>
      <c r="Q38" s="61"/>
    </row>
    <row r="41" spans="2:18" ht="15" thickBot="1" x14ac:dyDescent="0.4"/>
    <row r="42" spans="2:18" ht="45.5" customHeight="1" thickBot="1" x14ac:dyDescent="0.4">
      <c r="B42" s="165" t="s">
        <v>2190</v>
      </c>
      <c r="C42" s="104" t="s">
        <v>2188</v>
      </c>
      <c r="D42" s="107" t="s">
        <v>2189</v>
      </c>
    </row>
    <row r="43" spans="2:18" x14ac:dyDescent="0.35">
      <c r="B43" s="195" t="s">
        <v>646</v>
      </c>
      <c r="C43" s="180">
        <f>E17+G17</f>
        <v>175</v>
      </c>
      <c r="D43" s="126">
        <f>C17-C43</f>
        <v>116</v>
      </c>
    </row>
    <row r="44" spans="2:18" ht="15" thickBot="1" x14ac:dyDescent="0.4">
      <c r="B44" s="196" t="s">
        <v>647</v>
      </c>
      <c r="C44" s="22">
        <f>F30+H30</f>
        <v>100</v>
      </c>
      <c r="D44" s="52">
        <f>D30-C44</f>
        <v>60</v>
      </c>
    </row>
    <row r="45" spans="2:18" x14ac:dyDescent="0.35">
      <c r="B45" s="197" t="s">
        <v>420</v>
      </c>
      <c r="C45" s="4">
        <f>SUM(C43:C44)</f>
        <v>275</v>
      </c>
      <c r="D45" s="4">
        <f>SUM(D43:D44)</f>
        <v>176</v>
      </c>
    </row>
    <row r="46" spans="2:18" ht="15" thickBot="1" x14ac:dyDescent="0.4">
      <c r="B46" s="3"/>
      <c r="C46" s="3"/>
      <c r="D46" s="3"/>
    </row>
    <row r="47" spans="2:18" ht="51.5" customHeight="1" thickBot="1" x14ac:dyDescent="0.4">
      <c r="B47" s="165" t="s">
        <v>2190</v>
      </c>
      <c r="C47" s="104" t="s">
        <v>2191</v>
      </c>
      <c r="D47" s="107" t="s">
        <v>2192</v>
      </c>
    </row>
    <row r="48" spans="2:18" x14ac:dyDescent="0.35">
      <c r="B48" s="195" t="s">
        <v>646</v>
      </c>
      <c r="C48" s="180">
        <f>SUM(J17,L17)</f>
        <v>33353</v>
      </c>
      <c r="D48" s="126">
        <f>H17-C48</f>
        <v>21692</v>
      </c>
    </row>
    <row r="49" spans="2:4" ht="15" thickBot="1" x14ac:dyDescent="0.4">
      <c r="B49" s="196" t="s">
        <v>647</v>
      </c>
      <c r="C49" s="22">
        <f>SUM(K30,M30)</f>
        <v>12499</v>
      </c>
      <c r="D49" s="52">
        <f>I30-C49</f>
        <v>4162</v>
      </c>
    </row>
    <row r="50" spans="2:4" x14ac:dyDescent="0.35">
      <c r="B50" s="197" t="s">
        <v>420</v>
      </c>
      <c r="C50" s="4">
        <f>SUM(C48:C49)</f>
        <v>45852</v>
      </c>
      <c r="D50" s="4">
        <f>SUM(D48:D49)</f>
        <v>25854</v>
      </c>
    </row>
    <row r="51" spans="2:4" ht="15" thickBot="1" x14ac:dyDescent="0.4">
      <c r="B51" s="3"/>
      <c r="C51" s="3"/>
      <c r="D51" s="3"/>
    </row>
    <row r="52" spans="2:4" ht="44" customHeight="1" thickBot="1" x14ac:dyDescent="0.4">
      <c r="B52" s="165" t="s">
        <v>2190</v>
      </c>
      <c r="C52" s="104" t="s">
        <v>2193</v>
      </c>
      <c r="D52" s="107" t="s">
        <v>2194</v>
      </c>
    </row>
    <row r="53" spans="2:4" x14ac:dyDescent="0.35">
      <c r="B53" s="195" t="s">
        <v>646</v>
      </c>
      <c r="C53" s="180">
        <f>SUM(H36,J36)</f>
        <v>25</v>
      </c>
      <c r="D53" s="126">
        <f>E36-C53</f>
        <v>66</v>
      </c>
    </row>
    <row r="54" spans="2:4" ht="15" thickBot="1" x14ac:dyDescent="0.4">
      <c r="B54" s="196" t="s">
        <v>647</v>
      </c>
      <c r="C54" s="22">
        <f>SUM(H37,J37)</f>
        <v>28</v>
      </c>
      <c r="D54" s="52">
        <f>E37-C54</f>
        <v>37</v>
      </c>
    </row>
    <row r="55" spans="2:4" x14ac:dyDescent="0.35">
      <c r="B55" s="197" t="s">
        <v>420</v>
      </c>
      <c r="C55" s="4">
        <f>SUM(C53:C54)</f>
        <v>53</v>
      </c>
      <c r="D55" s="4">
        <f>SUM(D53:D54)</f>
        <v>103</v>
      </c>
    </row>
    <row r="56" spans="2:4" ht="15" thickBot="1" x14ac:dyDescent="0.4">
      <c r="B56" s="61"/>
      <c r="C56" s="61"/>
      <c r="D56" s="61"/>
    </row>
    <row r="57" spans="2:4" ht="44" customHeight="1" thickBot="1" x14ac:dyDescent="0.4">
      <c r="B57" s="165"/>
      <c r="C57" s="104" t="s">
        <v>2921</v>
      </c>
      <c r="D57" s="104" t="s">
        <v>2922</v>
      </c>
    </row>
    <row r="58" spans="2:4" ht="15" thickBot="1" x14ac:dyDescent="0.4">
      <c r="B58" s="196" t="s">
        <v>2920</v>
      </c>
      <c r="C58" s="22">
        <f>COUNTIF($AA$6:$AA$15,"Yes")+COUNTIF($Z$22:$Z$28,"Yes")</f>
        <v>11</v>
      </c>
      <c r="D58" s="22">
        <f>COUNTIF($AA$6:$AA$15,"No")+COUNTIF($Z$22:$Z$28,"No")</f>
        <v>3</v>
      </c>
    </row>
  </sheetData>
  <sortState xmlns:xlrd2="http://schemas.microsoft.com/office/spreadsheetml/2017/richdata2" ref="A6:AA15">
    <sortCondition ref="A6:A15"/>
    <sortCondition ref="B6:B15"/>
  </sortState>
  <pageMargins left="0.7" right="0.7" top="0.75" bottom="0.75" header="0.3" footer="0.3"/>
  <pageSetup orientation="portrait"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FDA15-9542-46AB-ACE6-3EF232E606F0}">
  <dimension ref="B1:V194"/>
  <sheetViews>
    <sheetView zoomScale="70" zoomScaleNormal="70" workbookViewId="0"/>
  </sheetViews>
  <sheetFormatPr defaultColWidth="9.1796875" defaultRowHeight="14.5" x14ac:dyDescent="0.35"/>
  <cols>
    <col min="1" max="1" width="4.26953125" style="3" customWidth="1"/>
    <col min="2" max="2" width="14.08984375" style="3" customWidth="1"/>
    <col min="3" max="3" width="22" style="3" bestFit="1" customWidth="1"/>
    <col min="4" max="4" width="20.81640625" style="3" customWidth="1"/>
    <col min="5" max="5" width="19" style="3" customWidth="1"/>
    <col min="6" max="6" width="18.1796875" style="3" customWidth="1"/>
    <col min="7" max="9" width="17.1796875" style="3" customWidth="1"/>
    <col min="10" max="10" width="25.453125" style="3" customWidth="1"/>
    <col min="11" max="11" width="26.7265625" style="3" customWidth="1"/>
    <col min="12" max="13" width="27.54296875" style="3" customWidth="1"/>
    <col min="14" max="17" width="21.81640625" style="3" customWidth="1"/>
    <col min="18" max="18" width="27.26953125" style="3" customWidth="1"/>
    <col min="19" max="19" width="25.26953125" style="3" customWidth="1"/>
    <col min="20" max="20" width="29.1796875" style="3" customWidth="1"/>
    <col min="21" max="21" width="26.26953125" style="3" customWidth="1"/>
    <col min="22" max="22" width="32.7265625" style="3" customWidth="1"/>
    <col min="23" max="23" width="22.7265625" style="3" customWidth="1"/>
    <col min="24" max="25" width="20.26953125" style="3" customWidth="1"/>
    <col min="26" max="26" width="21.1796875" style="3" customWidth="1"/>
    <col min="27" max="27" width="22.81640625" style="3" customWidth="1"/>
    <col min="28" max="16384" width="9.1796875" style="3"/>
  </cols>
  <sheetData>
    <row r="1" spans="2:22" x14ac:dyDescent="0.35">
      <c r="B1" s="111" t="s">
        <v>1890</v>
      </c>
    </row>
    <row r="2" spans="2:22" x14ac:dyDescent="0.35">
      <c r="B2" s="97" t="s">
        <v>1854</v>
      </c>
    </row>
    <row r="3" spans="2:22" x14ac:dyDescent="0.35">
      <c r="B3" s="111" t="s">
        <v>462</v>
      </c>
      <c r="D3" s="193">
        <f>'NeT Roadmap'!$C$3</f>
        <v>45688</v>
      </c>
      <c r="E3" s="137"/>
      <c r="F3" s="137"/>
      <c r="G3" s="137"/>
      <c r="H3" s="137"/>
      <c r="I3" s="137"/>
    </row>
    <row r="4" spans="2:22" ht="15" thickBot="1" x14ac:dyDescent="0.4"/>
    <row r="5" spans="2:22" ht="92" customHeight="1" thickBot="1" x14ac:dyDescent="0.4">
      <c r="B5" s="104" t="s">
        <v>1852</v>
      </c>
      <c r="C5" s="105" t="s">
        <v>1853</v>
      </c>
      <c r="D5" s="106" t="s">
        <v>0</v>
      </c>
      <c r="E5" s="160" t="s">
        <v>2064</v>
      </c>
      <c r="F5" s="160" t="s">
        <v>2719</v>
      </c>
      <c r="G5" s="104" t="s">
        <v>464</v>
      </c>
      <c r="H5" s="112" t="s">
        <v>1856</v>
      </c>
      <c r="I5" s="107" t="s">
        <v>1855</v>
      </c>
      <c r="J5" s="108" t="s">
        <v>1857</v>
      </c>
      <c r="K5" s="105" t="s">
        <v>1858</v>
      </c>
      <c r="L5" s="106" t="s">
        <v>1859</v>
      </c>
      <c r="M5" s="106" t="s">
        <v>1860</v>
      </c>
      <c r="N5" s="106" t="s">
        <v>1861</v>
      </c>
      <c r="O5" s="104" t="s">
        <v>526</v>
      </c>
      <c r="P5" s="105" t="s">
        <v>527</v>
      </c>
      <c r="Q5" s="107" t="s">
        <v>528</v>
      </c>
      <c r="R5" s="116" t="s">
        <v>1862</v>
      </c>
      <c r="S5" s="108" t="s">
        <v>1863</v>
      </c>
      <c r="T5" s="106" t="s">
        <v>626</v>
      </c>
      <c r="U5" s="106" t="s">
        <v>1864</v>
      </c>
      <c r="V5" s="107" t="s">
        <v>625</v>
      </c>
    </row>
    <row r="6" spans="2:22" x14ac:dyDescent="0.35">
      <c r="B6" s="109" t="s">
        <v>3</v>
      </c>
      <c r="C6" s="110" t="s">
        <v>560</v>
      </c>
      <c r="D6" s="113">
        <v>10</v>
      </c>
      <c r="E6" s="161" t="s">
        <v>6</v>
      </c>
      <c r="F6" s="166" t="str">
        <f>IF(E6="No","N/A",IF(COUNTIFS('NeT GP - table_export'!$B:$B,$B6,'NeT GP - table_export'!$K:$K,"No",'NeT GP - table_export'!$L:$L,"Yes")&gt;0,"Yes","No"))</f>
        <v>No</v>
      </c>
      <c r="G6" s="117">
        <f>SUM(H6:I6)</f>
        <v>35</v>
      </c>
      <c r="H6" s="118">
        <f>COUNTIFS('NeT GP - table_export'!$B:$B,$B6, 'NeT GP - table_export'!$K:$K,"Yes")</f>
        <v>9</v>
      </c>
      <c r="I6" s="119">
        <f>COUNTIFS('NeT GP - table_export'!$B:$B,$B6, 'NeT GP - table_export'!$K:$K,"No")</f>
        <v>26</v>
      </c>
      <c r="J6" s="120">
        <f>SUM($K6,$M6)</f>
        <v>6</v>
      </c>
      <c r="K6" s="121">
        <f>COUNTIFS('NeT GP - table_export'!$B:$B,$B6, 'NeT GP - table_export'!$K:$K,"Yes", 'NeT GP - table_export'!$L:$L,"Yes")</f>
        <v>6</v>
      </c>
      <c r="L6" s="121">
        <f>COUNTIFS('NeT GP - table_export'!$B:$B,$B6, 'NeT GP - table_export'!$K:$K,"Yes", 'NeT GP - table_export'!$L:$L,"Yes",'NeT GP - table_export'!$AA:$AA,"Yes")</f>
        <v>5</v>
      </c>
      <c r="M6" s="121">
        <f>COUNTIFS('NeT GP - table_export'!$B:$B,$B6, 'NeT GP - table_export'!$K:$K,"No", 'NeT GP - table_export'!$L:$L,"Yes")</f>
        <v>0</v>
      </c>
      <c r="N6" s="122">
        <f>COUNTIFS('NeT GP - table_export'!$B:$B,$B6, 'NeT GP - table_export'!$K:$K,"No", 'NeT GP - table_export'!$L:$L,"Yes",'NeT GP - table_export'!$AA:$AA,"Yes")</f>
        <v>0</v>
      </c>
      <c r="O6" s="123">
        <f>SUM(P6:Q6)</f>
        <v>1887</v>
      </c>
      <c r="P6" s="124">
        <f>SUMIFS('NeT GP - table_export'!$J:$J,'NeT GP - table_export'!$B:$B,$B6, 'NeT GP - table_export'!$K:$K,"Yes")</f>
        <v>121</v>
      </c>
      <c r="Q6" s="125">
        <f>SUMIFS('NeT GP - table_export'!$J:$J,'NeT GP - table_export'!$B:$B,$B6, 'NeT GP - table_export'!$K:$K,"No")</f>
        <v>1766</v>
      </c>
      <c r="R6" s="120">
        <f>SUM($S6,$U6)</f>
        <v>121</v>
      </c>
      <c r="S6" s="121">
        <f>SUMIFS('NeT GP - table_export'!$J:$J,'NeT GP - table_export'!$B:$B,$B6, 'NeT GP - table_export'!$K:$K,"Yes", 'NeT GP - table_export'!$L:$L,"Yes")</f>
        <v>121</v>
      </c>
      <c r="T6" s="121">
        <f>SUMIFS('NeT GP - table_export'!$J:$J,'NeT GP - table_export'!$B:$B,$B6, 'NeT GP - table_export'!$K:$K,"Yes", 'NeT GP - table_export'!$L:$L,"Yes",'NeT GP - table_export'!$AA:$AA,"Yes")</f>
        <v>48</v>
      </c>
      <c r="U6" s="121">
        <f>SUMIFS('NeT GP - table_export'!$J:$J,'NeT GP - table_export'!$B:$B,$B6, 'NeT GP - table_export'!$K:$K,"No", 'NeT GP - table_export'!$L:$L,"Yes")</f>
        <v>0</v>
      </c>
      <c r="V6" s="126">
        <f>SUMIFS('NeT GP - table_export'!$J:$J,'NeT GP - table_export'!$B:$B,$B6, 'NeT GP - table_export'!$K:$K,"No", 'NeT GP - table_export'!$L:$L,"Yes",'NeT GP - table_export'!$AA:$AA,"Yes")</f>
        <v>0</v>
      </c>
    </row>
    <row r="7" spans="2:22" x14ac:dyDescent="0.35">
      <c r="B7" s="101" t="s">
        <v>30</v>
      </c>
      <c r="C7" s="99" t="s">
        <v>561</v>
      </c>
      <c r="D7" s="114">
        <v>4</v>
      </c>
      <c r="E7" s="162" t="s">
        <v>6</v>
      </c>
      <c r="F7" s="167" t="str">
        <f>IF(E7="No","N/A",IF(COUNTIFS('NeT GP - table_export'!$B:$B,$B7,'NeT GP - table_export'!$K:$K,"No",'NeT GP - table_export'!$L:$L,"Yes")&gt;0,"Yes","No"))</f>
        <v>No</v>
      </c>
      <c r="G7" s="127">
        <f t="shared" ref="G7:G67" si="0">SUM(H7:I7)</f>
        <v>27</v>
      </c>
      <c r="H7" s="128">
        <f>COUNTIFS('NeT GP - table_export'!$B:$B,$B7, 'NeT GP - table_export'!$K:$K,"Yes")</f>
        <v>3</v>
      </c>
      <c r="I7" s="129">
        <f>COUNTIFS('NeT GP - table_export'!$B:$B,$B7, 'NeT GP - table_export'!$K:$K,"No")</f>
        <v>24</v>
      </c>
      <c r="J7" s="130">
        <f t="shared" ref="J7:J67" si="1">SUM($K7,$M7)</f>
        <v>3</v>
      </c>
      <c r="K7" s="8">
        <f>COUNTIFS('NeT GP - table_export'!$B:$B,$B7, 'NeT GP - table_export'!$K:$K,"Yes", 'NeT GP - table_export'!$L:$L,"Yes")</f>
        <v>3</v>
      </c>
      <c r="L7" s="8">
        <f>COUNTIFS('NeT GP - table_export'!$B:$B,$B7, 'NeT GP - table_export'!$K:$K,"Yes", 'NeT GP - table_export'!$L:$L,"Yes",'NeT GP - table_export'!$AA:$AA,"Yes")</f>
        <v>3</v>
      </c>
      <c r="M7" s="8">
        <f>COUNTIFS('NeT GP - table_export'!$B:$B,$B7, 'NeT GP - table_export'!$K:$K,"No", 'NeT GP - table_export'!$L:$L,"Yes")</f>
        <v>0</v>
      </c>
      <c r="N7" s="131">
        <f>COUNTIFS('NeT GP - table_export'!$B:$B,$B7, 'NeT GP - table_export'!$K:$K,"No", 'NeT GP - table_export'!$L:$L,"Yes",'NeT GP - table_export'!$AA:$AA,"Yes")</f>
        <v>0</v>
      </c>
      <c r="O7" s="17">
        <f t="shared" ref="O7:O67" si="2">SUM(P7:Q7)</f>
        <v>8461</v>
      </c>
      <c r="P7" s="8">
        <f>SUMIFS('NeT GP - table_export'!$J:$J,'NeT GP - table_export'!$B:$B,$B7, 'NeT GP - table_export'!$K:$K,"Yes")</f>
        <v>5</v>
      </c>
      <c r="Q7" s="51">
        <f>SUMIFS('NeT GP - table_export'!$J:$J,'NeT GP - table_export'!$B:$B,$B7, 'NeT GP - table_export'!$K:$K,"No")</f>
        <v>8456</v>
      </c>
      <c r="R7" s="130">
        <f t="shared" ref="R7:R67" si="3">SUM($S7,$U7)</f>
        <v>5</v>
      </c>
      <c r="S7" s="8">
        <f>SUMIFS('NeT GP - table_export'!$J:$J,'NeT GP - table_export'!$B:$B,$B7, 'NeT GP - table_export'!$K:$K,"Yes", 'NeT GP - table_export'!$L:$L,"Yes")</f>
        <v>5</v>
      </c>
      <c r="T7" s="8">
        <f>SUMIFS('NeT GP - table_export'!$J:$J,'NeT GP - table_export'!$B:$B,$B7, 'NeT GP - table_export'!$K:$K,"Yes", 'NeT GP - table_export'!$L:$L,"Yes",'NeT GP - table_export'!$AA:$AA,"Yes")</f>
        <v>5</v>
      </c>
      <c r="U7" s="8">
        <f>SUMIFS('NeT GP - table_export'!$J:$J,'NeT GP - table_export'!$B:$B,$B7, 'NeT GP - table_export'!$K:$K,"No", 'NeT GP - table_export'!$L:$L,"Yes")</f>
        <v>0</v>
      </c>
      <c r="V7" s="51">
        <f>SUMIFS('NeT GP - table_export'!$J:$J,'NeT GP - table_export'!$B:$B,$B7, 'NeT GP - table_export'!$K:$K,"No", 'NeT GP - table_export'!$L:$L,"Yes",'NeT GP - table_export'!$AA:$AA,"Yes")</f>
        <v>0</v>
      </c>
    </row>
    <row r="8" spans="2:22" x14ac:dyDescent="0.35">
      <c r="B8" s="101" t="s">
        <v>562</v>
      </c>
      <c r="C8" s="99" t="s">
        <v>563</v>
      </c>
      <c r="D8" s="114">
        <v>6</v>
      </c>
      <c r="E8" s="162" t="s">
        <v>6</v>
      </c>
      <c r="F8" s="167" t="str">
        <f>IF(E8="No","N/A",IF(COUNTIFS('NeT GP - table_export'!$B:$B,$B8,'NeT GP - table_export'!$K:$K,"No",'NeT GP - table_export'!$L:$L,"Yes")&gt;0,"Yes","No"))</f>
        <v>No</v>
      </c>
      <c r="G8" s="127">
        <f t="shared" si="0"/>
        <v>12</v>
      </c>
      <c r="H8" s="128">
        <f>COUNTIFS('NeT GP - table_export'!$B:$B,$B8, 'NeT GP - table_export'!$K:$K,"Yes")</f>
        <v>0</v>
      </c>
      <c r="I8" s="129">
        <f>COUNTIFS('NeT GP - table_export'!$B:$B,$B8, 'NeT GP - table_export'!$K:$K,"No")</f>
        <v>12</v>
      </c>
      <c r="J8" s="130">
        <f t="shared" si="1"/>
        <v>0</v>
      </c>
      <c r="K8" s="8">
        <f>COUNTIFS('NeT GP - table_export'!$B:$B,$B8, 'NeT GP - table_export'!$K:$K,"Yes", 'NeT GP - table_export'!$L:$L,"Yes")</f>
        <v>0</v>
      </c>
      <c r="L8" s="8">
        <f>COUNTIFS('NeT GP - table_export'!$B:$B,$B8, 'NeT GP - table_export'!$K:$K,"Yes", 'NeT GP - table_export'!$L:$L,"Yes",'NeT GP - table_export'!$AA:$AA,"Yes")</f>
        <v>0</v>
      </c>
      <c r="M8" s="8">
        <f>COUNTIFS('NeT GP - table_export'!$B:$B,$B8, 'NeT GP - table_export'!$K:$K,"No", 'NeT GP - table_export'!$L:$L,"Yes")</f>
        <v>0</v>
      </c>
      <c r="N8" s="131">
        <f>COUNTIFS('NeT GP - table_export'!$B:$B,$B8, 'NeT GP - table_export'!$K:$K,"No", 'NeT GP - table_export'!$L:$L,"Yes",'NeT GP - table_export'!$AA:$AA,"Yes")</f>
        <v>0</v>
      </c>
      <c r="O8" s="17">
        <f t="shared" si="2"/>
        <v>5005</v>
      </c>
      <c r="P8" s="8">
        <f>SUMIFS('NeT GP - table_export'!$J:$J,'NeT GP - table_export'!$B:$B,$B8, 'NeT GP - table_export'!$K:$K,"Yes")</f>
        <v>0</v>
      </c>
      <c r="Q8" s="51">
        <f>SUMIFS('NeT GP - table_export'!$J:$J,'NeT GP - table_export'!$B:$B,$B8, 'NeT GP - table_export'!$K:$K,"No")</f>
        <v>5005</v>
      </c>
      <c r="R8" s="130">
        <f t="shared" si="3"/>
        <v>0</v>
      </c>
      <c r="S8" s="8">
        <f>SUMIFS('NeT GP - table_export'!$J:$J,'NeT GP - table_export'!$B:$B,$B8, 'NeT GP - table_export'!$K:$K,"Yes", 'NeT GP - table_export'!$L:$L,"Yes")</f>
        <v>0</v>
      </c>
      <c r="T8" s="8">
        <f>SUMIFS('NeT GP - table_export'!$J:$J,'NeT GP - table_export'!$B:$B,$B8, 'NeT GP - table_export'!$K:$K,"Yes", 'NeT GP - table_export'!$L:$L,"Yes",'NeT GP - table_export'!$AA:$AA,"Yes")</f>
        <v>0</v>
      </c>
      <c r="U8" s="8">
        <f>SUMIFS('NeT GP - table_export'!$J:$J,'NeT GP - table_export'!$B:$B,$B8, 'NeT GP - table_export'!$K:$K,"No", 'NeT GP - table_export'!$L:$L,"Yes")</f>
        <v>0</v>
      </c>
      <c r="V8" s="51">
        <f>SUMIFS('NeT GP - table_export'!$J:$J,'NeT GP - table_export'!$B:$B,$B8, 'NeT GP - table_export'!$K:$K,"No", 'NeT GP - table_export'!$L:$L,"Yes",'NeT GP - table_export'!$AA:$AA,"Yes")</f>
        <v>0</v>
      </c>
    </row>
    <row r="9" spans="2:22" x14ac:dyDescent="0.35">
      <c r="B9" s="101" t="s">
        <v>33</v>
      </c>
      <c r="C9" s="99" t="s">
        <v>564</v>
      </c>
      <c r="D9" s="114">
        <v>9</v>
      </c>
      <c r="E9" s="162" t="s">
        <v>10</v>
      </c>
      <c r="F9" s="167" t="str">
        <f>IF(E9="No","N/A",IF(COUNTIFS('NeT GP - table_export'!$B:$B,$B9,'NeT GP - table_export'!$K:$K,"No",'NeT GP - table_export'!$L:$L,"Yes")&gt;0,"Yes","No"))</f>
        <v>N/A</v>
      </c>
      <c r="G9" s="127">
        <f t="shared" si="0"/>
        <v>3</v>
      </c>
      <c r="H9" s="128">
        <f>COUNTIFS('NeT GP - table_export'!$B:$B,$B9, 'NeT GP - table_export'!$K:$K,"Yes")</f>
        <v>3</v>
      </c>
      <c r="I9" s="129">
        <f>COUNTIFS('NeT GP - table_export'!$B:$B,$B9, 'NeT GP - table_export'!$K:$K,"No")</f>
        <v>0</v>
      </c>
      <c r="J9" s="130">
        <f t="shared" si="1"/>
        <v>3</v>
      </c>
      <c r="K9" s="8">
        <f>COUNTIFS('NeT GP - table_export'!$B:$B,$B9, 'NeT GP - table_export'!$K:$K,"Yes", 'NeT GP - table_export'!$L:$L,"Yes")</f>
        <v>3</v>
      </c>
      <c r="L9" s="8">
        <f>COUNTIFS('NeT GP - table_export'!$B:$B,$B9, 'NeT GP - table_export'!$K:$K,"Yes", 'NeT GP - table_export'!$L:$L,"Yes",'NeT GP - table_export'!$AA:$AA,"Yes")</f>
        <v>3</v>
      </c>
      <c r="M9" s="8">
        <f>COUNTIFS('NeT GP - table_export'!$B:$B,$B9, 'NeT GP - table_export'!$K:$K,"No", 'NeT GP - table_export'!$L:$L,"Yes")</f>
        <v>0</v>
      </c>
      <c r="N9" s="131">
        <f>COUNTIFS('NeT GP - table_export'!$B:$B,$B9, 'NeT GP - table_export'!$K:$K,"No", 'NeT GP - table_export'!$L:$L,"Yes",'NeT GP - table_export'!$AA:$AA,"Yes")</f>
        <v>0</v>
      </c>
      <c r="O9" s="17">
        <f t="shared" si="2"/>
        <v>3</v>
      </c>
      <c r="P9" s="8">
        <f>SUMIFS('NeT GP - table_export'!$J:$J,'NeT GP - table_export'!$B:$B,$B9, 'NeT GP - table_export'!$K:$K,"Yes")</f>
        <v>3</v>
      </c>
      <c r="Q9" s="51">
        <f>SUMIFS('NeT GP - table_export'!$J:$J,'NeT GP - table_export'!$B:$B,$B9, 'NeT GP - table_export'!$K:$K,"No")</f>
        <v>0</v>
      </c>
      <c r="R9" s="130">
        <f t="shared" si="3"/>
        <v>3</v>
      </c>
      <c r="S9" s="8">
        <f>SUMIFS('NeT GP - table_export'!$J:$J,'NeT GP - table_export'!$B:$B,$B9, 'NeT GP - table_export'!$K:$K,"Yes", 'NeT GP - table_export'!$L:$L,"Yes")</f>
        <v>3</v>
      </c>
      <c r="T9" s="8">
        <f>SUMIFS('NeT GP - table_export'!$J:$J,'NeT GP - table_export'!$B:$B,$B9, 'NeT GP - table_export'!$K:$K,"Yes", 'NeT GP - table_export'!$L:$L,"Yes",'NeT GP - table_export'!$AA:$AA,"Yes")</f>
        <v>3</v>
      </c>
      <c r="U9" s="8">
        <f>SUMIFS('NeT GP - table_export'!$J:$J,'NeT GP - table_export'!$B:$B,$B9, 'NeT GP - table_export'!$K:$K,"No", 'NeT GP - table_export'!$L:$L,"Yes")</f>
        <v>0</v>
      </c>
      <c r="V9" s="51">
        <f>SUMIFS('NeT GP - table_export'!$J:$J,'NeT GP - table_export'!$B:$B,$B9, 'NeT GP - table_export'!$K:$K,"No", 'NeT GP - table_export'!$L:$L,"Yes",'NeT GP - table_export'!$AA:$AA,"Yes")</f>
        <v>0</v>
      </c>
    </row>
    <row r="10" spans="2:22" x14ac:dyDescent="0.35">
      <c r="B10" s="101" t="s">
        <v>38</v>
      </c>
      <c r="C10" s="99" t="s">
        <v>1827</v>
      </c>
      <c r="D10" s="114">
        <v>9</v>
      </c>
      <c r="E10" s="162" t="s">
        <v>6</v>
      </c>
      <c r="F10" s="167" t="str">
        <f>IF(E10="No","N/A",IF(COUNTIFS('NeT GP - table_export'!$B:$B,$B10,'NeT GP - table_export'!$K:$K,"No",'NeT GP - table_export'!$L:$L,"Yes")&gt;0,"Yes","No"))</f>
        <v>No</v>
      </c>
      <c r="G10" s="127">
        <f t="shared" si="0"/>
        <v>10</v>
      </c>
      <c r="H10" s="128">
        <f>COUNTIFS('NeT GP - table_export'!$B:$B,$B10, 'NeT GP - table_export'!$K:$K,"Yes")</f>
        <v>3</v>
      </c>
      <c r="I10" s="129">
        <f>COUNTIFS('NeT GP - table_export'!$B:$B,$B10, 'NeT GP - table_export'!$K:$K,"No")</f>
        <v>7</v>
      </c>
      <c r="J10" s="130">
        <f t="shared" si="1"/>
        <v>3</v>
      </c>
      <c r="K10" s="8">
        <f>COUNTIFS('NeT GP - table_export'!$B:$B,$B10, 'NeT GP - table_export'!$K:$K,"Yes", 'NeT GP - table_export'!$L:$L,"Yes")</f>
        <v>3</v>
      </c>
      <c r="L10" s="8">
        <f>COUNTIFS('NeT GP - table_export'!$B:$B,$B10, 'NeT GP - table_export'!$K:$K,"Yes", 'NeT GP - table_export'!$L:$L,"Yes",'NeT GP - table_export'!$AA:$AA,"Yes")</f>
        <v>3</v>
      </c>
      <c r="M10" s="8">
        <f>COUNTIFS('NeT GP - table_export'!$B:$B,$B10, 'NeT GP - table_export'!$K:$K,"No", 'NeT GP - table_export'!$L:$L,"Yes")</f>
        <v>0</v>
      </c>
      <c r="N10" s="131">
        <f>COUNTIFS('NeT GP - table_export'!$B:$B,$B10, 'NeT GP - table_export'!$K:$K,"No", 'NeT GP - table_export'!$L:$L,"Yes",'NeT GP - table_export'!$AA:$AA,"Yes")</f>
        <v>0</v>
      </c>
      <c r="O10" s="17">
        <f t="shared" si="2"/>
        <v>4131</v>
      </c>
      <c r="P10" s="8">
        <f>SUMIFS('NeT GP - table_export'!$J:$J,'NeT GP - table_export'!$B:$B,$B10, 'NeT GP - table_export'!$K:$K,"Yes")</f>
        <v>597</v>
      </c>
      <c r="Q10" s="51">
        <f>SUMIFS('NeT GP - table_export'!$J:$J,'NeT GP - table_export'!$B:$B,$B10, 'NeT GP - table_export'!$K:$K,"No")</f>
        <v>3534</v>
      </c>
      <c r="R10" s="130">
        <f t="shared" si="3"/>
        <v>597</v>
      </c>
      <c r="S10" s="8">
        <f>SUMIFS('NeT GP - table_export'!$J:$J,'NeT GP - table_export'!$B:$B,$B10, 'NeT GP - table_export'!$K:$K,"Yes", 'NeT GP - table_export'!$L:$L,"Yes")</f>
        <v>597</v>
      </c>
      <c r="T10" s="8">
        <f>SUMIFS('NeT GP - table_export'!$J:$J,'NeT GP - table_export'!$B:$B,$B10, 'NeT GP - table_export'!$K:$K,"Yes", 'NeT GP - table_export'!$L:$L,"Yes",'NeT GP - table_export'!$AA:$AA,"Yes")</f>
        <v>597</v>
      </c>
      <c r="U10" s="8">
        <f>SUMIFS('NeT GP - table_export'!$J:$J,'NeT GP - table_export'!$B:$B,$B10, 'NeT GP - table_export'!$K:$K,"No", 'NeT GP - table_export'!$L:$L,"Yes")</f>
        <v>0</v>
      </c>
      <c r="V10" s="51">
        <f>SUMIFS('NeT GP - table_export'!$J:$J,'NeT GP - table_export'!$B:$B,$B10, 'NeT GP - table_export'!$K:$K,"No", 'NeT GP - table_export'!$L:$L,"Yes",'NeT GP - table_export'!$AA:$AA,"Yes")</f>
        <v>0</v>
      </c>
    </row>
    <row r="11" spans="2:22" x14ac:dyDescent="0.35">
      <c r="B11" s="101" t="s">
        <v>41</v>
      </c>
      <c r="C11" s="99" t="s">
        <v>565</v>
      </c>
      <c r="D11" s="114">
        <v>9</v>
      </c>
      <c r="E11" s="162" t="s">
        <v>6</v>
      </c>
      <c r="F11" s="167" t="str">
        <f>IF(E11="No","N/A",IF(COUNTIFS('NeT GP - table_export'!$B:$B,$B11,'NeT GP - table_export'!$K:$K,"No",'NeT GP - table_export'!$L:$L,"Yes")&gt;0,"Yes","No"))</f>
        <v>No</v>
      </c>
      <c r="G11" s="127">
        <f t="shared" si="0"/>
        <v>46</v>
      </c>
      <c r="H11" s="128">
        <f>COUNTIFS('NeT GP - table_export'!$B:$B,$B11, 'NeT GP - table_export'!$K:$K,"Yes")</f>
        <v>4</v>
      </c>
      <c r="I11" s="129">
        <f>COUNTIFS('NeT GP - table_export'!$B:$B,$B11, 'NeT GP - table_export'!$K:$K,"No")</f>
        <v>42</v>
      </c>
      <c r="J11" s="130">
        <f t="shared" si="1"/>
        <v>4</v>
      </c>
      <c r="K11" s="8">
        <f>COUNTIFS('NeT GP - table_export'!$B:$B,$B11, 'NeT GP - table_export'!$K:$K,"Yes", 'NeT GP - table_export'!$L:$L,"Yes")</f>
        <v>4</v>
      </c>
      <c r="L11" s="8">
        <f>COUNTIFS('NeT GP - table_export'!$B:$B,$B11, 'NeT GP - table_export'!$K:$K,"Yes", 'NeT GP - table_export'!$L:$L,"Yes",'NeT GP - table_export'!$AA:$AA,"Yes")</f>
        <v>3</v>
      </c>
      <c r="M11" s="8">
        <f>COUNTIFS('NeT GP - table_export'!$B:$B,$B11, 'NeT GP - table_export'!$K:$K,"No", 'NeT GP - table_export'!$L:$L,"Yes")</f>
        <v>0</v>
      </c>
      <c r="N11" s="131">
        <f>COUNTIFS('NeT GP - table_export'!$B:$B,$B11, 'NeT GP - table_export'!$K:$K,"No", 'NeT GP - table_export'!$L:$L,"Yes",'NeT GP - table_export'!$AA:$AA,"Yes")</f>
        <v>0</v>
      </c>
      <c r="O11" s="17">
        <f t="shared" si="2"/>
        <v>31176</v>
      </c>
      <c r="P11" s="8">
        <f>SUMIFS('NeT GP - table_export'!$J:$J,'NeT GP - table_export'!$B:$B,$B11, 'NeT GP - table_export'!$K:$K,"Yes")</f>
        <v>69</v>
      </c>
      <c r="Q11" s="51">
        <f>SUMIFS('NeT GP - table_export'!$J:$J,'NeT GP - table_export'!$B:$B,$B11, 'NeT GP - table_export'!$K:$K,"No")</f>
        <v>31107</v>
      </c>
      <c r="R11" s="130">
        <f t="shared" si="3"/>
        <v>69</v>
      </c>
      <c r="S11" s="8">
        <f>SUMIFS('NeT GP - table_export'!$J:$J,'NeT GP - table_export'!$B:$B,$B11, 'NeT GP - table_export'!$K:$K,"Yes", 'NeT GP - table_export'!$L:$L,"Yes")</f>
        <v>69</v>
      </c>
      <c r="T11" s="8">
        <f>SUMIFS('NeT GP - table_export'!$J:$J,'NeT GP - table_export'!$B:$B,$B11, 'NeT GP - table_export'!$K:$K,"Yes", 'NeT GP - table_export'!$L:$L,"Yes",'NeT GP - table_export'!$AA:$AA,"Yes")</f>
        <v>46</v>
      </c>
      <c r="U11" s="8">
        <f>SUMIFS('NeT GP - table_export'!$J:$J,'NeT GP - table_export'!$B:$B,$B11, 'NeT GP - table_export'!$K:$K,"No", 'NeT GP - table_export'!$L:$L,"Yes")</f>
        <v>0</v>
      </c>
      <c r="V11" s="51">
        <f>SUMIFS('NeT GP - table_export'!$J:$J,'NeT GP - table_export'!$B:$B,$B11, 'NeT GP - table_export'!$K:$K,"No", 'NeT GP - table_export'!$L:$L,"Yes",'NeT GP - table_export'!$AA:$AA,"Yes")</f>
        <v>0</v>
      </c>
    </row>
    <row r="12" spans="2:22" x14ac:dyDescent="0.35">
      <c r="B12" s="101" t="s">
        <v>46</v>
      </c>
      <c r="C12" s="99" t="s">
        <v>566</v>
      </c>
      <c r="D12" s="114">
        <v>8</v>
      </c>
      <c r="E12" s="162" t="s">
        <v>6</v>
      </c>
      <c r="F12" s="167" t="str">
        <f>IF(E12="No","N/A",IF(COUNTIFS('NeT GP - table_export'!$B:$B,$B12,'NeT GP - table_export'!$K:$K,"No",'NeT GP - table_export'!$L:$L,"Yes")&gt;0,"Yes","No"))</f>
        <v>No</v>
      </c>
      <c r="G12" s="127">
        <f t="shared" si="0"/>
        <v>36</v>
      </c>
      <c r="H12" s="128">
        <f>COUNTIFS('NeT GP - table_export'!$B:$B,$B12, 'NeT GP - table_export'!$K:$K,"Yes")</f>
        <v>7</v>
      </c>
      <c r="I12" s="129">
        <f>COUNTIFS('NeT GP - table_export'!$B:$B,$B12, 'NeT GP - table_export'!$K:$K,"No")</f>
        <v>29</v>
      </c>
      <c r="J12" s="130">
        <f t="shared" si="1"/>
        <v>7</v>
      </c>
      <c r="K12" s="8">
        <f>COUNTIFS('NeT GP - table_export'!$B:$B,$B12, 'NeT GP - table_export'!$K:$K,"Yes", 'NeT GP - table_export'!$L:$L,"Yes")</f>
        <v>7</v>
      </c>
      <c r="L12" s="8">
        <f>COUNTIFS('NeT GP - table_export'!$B:$B,$B12, 'NeT GP - table_export'!$K:$K,"Yes", 'NeT GP - table_export'!$L:$L,"Yes",'NeT GP - table_export'!$AA:$AA,"Yes")</f>
        <v>5</v>
      </c>
      <c r="M12" s="8">
        <f>COUNTIFS('NeT GP - table_export'!$B:$B,$B12, 'NeT GP - table_export'!$K:$K,"No", 'NeT GP - table_export'!$L:$L,"Yes")</f>
        <v>0</v>
      </c>
      <c r="N12" s="131">
        <f>COUNTIFS('NeT GP - table_export'!$B:$B,$B12, 'NeT GP - table_export'!$K:$K,"No", 'NeT GP - table_export'!$L:$L,"Yes",'NeT GP - table_export'!$AA:$AA,"Yes")</f>
        <v>0</v>
      </c>
      <c r="O12" s="17">
        <f t="shared" si="2"/>
        <v>9210</v>
      </c>
      <c r="P12" s="8">
        <f>SUMIFS('NeT GP - table_export'!$J:$J,'NeT GP - table_export'!$B:$B,$B12, 'NeT GP - table_export'!$K:$K,"Yes")</f>
        <v>133</v>
      </c>
      <c r="Q12" s="51">
        <f>SUMIFS('NeT GP - table_export'!$J:$J,'NeT GP - table_export'!$B:$B,$B12, 'NeT GP - table_export'!$K:$K,"No")</f>
        <v>9077</v>
      </c>
      <c r="R12" s="130">
        <f t="shared" si="3"/>
        <v>133</v>
      </c>
      <c r="S12" s="8">
        <f>SUMIFS('NeT GP - table_export'!$J:$J,'NeT GP - table_export'!$B:$B,$B12, 'NeT GP - table_export'!$K:$K,"Yes", 'NeT GP - table_export'!$L:$L,"Yes")</f>
        <v>133</v>
      </c>
      <c r="T12" s="8">
        <f>SUMIFS('NeT GP - table_export'!$J:$J,'NeT GP - table_export'!$B:$B,$B12, 'NeT GP - table_export'!$K:$K,"Yes", 'NeT GP - table_export'!$L:$L,"Yes",'NeT GP - table_export'!$AA:$AA,"Yes")</f>
        <v>130</v>
      </c>
      <c r="U12" s="8">
        <f>SUMIFS('NeT GP - table_export'!$J:$J,'NeT GP - table_export'!$B:$B,$B12, 'NeT GP - table_export'!$K:$K,"No", 'NeT GP - table_export'!$L:$L,"Yes")</f>
        <v>0</v>
      </c>
      <c r="V12" s="51">
        <f>SUMIFS('NeT GP - table_export'!$J:$J,'NeT GP - table_export'!$B:$B,$B12, 'NeT GP - table_export'!$K:$K,"No", 'NeT GP - table_export'!$L:$L,"Yes",'NeT GP - table_export'!$AA:$AA,"Yes")</f>
        <v>0</v>
      </c>
    </row>
    <row r="13" spans="2:22" x14ac:dyDescent="0.35">
      <c r="B13" s="101" t="s">
        <v>53</v>
      </c>
      <c r="C13" s="99" t="s">
        <v>532</v>
      </c>
      <c r="D13" s="114">
        <v>1</v>
      </c>
      <c r="E13" s="162" t="s">
        <v>6</v>
      </c>
      <c r="F13" s="167" t="str">
        <f>IF(E13="No","N/A",IF(COUNTIFS('NeT GP - table_export'!$B:$B,$B13,'NeT GP - table_export'!$K:$K,"No",'NeT GP - table_export'!$L:$L,"Yes")&gt;0,"Yes","No"))</f>
        <v>Yes</v>
      </c>
      <c r="G13" s="127">
        <f t="shared" si="0"/>
        <v>12</v>
      </c>
      <c r="H13" s="128">
        <f>COUNTIFS('NeT GP - table_export'!$B:$B,$B13, 'NeT GP - table_export'!$K:$K,"Yes")</f>
        <v>4</v>
      </c>
      <c r="I13" s="129">
        <f>COUNTIFS('NeT GP - table_export'!$B:$B,$B13, 'NeT GP - table_export'!$K:$K,"No")</f>
        <v>8</v>
      </c>
      <c r="J13" s="130">
        <f t="shared" si="1"/>
        <v>12</v>
      </c>
      <c r="K13" s="8">
        <f>COUNTIFS('NeT GP - table_export'!$B:$B,$B13, 'NeT GP - table_export'!$K:$K,"Yes", 'NeT GP - table_export'!$L:$L,"Yes")</f>
        <v>4</v>
      </c>
      <c r="L13" s="8">
        <f>COUNTIFS('NeT GP - table_export'!$B:$B,$B13, 'NeT GP - table_export'!$K:$K,"Yes", 'NeT GP - table_export'!$L:$L,"Yes",'NeT GP - table_export'!$AA:$AA,"Yes")</f>
        <v>4</v>
      </c>
      <c r="M13" s="8">
        <f>COUNTIFS('NeT GP - table_export'!$B:$B,$B13, 'NeT GP - table_export'!$K:$K,"No", 'NeT GP - table_export'!$L:$L,"Yes")</f>
        <v>8</v>
      </c>
      <c r="N13" s="131">
        <f>COUNTIFS('NeT GP - table_export'!$B:$B,$B13, 'NeT GP - table_export'!$K:$K,"No", 'NeT GP - table_export'!$L:$L,"Yes",'NeT GP - table_export'!$AA:$AA,"Yes")</f>
        <v>0</v>
      </c>
      <c r="O13" s="17">
        <f t="shared" si="2"/>
        <v>2714</v>
      </c>
      <c r="P13" s="8">
        <f>SUMIFS('NeT GP - table_export'!$J:$J,'NeT GP - table_export'!$B:$B,$B13, 'NeT GP - table_export'!$K:$K,"Yes")</f>
        <v>2</v>
      </c>
      <c r="Q13" s="51">
        <f>SUMIFS('NeT GP - table_export'!$J:$J,'NeT GP - table_export'!$B:$B,$B13, 'NeT GP - table_export'!$K:$K,"No")</f>
        <v>2712</v>
      </c>
      <c r="R13" s="130">
        <f t="shared" si="3"/>
        <v>2714</v>
      </c>
      <c r="S13" s="8">
        <f>SUMIFS('NeT GP - table_export'!$J:$J,'NeT GP - table_export'!$B:$B,$B13, 'NeT GP - table_export'!$K:$K,"Yes", 'NeT GP - table_export'!$L:$L,"Yes")</f>
        <v>2</v>
      </c>
      <c r="T13" s="8">
        <f>SUMIFS('NeT GP - table_export'!$J:$J,'NeT GP - table_export'!$B:$B,$B13, 'NeT GP - table_export'!$K:$K,"Yes", 'NeT GP - table_export'!$L:$L,"Yes",'NeT GP - table_export'!$AA:$AA,"Yes")</f>
        <v>2</v>
      </c>
      <c r="U13" s="8">
        <f>SUMIFS('NeT GP - table_export'!$J:$J,'NeT GP - table_export'!$B:$B,$B13, 'NeT GP - table_export'!$K:$K,"No", 'NeT GP - table_export'!$L:$L,"Yes")</f>
        <v>2712</v>
      </c>
      <c r="V13" s="51">
        <f>SUMIFS('NeT GP - table_export'!$J:$J,'NeT GP - table_export'!$B:$B,$B13, 'NeT GP - table_export'!$K:$K,"No", 'NeT GP - table_export'!$L:$L,"Yes",'NeT GP - table_export'!$AA:$AA,"Yes")</f>
        <v>0</v>
      </c>
    </row>
    <row r="14" spans="2:22" x14ac:dyDescent="0.35">
      <c r="B14" s="101" t="s">
        <v>73</v>
      </c>
      <c r="C14" s="99" t="s">
        <v>567</v>
      </c>
      <c r="D14" s="114">
        <v>3</v>
      </c>
      <c r="E14" s="162" t="s">
        <v>10</v>
      </c>
      <c r="F14" s="167" t="str">
        <f>IF(E14="No","N/A",IF(COUNTIFS('NeT GP - table_export'!$B:$B,$B14,'NeT GP - table_export'!$K:$K,"No",'NeT GP - table_export'!$L:$L,"Yes")&gt;0,"Yes","No"))</f>
        <v>N/A</v>
      </c>
      <c r="G14" s="127">
        <f t="shared" si="0"/>
        <v>3</v>
      </c>
      <c r="H14" s="128">
        <f>COUNTIFS('NeT GP - table_export'!$B:$B,$B14, 'NeT GP - table_export'!$K:$K,"Yes")</f>
        <v>3</v>
      </c>
      <c r="I14" s="129">
        <f>COUNTIFS('NeT GP - table_export'!$B:$B,$B14, 'NeT GP - table_export'!$K:$K,"No")</f>
        <v>0</v>
      </c>
      <c r="J14" s="130">
        <f t="shared" si="1"/>
        <v>3</v>
      </c>
      <c r="K14" s="8">
        <f>COUNTIFS('NeT GP - table_export'!$B:$B,$B14, 'NeT GP - table_export'!$K:$K,"Yes", 'NeT GP - table_export'!$L:$L,"Yes")</f>
        <v>3</v>
      </c>
      <c r="L14" s="8">
        <f>COUNTIFS('NeT GP - table_export'!$B:$B,$B14, 'NeT GP - table_export'!$K:$K,"Yes", 'NeT GP - table_export'!$L:$L,"Yes",'NeT GP - table_export'!$AA:$AA,"Yes")</f>
        <v>3</v>
      </c>
      <c r="M14" s="8">
        <f>COUNTIFS('NeT GP - table_export'!$B:$B,$B14, 'NeT GP - table_export'!$K:$K,"No", 'NeT GP - table_export'!$L:$L,"Yes")</f>
        <v>0</v>
      </c>
      <c r="N14" s="131">
        <f>COUNTIFS('NeT GP - table_export'!$B:$B,$B14, 'NeT GP - table_export'!$K:$K,"No", 'NeT GP - table_export'!$L:$L,"Yes",'NeT GP - table_export'!$AA:$AA,"Yes")</f>
        <v>0</v>
      </c>
      <c r="O14" s="17">
        <f t="shared" si="2"/>
        <v>309</v>
      </c>
      <c r="P14" s="8">
        <f>SUMIFS('NeT GP - table_export'!$J:$J,'NeT GP - table_export'!$B:$B,$B14, 'NeT GP - table_export'!$K:$K,"Yes")</f>
        <v>309</v>
      </c>
      <c r="Q14" s="51">
        <f>SUMIFS('NeT GP - table_export'!$J:$J,'NeT GP - table_export'!$B:$B,$B14, 'NeT GP - table_export'!$K:$K,"No")</f>
        <v>0</v>
      </c>
      <c r="R14" s="130">
        <f t="shared" si="3"/>
        <v>309</v>
      </c>
      <c r="S14" s="8">
        <f>SUMIFS('NeT GP - table_export'!$J:$J,'NeT GP - table_export'!$B:$B,$B14, 'NeT GP - table_export'!$K:$K,"Yes", 'NeT GP - table_export'!$L:$L,"Yes")</f>
        <v>309</v>
      </c>
      <c r="T14" s="8">
        <f>SUMIFS('NeT GP - table_export'!$J:$J,'NeT GP - table_export'!$B:$B,$B14, 'NeT GP - table_export'!$K:$K,"Yes", 'NeT GP - table_export'!$L:$L,"Yes",'NeT GP - table_export'!$AA:$AA,"Yes")</f>
        <v>309</v>
      </c>
      <c r="U14" s="8">
        <f>SUMIFS('NeT GP - table_export'!$J:$J,'NeT GP - table_export'!$B:$B,$B14, 'NeT GP - table_export'!$K:$K,"No", 'NeT GP - table_export'!$L:$L,"Yes")</f>
        <v>0</v>
      </c>
      <c r="V14" s="51">
        <f>SUMIFS('NeT GP - table_export'!$J:$J,'NeT GP - table_export'!$B:$B,$B14, 'NeT GP - table_export'!$K:$K,"No", 'NeT GP - table_export'!$L:$L,"Yes",'NeT GP - table_export'!$AA:$AA,"Yes")</f>
        <v>0</v>
      </c>
    </row>
    <row r="15" spans="2:22" x14ac:dyDescent="0.35">
      <c r="B15" s="101" t="s">
        <v>78</v>
      </c>
      <c r="C15" s="99" t="s">
        <v>568</v>
      </c>
      <c r="D15" s="114">
        <v>3</v>
      </c>
      <c r="E15" s="162" t="s">
        <v>6</v>
      </c>
      <c r="F15" s="167" t="str">
        <f>IF(E15="No","N/A",IF(COUNTIFS('NeT GP - table_export'!$B:$B,$B15,'NeT GP - table_export'!$K:$K,"No",'NeT GP - table_export'!$L:$L,"Yes")&gt;0,"Yes","No"))</f>
        <v>Yes</v>
      </c>
      <c r="G15" s="127">
        <f t="shared" si="0"/>
        <v>10</v>
      </c>
      <c r="H15" s="128">
        <f>COUNTIFS('NeT GP - table_export'!$B:$B,$B15, 'NeT GP - table_export'!$K:$K,"Yes")</f>
        <v>3</v>
      </c>
      <c r="I15" s="129">
        <f>COUNTIFS('NeT GP - table_export'!$B:$B,$B15, 'NeT GP - table_export'!$K:$K,"No")</f>
        <v>7</v>
      </c>
      <c r="J15" s="130">
        <f t="shared" si="1"/>
        <v>5</v>
      </c>
      <c r="K15" s="8">
        <f>COUNTIFS('NeT GP - table_export'!$B:$B,$B15, 'NeT GP - table_export'!$K:$K,"Yes", 'NeT GP - table_export'!$L:$L,"Yes")</f>
        <v>3</v>
      </c>
      <c r="L15" s="8">
        <f>COUNTIFS('NeT GP - table_export'!$B:$B,$B15, 'NeT GP - table_export'!$K:$K,"Yes", 'NeT GP - table_export'!$L:$L,"Yes",'NeT GP - table_export'!$AA:$AA,"Yes")</f>
        <v>3</v>
      </c>
      <c r="M15" s="8">
        <f>COUNTIFS('NeT GP - table_export'!$B:$B,$B15, 'NeT GP - table_export'!$K:$K,"No", 'NeT GP - table_export'!$L:$L,"Yes")</f>
        <v>2</v>
      </c>
      <c r="N15" s="131">
        <f>COUNTIFS('NeT GP - table_export'!$B:$B,$B15, 'NeT GP - table_export'!$K:$K,"No", 'NeT GP - table_export'!$L:$L,"Yes",'NeT GP - table_export'!$AA:$AA,"Yes")</f>
        <v>1</v>
      </c>
      <c r="O15" s="17">
        <f t="shared" si="2"/>
        <v>4600</v>
      </c>
      <c r="P15" s="8">
        <f>SUMIFS('NeT GP - table_export'!$J:$J,'NeT GP - table_export'!$B:$B,$B15, 'NeT GP - table_export'!$K:$K,"Yes")</f>
        <v>8</v>
      </c>
      <c r="Q15" s="51">
        <f>SUMIFS('NeT GP - table_export'!$J:$J,'NeT GP - table_export'!$B:$B,$B15, 'NeT GP - table_export'!$K:$K,"No")</f>
        <v>4592</v>
      </c>
      <c r="R15" s="130">
        <f t="shared" si="3"/>
        <v>398</v>
      </c>
      <c r="S15" s="8">
        <f>SUMIFS('NeT GP - table_export'!$J:$J,'NeT GP - table_export'!$B:$B,$B15, 'NeT GP - table_export'!$K:$K,"Yes", 'NeT GP - table_export'!$L:$L,"Yes")</f>
        <v>8</v>
      </c>
      <c r="T15" s="8">
        <f>SUMIFS('NeT GP - table_export'!$J:$J,'NeT GP - table_export'!$B:$B,$B15, 'NeT GP - table_export'!$K:$K,"Yes", 'NeT GP - table_export'!$L:$L,"Yes",'NeT GP - table_export'!$AA:$AA,"Yes")</f>
        <v>8</v>
      </c>
      <c r="U15" s="8">
        <f>SUMIFS('NeT GP - table_export'!$J:$J,'NeT GP - table_export'!$B:$B,$B15, 'NeT GP - table_export'!$K:$K,"No", 'NeT GP - table_export'!$L:$L,"Yes")</f>
        <v>390</v>
      </c>
      <c r="V15" s="51">
        <f>SUMIFS('NeT GP - table_export'!$J:$J,'NeT GP - table_export'!$B:$B,$B15, 'NeT GP - table_export'!$K:$K,"No", 'NeT GP - table_export'!$L:$L,"Yes",'NeT GP - table_export'!$AA:$AA,"Yes")</f>
        <v>3</v>
      </c>
    </row>
    <row r="16" spans="2:22" x14ac:dyDescent="0.35">
      <c r="B16" s="101" t="s">
        <v>85</v>
      </c>
      <c r="C16" s="99" t="s">
        <v>569</v>
      </c>
      <c r="D16" s="114">
        <v>4</v>
      </c>
      <c r="E16" s="162" t="s">
        <v>6</v>
      </c>
      <c r="F16" s="167" t="str">
        <f>IF(E16="No","N/A",IF(COUNTIFS('NeT GP - table_export'!$B:$B,$B16,'NeT GP - table_export'!$K:$K,"No",'NeT GP - table_export'!$L:$L,"Yes")&gt;0,"Yes","No"))</f>
        <v>No</v>
      </c>
      <c r="G16" s="127">
        <f t="shared" si="0"/>
        <v>12</v>
      </c>
      <c r="H16" s="128">
        <f>COUNTIFS('NeT GP - table_export'!$B:$B,$B16, 'NeT GP - table_export'!$K:$K,"Yes")</f>
        <v>3</v>
      </c>
      <c r="I16" s="129">
        <f>COUNTIFS('NeT GP - table_export'!$B:$B,$B16, 'NeT GP - table_export'!$K:$K,"No")</f>
        <v>9</v>
      </c>
      <c r="J16" s="130">
        <f t="shared" si="1"/>
        <v>3</v>
      </c>
      <c r="K16" s="8">
        <f>COUNTIFS('NeT GP - table_export'!$B:$B,$B16, 'NeT GP - table_export'!$K:$K,"Yes", 'NeT GP - table_export'!$L:$L,"Yes")</f>
        <v>3</v>
      </c>
      <c r="L16" s="8">
        <f>COUNTIFS('NeT GP - table_export'!$B:$B,$B16, 'NeT GP - table_export'!$K:$K,"Yes", 'NeT GP - table_export'!$L:$L,"Yes",'NeT GP - table_export'!$AA:$AA,"Yes")</f>
        <v>3</v>
      </c>
      <c r="M16" s="8">
        <f>COUNTIFS('NeT GP - table_export'!$B:$B,$B16, 'NeT GP - table_export'!$K:$K,"No", 'NeT GP - table_export'!$L:$L,"Yes")</f>
        <v>0</v>
      </c>
      <c r="N16" s="131">
        <f>COUNTIFS('NeT GP - table_export'!$B:$B,$B16, 'NeT GP - table_export'!$K:$K,"No", 'NeT GP - table_export'!$L:$L,"Yes",'NeT GP - table_export'!$AA:$AA,"Yes")</f>
        <v>0</v>
      </c>
      <c r="O16" s="17">
        <f t="shared" si="2"/>
        <v>24907</v>
      </c>
      <c r="P16" s="8">
        <f>SUMIFS('NeT GP - table_export'!$J:$J,'NeT GP - table_export'!$B:$B,$B16, 'NeT GP - table_export'!$K:$K,"Yes")</f>
        <v>3</v>
      </c>
      <c r="Q16" s="51">
        <f>SUMIFS('NeT GP - table_export'!$J:$J,'NeT GP - table_export'!$B:$B,$B16, 'NeT GP - table_export'!$K:$K,"No")</f>
        <v>24904</v>
      </c>
      <c r="R16" s="130">
        <f t="shared" si="3"/>
        <v>3</v>
      </c>
      <c r="S16" s="8">
        <f>SUMIFS('NeT GP - table_export'!$J:$J,'NeT GP - table_export'!$B:$B,$B16, 'NeT GP - table_export'!$K:$K,"Yes", 'NeT GP - table_export'!$L:$L,"Yes")</f>
        <v>3</v>
      </c>
      <c r="T16" s="8">
        <f>SUMIFS('NeT GP - table_export'!$J:$J,'NeT GP - table_export'!$B:$B,$B16, 'NeT GP - table_export'!$K:$K,"Yes", 'NeT GP - table_export'!$L:$L,"Yes",'NeT GP - table_export'!$AA:$AA,"Yes")</f>
        <v>3</v>
      </c>
      <c r="U16" s="8">
        <f>SUMIFS('NeT GP - table_export'!$J:$J,'NeT GP - table_export'!$B:$B,$B16, 'NeT GP - table_export'!$K:$K,"No", 'NeT GP - table_export'!$L:$L,"Yes")</f>
        <v>0</v>
      </c>
      <c r="V16" s="51">
        <f>SUMIFS('NeT GP - table_export'!$J:$J,'NeT GP - table_export'!$B:$B,$B16, 'NeT GP - table_export'!$K:$K,"No", 'NeT GP - table_export'!$L:$L,"Yes",'NeT GP - table_export'!$AA:$AA,"Yes")</f>
        <v>0</v>
      </c>
    </row>
    <row r="17" spans="2:22" x14ac:dyDescent="0.35">
      <c r="B17" s="101" t="s">
        <v>570</v>
      </c>
      <c r="C17" s="99" t="s">
        <v>571</v>
      </c>
      <c r="D17" s="114">
        <v>4</v>
      </c>
      <c r="E17" s="162" t="s">
        <v>6</v>
      </c>
      <c r="F17" s="167" t="str">
        <f>IF(E17="No","N/A",IF(COUNTIFS('NeT GP - table_export'!$B:$B,$B17,'NeT GP - table_export'!$K:$K,"No",'NeT GP - table_export'!$L:$L,"Yes")&gt;0,"Yes","No"))</f>
        <v>No</v>
      </c>
      <c r="G17" s="127">
        <f t="shared" si="0"/>
        <v>15</v>
      </c>
      <c r="H17" s="128">
        <f>COUNTIFS('NeT GP - table_export'!$B:$B,$B17, 'NeT GP - table_export'!$K:$K,"Yes")</f>
        <v>0</v>
      </c>
      <c r="I17" s="129">
        <f>COUNTIFS('NeT GP - table_export'!$B:$B,$B17, 'NeT GP - table_export'!$K:$K,"No")</f>
        <v>15</v>
      </c>
      <c r="J17" s="130">
        <f t="shared" si="1"/>
        <v>0</v>
      </c>
      <c r="K17" s="8">
        <f>COUNTIFS('NeT GP - table_export'!$B:$B,$B17, 'NeT GP - table_export'!$K:$K,"Yes", 'NeT GP - table_export'!$L:$L,"Yes")</f>
        <v>0</v>
      </c>
      <c r="L17" s="8">
        <f>COUNTIFS('NeT GP - table_export'!$B:$B,$B17, 'NeT GP - table_export'!$K:$K,"Yes", 'NeT GP - table_export'!$L:$L,"Yes",'NeT GP - table_export'!$AA:$AA,"Yes")</f>
        <v>0</v>
      </c>
      <c r="M17" s="8">
        <f>COUNTIFS('NeT GP - table_export'!$B:$B,$B17, 'NeT GP - table_export'!$K:$K,"No", 'NeT GP - table_export'!$L:$L,"Yes")</f>
        <v>0</v>
      </c>
      <c r="N17" s="131">
        <f>COUNTIFS('NeT GP - table_export'!$B:$B,$B17, 'NeT GP - table_export'!$K:$K,"No", 'NeT GP - table_export'!$L:$L,"Yes",'NeT GP - table_export'!$AA:$AA,"Yes")</f>
        <v>0</v>
      </c>
      <c r="O17" s="17">
        <f t="shared" si="2"/>
        <v>14155</v>
      </c>
      <c r="P17" s="8">
        <f>SUMIFS('NeT GP - table_export'!$J:$J,'NeT GP - table_export'!$B:$B,$B17, 'NeT GP - table_export'!$K:$K,"Yes")</f>
        <v>0</v>
      </c>
      <c r="Q17" s="51">
        <f>SUMIFS('NeT GP - table_export'!$J:$J,'NeT GP - table_export'!$B:$B,$B17, 'NeT GP - table_export'!$K:$K,"No")</f>
        <v>14155</v>
      </c>
      <c r="R17" s="130">
        <f t="shared" si="3"/>
        <v>0</v>
      </c>
      <c r="S17" s="8">
        <f>SUMIFS('NeT GP - table_export'!$J:$J,'NeT GP - table_export'!$B:$B,$B17, 'NeT GP - table_export'!$K:$K,"Yes", 'NeT GP - table_export'!$L:$L,"Yes")</f>
        <v>0</v>
      </c>
      <c r="T17" s="8">
        <f>SUMIFS('NeT GP - table_export'!$J:$J,'NeT GP - table_export'!$B:$B,$B17, 'NeT GP - table_export'!$K:$K,"Yes", 'NeT GP - table_export'!$L:$L,"Yes",'NeT GP - table_export'!$AA:$AA,"Yes")</f>
        <v>0</v>
      </c>
      <c r="U17" s="8">
        <f>SUMIFS('NeT GP - table_export'!$J:$J,'NeT GP - table_export'!$B:$B,$B17, 'NeT GP - table_export'!$K:$K,"No", 'NeT GP - table_export'!$L:$L,"Yes")</f>
        <v>0</v>
      </c>
      <c r="V17" s="51">
        <f>SUMIFS('NeT GP - table_export'!$J:$J,'NeT GP - table_export'!$B:$B,$B17, 'NeT GP - table_export'!$K:$K,"No", 'NeT GP - table_export'!$L:$L,"Yes",'NeT GP - table_export'!$AA:$AA,"Yes")</f>
        <v>0</v>
      </c>
    </row>
    <row r="18" spans="2:22" x14ac:dyDescent="0.35">
      <c r="B18" s="101" t="s">
        <v>88</v>
      </c>
      <c r="C18" s="99" t="s">
        <v>1869</v>
      </c>
      <c r="D18" s="114">
        <v>4</v>
      </c>
      <c r="E18" s="162" t="s">
        <v>10</v>
      </c>
      <c r="F18" s="167" t="str">
        <f>IF(E18="No","N/A",IF(COUNTIFS('NeT GP - table_export'!$B:$B,$B18,'NeT GP - table_export'!$K:$K,"No",'NeT GP - table_export'!$L:$L,"Yes")&gt;0,"Yes","No"))</f>
        <v>N/A</v>
      </c>
      <c r="G18" s="127">
        <f t="shared" si="0"/>
        <v>1</v>
      </c>
      <c r="H18" s="128">
        <f>COUNTIFS('NeT GP - table_export'!$B:$B,$B18, 'NeT GP - table_export'!$K:$K,"Yes")</f>
        <v>1</v>
      </c>
      <c r="I18" s="129">
        <f>COUNTIFS('NeT GP - table_export'!$B:$B,$B18, 'NeT GP - table_export'!$K:$K,"No")</f>
        <v>0</v>
      </c>
      <c r="J18" s="130">
        <f t="shared" si="1"/>
        <v>1</v>
      </c>
      <c r="K18" s="8">
        <f>COUNTIFS('NeT GP - table_export'!$B:$B,$B18, 'NeT GP - table_export'!$K:$K,"Yes", 'NeT GP - table_export'!$L:$L,"Yes")</f>
        <v>1</v>
      </c>
      <c r="L18" s="8">
        <f>COUNTIFS('NeT GP - table_export'!$B:$B,$B18, 'NeT GP - table_export'!$K:$K,"Yes", 'NeT GP - table_export'!$L:$L,"Yes",'NeT GP - table_export'!$AA:$AA,"Yes")</f>
        <v>1</v>
      </c>
      <c r="M18" s="8">
        <f>COUNTIFS('NeT GP - table_export'!$B:$B,$B18, 'NeT GP - table_export'!$K:$K,"No", 'NeT GP - table_export'!$L:$L,"Yes")</f>
        <v>0</v>
      </c>
      <c r="N18" s="131">
        <f>COUNTIFS('NeT GP - table_export'!$B:$B,$B18, 'NeT GP - table_export'!$K:$K,"No", 'NeT GP - table_export'!$L:$L,"Yes",'NeT GP - table_export'!$AA:$AA,"Yes")</f>
        <v>0</v>
      </c>
      <c r="O18" s="17">
        <f t="shared" si="2"/>
        <v>28</v>
      </c>
      <c r="P18" s="8">
        <f>SUMIFS('NeT GP - table_export'!$J:$J,'NeT GP - table_export'!$B:$B,$B18, 'NeT GP - table_export'!$K:$K,"Yes")</f>
        <v>28</v>
      </c>
      <c r="Q18" s="51">
        <f>SUMIFS('NeT GP - table_export'!$J:$J,'NeT GP - table_export'!$B:$B,$B18, 'NeT GP - table_export'!$K:$K,"No")</f>
        <v>0</v>
      </c>
      <c r="R18" s="130">
        <f t="shared" si="3"/>
        <v>28</v>
      </c>
      <c r="S18" s="8">
        <f>SUMIFS('NeT GP - table_export'!$J:$J,'NeT GP - table_export'!$B:$B,$B18, 'NeT GP - table_export'!$K:$K,"Yes", 'NeT GP - table_export'!$L:$L,"Yes")</f>
        <v>28</v>
      </c>
      <c r="T18" s="8">
        <f>SUMIFS('NeT GP - table_export'!$J:$J,'NeT GP - table_export'!$B:$B,$B18, 'NeT GP - table_export'!$K:$K,"Yes", 'NeT GP - table_export'!$L:$L,"Yes",'NeT GP - table_export'!$AA:$AA,"Yes")</f>
        <v>28</v>
      </c>
      <c r="U18" s="8">
        <f>SUMIFS('NeT GP - table_export'!$J:$J,'NeT GP - table_export'!$B:$B,$B18, 'NeT GP - table_export'!$K:$K,"No", 'NeT GP - table_export'!$L:$L,"Yes")</f>
        <v>0</v>
      </c>
      <c r="V18" s="51">
        <f>SUMIFS('NeT GP - table_export'!$J:$J,'NeT GP - table_export'!$B:$B,$B18, 'NeT GP - table_export'!$K:$K,"No", 'NeT GP - table_export'!$L:$L,"Yes",'NeT GP - table_export'!$AA:$AA,"Yes")</f>
        <v>0</v>
      </c>
    </row>
    <row r="19" spans="2:22" x14ac:dyDescent="0.35">
      <c r="B19" s="101" t="s">
        <v>92</v>
      </c>
      <c r="C19" s="99" t="s">
        <v>1828</v>
      </c>
      <c r="D19" s="114">
        <v>6</v>
      </c>
      <c r="E19" s="162" t="s">
        <v>10</v>
      </c>
      <c r="F19" s="167" t="str">
        <f>IF(E19="No","N/A",IF(COUNTIFS('NeT GP - table_export'!$B:$B,$B19,'NeT GP - table_export'!$K:$K,"No",'NeT GP - table_export'!$L:$L,"Yes")&gt;0,"Yes","No"))</f>
        <v>N/A</v>
      </c>
      <c r="G19" s="127">
        <f t="shared" si="0"/>
        <v>1</v>
      </c>
      <c r="H19" s="128">
        <f>COUNTIFS('NeT GP - table_export'!$B:$B,$B19, 'NeT GP - table_export'!$K:$K,"Yes")</f>
        <v>1</v>
      </c>
      <c r="I19" s="129">
        <f>COUNTIFS('NeT GP - table_export'!$B:$B,$B19, 'NeT GP - table_export'!$K:$K,"No")</f>
        <v>0</v>
      </c>
      <c r="J19" s="130">
        <f t="shared" si="1"/>
        <v>1</v>
      </c>
      <c r="K19" s="8">
        <f>COUNTIFS('NeT GP - table_export'!$B:$B,$B19, 'NeT GP - table_export'!$K:$K,"Yes", 'NeT GP - table_export'!$L:$L,"Yes")</f>
        <v>1</v>
      </c>
      <c r="L19" s="8">
        <f>COUNTIFS('NeT GP - table_export'!$B:$B,$B19, 'NeT GP - table_export'!$K:$K,"Yes", 'NeT GP - table_export'!$L:$L,"Yes",'NeT GP - table_export'!$AA:$AA,"Yes")</f>
        <v>1</v>
      </c>
      <c r="M19" s="8">
        <f>COUNTIFS('NeT GP - table_export'!$B:$B,$B19, 'NeT GP - table_export'!$K:$K,"No", 'NeT GP - table_export'!$L:$L,"Yes")</f>
        <v>0</v>
      </c>
      <c r="N19" s="131">
        <f>COUNTIFS('NeT GP - table_export'!$B:$B,$B19, 'NeT GP - table_export'!$K:$K,"No", 'NeT GP - table_export'!$L:$L,"Yes",'NeT GP - table_export'!$AA:$AA,"Yes")</f>
        <v>0</v>
      </c>
      <c r="O19" s="17">
        <f t="shared" si="2"/>
        <v>10493</v>
      </c>
      <c r="P19" s="8">
        <f>SUMIFS('NeT GP - table_export'!$J:$J,'NeT GP - table_export'!$B:$B,$B19, 'NeT GP - table_export'!$K:$K,"Yes")</f>
        <v>10493</v>
      </c>
      <c r="Q19" s="51">
        <f>SUMIFS('NeT GP - table_export'!$J:$J,'NeT GP - table_export'!$B:$B,$B19, 'NeT GP - table_export'!$K:$K,"No")</f>
        <v>0</v>
      </c>
      <c r="R19" s="130">
        <f t="shared" si="3"/>
        <v>10493</v>
      </c>
      <c r="S19" s="8">
        <f>SUMIFS('NeT GP - table_export'!$J:$J,'NeT GP - table_export'!$B:$B,$B19, 'NeT GP - table_export'!$K:$K,"Yes", 'NeT GP - table_export'!$L:$L,"Yes")</f>
        <v>10493</v>
      </c>
      <c r="T19" s="8">
        <f>SUMIFS('NeT GP - table_export'!$J:$J,'NeT GP - table_export'!$B:$B,$B19, 'NeT GP - table_export'!$K:$K,"Yes", 'NeT GP - table_export'!$L:$L,"Yes",'NeT GP - table_export'!$AA:$AA,"Yes")</f>
        <v>10493</v>
      </c>
      <c r="U19" s="8">
        <f>SUMIFS('NeT GP - table_export'!$J:$J,'NeT GP - table_export'!$B:$B,$B19, 'NeT GP - table_export'!$K:$K,"No", 'NeT GP - table_export'!$L:$L,"Yes")</f>
        <v>0</v>
      </c>
      <c r="V19" s="51">
        <f>SUMIFS('NeT GP - table_export'!$J:$J,'NeT GP - table_export'!$B:$B,$B19, 'NeT GP - table_export'!$K:$K,"No", 'NeT GP - table_export'!$L:$L,"Yes",'NeT GP - table_export'!$AA:$AA,"Yes")</f>
        <v>0</v>
      </c>
    </row>
    <row r="20" spans="2:22" x14ac:dyDescent="0.35">
      <c r="B20" s="101" t="s">
        <v>96</v>
      </c>
      <c r="C20" s="99" t="s">
        <v>572</v>
      </c>
      <c r="D20" s="114">
        <v>9</v>
      </c>
      <c r="E20" s="162" t="s">
        <v>10</v>
      </c>
      <c r="F20" s="167" t="str">
        <f>IF(E20="No","N/A",IF(COUNTIFS('NeT GP - table_export'!$B:$B,$B20,'NeT GP - table_export'!$K:$K,"No",'NeT GP - table_export'!$L:$L,"Yes")&gt;0,"Yes","No"))</f>
        <v>N/A</v>
      </c>
      <c r="G20" s="127">
        <f t="shared" si="0"/>
        <v>4</v>
      </c>
      <c r="H20" s="128">
        <f>COUNTIFS('NeT GP - table_export'!$B:$B,$B20, 'NeT GP - table_export'!$K:$K,"Yes")</f>
        <v>4</v>
      </c>
      <c r="I20" s="129">
        <f>COUNTIFS('NeT GP - table_export'!$B:$B,$B20, 'NeT GP - table_export'!$K:$K,"No")</f>
        <v>0</v>
      </c>
      <c r="J20" s="130">
        <f t="shared" si="1"/>
        <v>4</v>
      </c>
      <c r="K20" s="8">
        <f>COUNTIFS('NeT GP - table_export'!$B:$B,$B20, 'NeT GP - table_export'!$K:$K,"Yes", 'NeT GP - table_export'!$L:$L,"Yes")</f>
        <v>4</v>
      </c>
      <c r="L20" s="8">
        <f>COUNTIFS('NeT GP - table_export'!$B:$B,$B20, 'NeT GP - table_export'!$K:$K,"Yes", 'NeT GP - table_export'!$L:$L,"Yes",'NeT GP - table_export'!$AA:$AA,"Yes")</f>
        <v>3</v>
      </c>
      <c r="M20" s="8">
        <f>COUNTIFS('NeT GP - table_export'!$B:$B,$B20, 'NeT GP - table_export'!$K:$K,"No", 'NeT GP - table_export'!$L:$L,"Yes")</f>
        <v>0</v>
      </c>
      <c r="N20" s="131">
        <f>COUNTIFS('NeT GP - table_export'!$B:$B,$B20, 'NeT GP - table_export'!$K:$K,"No", 'NeT GP - table_export'!$L:$L,"Yes",'NeT GP - table_export'!$AA:$AA,"Yes")</f>
        <v>0</v>
      </c>
      <c r="O20" s="17">
        <f t="shared" si="2"/>
        <v>92</v>
      </c>
      <c r="P20" s="8">
        <f>SUMIFS('NeT GP - table_export'!$J:$J,'NeT GP - table_export'!$B:$B,$B20, 'NeT GP - table_export'!$K:$K,"Yes")</f>
        <v>92</v>
      </c>
      <c r="Q20" s="51">
        <f>SUMIFS('NeT GP - table_export'!$J:$J,'NeT GP - table_export'!$B:$B,$B20, 'NeT GP - table_export'!$K:$K,"No")</f>
        <v>0</v>
      </c>
      <c r="R20" s="130">
        <f t="shared" si="3"/>
        <v>92</v>
      </c>
      <c r="S20" s="8">
        <f>SUMIFS('NeT GP - table_export'!$J:$J,'NeT GP - table_export'!$B:$B,$B20, 'NeT GP - table_export'!$K:$K,"Yes", 'NeT GP - table_export'!$L:$L,"Yes")</f>
        <v>92</v>
      </c>
      <c r="T20" s="8">
        <f>SUMIFS('NeT GP - table_export'!$J:$J,'NeT GP - table_export'!$B:$B,$B20, 'NeT GP - table_export'!$K:$K,"Yes", 'NeT GP - table_export'!$L:$L,"Yes",'NeT GP - table_export'!$AA:$AA,"Yes")</f>
        <v>87</v>
      </c>
      <c r="U20" s="8">
        <f>SUMIFS('NeT GP - table_export'!$J:$J,'NeT GP - table_export'!$B:$B,$B20, 'NeT GP - table_export'!$K:$K,"No", 'NeT GP - table_export'!$L:$L,"Yes")</f>
        <v>0</v>
      </c>
      <c r="V20" s="51">
        <f>SUMIFS('NeT GP - table_export'!$J:$J,'NeT GP - table_export'!$B:$B,$B20, 'NeT GP - table_export'!$K:$K,"No", 'NeT GP - table_export'!$L:$L,"Yes",'NeT GP - table_export'!$AA:$AA,"Yes")</f>
        <v>0</v>
      </c>
    </row>
    <row r="21" spans="2:22" x14ac:dyDescent="0.35">
      <c r="B21" s="101" t="s">
        <v>573</v>
      </c>
      <c r="C21" s="99" t="s">
        <v>574</v>
      </c>
      <c r="D21" s="114">
        <v>9</v>
      </c>
      <c r="E21" s="162" t="s">
        <v>6</v>
      </c>
      <c r="F21" s="167" t="str">
        <f>IF(E21="No","N/A",IF(COUNTIFS('NeT GP - table_export'!$B:$B,$B21,'NeT GP - table_export'!$K:$K,"No",'NeT GP - table_export'!$L:$L,"Yes")&gt;0,"Yes","No"))</f>
        <v>No</v>
      </c>
      <c r="G21" s="127">
        <f t="shared" si="0"/>
        <v>12</v>
      </c>
      <c r="H21" s="128">
        <f>COUNTIFS('NeT GP - table_export'!$B:$B,$B21, 'NeT GP - table_export'!$K:$K,"Yes")</f>
        <v>0</v>
      </c>
      <c r="I21" s="129">
        <f>COUNTIFS('NeT GP - table_export'!$B:$B,$B21, 'NeT GP - table_export'!$K:$K,"No")</f>
        <v>12</v>
      </c>
      <c r="J21" s="130">
        <f t="shared" si="1"/>
        <v>0</v>
      </c>
      <c r="K21" s="8">
        <f>COUNTIFS('NeT GP - table_export'!$B:$B,$B21, 'NeT GP - table_export'!$K:$K,"Yes", 'NeT GP - table_export'!$L:$L,"Yes")</f>
        <v>0</v>
      </c>
      <c r="L21" s="8">
        <f>COUNTIFS('NeT GP - table_export'!$B:$B,$B21, 'NeT GP - table_export'!$K:$K,"Yes", 'NeT GP - table_export'!$L:$L,"Yes",'NeT GP - table_export'!$AA:$AA,"Yes")</f>
        <v>0</v>
      </c>
      <c r="M21" s="8">
        <f>COUNTIFS('NeT GP - table_export'!$B:$B,$B21, 'NeT GP - table_export'!$K:$K,"No", 'NeT GP - table_export'!$L:$L,"Yes")</f>
        <v>0</v>
      </c>
      <c r="N21" s="131">
        <f>COUNTIFS('NeT GP - table_export'!$B:$B,$B21, 'NeT GP - table_export'!$K:$K,"No", 'NeT GP - table_export'!$L:$L,"Yes",'NeT GP - table_export'!$AA:$AA,"Yes")</f>
        <v>0</v>
      </c>
      <c r="O21" s="17">
        <f t="shared" si="2"/>
        <v>1360</v>
      </c>
      <c r="P21" s="8">
        <f>SUMIFS('NeT GP - table_export'!$J:$J,'NeT GP - table_export'!$B:$B,$B21, 'NeT GP - table_export'!$K:$K,"Yes")</f>
        <v>0</v>
      </c>
      <c r="Q21" s="51">
        <f>SUMIFS('NeT GP - table_export'!$J:$J,'NeT GP - table_export'!$B:$B,$B21, 'NeT GP - table_export'!$K:$K,"No")</f>
        <v>1360</v>
      </c>
      <c r="R21" s="130">
        <f t="shared" si="3"/>
        <v>0</v>
      </c>
      <c r="S21" s="8">
        <f>SUMIFS('NeT GP - table_export'!$J:$J,'NeT GP - table_export'!$B:$B,$B21, 'NeT GP - table_export'!$K:$K,"Yes", 'NeT GP - table_export'!$L:$L,"Yes")</f>
        <v>0</v>
      </c>
      <c r="T21" s="8">
        <f>SUMIFS('NeT GP - table_export'!$J:$J,'NeT GP - table_export'!$B:$B,$B21, 'NeT GP - table_export'!$K:$K,"Yes", 'NeT GP - table_export'!$L:$L,"Yes",'NeT GP - table_export'!$AA:$AA,"Yes")</f>
        <v>0</v>
      </c>
      <c r="U21" s="8">
        <f>SUMIFS('NeT GP - table_export'!$J:$J,'NeT GP - table_export'!$B:$B,$B21, 'NeT GP - table_export'!$K:$K,"No", 'NeT GP - table_export'!$L:$L,"Yes")</f>
        <v>0</v>
      </c>
      <c r="V21" s="51">
        <f>SUMIFS('NeT GP - table_export'!$J:$J,'NeT GP - table_export'!$B:$B,$B21, 'NeT GP - table_export'!$K:$K,"No", 'NeT GP - table_export'!$L:$L,"Yes",'NeT GP - table_export'!$AA:$AA,"Yes")</f>
        <v>0</v>
      </c>
    </row>
    <row r="22" spans="2:22" x14ac:dyDescent="0.35">
      <c r="B22" s="101" t="s">
        <v>101</v>
      </c>
      <c r="C22" s="99" t="s">
        <v>575</v>
      </c>
      <c r="D22" s="114">
        <v>7</v>
      </c>
      <c r="E22" s="162" t="s">
        <v>6</v>
      </c>
      <c r="F22" s="167" t="str">
        <f>IF(E22="No","N/A",IF(COUNTIFS('NeT GP - table_export'!$B:$B,$B22,'NeT GP - table_export'!$K:$K,"No",'NeT GP - table_export'!$L:$L,"Yes")&gt;0,"Yes","No"))</f>
        <v>No</v>
      </c>
      <c r="G22" s="127">
        <f t="shared" si="0"/>
        <v>12</v>
      </c>
      <c r="H22" s="128">
        <f>COUNTIFS('NeT GP - table_export'!$B:$B,$B22, 'NeT GP - table_export'!$K:$K,"Yes")</f>
        <v>3</v>
      </c>
      <c r="I22" s="129">
        <f>COUNTIFS('NeT GP - table_export'!$B:$B,$B22, 'NeT GP - table_export'!$K:$K,"No")</f>
        <v>9</v>
      </c>
      <c r="J22" s="130">
        <f t="shared" si="1"/>
        <v>3</v>
      </c>
      <c r="K22" s="8">
        <f>COUNTIFS('NeT GP - table_export'!$B:$B,$B22, 'NeT GP - table_export'!$K:$K,"Yes", 'NeT GP - table_export'!$L:$L,"Yes")</f>
        <v>3</v>
      </c>
      <c r="L22" s="8">
        <f>COUNTIFS('NeT GP - table_export'!$B:$B,$B22, 'NeT GP - table_export'!$K:$K,"Yes", 'NeT GP - table_export'!$L:$L,"Yes",'NeT GP - table_export'!$AA:$AA,"Yes")</f>
        <v>3</v>
      </c>
      <c r="M22" s="8">
        <f>COUNTIFS('NeT GP - table_export'!$B:$B,$B22, 'NeT GP - table_export'!$K:$K,"No", 'NeT GP - table_export'!$L:$L,"Yes")</f>
        <v>0</v>
      </c>
      <c r="N22" s="131">
        <f>COUNTIFS('NeT GP - table_export'!$B:$B,$B22, 'NeT GP - table_export'!$K:$K,"No", 'NeT GP - table_export'!$L:$L,"Yes",'NeT GP - table_export'!$AA:$AA,"Yes")</f>
        <v>0</v>
      </c>
      <c r="O22" s="17">
        <f t="shared" si="2"/>
        <v>9009</v>
      </c>
      <c r="P22" s="8">
        <f>SUMIFS('NeT GP - table_export'!$J:$J,'NeT GP - table_export'!$B:$B,$B22, 'NeT GP - table_export'!$K:$K,"Yes")</f>
        <v>1</v>
      </c>
      <c r="Q22" s="51">
        <f>SUMIFS('NeT GP - table_export'!$J:$J,'NeT GP - table_export'!$B:$B,$B22, 'NeT GP - table_export'!$K:$K,"No")</f>
        <v>9008</v>
      </c>
      <c r="R22" s="130">
        <f t="shared" si="3"/>
        <v>1</v>
      </c>
      <c r="S22" s="8">
        <f>SUMIFS('NeT GP - table_export'!$J:$J,'NeT GP - table_export'!$B:$B,$B22, 'NeT GP - table_export'!$K:$K,"Yes", 'NeT GP - table_export'!$L:$L,"Yes")</f>
        <v>1</v>
      </c>
      <c r="T22" s="8">
        <f>SUMIFS('NeT GP - table_export'!$J:$J,'NeT GP - table_export'!$B:$B,$B22, 'NeT GP - table_export'!$K:$K,"Yes", 'NeT GP - table_export'!$L:$L,"Yes",'NeT GP - table_export'!$AA:$AA,"Yes")</f>
        <v>1</v>
      </c>
      <c r="U22" s="8">
        <f>SUMIFS('NeT GP - table_export'!$J:$J,'NeT GP - table_export'!$B:$B,$B22, 'NeT GP - table_export'!$K:$K,"No", 'NeT GP - table_export'!$L:$L,"Yes")</f>
        <v>0</v>
      </c>
      <c r="V22" s="51">
        <f>SUMIFS('NeT GP - table_export'!$J:$J,'NeT GP - table_export'!$B:$B,$B22, 'NeT GP - table_export'!$K:$K,"No", 'NeT GP - table_export'!$L:$L,"Yes",'NeT GP - table_export'!$AA:$AA,"Yes")</f>
        <v>0</v>
      </c>
    </row>
    <row r="23" spans="2:22" x14ac:dyDescent="0.35">
      <c r="B23" s="101" t="s">
        <v>104</v>
      </c>
      <c r="C23" s="99" t="s">
        <v>576</v>
      </c>
      <c r="D23" s="114">
        <v>10</v>
      </c>
      <c r="E23" s="162" t="s">
        <v>6</v>
      </c>
      <c r="F23" s="167" t="str">
        <f>IF(E23="No","N/A",IF(COUNTIFS('NeT GP - table_export'!$B:$B,$B23,'NeT GP - table_export'!$K:$K,"No",'NeT GP - table_export'!$L:$L,"Yes")&gt;0,"Yes","No"))</f>
        <v>Yes</v>
      </c>
      <c r="G23" s="127">
        <f t="shared" si="0"/>
        <v>15</v>
      </c>
      <c r="H23" s="128">
        <f>COUNTIFS('NeT GP - table_export'!$B:$B,$B23, 'NeT GP - table_export'!$K:$K,"Yes")</f>
        <v>5</v>
      </c>
      <c r="I23" s="129">
        <f>COUNTIFS('NeT GP - table_export'!$B:$B,$B23, 'NeT GP - table_export'!$K:$K,"No")</f>
        <v>10</v>
      </c>
      <c r="J23" s="130">
        <f t="shared" si="1"/>
        <v>9</v>
      </c>
      <c r="K23" s="8">
        <f>COUNTIFS('NeT GP - table_export'!$B:$B,$B23, 'NeT GP - table_export'!$K:$K,"Yes", 'NeT GP - table_export'!$L:$L,"Yes")</f>
        <v>5</v>
      </c>
      <c r="L23" s="8">
        <f>COUNTIFS('NeT GP - table_export'!$B:$B,$B23, 'NeT GP - table_export'!$K:$K,"Yes", 'NeT GP - table_export'!$L:$L,"Yes",'NeT GP - table_export'!$AA:$AA,"Yes")</f>
        <v>4</v>
      </c>
      <c r="M23" s="8">
        <f>COUNTIFS('NeT GP - table_export'!$B:$B,$B23, 'NeT GP - table_export'!$K:$K,"No", 'NeT GP - table_export'!$L:$L,"Yes")</f>
        <v>4</v>
      </c>
      <c r="N23" s="131">
        <f>COUNTIFS('NeT GP - table_export'!$B:$B,$B23, 'NeT GP - table_export'!$K:$K,"No", 'NeT GP - table_export'!$L:$L,"Yes",'NeT GP - table_export'!$AA:$AA,"Yes")</f>
        <v>1</v>
      </c>
      <c r="O23" s="17">
        <f t="shared" si="2"/>
        <v>2308</v>
      </c>
      <c r="P23" s="8">
        <f>SUMIFS('NeT GP - table_export'!$J:$J,'NeT GP - table_export'!$B:$B,$B23, 'NeT GP - table_export'!$K:$K,"Yes")</f>
        <v>71</v>
      </c>
      <c r="Q23" s="51">
        <f>SUMIFS('NeT GP - table_export'!$J:$J,'NeT GP - table_export'!$B:$B,$B23, 'NeT GP - table_export'!$K:$K,"No")</f>
        <v>2237</v>
      </c>
      <c r="R23" s="130">
        <f t="shared" si="3"/>
        <v>271</v>
      </c>
      <c r="S23" s="8">
        <f>SUMIFS('NeT GP - table_export'!$J:$J,'NeT GP - table_export'!$B:$B,$B23, 'NeT GP - table_export'!$K:$K,"Yes", 'NeT GP - table_export'!$L:$L,"Yes")</f>
        <v>71</v>
      </c>
      <c r="T23" s="8">
        <f>SUMIFS('NeT GP - table_export'!$J:$J,'NeT GP - table_export'!$B:$B,$B23, 'NeT GP - table_export'!$K:$K,"Yes", 'NeT GP - table_export'!$L:$L,"Yes",'NeT GP - table_export'!$AA:$AA,"Yes")</f>
        <v>70</v>
      </c>
      <c r="U23" s="8">
        <f>SUMIFS('NeT GP - table_export'!$J:$J,'NeT GP - table_export'!$B:$B,$B23, 'NeT GP - table_export'!$K:$K,"No", 'NeT GP - table_export'!$L:$L,"Yes")</f>
        <v>200</v>
      </c>
      <c r="V23" s="51">
        <f>SUMIFS('NeT GP - table_export'!$J:$J,'NeT GP - table_export'!$B:$B,$B23, 'NeT GP - table_export'!$K:$K,"No", 'NeT GP - table_export'!$L:$L,"Yes",'NeT GP - table_export'!$AA:$AA,"Yes")</f>
        <v>10</v>
      </c>
    </row>
    <row r="24" spans="2:22" x14ac:dyDescent="0.35">
      <c r="B24" s="101" t="s">
        <v>119</v>
      </c>
      <c r="C24" s="99" t="s">
        <v>536</v>
      </c>
      <c r="D24" s="114">
        <v>5</v>
      </c>
      <c r="E24" s="162" t="s">
        <v>6</v>
      </c>
      <c r="F24" s="167" t="str">
        <f>IF(E24="No","N/A",IF(COUNTIFS('NeT GP - table_export'!$B:$B,$B24,'NeT GP - table_export'!$K:$K,"No",'NeT GP - table_export'!$L:$L,"Yes")&gt;0,"Yes","No"))</f>
        <v>Yes</v>
      </c>
      <c r="G24" s="127">
        <f t="shared" si="0"/>
        <v>13</v>
      </c>
      <c r="H24" s="128">
        <f>COUNTIFS('NeT GP - table_export'!$B:$B,$B24, 'NeT GP - table_export'!$K:$K,"Yes")</f>
        <v>0</v>
      </c>
      <c r="I24" s="129">
        <f>COUNTIFS('NeT GP - table_export'!$B:$B,$B24, 'NeT GP - table_export'!$K:$K,"No")</f>
        <v>13</v>
      </c>
      <c r="J24" s="130">
        <f t="shared" si="1"/>
        <v>13</v>
      </c>
      <c r="K24" s="8">
        <f>COUNTIFS('NeT GP - table_export'!$B:$B,$B24, 'NeT GP - table_export'!$K:$K,"Yes", 'NeT GP - table_export'!$L:$L,"Yes")</f>
        <v>0</v>
      </c>
      <c r="L24" s="8">
        <f>COUNTIFS('NeT GP - table_export'!$B:$B,$B24, 'NeT GP - table_export'!$K:$K,"Yes", 'NeT GP - table_export'!$L:$L,"Yes",'NeT GP - table_export'!$AA:$AA,"Yes")</f>
        <v>0</v>
      </c>
      <c r="M24" s="8">
        <f>COUNTIFS('NeT GP - table_export'!$B:$B,$B24, 'NeT GP - table_export'!$K:$K,"No", 'NeT GP - table_export'!$L:$L,"Yes")</f>
        <v>13</v>
      </c>
      <c r="N24" s="131">
        <f>COUNTIFS('NeT GP - table_export'!$B:$B,$B24, 'NeT GP - table_export'!$K:$K,"No", 'NeT GP - table_export'!$L:$L,"Yes",'NeT GP - table_export'!$AA:$AA,"Yes")</f>
        <v>2</v>
      </c>
      <c r="O24" s="17">
        <f t="shared" si="2"/>
        <v>5488</v>
      </c>
      <c r="P24" s="8">
        <f>SUMIFS('NeT GP - table_export'!$J:$J,'NeT GP - table_export'!$B:$B,$B24, 'NeT GP - table_export'!$K:$K,"Yes")</f>
        <v>0</v>
      </c>
      <c r="Q24" s="51">
        <f>SUMIFS('NeT GP - table_export'!$J:$J,'NeT GP - table_export'!$B:$B,$B24, 'NeT GP - table_export'!$K:$K,"No")</f>
        <v>5488</v>
      </c>
      <c r="R24" s="130">
        <f t="shared" si="3"/>
        <v>5488</v>
      </c>
      <c r="S24" s="8">
        <f>SUMIFS('NeT GP - table_export'!$J:$J,'NeT GP - table_export'!$B:$B,$B24, 'NeT GP - table_export'!$K:$K,"Yes", 'NeT GP - table_export'!$L:$L,"Yes")</f>
        <v>0</v>
      </c>
      <c r="T24" s="8">
        <f>SUMIFS('NeT GP - table_export'!$J:$J,'NeT GP - table_export'!$B:$B,$B24, 'NeT GP - table_export'!$K:$K,"Yes", 'NeT GP - table_export'!$L:$L,"Yes",'NeT GP - table_export'!$AA:$AA,"Yes")</f>
        <v>0</v>
      </c>
      <c r="U24" s="8">
        <f>SUMIFS('NeT GP - table_export'!$J:$J,'NeT GP - table_export'!$B:$B,$B24, 'NeT GP - table_export'!$K:$K,"No", 'NeT GP - table_export'!$L:$L,"Yes")</f>
        <v>5488</v>
      </c>
      <c r="V24" s="51">
        <f>SUMIFS('NeT GP - table_export'!$J:$J,'NeT GP - table_export'!$B:$B,$B24, 'NeT GP - table_export'!$K:$K,"No", 'NeT GP - table_export'!$L:$L,"Yes",'NeT GP - table_export'!$AA:$AA,"Yes")</f>
        <v>1499</v>
      </c>
    </row>
    <row r="25" spans="2:22" x14ac:dyDescent="0.35">
      <c r="B25" s="101" t="s">
        <v>577</v>
      </c>
      <c r="C25" s="99" t="s">
        <v>578</v>
      </c>
      <c r="D25" s="114">
        <v>5</v>
      </c>
      <c r="E25" s="162" t="s">
        <v>6</v>
      </c>
      <c r="F25" s="167" t="str">
        <f>IF(E25="No","N/A",IF(COUNTIFS('NeT GP - table_export'!$B:$B,$B25,'NeT GP - table_export'!$K:$K,"No",'NeT GP - table_export'!$L:$L,"Yes")&gt;0,"Yes","No"))</f>
        <v>No</v>
      </c>
      <c r="G25" s="127">
        <f t="shared" si="0"/>
        <v>11</v>
      </c>
      <c r="H25" s="128">
        <f>COUNTIFS('NeT GP - table_export'!$B:$B,$B25, 'NeT GP - table_export'!$K:$K,"Yes")</f>
        <v>0</v>
      </c>
      <c r="I25" s="129">
        <f>COUNTIFS('NeT GP - table_export'!$B:$B,$B25, 'NeT GP - table_export'!$K:$K,"No")</f>
        <v>11</v>
      </c>
      <c r="J25" s="130">
        <f t="shared" si="1"/>
        <v>0</v>
      </c>
      <c r="K25" s="8">
        <f>COUNTIFS('NeT GP - table_export'!$B:$B,$B25, 'NeT GP - table_export'!$K:$K,"Yes", 'NeT GP - table_export'!$L:$L,"Yes")</f>
        <v>0</v>
      </c>
      <c r="L25" s="8">
        <f>COUNTIFS('NeT GP - table_export'!$B:$B,$B25, 'NeT GP - table_export'!$K:$K,"Yes", 'NeT GP - table_export'!$L:$L,"Yes",'NeT GP - table_export'!$AA:$AA,"Yes")</f>
        <v>0</v>
      </c>
      <c r="M25" s="8">
        <f>COUNTIFS('NeT GP - table_export'!$B:$B,$B25, 'NeT GP - table_export'!$K:$K,"No", 'NeT GP - table_export'!$L:$L,"Yes")</f>
        <v>0</v>
      </c>
      <c r="N25" s="131">
        <f>COUNTIFS('NeT GP - table_export'!$B:$B,$B25, 'NeT GP - table_export'!$K:$K,"No", 'NeT GP - table_export'!$L:$L,"Yes",'NeT GP - table_export'!$AA:$AA,"Yes")</f>
        <v>0</v>
      </c>
      <c r="O25" s="17">
        <f t="shared" si="2"/>
        <v>9905</v>
      </c>
      <c r="P25" s="8">
        <f>SUMIFS('NeT GP - table_export'!$J:$J,'NeT GP - table_export'!$B:$B,$B25, 'NeT GP - table_export'!$K:$K,"Yes")</f>
        <v>0</v>
      </c>
      <c r="Q25" s="51">
        <f>SUMIFS('NeT GP - table_export'!$J:$J,'NeT GP - table_export'!$B:$B,$B25, 'NeT GP - table_export'!$K:$K,"No")</f>
        <v>9905</v>
      </c>
      <c r="R25" s="130">
        <f t="shared" si="3"/>
        <v>0</v>
      </c>
      <c r="S25" s="8">
        <f>SUMIFS('NeT GP - table_export'!$J:$J,'NeT GP - table_export'!$B:$B,$B25, 'NeT GP - table_export'!$K:$K,"Yes", 'NeT GP - table_export'!$L:$L,"Yes")</f>
        <v>0</v>
      </c>
      <c r="T25" s="8">
        <f>SUMIFS('NeT GP - table_export'!$J:$J,'NeT GP - table_export'!$B:$B,$B25, 'NeT GP - table_export'!$K:$K,"Yes", 'NeT GP - table_export'!$L:$L,"Yes",'NeT GP - table_export'!$AA:$AA,"Yes")</f>
        <v>0</v>
      </c>
      <c r="U25" s="8">
        <f>SUMIFS('NeT GP - table_export'!$J:$J,'NeT GP - table_export'!$B:$B,$B25, 'NeT GP - table_export'!$K:$K,"No", 'NeT GP - table_export'!$L:$L,"Yes")</f>
        <v>0</v>
      </c>
      <c r="V25" s="51">
        <f>SUMIFS('NeT GP - table_export'!$J:$J,'NeT GP - table_export'!$B:$B,$B25, 'NeT GP - table_export'!$K:$K,"No", 'NeT GP - table_export'!$L:$L,"Yes",'NeT GP - table_export'!$AA:$AA,"Yes")</f>
        <v>0</v>
      </c>
    </row>
    <row r="26" spans="2:22" x14ac:dyDescent="0.35">
      <c r="B26" s="101" t="s">
        <v>157</v>
      </c>
      <c r="C26" s="99" t="s">
        <v>1870</v>
      </c>
      <c r="D26" s="114">
        <v>9</v>
      </c>
      <c r="E26" s="162" t="s">
        <v>10</v>
      </c>
      <c r="F26" s="167" t="str">
        <f>IF(E26="No","N/A",IF(COUNTIFS('NeT GP - table_export'!$B:$B,$B26,'NeT GP - table_export'!$K:$K,"No",'NeT GP - table_export'!$L:$L,"Yes")&gt;0,"Yes","No"))</f>
        <v>N/A</v>
      </c>
      <c r="G26" s="127">
        <f t="shared" si="0"/>
        <v>3</v>
      </c>
      <c r="H26" s="128">
        <f>COUNTIFS('NeT GP - table_export'!$B:$B,$B26, 'NeT GP - table_export'!$K:$K,"Yes")</f>
        <v>3</v>
      </c>
      <c r="I26" s="129">
        <f>COUNTIFS('NeT GP - table_export'!$B:$B,$B26, 'NeT GP - table_export'!$K:$K,"No")</f>
        <v>0</v>
      </c>
      <c r="J26" s="130">
        <f t="shared" si="1"/>
        <v>3</v>
      </c>
      <c r="K26" s="8">
        <f>COUNTIFS('NeT GP - table_export'!$B:$B,$B26, 'NeT GP - table_export'!$K:$K,"Yes", 'NeT GP - table_export'!$L:$L,"Yes")</f>
        <v>3</v>
      </c>
      <c r="L26" s="8">
        <f>COUNTIFS('NeT GP - table_export'!$B:$B,$B26, 'NeT GP - table_export'!$K:$K,"Yes", 'NeT GP - table_export'!$L:$L,"Yes",'NeT GP - table_export'!$AA:$AA,"Yes")</f>
        <v>3</v>
      </c>
      <c r="M26" s="8">
        <f>COUNTIFS('NeT GP - table_export'!$B:$B,$B26, 'NeT GP - table_export'!$K:$K,"No", 'NeT GP - table_export'!$L:$L,"Yes")</f>
        <v>0</v>
      </c>
      <c r="N26" s="131">
        <f>COUNTIFS('NeT GP - table_export'!$B:$B,$B26, 'NeT GP - table_export'!$K:$K,"No", 'NeT GP - table_export'!$L:$L,"Yes",'NeT GP - table_export'!$AA:$AA,"Yes")</f>
        <v>0</v>
      </c>
      <c r="O26" s="17">
        <f t="shared" si="2"/>
        <v>0</v>
      </c>
      <c r="P26" s="8">
        <f>SUMIFS('NeT GP - table_export'!$J:$J,'NeT GP - table_export'!$B:$B,$B26, 'NeT GP - table_export'!$K:$K,"Yes")</f>
        <v>0</v>
      </c>
      <c r="Q26" s="51">
        <f>SUMIFS('NeT GP - table_export'!$J:$J,'NeT GP - table_export'!$B:$B,$B26, 'NeT GP - table_export'!$K:$K,"No")</f>
        <v>0</v>
      </c>
      <c r="R26" s="130">
        <f t="shared" si="3"/>
        <v>0</v>
      </c>
      <c r="S26" s="8">
        <f>SUMIFS('NeT GP - table_export'!$J:$J,'NeT GP - table_export'!$B:$B,$B26, 'NeT GP - table_export'!$K:$K,"Yes", 'NeT GP - table_export'!$L:$L,"Yes")</f>
        <v>0</v>
      </c>
      <c r="T26" s="8">
        <f>SUMIFS('NeT GP - table_export'!$J:$J,'NeT GP - table_export'!$B:$B,$B26, 'NeT GP - table_export'!$K:$K,"Yes", 'NeT GP - table_export'!$L:$L,"Yes",'NeT GP - table_export'!$AA:$AA,"Yes")</f>
        <v>0</v>
      </c>
      <c r="U26" s="8">
        <f>SUMIFS('NeT GP - table_export'!$J:$J,'NeT GP - table_export'!$B:$B,$B26, 'NeT GP - table_export'!$K:$K,"No", 'NeT GP - table_export'!$L:$L,"Yes")</f>
        <v>0</v>
      </c>
      <c r="V26" s="51">
        <f>SUMIFS('NeT GP - table_export'!$J:$J,'NeT GP - table_export'!$B:$B,$B26, 'NeT GP - table_export'!$K:$K,"No", 'NeT GP - table_export'!$L:$L,"Yes",'NeT GP - table_export'!$AA:$AA,"Yes")</f>
        <v>0</v>
      </c>
    </row>
    <row r="27" spans="2:22" x14ac:dyDescent="0.35">
      <c r="B27" s="101" t="s">
        <v>162</v>
      </c>
      <c r="C27" s="99" t="s">
        <v>579</v>
      </c>
      <c r="D27" s="114">
        <v>7</v>
      </c>
      <c r="E27" s="162" t="s">
        <v>6</v>
      </c>
      <c r="F27" s="167" t="str">
        <f>IF(E27="No","N/A",IF(COUNTIFS('NeT GP - table_export'!$B:$B,$B27,'NeT GP - table_export'!$K:$K,"No",'NeT GP - table_export'!$L:$L,"Yes")&gt;0,"Yes","No"))</f>
        <v>No</v>
      </c>
      <c r="G27" s="127">
        <f t="shared" si="0"/>
        <v>10</v>
      </c>
      <c r="H27" s="128">
        <f>COUNTIFS('NeT GP - table_export'!$B:$B,$B27, 'NeT GP - table_export'!$K:$K,"Yes")</f>
        <v>3</v>
      </c>
      <c r="I27" s="129">
        <f>COUNTIFS('NeT GP - table_export'!$B:$B,$B27, 'NeT GP - table_export'!$K:$K,"No")</f>
        <v>7</v>
      </c>
      <c r="J27" s="130">
        <f t="shared" si="1"/>
        <v>3</v>
      </c>
      <c r="K27" s="8">
        <f>COUNTIFS('NeT GP - table_export'!$B:$B,$B27, 'NeT GP - table_export'!$K:$K,"Yes", 'NeT GP - table_export'!$L:$L,"Yes")</f>
        <v>3</v>
      </c>
      <c r="L27" s="8">
        <f>COUNTIFS('NeT GP - table_export'!$B:$B,$B27, 'NeT GP - table_export'!$K:$K,"Yes", 'NeT GP - table_export'!$L:$L,"Yes",'NeT GP - table_export'!$AA:$AA,"Yes")</f>
        <v>3</v>
      </c>
      <c r="M27" s="8">
        <f>COUNTIFS('NeT GP - table_export'!$B:$B,$B27, 'NeT GP - table_export'!$K:$K,"No", 'NeT GP - table_export'!$L:$L,"Yes")</f>
        <v>0</v>
      </c>
      <c r="N27" s="131">
        <f>COUNTIFS('NeT GP - table_export'!$B:$B,$B27, 'NeT GP - table_export'!$K:$K,"No", 'NeT GP - table_export'!$L:$L,"Yes",'NeT GP - table_export'!$AA:$AA,"Yes")</f>
        <v>0</v>
      </c>
      <c r="O27" s="17">
        <f t="shared" si="2"/>
        <v>203</v>
      </c>
      <c r="P27" s="8">
        <f>SUMIFS('NeT GP - table_export'!$J:$J,'NeT GP - table_export'!$B:$B,$B27, 'NeT GP - table_export'!$K:$K,"Yes")</f>
        <v>0</v>
      </c>
      <c r="Q27" s="51">
        <f>SUMIFS('NeT GP - table_export'!$J:$J,'NeT GP - table_export'!$B:$B,$B27, 'NeT GP - table_export'!$K:$K,"No")</f>
        <v>203</v>
      </c>
      <c r="R27" s="130">
        <f t="shared" si="3"/>
        <v>0</v>
      </c>
      <c r="S27" s="8">
        <f>SUMIFS('NeT GP - table_export'!$J:$J,'NeT GP - table_export'!$B:$B,$B27, 'NeT GP - table_export'!$K:$K,"Yes", 'NeT GP - table_export'!$L:$L,"Yes")</f>
        <v>0</v>
      </c>
      <c r="T27" s="8">
        <f>SUMIFS('NeT GP - table_export'!$J:$J,'NeT GP - table_export'!$B:$B,$B27, 'NeT GP - table_export'!$K:$K,"Yes", 'NeT GP - table_export'!$L:$L,"Yes",'NeT GP - table_export'!$AA:$AA,"Yes")</f>
        <v>0</v>
      </c>
      <c r="U27" s="8">
        <f>SUMIFS('NeT GP - table_export'!$J:$J,'NeT GP - table_export'!$B:$B,$B27, 'NeT GP - table_export'!$K:$K,"No", 'NeT GP - table_export'!$L:$L,"Yes")</f>
        <v>0</v>
      </c>
      <c r="V27" s="51">
        <f>SUMIFS('NeT GP - table_export'!$J:$J,'NeT GP - table_export'!$B:$B,$B27, 'NeT GP - table_export'!$K:$K,"No", 'NeT GP - table_export'!$L:$L,"Yes",'NeT GP - table_export'!$AA:$AA,"Yes")</f>
        <v>0</v>
      </c>
    </row>
    <row r="28" spans="2:22" x14ac:dyDescent="0.35">
      <c r="B28" s="101" t="s">
        <v>538</v>
      </c>
      <c r="C28" s="99" t="s">
        <v>539</v>
      </c>
      <c r="D28" s="114">
        <v>4</v>
      </c>
      <c r="E28" s="162" t="s">
        <v>6</v>
      </c>
      <c r="F28" s="167" t="str">
        <f>IF(E28="No","N/A",IF(COUNTIFS('NeT GP - table_export'!$B:$B,$B28,'NeT GP - table_export'!$K:$K,"No",'NeT GP - table_export'!$L:$L,"Yes")&gt;0,"Yes","No"))</f>
        <v>No</v>
      </c>
      <c r="G28" s="127">
        <f t="shared" si="0"/>
        <v>15</v>
      </c>
      <c r="H28" s="128">
        <f>COUNTIFS('NeT GP - table_export'!$B:$B,$B28, 'NeT GP - table_export'!$K:$K,"Yes")</f>
        <v>0</v>
      </c>
      <c r="I28" s="129">
        <f>COUNTIFS('NeT GP - table_export'!$B:$B,$B28, 'NeT GP - table_export'!$K:$K,"No")</f>
        <v>15</v>
      </c>
      <c r="J28" s="130">
        <f t="shared" si="1"/>
        <v>0</v>
      </c>
      <c r="K28" s="8">
        <f>COUNTIFS('NeT GP - table_export'!$B:$B,$B28, 'NeT GP - table_export'!$K:$K,"Yes", 'NeT GP - table_export'!$L:$L,"Yes")</f>
        <v>0</v>
      </c>
      <c r="L28" s="8">
        <f>COUNTIFS('NeT GP - table_export'!$B:$B,$B28, 'NeT GP - table_export'!$K:$K,"Yes", 'NeT GP - table_export'!$L:$L,"Yes",'NeT GP - table_export'!$AA:$AA,"Yes")</f>
        <v>0</v>
      </c>
      <c r="M28" s="8">
        <f>COUNTIFS('NeT GP - table_export'!$B:$B,$B28, 'NeT GP - table_export'!$K:$K,"No", 'NeT GP - table_export'!$L:$L,"Yes")</f>
        <v>0</v>
      </c>
      <c r="N28" s="131">
        <f>COUNTIFS('NeT GP - table_export'!$B:$B,$B28, 'NeT GP - table_export'!$K:$K,"No", 'NeT GP - table_export'!$L:$L,"Yes",'NeT GP - table_export'!$AA:$AA,"Yes")</f>
        <v>0</v>
      </c>
      <c r="O28" s="17">
        <f t="shared" si="2"/>
        <v>6647</v>
      </c>
      <c r="P28" s="8">
        <f>SUMIFS('NeT GP - table_export'!$J:$J,'NeT GP - table_export'!$B:$B,$B28, 'NeT GP - table_export'!$K:$K,"Yes")</f>
        <v>0</v>
      </c>
      <c r="Q28" s="51">
        <f>SUMIFS('NeT GP - table_export'!$J:$J,'NeT GP - table_export'!$B:$B,$B28, 'NeT GP - table_export'!$K:$K,"No")</f>
        <v>6647</v>
      </c>
      <c r="R28" s="130">
        <f t="shared" si="3"/>
        <v>0</v>
      </c>
      <c r="S28" s="8">
        <f>SUMIFS('NeT GP - table_export'!$J:$J,'NeT GP - table_export'!$B:$B,$B28, 'NeT GP - table_export'!$K:$K,"Yes", 'NeT GP - table_export'!$L:$L,"Yes")</f>
        <v>0</v>
      </c>
      <c r="T28" s="8">
        <f>SUMIFS('NeT GP - table_export'!$J:$J,'NeT GP - table_export'!$B:$B,$B28, 'NeT GP - table_export'!$K:$K,"Yes", 'NeT GP - table_export'!$L:$L,"Yes",'NeT GP - table_export'!$AA:$AA,"Yes")</f>
        <v>0</v>
      </c>
      <c r="U28" s="8">
        <f>SUMIFS('NeT GP - table_export'!$J:$J,'NeT GP - table_export'!$B:$B,$B28, 'NeT GP - table_export'!$K:$K,"No", 'NeT GP - table_export'!$L:$L,"Yes")</f>
        <v>0</v>
      </c>
      <c r="V28" s="51">
        <f>SUMIFS('NeT GP - table_export'!$J:$J,'NeT GP - table_export'!$B:$B,$B28, 'NeT GP - table_export'!$K:$K,"No", 'NeT GP - table_export'!$L:$L,"Yes",'NeT GP - table_export'!$AA:$AA,"Yes")</f>
        <v>0</v>
      </c>
    </row>
    <row r="29" spans="2:22" x14ac:dyDescent="0.35">
      <c r="B29" s="101" t="s">
        <v>165</v>
      </c>
      <c r="C29" s="99" t="s">
        <v>580</v>
      </c>
      <c r="D29" s="114">
        <v>6</v>
      </c>
      <c r="E29" s="162" t="s">
        <v>6</v>
      </c>
      <c r="F29" s="167" t="str">
        <f>IF(E29="No","N/A",IF(COUNTIFS('NeT GP - table_export'!$B:$B,$B29,'NeT GP - table_export'!$K:$K,"No",'NeT GP - table_export'!$L:$L,"Yes")&gt;0,"Yes","No"))</f>
        <v>No</v>
      </c>
      <c r="G29" s="127">
        <f t="shared" si="0"/>
        <v>28</v>
      </c>
      <c r="H29" s="128">
        <f>COUNTIFS('NeT GP - table_export'!$B:$B,$B29, 'NeT GP - table_export'!$K:$K,"Yes")</f>
        <v>4</v>
      </c>
      <c r="I29" s="129">
        <f>COUNTIFS('NeT GP - table_export'!$B:$B,$B29, 'NeT GP - table_export'!$K:$K,"No")</f>
        <v>24</v>
      </c>
      <c r="J29" s="130">
        <f t="shared" si="1"/>
        <v>4</v>
      </c>
      <c r="K29" s="8">
        <f>COUNTIFS('NeT GP - table_export'!$B:$B,$B29, 'NeT GP - table_export'!$K:$K,"Yes", 'NeT GP - table_export'!$L:$L,"Yes")</f>
        <v>4</v>
      </c>
      <c r="L29" s="8">
        <f>COUNTIFS('NeT GP - table_export'!$B:$B,$B29, 'NeT GP - table_export'!$K:$K,"Yes", 'NeT GP - table_export'!$L:$L,"Yes",'NeT GP - table_export'!$AA:$AA,"Yes")</f>
        <v>4</v>
      </c>
      <c r="M29" s="8">
        <f>COUNTIFS('NeT GP - table_export'!$B:$B,$B29, 'NeT GP - table_export'!$K:$K,"No", 'NeT GP - table_export'!$L:$L,"Yes")</f>
        <v>0</v>
      </c>
      <c r="N29" s="131">
        <f>COUNTIFS('NeT GP - table_export'!$B:$B,$B29, 'NeT GP - table_export'!$K:$K,"No", 'NeT GP - table_export'!$L:$L,"Yes",'NeT GP - table_export'!$AA:$AA,"Yes")</f>
        <v>0</v>
      </c>
      <c r="O29" s="17">
        <f t="shared" si="2"/>
        <v>11966</v>
      </c>
      <c r="P29" s="8">
        <f>SUMIFS('NeT GP - table_export'!$J:$J,'NeT GP - table_export'!$B:$B,$B29, 'NeT GP - table_export'!$K:$K,"Yes")</f>
        <v>4</v>
      </c>
      <c r="Q29" s="51">
        <f>SUMIFS('NeT GP - table_export'!$J:$J,'NeT GP - table_export'!$B:$B,$B29, 'NeT GP - table_export'!$K:$K,"No")</f>
        <v>11962</v>
      </c>
      <c r="R29" s="130">
        <f t="shared" si="3"/>
        <v>4</v>
      </c>
      <c r="S29" s="8">
        <f>SUMIFS('NeT GP - table_export'!$J:$J,'NeT GP - table_export'!$B:$B,$B29, 'NeT GP - table_export'!$K:$K,"Yes", 'NeT GP - table_export'!$L:$L,"Yes")</f>
        <v>4</v>
      </c>
      <c r="T29" s="8">
        <f>SUMIFS('NeT GP - table_export'!$J:$J,'NeT GP - table_export'!$B:$B,$B29, 'NeT GP - table_export'!$K:$K,"Yes", 'NeT GP - table_export'!$L:$L,"Yes",'NeT GP - table_export'!$AA:$AA,"Yes")</f>
        <v>4</v>
      </c>
      <c r="U29" s="8">
        <f>SUMIFS('NeT GP - table_export'!$J:$J,'NeT GP - table_export'!$B:$B,$B29, 'NeT GP - table_export'!$K:$K,"No", 'NeT GP - table_export'!$L:$L,"Yes")</f>
        <v>0</v>
      </c>
      <c r="V29" s="51">
        <f>SUMIFS('NeT GP - table_export'!$J:$J,'NeT GP - table_export'!$B:$B,$B29, 'NeT GP - table_export'!$K:$K,"No", 'NeT GP - table_export'!$L:$L,"Yes",'NeT GP - table_export'!$AA:$AA,"Yes")</f>
        <v>0</v>
      </c>
    </row>
    <row r="30" spans="2:22" x14ac:dyDescent="0.35">
      <c r="B30" s="101" t="s">
        <v>168</v>
      </c>
      <c r="C30" s="99" t="s">
        <v>581</v>
      </c>
      <c r="D30" s="114">
        <v>1</v>
      </c>
      <c r="E30" s="162" t="s">
        <v>10</v>
      </c>
      <c r="F30" s="167" t="str">
        <f>IF(E30="No","N/A",IF(COUNTIFS('NeT GP - table_export'!$B:$B,$B30,'NeT GP - table_export'!$K:$K,"No",'NeT GP - table_export'!$L:$L,"Yes")&gt;0,"Yes","No"))</f>
        <v>N/A</v>
      </c>
      <c r="G30" s="127">
        <f t="shared" si="0"/>
        <v>16</v>
      </c>
      <c r="H30" s="128">
        <f>COUNTIFS('NeT GP - table_export'!$B:$B,$B30, 'NeT GP - table_export'!$K:$K,"Yes")</f>
        <v>16</v>
      </c>
      <c r="I30" s="129">
        <f>COUNTIFS('NeT GP - table_export'!$B:$B,$B30, 'NeT GP - table_export'!$K:$K,"No")</f>
        <v>0</v>
      </c>
      <c r="J30" s="130">
        <f t="shared" si="1"/>
        <v>16</v>
      </c>
      <c r="K30" s="8">
        <f>COUNTIFS('NeT GP - table_export'!$B:$B,$B30, 'NeT GP - table_export'!$K:$K,"Yes", 'NeT GP - table_export'!$L:$L,"Yes")</f>
        <v>16</v>
      </c>
      <c r="L30" s="8">
        <f>COUNTIFS('NeT GP - table_export'!$B:$B,$B30, 'NeT GP - table_export'!$K:$K,"Yes", 'NeT GP - table_export'!$L:$L,"Yes",'NeT GP - table_export'!$AA:$AA,"Yes")</f>
        <v>7</v>
      </c>
      <c r="M30" s="8">
        <f>COUNTIFS('NeT GP - table_export'!$B:$B,$B30, 'NeT GP - table_export'!$K:$K,"No", 'NeT GP - table_export'!$L:$L,"Yes")</f>
        <v>0</v>
      </c>
      <c r="N30" s="131">
        <f>COUNTIFS('NeT GP - table_export'!$B:$B,$B30, 'NeT GP - table_export'!$K:$K,"No", 'NeT GP - table_export'!$L:$L,"Yes",'NeT GP - table_export'!$AA:$AA,"Yes")</f>
        <v>0</v>
      </c>
      <c r="O30" s="17">
        <f t="shared" si="2"/>
        <v>8022</v>
      </c>
      <c r="P30" s="8">
        <f>SUMIFS('NeT GP - table_export'!$J:$J,'NeT GP - table_export'!$B:$B,$B30, 'NeT GP - table_export'!$K:$K,"Yes")</f>
        <v>8022</v>
      </c>
      <c r="Q30" s="51">
        <f>SUMIFS('NeT GP - table_export'!$J:$J,'NeT GP - table_export'!$B:$B,$B30, 'NeT GP - table_export'!$K:$K,"No")</f>
        <v>0</v>
      </c>
      <c r="R30" s="130">
        <f t="shared" si="3"/>
        <v>8022</v>
      </c>
      <c r="S30" s="8">
        <f>SUMIFS('NeT GP - table_export'!$J:$J,'NeT GP - table_export'!$B:$B,$B30, 'NeT GP - table_export'!$K:$K,"Yes", 'NeT GP - table_export'!$L:$L,"Yes")</f>
        <v>8022</v>
      </c>
      <c r="T30" s="8">
        <f>SUMIFS('NeT GP - table_export'!$J:$J,'NeT GP - table_export'!$B:$B,$B30, 'NeT GP - table_export'!$K:$K,"Yes", 'NeT GP - table_export'!$L:$L,"Yes",'NeT GP - table_export'!$AA:$AA,"Yes")</f>
        <v>4056</v>
      </c>
      <c r="U30" s="8">
        <f>SUMIFS('NeT GP - table_export'!$J:$J,'NeT GP - table_export'!$B:$B,$B30, 'NeT GP - table_export'!$K:$K,"No", 'NeT GP - table_export'!$L:$L,"Yes")</f>
        <v>0</v>
      </c>
      <c r="V30" s="51">
        <f>SUMIFS('NeT GP - table_export'!$J:$J,'NeT GP - table_export'!$B:$B,$B30, 'NeT GP - table_export'!$K:$K,"No", 'NeT GP - table_export'!$L:$L,"Yes",'NeT GP - table_export'!$AA:$AA,"Yes")</f>
        <v>0</v>
      </c>
    </row>
    <row r="31" spans="2:22" x14ac:dyDescent="0.35">
      <c r="B31" s="101" t="s">
        <v>186</v>
      </c>
      <c r="C31" s="99" t="s">
        <v>540</v>
      </c>
      <c r="D31" s="114">
        <v>3</v>
      </c>
      <c r="E31" s="162" t="s">
        <v>6</v>
      </c>
      <c r="F31" s="167" t="str">
        <f>IF(E31="No","N/A",IF(COUNTIFS('NeT GP - table_export'!$B:$B,$B31,'NeT GP - table_export'!$K:$K,"No",'NeT GP - table_export'!$L:$L,"Yes")&gt;0,"Yes","No"))</f>
        <v>Yes</v>
      </c>
      <c r="G31" s="127">
        <f t="shared" si="0"/>
        <v>14</v>
      </c>
      <c r="H31" s="128">
        <f>COUNTIFS('NeT GP - table_export'!$B:$B,$B31, 'NeT GP - table_export'!$K:$K,"Yes")</f>
        <v>0</v>
      </c>
      <c r="I31" s="129">
        <f>COUNTIFS('NeT GP - table_export'!$B:$B,$B31, 'NeT GP - table_export'!$K:$K,"No")</f>
        <v>14</v>
      </c>
      <c r="J31" s="130">
        <f t="shared" si="1"/>
        <v>8</v>
      </c>
      <c r="K31" s="8">
        <f>COUNTIFS('NeT GP - table_export'!$B:$B,$B31, 'NeT GP - table_export'!$K:$K,"Yes", 'NeT GP - table_export'!$L:$L,"Yes")</f>
        <v>0</v>
      </c>
      <c r="L31" s="8">
        <f>COUNTIFS('NeT GP - table_export'!$B:$B,$B31, 'NeT GP - table_export'!$K:$K,"Yes", 'NeT GP - table_export'!$L:$L,"Yes",'NeT GP - table_export'!$AA:$AA,"Yes")</f>
        <v>0</v>
      </c>
      <c r="M31" s="8">
        <f>COUNTIFS('NeT GP - table_export'!$B:$B,$B31, 'NeT GP - table_export'!$K:$K,"No", 'NeT GP - table_export'!$L:$L,"Yes")</f>
        <v>8</v>
      </c>
      <c r="N31" s="131">
        <f>COUNTIFS('NeT GP - table_export'!$B:$B,$B31, 'NeT GP - table_export'!$K:$K,"No", 'NeT GP - table_export'!$L:$L,"Yes",'NeT GP - table_export'!$AA:$AA,"Yes")</f>
        <v>0</v>
      </c>
      <c r="O31" s="17">
        <f t="shared" si="2"/>
        <v>10131</v>
      </c>
      <c r="P31" s="8">
        <f>SUMIFS('NeT GP - table_export'!$J:$J,'NeT GP - table_export'!$B:$B,$B31, 'NeT GP - table_export'!$K:$K,"Yes")</f>
        <v>0</v>
      </c>
      <c r="Q31" s="51">
        <f>SUMIFS('NeT GP - table_export'!$J:$J,'NeT GP - table_export'!$B:$B,$B31, 'NeT GP - table_export'!$K:$K,"No")</f>
        <v>10131</v>
      </c>
      <c r="R31" s="130">
        <f t="shared" si="3"/>
        <v>4364</v>
      </c>
      <c r="S31" s="8">
        <f>SUMIFS('NeT GP - table_export'!$J:$J,'NeT GP - table_export'!$B:$B,$B31, 'NeT GP - table_export'!$K:$K,"Yes", 'NeT GP - table_export'!$L:$L,"Yes")</f>
        <v>0</v>
      </c>
      <c r="T31" s="8">
        <f>SUMIFS('NeT GP - table_export'!$J:$J,'NeT GP - table_export'!$B:$B,$B31, 'NeT GP - table_export'!$K:$K,"Yes", 'NeT GP - table_export'!$L:$L,"Yes",'NeT GP - table_export'!$AA:$AA,"Yes")</f>
        <v>0</v>
      </c>
      <c r="U31" s="8">
        <f>SUMIFS('NeT GP - table_export'!$J:$J,'NeT GP - table_export'!$B:$B,$B31, 'NeT GP - table_export'!$K:$K,"No", 'NeT GP - table_export'!$L:$L,"Yes")</f>
        <v>4364</v>
      </c>
      <c r="V31" s="51">
        <f>SUMIFS('NeT GP - table_export'!$J:$J,'NeT GP - table_export'!$B:$B,$B31, 'NeT GP - table_export'!$K:$K,"No", 'NeT GP - table_export'!$L:$L,"Yes",'NeT GP - table_export'!$AA:$AA,"Yes")</f>
        <v>0</v>
      </c>
    </row>
    <row r="32" spans="2:22" x14ac:dyDescent="0.35">
      <c r="B32" s="101" t="s">
        <v>79</v>
      </c>
      <c r="C32" s="99" t="s">
        <v>543</v>
      </c>
      <c r="D32" s="114">
        <v>1</v>
      </c>
      <c r="E32" s="162" t="s">
        <v>6</v>
      </c>
      <c r="F32" s="167" t="str">
        <f>IF(E32="No","N/A",IF(COUNTIFS('NeT GP - table_export'!$B:$B,$B32,'NeT GP - table_export'!$K:$K,"No",'NeT GP - table_export'!$L:$L,"Yes")&gt;0,"Yes","No"))</f>
        <v>Yes</v>
      </c>
      <c r="G32" s="127">
        <f t="shared" si="0"/>
        <v>13</v>
      </c>
      <c r="H32" s="128">
        <f>COUNTIFS('NeT GP - table_export'!$B:$B,$B32, 'NeT GP - table_export'!$K:$K,"Yes")</f>
        <v>0</v>
      </c>
      <c r="I32" s="129">
        <f>COUNTIFS('NeT GP - table_export'!$B:$B,$B32, 'NeT GP - table_export'!$K:$K,"No")</f>
        <v>13</v>
      </c>
      <c r="J32" s="130">
        <f t="shared" si="1"/>
        <v>8</v>
      </c>
      <c r="K32" s="8">
        <f>COUNTIFS('NeT GP - table_export'!$B:$B,$B32, 'NeT GP - table_export'!$K:$K,"Yes", 'NeT GP - table_export'!$L:$L,"Yes")</f>
        <v>0</v>
      </c>
      <c r="L32" s="8">
        <f>COUNTIFS('NeT GP - table_export'!$B:$B,$B32, 'NeT GP - table_export'!$K:$K,"Yes", 'NeT GP - table_export'!$L:$L,"Yes",'NeT GP - table_export'!$AA:$AA,"Yes")</f>
        <v>0</v>
      </c>
      <c r="M32" s="8">
        <f>COUNTIFS('NeT GP - table_export'!$B:$B,$B32, 'NeT GP - table_export'!$K:$K,"No", 'NeT GP - table_export'!$L:$L,"Yes")</f>
        <v>8</v>
      </c>
      <c r="N32" s="131">
        <f>COUNTIFS('NeT GP - table_export'!$B:$B,$B32, 'NeT GP - table_export'!$K:$K,"No", 'NeT GP - table_export'!$L:$L,"Yes",'NeT GP - table_export'!$AA:$AA,"Yes")</f>
        <v>0</v>
      </c>
      <c r="O32" s="17">
        <f t="shared" si="2"/>
        <v>1284</v>
      </c>
      <c r="P32" s="8">
        <f>SUMIFS('NeT GP - table_export'!$J:$J,'NeT GP - table_export'!$B:$B,$B32, 'NeT GP - table_export'!$K:$K,"Yes")</f>
        <v>0</v>
      </c>
      <c r="Q32" s="51">
        <f>SUMIFS('NeT GP - table_export'!$J:$J,'NeT GP - table_export'!$B:$B,$B32, 'NeT GP - table_export'!$K:$K,"No")</f>
        <v>1284</v>
      </c>
      <c r="R32" s="130">
        <f t="shared" si="3"/>
        <v>63</v>
      </c>
      <c r="S32" s="8">
        <f>SUMIFS('NeT GP - table_export'!$J:$J,'NeT GP - table_export'!$B:$B,$B32, 'NeT GP - table_export'!$K:$K,"Yes", 'NeT GP - table_export'!$L:$L,"Yes")</f>
        <v>0</v>
      </c>
      <c r="T32" s="8">
        <f>SUMIFS('NeT GP - table_export'!$J:$J,'NeT GP - table_export'!$B:$B,$B32, 'NeT GP - table_export'!$K:$K,"Yes", 'NeT GP - table_export'!$L:$L,"Yes",'NeT GP - table_export'!$AA:$AA,"Yes")</f>
        <v>0</v>
      </c>
      <c r="U32" s="8">
        <f>SUMIFS('NeT GP - table_export'!$J:$J,'NeT GP - table_export'!$B:$B,$B32, 'NeT GP - table_export'!$K:$K,"No", 'NeT GP - table_export'!$L:$L,"Yes")</f>
        <v>63</v>
      </c>
      <c r="V32" s="51">
        <f>SUMIFS('NeT GP - table_export'!$J:$J,'NeT GP - table_export'!$B:$B,$B32, 'NeT GP - table_export'!$K:$K,"No", 'NeT GP - table_export'!$L:$L,"Yes",'NeT GP - table_export'!$AA:$AA,"Yes")</f>
        <v>0</v>
      </c>
    </row>
    <row r="33" spans="2:22" x14ac:dyDescent="0.35">
      <c r="B33" s="101" t="s">
        <v>214</v>
      </c>
      <c r="C33" s="99" t="s">
        <v>1829</v>
      </c>
      <c r="D33" s="114">
        <v>5</v>
      </c>
      <c r="E33" s="162" t="s">
        <v>6</v>
      </c>
      <c r="F33" s="167" t="str">
        <f>IF(E33="No","N/A",IF(COUNTIFS('NeT GP - table_export'!$B:$B,$B33,'NeT GP - table_export'!$K:$K,"No",'NeT GP - table_export'!$L:$L,"Yes")&gt;0,"Yes","No"))</f>
        <v>No</v>
      </c>
      <c r="G33" s="127">
        <f t="shared" si="0"/>
        <v>29</v>
      </c>
      <c r="H33" s="128">
        <f>COUNTIFS('NeT GP - table_export'!$B:$B,$B33, 'NeT GP - table_export'!$K:$K,"Yes")</f>
        <v>3</v>
      </c>
      <c r="I33" s="129">
        <f>COUNTIFS('NeT GP - table_export'!$B:$B,$B33, 'NeT GP - table_export'!$K:$K,"No")</f>
        <v>26</v>
      </c>
      <c r="J33" s="130">
        <f t="shared" si="1"/>
        <v>3</v>
      </c>
      <c r="K33" s="8">
        <f>COUNTIFS('NeT GP - table_export'!$B:$B,$B33, 'NeT GP - table_export'!$K:$K,"Yes", 'NeT GP - table_export'!$L:$L,"Yes")</f>
        <v>3</v>
      </c>
      <c r="L33" s="8">
        <f>COUNTIFS('NeT GP - table_export'!$B:$B,$B33, 'NeT GP - table_export'!$K:$K,"Yes", 'NeT GP - table_export'!$L:$L,"Yes",'NeT GP - table_export'!$AA:$AA,"Yes")</f>
        <v>3</v>
      </c>
      <c r="M33" s="8">
        <f>COUNTIFS('NeT GP - table_export'!$B:$B,$B33, 'NeT GP - table_export'!$K:$K,"No", 'NeT GP - table_export'!$L:$L,"Yes")</f>
        <v>0</v>
      </c>
      <c r="N33" s="131">
        <f>COUNTIFS('NeT GP - table_export'!$B:$B,$B33, 'NeT GP - table_export'!$K:$K,"No", 'NeT GP - table_export'!$L:$L,"Yes",'NeT GP - table_export'!$AA:$AA,"Yes")</f>
        <v>0</v>
      </c>
      <c r="O33" s="17">
        <f t="shared" si="2"/>
        <v>4783</v>
      </c>
      <c r="P33" s="8">
        <f>SUMIFS('NeT GP - table_export'!$J:$J,'NeT GP - table_export'!$B:$B,$B33, 'NeT GP - table_export'!$K:$K,"Yes")</f>
        <v>10</v>
      </c>
      <c r="Q33" s="51">
        <f>SUMIFS('NeT GP - table_export'!$J:$J,'NeT GP - table_export'!$B:$B,$B33, 'NeT GP - table_export'!$K:$K,"No")</f>
        <v>4773</v>
      </c>
      <c r="R33" s="130">
        <f t="shared" si="3"/>
        <v>10</v>
      </c>
      <c r="S33" s="8">
        <f>SUMIFS('NeT GP - table_export'!$J:$J,'NeT GP - table_export'!$B:$B,$B33, 'NeT GP - table_export'!$K:$K,"Yes", 'NeT GP - table_export'!$L:$L,"Yes")</f>
        <v>10</v>
      </c>
      <c r="T33" s="8">
        <f>SUMIFS('NeT GP - table_export'!$J:$J,'NeT GP - table_export'!$B:$B,$B33, 'NeT GP - table_export'!$K:$K,"Yes", 'NeT GP - table_export'!$L:$L,"Yes",'NeT GP - table_export'!$AA:$AA,"Yes")</f>
        <v>10</v>
      </c>
      <c r="U33" s="8">
        <f>SUMIFS('NeT GP - table_export'!$J:$J,'NeT GP - table_export'!$B:$B,$B33, 'NeT GP - table_export'!$K:$K,"No", 'NeT GP - table_export'!$L:$L,"Yes")</f>
        <v>0</v>
      </c>
      <c r="V33" s="51">
        <f>SUMIFS('NeT GP - table_export'!$J:$J,'NeT GP - table_export'!$B:$B,$B33, 'NeT GP - table_export'!$K:$K,"No", 'NeT GP - table_export'!$L:$L,"Yes",'NeT GP - table_export'!$AA:$AA,"Yes")</f>
        <v>0</v>
      </c>
    </row>
    <row r="34" spans="2:22" x14ac:dyDescent="0.35">
      <c r="B34" s="101" t="s">
        <v>219</v>
      </c>
      <c r="C34" s="99" t="s">
        <v>582</v>
      </c>
      <c r="D34" s="114">
        <v>5</v>
      </c>
      <c r="E34" s="162" t="s">
        <v>6</v>
      </c>
      <c r="F34" s="167" t="str">
        <f>IF(E34="No","N/A",IF(COUNTIFS('NeT GP - table_export'!$B:$B,$B34,'NeT GP - table_export'!$K:$K,"No",'NeT GP - table_export'!$L:$L,"Yes")&gt;0,"Yes","No"))</f>
        <v>No</v>
      </c>
      <c r="G34" s="127">
        <f t="shared" si="0"/>
        <v>18</v>
      </c>
      <c r="H34" s="128">
        <f>COUNTIFS('NeT GP - table_export'!$B:$B,$B34, 'NeT GP - table_export'!$K:$K,"Yes")</f>
        <v>3</v>
      </c>
      <c r="I34" s="129">
        <f>COUNTIFS('NeT GP - table_export'!$B:$B,$B34, 'NeT GP - table_export'!$K:$K,"No")</f>
        <v>15</v>
      </c>
      <c r="J34" s="130">
        <f t="shared" si="1"/>
        <v>3</v>
      </c>
      <c r="K34" s="8">
        <f>COUNTIFS('NeT GP - table_export'!$B:$B,$B34, 'NeT GP - table_export'!$K:$K,"Yes", 'NeT GP - table_export'!$L:$L,"Yes")</f>
        <v>3</v>
      </c>
      <c r="L34" s="8">
        <f>COUNTIFS('NeT GP - table_export'!$B:$B,$B34, 'NeT GP - table_export'!$K:$K,"Yes", 'NeT GP - table_export'!$L:$L,"Yes",'NeT GP - table_export'!$AA:$AA,"Yes")</f>
        <v>3</v>
      </c>
      <c r="M34" s="8">
        <f>COUNTIFS('NeT GP - table_export'!$B:$B,$B34, 'NeT GP - table_export'!$K:$K,"No", 'NeT GP - table_export'!$L:$L,"Yes")</f>
        <v>0</v>
      </c>
      <c r="N34" s="131">
        <f>COUNTIFS('NeT GP - table_export'!$B:$B,$B34, 'NeT GP - table_export'!$K:$K,"No", 'NeT GP - table_export'!$L:$L,"Yes",'NeT GP - table_export'!$AA:$AA,"Yes")</f>
        <v>0</v>
      </c>
      <c r="O34" s="17">
        <f t="shared" si="2"/>
        <v>1830</v>
      </c>
      <c r="P34" s="8">
        <f>SUMIFS('NeT GP - table_export'!$J:$J,'NeT GP - table_export'!$B:$B,$B34, 'NeT GP - table_export'!$K:$K,"Yes")</f>
        <v>48</v>
      </c>
      <c r="Q34" s="51">
        <f>SUMIFS('NeT GP - table_export'!$J:$J,'NeT GP - table_export'!$B:$B,$B34, 'NeT GP - table_export'!$K:$K,"No")</f>
        <v>1782</v>
      </c>
      <c r="R34" s="130">
        <f t="shared" si="3"/>
        <v>48</v>
      </c>
      <c r="S34" s="8">
        <f>SUMIFS('NeT GP - table_export'!$J:$J,'NeT GP - table_export'!$B:$B,$B34, 'NeT GP - table_export'!$K:$K,"Yes", 'NeT GP - table_export'!$L:$L,"Yes")</f>
        <v>48</v>
      </c>
      <c r="T34" s="8">
        <f>SUMIFS('NeT GP - table_export'!$J:$J,'NeT GP - table_export'!$B:$B,$B34, 'NeT GP - table_export'!$K:$K,"Yes", 'NeT GP - table_export'!$L:$L,"Yes",'NeT GP - table_export'!$AA:$AA,"Yes")</f>
        <v>48</v>
      </c>
      <c r="U34" s="8">
        <f>SUMIFS('NeT GP - table_export'!$J:$J,'NeT GP - table_export'!$B:$B,$B34, 'NeT GP - table_export'!$K:$K,"No", 'NeT GP - table_export'!$L:$L,"Yes")</f>
        <v>0</v>
      </c>
      <c r="V34" s="51">
        <f>SUMIFS('NeT GP - table_export'!$J:$J,'NeT GP - table_export'!$B:$B,$B34, 'NeT GP - table_export'!$K:$K,"No", 'NeT GP - table_export'!$L:$L,"Yes",'NeT GP - table_export'!$AA:$AA,"Yes")</f>
        <v>0</v>
      </c>
    </row>
    <row r="35" spans="2:22" x14ac:dyDescent="0.35">
      <c r="B35" s="101" t="s">
        <v>583</v>
      </c>
      <c r="C35" s="99" t="s">
        <v>584</v>
      </c>
      <c r="D35" s="114">
        <v>7</v>
      </c>
      <c r="E35" s="162" t="s">
        <v>6</v>
      </c>
      <c r="F35" s="167" t="str">
        <f>IF(E35="No","N/A",IF(COUNTIFS('NeT GP - table_export'!$B:$B,$B35,'NeT GP - table_export'!$K:$K,"No",'NeT GP - table_export'!$L:$L,"Yes")&gt;0,"Yes","No"))</f>
        <v>No</v>
      </c>
      <c r="G35" s="127">
        <f t="shared" si="0"/>
        <v>41</v>
      </c>
      <c r="H35" s="128">
        <f>COUNTIFS('NeT GP - table_export'!$B:$B,$B35, 'NeT GP - table_export'!$K:$K,"Yes")</f>
        <v>0</v>
      </c>
      <c r="I35" s="129">
        <f>COUNTIFS('NeT GP - table_export'!$B:$B,$B35, 'NeT GP - table_export'!$K:$K,"No")</f>
        <v>41</v>
      </c>
      <c r="J35" s="130">
        <f t="shared" si="1"/>
        <v>0</v>
      </c>
      <c r="K35" s="8">
        <f>COUNTIFS('NeT GP - table_export'!$B:$B,$B35, 'NeT GP - table_export'!$K:$K,"Yes", 'NeT GP - table_export'!$L:$L,"Yes")</f>
        <v>0</v>
      </c>
      <c r="L35" s="8">
        <f>COUNTIFS('NeT GP - table_export'!$B:$B,$B35, 'NeT GP - table_export'!$K:$K,"Yes", 'NeT GP - table_export'!$L:$L,"Yes",'NeT GP - table_export'!$AA:$AA,"Yes")</f>
        <v>0</v>
      </c>
      <c r="M35" s="8">
        <f>COUNTIFS('NeT GP - table_export'!$B:$B,$B35, 'NeT GP - table_export'!$K:$K,"No", 'NeT GP - table_export'!$L:$L,"Yes")</f>
        <v>0</v>
      </c>
      <c r="N35" s="131">
        <f>COUNTIFS('NeT GP - table_export'!$B:$B,$B35, 'NeT GP - table_export'!$K:$K,"No", 'NeT GP - table_export'!$L:$L,"Yes",'NeT GP - table_export'!$AA:$AA,"Yes")</f>
        <v>0</v>
      </c>
      <c r="O35" s="17">
        <f t="shared" si="2"/>
        <v>2527</v>
      </c>
      <c r="P35" s="8">
        <f>SUMIFS('NeT GP - table_export'!$J:$J,'NeT GP - table_export'!$B:$B,$B35, 'NeT GP - table_export'!$K:$K,"Yes")</f>
        <v>0</v>
      </c>
      <c r="Q35" s="51">
        <f>SUMIFS('NeT GP - table_export'!$J:$J,'NeT GP - table_export'!$B:$B,$B35, 'NeT GP - table_export'!$K:$K,"No")</f>
        <v>2527</v>
      </c>
      <c r="R35" s="130">
        <f t="shared" si="3"/>
        <v>0</v>
      </c>
      <c r="S35" s="8">
        <f>SUMIFS('NeT GP - table_export'!$J:$J,'NeT GP - table_export'!$B:$B,$B35, 'NeT GP - table_export'!$K:$K,"Yes", 'NeT GP - table_export'!$L:$L,"Yes")</f>
        <v>0</v>
      </c>
      <c r="T35" s="8">
        <f>SUMIFS('NeT GP - table_export'!$J:$J,'NeT GP - table_export'!$B:$B,$B35, 'NeT GP - table_export'!$K:$K,"Yes", 'NeT GP - table_export'!$L:$L,"Yes",'NeT GP - table_export'!$AA:$AA,"Yes")</f>
        <v>0</v>
      </c>
      <c r="U35" s="8">
        <f>SUMIFS('NeT GP - table_export'!$J:$J,'NeT GP - table_export'!$B:$B,$B35, 'NeT GP - table_export'!$K:$K,"No", 'NeT GP - table_export'!$L:$L,"Yes")</f>
        <v>0</v>
      </c>
      <c r="V35" s="51">
        <f>SUMIFS('NeT GP - table_export'!$J:$J,'NeT GP - table_export'!$B:$B,$B35, 'NeT GP - table_export'!$K:$K,"No", 'NeT GP - table_export'!$L:$L,"Yes",'NeT GP - table_export'!$AA:$AA,"Yes")</f>
        <v>0</v>
      </c>
    </row>
    <row r="36" spans="2:22" x14ac:dyDescent="0.35">
      <c r="B36" s="101" t="s">
        <v>222</v>
      </c>
      <c r="C36" s="99" t="s">
        <v>585</v>
      </c>
      <c r="D36" s="114">
        <v>9</v>
      </c>
      <c r="E36" s="162" t="s">
        <v>10</v>
      </c>
      <c r="F36" s="167" t="str">
        <f>IF(E36="No","N/A",IF(COUNTIFS('NeT GP - table_export'!$B:$B,$B36,'NeT GP - table_export'!$K:$K,"No",'NeT GP - table_export'!$L:$L,"Yes")&gt;0,"Yes","No"))</f>
        <v>N/A</v>
      </c>
      <c r="G36" s="127">
        <f t="shared" si="0"/>
        <v>3</v>
      </c>
      <c r="H36" s="128">
        <f>COUNTIFS('NeT GP - table_export'!$B:$B,$B36, 'NeT GP - table_export'!$K:$K,"Yes")</f>
        <v>3</v>
      </c>
      <c r="I36" s="129">
        <f>COUNTIFS('NeT GP - table_export'!$B:$B,$B36, 'NeT GP - table_export'!$K:$K,"No")</f>
        <v>0</v>
      </c>
      <c r="J36" s="130">
        <f t="shared" si="1"/>
        <v>3</v>
      </c>
      <c r="K36" s="8">
        <f>COUNTIFS('NeT GP - table_export'!$B:$B,$B36, 'NeT GP - table_export'!$K:$K,"Yes", 'NeT GP - table_export'!$L:$L,"Yes")</f>
        <v>3</v>
      </c>
      <c r="L36" s="8">
        <f>COUNTIFS('NeT GP - table_export'!$B:$B,$B36, 'NeT GP - table_export'!$K:$K,"Yes", 'NeT GP - table_export'!$L:$L,"Yes",'NeT GP - table_export'!$AA:$AA,"Yes")</f>
        <v>3</v>
      </c>
      <c r="M36" s="8">
        <f>COUNTIFS('NeT GP - table_export'!$B:$B,$B36, 'NeT GP - table_export'!$K:$K,"No", 'NeT GP - table_export'!$L:$L,"Yes")</f>
        <v>0</v>
      </c>
      <c r="N36" s="131">
        <f>COUNTIFS('NeT GP - table_export'!$B:$B,$B36, 'NeT GP - table_export'!$K:$K,"No", 'NeT GP - table_export'!$L:$L,"Yes",'NeT GP - table_export'!$AA:$AA,"Yes")</f>
        <v>0</v>
      </c>
      <c r="O36" s="17">
        <f t="shared" si="2"/>
        <v>21</v>
      </c>
      <c r="P36" s="8">
        <f>SUMIFS('NeT GP - table_export'!$J:$J,'NeT GP - table_export'!$B:$B,$B36, 'NeT GP - table_export'!$K:$K,"Yes")</f>
        <v>21</v>
      </c>
      <c r="Q36" s="51">
        <f>SUMIFS('NeT GP - table_export'!$J:$J,'NeT GP - table_export'!$B:$B,$B36, 'NeT GP - table_export'!$K:$K,"No")</f>
        <v>0</v>
      </c>
      <c r="R36" s="130">
        <f t="shared" si="3"/>
        <v>21</v>
      </c>
      <c r="S36" s="8">
        <f>SUMIFS('NeT GP - table_export'!$J:$J,'NeT GP - table_export'!$B:$B,$B36, 'NeT GP - table_export'!$K:$K,"Yes", 'NeT GP - table_export'!$L:$L,"Yes")</f>
        <v>21</v>
      </c>
      <c r="T36" s="8">
        <f>SUMIFS('NeT GP - table_export'!$J:$J,'NeT GP - table_export'!$B:$B,$B36, 'NeT GP - table_export'!$K:$K,"Yes", 'NeT GP - table_export'!$L:$L,"Yes",'NeT GP - table_export'!$AA:$AA,"Yes")</f>
        <v>21</v>
      </c>
      <c r="U36" s="8">
        <f>SUMIFS('NeT GP - table_export'!$J:$J,'NeT GP - table_export'!$B:$B,$B36, 'NeT GP - table_export'!$K:$K,"No", 'NeT GP - table_export'!$L:$L,"Yes")</f>
        <v>0</v>
      </c>
      <c r="V36" s="51">
        <f>SUMIFS('NeT GP - table_export'!$J:$J,'NeT GP - table_export'!$B:$B,$B36, 'NeT GP - table_export'!$K:$K,"No", 'NeT GP - table_export'!$L:$L,"Yes",'NeT GP - table_export'!$AA:$AA,"Yes")</f>
        <v>0</v>
      </c>
    </row>
    <row r="37" spans="2:22" x14ac:dyDescent="0.35">
      <c r="B37" s="101" t="s">
        <v>226</v>
      </c>
      <c r="C37" s="99" t="s">
        <v>544</v>
      </c>
      <c r="D37" s="114">
        <v>4</v>
      </c>
      <c r="E37" s="162" t="s">
        <v>6</v>
      </c>
      <c r="F37" s="167" t="str">
        <f>IF(E37="No","N/A",IF(COUNTIFS('NeT GP - table_export'!$B:$B,$B37,'NeT GP - table_export'!$K:$K,"No",'NeT GP - table_export'!$L:$L,"Yes")&gt;0,"Yes","No"))</f>
        <v>Yes</v>
      </c>
      <c r="G37" s="127">
        <f t="shared" si="0"/>
        <v>16</v>
      </c>
      <c r="H37" s="128">
        <f>COUNTIFS('NeT GP - table_export'!$B:$B,$B37, 'NeT GP - table_export'!$K:$K,"Yes")</f>
        <v>3</v>
      </c>
      <c r="I37" s="129">
        <f>COUNTIFS('NeT GP - table_export'!$B:$B,$B37, 'NeT GP - table_export'!$K:$K,"No")</f>
        <v>13</v>
      </c>
      <c r="J37" s="130">
        <f t="shared" si="1"/>
        <v>13</v>
      </c>
      <c r="K37" s="8">
        <f>COUNTIFS('NeT GP - table_export'!$B:$B,$B37, 'NeT GP - table_export'!$K:$K,"Yes", 'NeT GP - table_export'!$L:$L,"Yes")</f>
        <v>3</v>
      </c>
      <c r="L37" s="8">
        <f>COUNTIFS('NeT GP - table_export'!$B:$B,$B37, 'NeT GP - table_export'!$K:$K,"Yes", 'NeT GP - table_export'!$L:$L,"Yes",'NeT GP - table_export'!$AA:$AA,"Yes")</f>
        <v>3</v>
      </c>
      <c r="M37" s="8">
        <f>COUNTIFS('NeT GP - table_export'!$B:$B,$B37, 'NeT GP - table_export'!$K:$K,"No", 'NeT GP - table_export'!$L:$L,"Yes")</f>
        <v>10</v>
      </c>
      <c r="N37" s="131">
        <f>COUNTIFS('NeT GP - table_export'!$B:$B,$B37, 'NeT GP - table_export'!$K:$K,"No", 'NeT GP - table_export'!$L:$L,"Yes",'NeT GP - table_export'!$AA:$AA,"Yes")</f>
        <v>0</v>
      </c>
      <c r="O37" s="17">
        <f t="shared" si="2"/>
        <v>4129</v>
      </c>
      <c r="P37" s="8">
        <f>SUMIFS('NeT GP - table_export'!$J:$J,'NeT GP - table_export'!$B:$B,$B37, 'NeT GP - table_export'!$K:$K,"Yes")</f>
        <v>0</v>
      </c>
      <c r="Q37" s="51">
        <f>SUMIFS('NeT GP - table_export'!$J:$J,'NeT GP - table_export'!$B:$B,$B37, 'NeT GP - table_export'!$K:$K,"No")</f>
        <v>4129</v>
      </c>
      <c r="R37" s="130">
        <f t="shared" si="3"/>
        <v>4123</v>
      </c>
      <c r="S37" s="8">
        <f>SUMIFS('NeT GP - table_export'!$J:$J,'NeT GP - table_export'!$B:$B,$B37, 'NeT GP - table_export'!$K:$K,"Yes", 'NeT GP - table_export'!$L:$L,"Yes")</f>
        <v>0</v>
      </c>
      <c r="T37" s="8">
        <f>SUMIFS('NeT GP - table_export'!$J:$J,'NeT GP - table_export'!$B:$B,$B37, 'NeT GP - table_export'!$K:$K,"Yes", 'NeT GP - table_export'!$L:$L,"Yes",'NeT GP - table_export'!$AA:$AA,"Yes")</f>
        <v>0</v>
      </c>
      <c r="U37" s="8">
        <f>SUMIFS('NeT GP - table_export'!$J:$J,'NeT GP - table_export'!$B:$B,$B37, 'NeT GP - table_export'!$K:$K,"No", 'NeT GP - table_export'!$L:$L,"Yes")</f>
        <v>4123</v>
      </c>
      <c r="V37" s="51">
        <f>SUMIFS('NeT GP - table_export'!$J:$J,'NeT GP - table_export'!$B:$B,$B37, 'NeT GP - table_export'!$K:$K,"No", 'NeT GP - table_export'!$L:$L,"Yes",'NeT GP - table_export'!$AA:$AA,"Yes")</f>
        <v>0</v>
      </c>
    </row>
    <row r="38" spans="2:22" x14ac:dyDescent="0.35">
      <c r="B38" s="101" t="s">
        <v>258</v>
      </c>
      <c r="C38" s="99" t="s">
        <v>586</v>
      </c>
      <c r="D38" s="114">
        <v>8</v>
      </c>
      <c r="E38" s="162" t="s">
        <v>6</v>
      </c>
      <c r="F38" s="167" t="str">
        <f>IF(E38="No","N/A",IF(COUNTIFS('NeT GP - table_export'!$B:$B,$B38,'NeT GP - table_export'!$K:$K,"No",'NeT GP - table_export'!$L:$L,"Yes")&gt;0,"Yes","No"))</f>
        <v>No</v>
      </c>
      <c r="G38" s="127">
        <f t="shared" si="0"/>
        <v>19</v>
      </c>
      <c r="H38" s="128">
        <f>COUNTIFS('NeT GP - table_export'!$B:$B,$B38, 'NeT GP - table_export'!$K:$K,"Yes")</f>
        <v>5</v>
      </c>
      <c r="I38" s="129">
        <f>COUNTIFS('NeT GP - table_export'!$B:$B,$B38, 'NeT GP - table_export'!$K:$K,"No")</f>
        <v>14</v>
      </c>
      <c r="J38" s="130">
        <f t="shared" si="1"/>
        <v>5</v>
      </c>
      <c r="K38" s="8">
        <f>COUNTIFS('NeT GP - table_export'!$B:$B,$B38, 'NeT GP - table_export'!$K:$K,"Yes", 'NeT GP - table_export'!$L:$L,"Yes")</f>
        <v>5</v>
      </c>
      <c r="L38" s="8">
        <f>COUNTIFS('NeT GP - table_export'!$B:$B,$B38, 'NeT GP - table_export'!$K:$K,"Yes", 'NeT GP - table_export'!$L:$L,"Yes",'NeT GP - table_export'!$AA:$AA,"Yes")</f>
        <v>3</v>
      </c>
      <c r="M38" s="8">
        <f>COUNTIFS('NeT GP - table_export'!$B:$B,$B38, 'NeT GP - table_export'!$K:$K,"No", 'NeT GP - table_export'!$L:$L,"Yes")</f>
        <v>0</v>
      </c>
      <c r="N38" s="131">
        <f>COUNTIFS('NeT GP - table_export'!$B:$B,$B38, 'NeT GP - table_export'!$K:$K,"No", 'NeT GP - table_export'!$L:$L,"Yes",'NeT GP - table_export'!$AA:$AA,"Yes")</f>
        <v>0</v>
      </c>
      <c r="O38" s="17">
        <f t="shared" si="2"/>
        <v>1820</v>
      </c>
      <c r="P38" s="8">
        <f>SUMIFS('NeT GP - table_export'!$J:$J,'NeT GP - table_export'!$B:$B,$B38, 'NeT GP - table_export'!$K:$K,"Yes")</f>
        <v>86</v>
      </c>
      <c r="Q38" s="51">
        <f>SUMIFS('NeT GP - table_export'!$J:$J,'NeT GP - table_export'!$B:$B,$B38, 'NeT GP - table_export'!$K:$K,"No")</f>
        <v>1734</v>
      </c>
      <c r="R38" s="130">
        <f t="shared" si="3"/>
        <v>86</v>
      </c>
      <c r="S38" s="8">
        <f>SUMIFS('NeT GP - table_export'!$J:$J,'NeT GP - table_export'!$B:$B,$B38, 'NeT GP - table_export'!$K:$K,"Yes", 'NeT GP - table_export'!$L:$L,"Yes")</f>
        <v>86</v>
      </c>
      <c r="T38" s="8">
        <f>SUMIFS('NeT GP - table_export'!$J:$J,'NeT GP - table_export'!$B:$B,$B38, 'NeT GP - table_export'!$K:$K,"Yes", 'NeT GP - table_export'!$L:$L,"Yes",'NeT GP - table_export'!$AA:$AA,"Yes")</f>
        <v>66</v>
      </c>
      <c r="U38" s="8">
        <f>SUMIFS('NeT GP - table_export'!$J:$J,'NeT GP - table_export'!$B:$B,$B38, 'NeT GP - table_export'!$K:$K,"No", 'NeT GP - table_export'!$L:$L,"Yes")</f>
        <v>0</v>
      </c>
      <c r="V38" s="51">
        <f>SUMIFS('NeT GP - table_export'!$J:$J,'NeT GP - table_export'!$B:$B,$B38, 'NeT GP - table_export'!$K:$K,"No", 'NeT GP - table_export'!$L:$L,"Yes",'NeT GP - table_export'!$AA:$AA,"Yes")</f>
        <v>0</v>
      </c>
    </row>
    <row r="39" spans="2:22" x14ac:dyDescent="0.35">
      <c r="B39" s="101" t="s">
        <v>262</v>
      </c>
      <c r="C39" s="99" t="s">
        <v>587</v>
      </c>
      <c r="D39" s="114">
        <v>9</v>
      </c>
      <c r="E39" s="162" t="s">
        <v>10</v>
      </c>
      <c r="F39" s="167" t="str">
        <f>IF(E39="No","N/A",IF(COUNTIFS('NeT GP - table_export'!$B:$B,$B39,'NeT GP - table_export'!$K:$K,"No",'NeT GP - table_export'!$L:$L,"Yes")&gt;0,"Yes","No"))</f>
        <v>N/A</v>
      </c>
      <c r="G39" s="127">
        <f t="shared" si="0"/>
        <v>3</v>
      </c>
      <c r="H39" s="128">
        <f>COUNTIFS('NeT GP - table_export'!$B:$B,$B39, 'NeT GP - table_export'!$K:$K,"Yes")</f>
        <v>3</v>
      </c>
      <c r="I39" s="129">
        <f>COUNTIFS('NeT GP - table_export'!$B:$B,$B39, 'NeT GP - table_export'!$K:$K,"No")</f>
        <v>0</v>
      </c>
      <c r="J39" s="130">
        <f t="shared" si="1"/>
        <v>3</v>
      </c>
      <c r="K39" s="8">
        <f>COUNTIFS('NeT GP - table_export'!$B:$B,$B39, 'NeT GP - table_export'!$K:$K,"Yes", 'NeT GP - table_export'!$L:$L,"Yes")</f>
        <v>3</v>
      </c>
      <c r="L39" s="8">
        <f>COUNTIFS('NeT GP - table_export'!$B:$B,$B39, 'NeT GP - table_export'!$K:$K,"Yes", 'NeT GP - table_export'!$L:$L,"Yes",'NeT GP - table_export'!$AA:$AA,"Yes")</f>
        <v>3</v>
      </c>
      <c r="M39" s="8">
        <f>COUNTIFS('NeT GP - table_export'!$B:$B,$B39, 'NeT GP - table_export'!$K:$K,"No", 'NeT GP - table_export'!$L:$L,"Yes")</f>
        <v>0</v>
      </c>
      <c r="N39" s="131">
        <f>COUNTIFS('NeT GP - table_export'!$B:$B,$B39, 'NeT GP - table_export'!$K:$K,"No", 'NeT GP - table_export'!$L:$L,"Yes",'NeT GP - table_export'!$AA:$AA,"Yes")</f>
        <v>0</v>
      </c>
      <c r="O39" s="17">
        <f t="shared" si="2"/>
        <v>5</v>
      </c>
      <c r="P39" s="8">
        <f>SUMIFS('NeT GP - table_export'!$J:$J,'NeT GP - table_export'!$B:$B,$B39, 'NeT GP - table_export'!$K:$K,"Yes")</f>
        <v>5</v>
      </c>
      <c r="Q39" s="51">
        <f>SUMIFS('NeT GP - table_export'!$J:$J,'NeT GP - table_export'!$B:$B,$B39, 'NeT GP - table_export'!$K:$K,"No")</f>
        <v>0</v>
      </c>
      <c r="R39" s="130">
        <f t="shared" si="3"/>
        <v>5</v>
      </c>
      <c r="S39" s="8">
        <f>SUMIFS('NeT GP - table_export'!$J:$J,'NeT GP - table_export'!$B:$B,$B39, 'NeT GP - table_export'!$K:$K,"Yes", 'NeT GP - table_export'!$L:$L,"Yes")</f>
        <v>5</v>
      </c>
      <c r="T39" s="8">
        <f>SUMIFS('NeT GP - table_export'!$J:$J,'NeT GP - table_export'!$B:$B,$B39, 'NeT GP - table_export'!$K:$K,"Yes", 'NeT GP - table_export'!$L:$L,"Yes",'NeT GP - table_export'!$AA:$AA,"Yes")</f>
        <v>5</v>
      </c>
      <c r="U39" s="8">
        <f>SUMIFS('NeT GP - table_export'!$J:$J,'NeT GP - table_export'!$B:$B,$B39, 'NeT GP - table_export'!$K:$K,"No", 'NeT GP - table_export'!$L:$L,"Yes")</f>
        <v>0</v>
      </c>
      <c r="V39" s="51">
        <f>SUMIFS('NeT GP - table_export'!$J:$J,'NeT GP - table_export'!$B:$B,$B39, 'NeT GP - table_export'!$K:$K,"No", 'NeT GP - table_export'!$L:$L,"Yes",'NeT GP - table_export'!$AA:$AA,"Yes")</f>
        <v>0</v>
      </c>
    </row>
    <row r="40" spans="2:22" x14ac:dyDescent="0.35">
      <c r="B40" s="101" t="s">
        <v>266</v>
      </c>
      <c r="C40" s="99" t="s">
        <v>588</v>
      </c>
      <c r="D40" s="114">
        <v>4</v>
      </c>
      <c r="E40" s="162" t="s">
        <v>6</v>
      </c>
      <c r="F40" s="167" t="str">
        <f>IF(E40="No","N/A",IF(COUNTIFS('NeT GP - table_export'!$B:$B,$B40,'NeT GP - table_export'!$K:$K,"No",'NeT GP - table_export'!$L:$L,"Yes")&gt;0,"Yes","No"))</f>
        <v>No</v>
      </c>
      <c r="G40" s="127">
        <f t="shared" si="0"/>
        <v>36</v>
      </c>
      <c r="H40" s="128">
        <f>COUNTIFS('NeT GP - table_export'!$B:$B,$B40, 'NeT GP - table_export'!$K:$K,"Yes")</f>
        <v>3</v>
      </c>
      <c r="I40" s="129">
        <f>COUNTIFS('NeT GP - table_export'!$B:$B,$B40, 'NeT GP - table_export'!$K:$K,"No")</f>
        <v>33</v>
      </c>
      <c r="J40" s="130">
        <f t="shared" si="1"/>
        <v>3</v>
      </c>
      <c r="K40" s="8">
        <f>COUNTIFS('NeT GP - table_export'!$B:$B,$B40, 'NeT GP - table_export'!$K:$K,"Yes", 'NeT GP - table_export'!$L:$L,"Yes")</f>
        <v>3</v>
      </c>
      <c r="L40" s="8">
        <f>COUNTIFS('NeT GP - table_export'!$B:$B,$B40, 'NeT GP - table_export'!$K:$K,"Yes", 'NeT GP - table_export'!$L:$L,"Yes",'NeT GP - table_export'!$AA:$AA,"Yes")</f>
        <v>3</v>
      </c>
      <c r="M40" s="8">
        <f>COUNTIFS('NeT GP - table_export'!$B:$B,$B40, 'NeT GP - table_export'!$K:$K,"No", 'NeT GP - table_export'!$L:$L,"Yes")</f>
        <v>0</v>
      </c>
      <c r="N40" s="131">
        <f>COUNTIFS('NeT GP - table_export'!$B:$B,$B40, 'NeT GP - table_export'!$K:$K,"No", 'NeT GP - table_export'!$L:$L,"Yes",'NeT GP - table_export'!$AA:$AA,"Yes")</f>
        <v>0</v>
      </c>
      <c r="O40" s="17">
        <f t="shared" si="2"/>
        <v>10522</v>
      </c>
      <c r="P40" s="8">
        <f>SUMIFS('NeT GP - table_export'!$J:$J,'NeT GP - table_export'!$B:$B,$B40, 'NeT GP - table_export'!$K:$K,"Yes")</f>
        <v>15</v>
      </c>
      <c r="Q40" s="51">
        <f>SUMIFS('NeT GP - table_export'!$J:$J,'NeT GP - table_export'!$B:$B,$B40, 'NeT GP - table_export'!$K:$K,"No")</f>
        <v>10507</v>
      </c>
      <c r="R40" s="130">
        <f t="shared" si="3"/>
        <v>15</v>
      </c>
      <c r="S40" s="8">
        <f>SUMIFS('NeT GP - table_export'!$J:$J,'NeT GP - table_export'!$B:$B,$B40, 'NeT GP - table_export'!$K:$K,"Yes", 'NeT GP - table_export'!$L:$L,"Yes")</f>
        <v>15</v>
      </c>
      <c r="T40" s="8">
        <f>SUMIFS('NeT GP - table_export'!$J:$J,'NeT GP - table_export'!$B:$B,$B40, 'NeT GP - table_export'!$K:$K,"Yes", 'NeT GP - table_export'!$L:$L,"Yes",'NeT GP - table_export'!$AA:$AA,"Yes")</f>
        <v>15</v>
      </c>
      <c r="U40" s="8">
        <f>SUMIFS('NeT GP - table_export'!$J:$J,'NeT GP - table_export'!$B:$B,$B40, 'NeT GP - table_export'!$K:$K,"No", 'NeT GP - table_export'!$L:$L,"Yes")</f>
        <v>0</v>
      </c>
      <c r="V40" s="51">
        <f>SUMIFS('NeT GP - table_export'!$J:$J,'NeT GP - table_export'!$B:$B,$B40, 'NeT GP - table_export'!$K:$K,"No", 'NeT GP - table_export'!$L:$L,"Yes",'NeT GP - table_export'!$AA:$AA,"Yes")</f>
        <v>0</v>
      </c>
    </row>
    <row r="41" spans="2:22" x14ac:dyDescent="0.35">
      <c r="B41" s="101" t="s">
        <v>271</v>
      </c>
      <c r="C41" s="99" t="s">
        <v>589</v>
      </c>
      <c r="D41" s="114">
        <v>8</v>
      </c>
      <c r="E41" s="162" t="s">
        <v>6</v>
      </c>
      <c r="F41" s="167" t="str">
        <f>IF(E41="No","N/A",IF(COUNTIFS('NeT GP - table_export'!$B:$B,$B41,'NeT GP - table_export'!$K:$K,"No",'NeT GP - table_export'!$L:$L,"Yes")&gt;0,"Yes","No"))</f>
        <v>No</v>
      </c>
      <c r="G41" s="127">
        <f t="shared" si="0"/>
        <v>17</v>
      </c>
      <c r="H41" s="128">
        <f>COUNTIFS('NeT GP - table_export'!$B:$B,$B41, 'NeT GP - table_export'!$K:$K,"Yes")</f>
        <v>5</v>
      </c>
      <c r="I41" s="129">
        <f>COUNTIFS('NeT GP - table_export'!$B:$B,$B41, 'NeT GP - table_export'!$K:$K,"No")</f>
        <v>12</v>
      </c>
      <c r="J41" s="130">
        <f t="shared" si="1"/>
        <v>5</v>
      </c>
      <c r="K41" s="8">
        <f>COUNTIFS('NeT GP - table_export'!$B:$B,$B41, 'NeT GP - table_export'!$K:$K,"Yes", 'NeT GP - table_export'!$L:$L,"Yes")</f>
        <v>5</v>
      </c>
      <c r="L41" s="8">
        <f>COUNTIFS('NeT GP - table_export'!$B:$B,$B41, 'NeT GP - table_export'!$K:$K,"Yes", 'NeT GP - table_export'!$L:$L,"Yes",'NeT GP - table_export'!$AA:$AA,"Yes")</f>
        <v>3</v>
      </c>
      <c r="M41" s="8">
        <f>COUNTIFS('NeT GP - table_export'!$B:$B,$B41, 'NeT GP - table_export'!$K:$K,"No", 'NeT GP - table_export'!$L:$L,"Yes")</f>
        <v>0</v>
      </c>
      <c r="N41" s="131">
        <f>COUNTIFS('NeT GP - table_export'!$B:$B,$B41, 'NeT GP - table_export'!$K:$K,"No", 'NeT GP - table_export'!$L:$L,"Yes",'NeT GP - table_export'!$AA:$AA,"Yes")</f>
        <v>0</v>
      </c>
      <c r="O41" s="17">
        <f t="shared" si="2"/>
        <v>3193</v>
      </c>
      <c r="P41" s="8">
        <f>SUMIFS('NeT GP - table_export'!$J:$J,'NeT GP - table_export'!$B:$B,$B41, 'NeT GP - table_export'!$K:$K,"Yes")</f>
        <v>111</v>
      </c>
      <c r="Q41" s="51">
        <f>SUMIFS('NeT GP - table_export'!$J:$J,'NeT GP - table_export'!$B:$B,$B41, 'NeT GP - table_export'!$K:$K,"No")</f>
        <v>3082</v>
      </c>
      <c r="R41" s="130">
        <f t="shared" si="3"/>
        <v>111</v>
      </c>
      <c r="S41" s="8">
        <f>SUMIFS('NeT GP - table_export'!$J:$J,'NeT GP - table_export'!$B:$B,$B41, 'NeT GP - table_export'!$K:$K,"Yes", 'NeT GP - table_export'!$L:$L,"Yes")</f>
        <v>111</v>
      </c>
      <c r="T41" s="8">
        <f>SUMIFS('NeT GP - table_export'!$J:$J,'NeT GP - table_export'!$B:$B,$B41, 'NeT GP - table_export'!$K:$K,"Yes", 'NeT GP - table_export'!$L:$L,"Yes",'NeT GP - table_export'!$AA:$AA,"Yes")</f>
        <v>71</v>
      </c>
      <c r="U41" s="8">
        <f>SUMIFS('NeT GP - table_export'!$J:$J,'NeT GP - table_export'!$B:$B,$B41, 'NeT GP - table_export'!$K:$K,"No", 'NeT GP - table_export'!$L:$L,"Yes")</f>
        <v>0</v>
      </c>
      <c r="V41" s="51">
        <f>SUMIFS('NeT GP - table_export'!$J:$J,'NeT GP - table_export'!$B:$B,$B41, 'NeT GP - table_export'!$K:$K,"No", 'NeT GP - table_export'!$L:$L,"Yes",'NeT GP - table_export'!$AA:$AA,"Yes")</f>
        <v>0</v>
      </c>
    </row>
    <row r="42" spans="2:22" x14ac:dyDescent="0.35">
      <c r="B42" s="101" t="s">
        <v>275</v>
      </c>
      <c r="C42" s="99" t="s">
        <v>545</v>
      </c>
      <c r="D42" s="114">
        <v>7</v>
      </c>
      <c r="E42" s="162" t="s">
        <v>6</v>
      </c>
      <c r="F42" s="167" t="str">
        <f>IF(E42="No","N/A",IF(COUNTIFS('NeT GP - table_export'!$B:$B,$B42,'NeT GP - table_export'!$K:$K,"No",'NeT GP - table_export'!$L:$L,"Yes")&gt;0,"Yes","No"))</f>
        <v>Yes</v>
      </c>
      <c r="G42" s="127">
        <f t="shared" si="0"/>
        <v>17</v>
      </c>
      <c r="H42" s="128">
        <f>COUNTIFS('NeT GP - table_export'!$B:$B,$B42, 'NeT GP - table_export'!$K:$K,"Yes")</f>
        <v>3</v>
      </c>
      <c r="I42" s="129">
        <f>COUNTIFS('NeT GP - table_export'!$B:$B,$B42, 'NeT GP - table_export'!$K:$K,"No")</f>
        <v>14</v>
      </c>
      <c r="J42" s="130">
        <f t="shared" si="1"/>
        <v>14</v>
      </c>
      <c r="K42" s="8">
        <f>COUNTIFS('NeT GP - table_export'!$B:$B,$B42, 'NeT GP - table_export'!$K:$K,"Yes", 'NeT GP - table_export'!$L:$L,"Yes")</f>
        <v>3</v>
      </c>
      <c r="L42" s="8">
        <f>COUNTIFS('NeT GP - table_export'!$B:$B,$B42, 'NeT GP - table_export'!$K:$K,"Yes", 'NeT GP - table_export'!$L:$L,"Yes",'NeT GP - table_export'!$AA:$AA,"Yes")</f>
        <v>3</v>
      </c>
      <c r="M42" s="8">
        <f>COUNTIFS('NeT GP - table_export'!$B:$B,$B42, 'NeT GP - table_export'!$K:$K,"No", 'NeT GP - table_export'!$L:$L,"Yes")</f>
        <v>11</v>
      </c>
      <c r="N42" s="131">
        <f>COUNTIFS('NeT GP - table_export'!$B:$B,$B42, 'NeT GP - table_export'!$K:$K,"No", 'NeT GP - table_export'!$L:$L,"Yes",'NeT GP - table_export'!$AA:$AA,"Yes")</f>
        <v>1</v>
      </c>
      <c r="O42" s="17">
        <f t="shared" si="2"/>
        <v>2877</v>
      </c>
      <c r="P42" s="8">
        <f>SUMIFS('NeT GP - table_export'!$J:$J,'NeT GP - table_export'!$B:$B,$B42, 'NeT GP - table_export'!$K:$K,"Yes")</f>
        <v>7</v>
      </c>
      <c r="Q42" s="51">
        <f>SUMIFS('NeT GP - table_export'!$J:$J,'NeT GP - table_export'!$B:$B,$B42, 'NeT GP - table_export'!$K:$K,"No")</f>
        <v>2870</v>
      </c>
      <c r="R42" s="130">
        <f t="shared" si="3"/>
        <v>527</v>
      </c>
      <c r="S42" s="8">
        <f>SUMIFS('NeT GP - table_export'!$J:$J,'NeT GP - table_export'!$B:$B,$B42, 'NeT GP - table_export'!$K:$K,"Yes", 'NeT GP - table_export'!$L:$L,"Yes")</f>
        <v>7</v>
      </c>
      <c r="T42" s="8">
        <f>SUMIFS('NeT GP - table_export'!$J:$J,'NeT GP - table_export'!$B:$B,$B42, 'NeT GP - table_export'!$K:$K,"Yes", 'NeT GP - table_export'!$L:$L,"Yes",'NeT GP - table_export'!$AA:$AA,"Yes")</f>
        <v>7</v>
      </c>
      <c r="U42" s="8">
        <f>SUMIFS('NeT GP - table_export'!$J:$J,'NeT GP - table_export'!$B:$B,$B42, 'NeT GP - table_export'!$K:$K,"No", 'NeT GP - table_export'!$L:$L,"Yes")</f>
        <v>520</v>
      </c>
      <c r="V42" s="51">
        <f>SUMIFS('NeT GP - table_export'!$J:$J,'NeT GP - table_export'!$B:$B,$B42, 'NeT GP - table_export'!$K:$K,"No", 'NeT GP - table_export'!$L:$L,"Yes",'NeT GP - table_export'!$AA:$AA,"Yes")</f>
        <v>14</v>
      </c>
    </row>
    <row r="43" spans="2:22" x14ac:dyDescent="0.35">
      <c r="B43" s="101" t="s">
        <v>297</v>
      </c>
      <c r="C43" s="99" t="s">
        <v>590</v>
      </c>
      <c r="D43" s="114">
        <v>1</v>
      </c>
      <c r="E43" s="162" t="s">
        <v>10</v>
      </c>
      <c r="F43" s="167" t="str">
        <f>IF(E43="No","N/A",IF(COUNTIFS('NeT GP - table_export'!$B:$B,$B43,'NeT GP - table_export'!$K:$K,"No",'NeT GP - table_export'!$L:$L,"Yes")&gt;0,"Yes","No"))</f>
        <v>N/A</v>
      </c>
      <c r="G43" s="127">
        <f t="shared" si="0"/>
        <v>12</v>
      </c>
      <c r="H43" s="128">
        <f>COUNTIFS('NeT GP - table_export'!$B:$B,$B43, 'NeT GP - table_export'!$K:$K,"Yes")</f>
        <v>12</v>
      </c>
      <c r="I43" s="129">
        <f>COUNTIFS('NeT GP - table_export'!$B:$B,$B43, 'NeT GP - table_export'!$K:$K,"No")</f>
        <v>0</v>
      </c>
      <c r="J43" s="130">
        <f t="shared" si="1"/>
        <v>12</v>
      </c>
      <c r="K43" s="8">
        <f>COUNTIFS('NeT GP - table_export'!$B:$B,$B43, 'NeT GP - table_export'!$K:$K,"Yes", 'NeT GP - table_export'!$L:$L,"Yes")</f>
        <v>12</v>
      </c>
      <c r="L43" s="8">
        <f>COUNTIFS('NeT GP - table_export'!$B:$B,$B43, 'NeT GP - table_export'!$K:$K,"Yes", 'NeT GP - table_export'!$L:$L,"Yes",'NeT GP - table_export'!$AA:$AA,"Yes")</f>
        <v>5</v>
      </c>
      <c r="M43" s="8">
        <f>COUNTIFS('NeT GP - table_export'!$B:$B,$B43, 'NeT GP - table_export'!$K:$K,"No", 'NeT GP - table_export'!$L:$L,"Yes")</f>
        <v>0</v>
      </c>
      <c r="N43" s="131">
        <f>COUNTIFS('NeT GP - table_export'!$B:$B,$B43, 'NeT GP - table_export'!$K:$K,"No", 'NeT GP - table_export'!$L:$L,"Yes",'NeT GP - table_export'!$AA:$AA,"Yes")</f>
        <v>0</v>
      </c>
      <c r="O43" s="17">
        <f t="shared" si="2"/>
        <v>1453</v>
      </c>
      <c r="P43" s="8">
        <f>SUMIFS('NeT GP - table_export'!$J:$J,'NeT GP - table_export'!$B:$B,$B43, 'NeT GP - table_export'!$K:$K,"Yes")</f>
        <v>1453</v>
      </c>
      <c r="Q43" s="51">
        <f>SUMIFS('NeT GP - table_export'!$J:$J,'NeT GP - table_export'!$B:$B,$B43, 'NeT GP - table_export'!$K:$K,"No")</f>
        <v>0</v>
      </c>
      <c r="R43" s="130">
        <f t="shared" si="3"/>
        <v>1453</v>
      </c>
      <c r="S43" s="8">
        <f>SUMIFS('NeT GP - table_export'!$J:$J,'NeT GP - table_export'!$B:$B,$B43, 'NeT GP - table_export'!$K:$K,"Yes", 'NeT GP - table_export'!$L:$L,"Yes")</f>
        <v>1453</v>
      </c>
      <c r="T43" s="8">
        <f>SUMIFS('NeT GP - table_export'!$J:$J,'NeT GP - table_export'!$B:$B,$B43, 'NeT GP - table_export'!$K:$K,"Yes", 'NeT GP - table_export'!$L:$L,"Yes",'NeT GP - table_export'!$AA:$AA,"Yes")</f>
        <v>1340</v>
      </c>
      <c r="U43" s="8">
        <f>SUMIFS('NeT GP - table_export'!$J:$J,'NeT GP - table_export'!$B:$B,$B43, 'NeT GP - table_export'!$K:$K,"No", 'NeT GP - table_export'!$L:$L,"Yes")</f>
        <v>0</v>
      </c>
      <c r="V43" s="51">
        <f>SUMIFS('NeT GP - table_export'!$J:$J,'NeT GP - table_export'!$B:$B,$B43, 'NeT GP - table_export'!$K:$K,"No", 'NeT GP - table_export'!$L:$L,"Yes",'NeT GP - table_export'!$AA:$AA,"Yes")</f>
        <v>0</v>
      </c>
    </row>
    <row r="44" spans="2:22" x14ac:dyDescent="0.35">
      <c r="B44" s="101" t="s">
        <v>591</v>
      </c>
      <c r="C44" s="99" t="s">
        <v>592</v>
      </c>
      <c r="D44" s="114">
        <v>2</v>
      </c>
      <c r="E44" s="162" t="s">
        <v>6</v>
      </c>
      <c r="F44" s="167" t="str">
        <f>IF(E44="No","N/A",IF(COUNTIFS('NeT GP - table_export'!$B:$B,$B44,'NeT GP - table_export'!$K:$K,"No",'NeT GP - table_export'!$L:$L,"Yes")&gt;0,"Yes","No"))</f>
        <v>No</v>
      </c>
      <c r="G44" s="127">
        <f t="shared" si="0"/>
        <v>25</v>
      </c>
      <c r="H44" s="128">
        <f>COUNTIFS('NeT GP - table_export'!$B:$B,$B44, 'NeT GP - table_export'!$K:$K,"Yes")</f>
        <v>0</v>
      </c>
      <c r="I44" s="129">
        <f>COUNTIFS('NeT GP - table_export'!$B:$B,$B44, 'NeT GP - table_export'!$K:$K,"No")</f>
        <v>25</v>
      </c>
      <c r="J44" s="130">
        <f t="shared" si="1"/>
        <v>0</v>
      </c>
      <c r="K44" s="8">
        <f>COUNTIFS('NeT GP - table_export'!$B:$B,$B44, 'NeT GP - table_export'!$K:$K,"Yes", 'NeT GP - table_export'!$L:$L,"Yes")</f>
        <v>0</v>
      </c>
      <c r="L44" s="8">
        <f>COUNTIFS('NeT GP - table_export'!$B:$B,$B44, 'NeT GP - table_export'!$K:$K,"Yes", 'NeT GP - table_export'!$L:$L,"Yes",'NeT GP - table_export'!$AA:$AA,"Yes")</f>
        <v>0</v>
      </c>
      <c r="M44" s="8">
        <f>COUNTIFS('NeT GP - table_export'!$B:$B,$B44, 'NeT GP - table_export'!$K:$K,"No", 'NeT GP - table_export'!$L:$L,"Yes")</f>
        <v>0</v>
      </c>
      <c r="N44" s="131">
        <f>COUNTIFS('NeT GP - table_export'!$B:$B,$B44, 'NeT GP - table_export'!$K:$K,"No", 'NeT GP - table_export'!$L:$L,"Yes",'NeT GP - table_export'!$AA:$AA,"Yes")</f>
        <v>0</v>
      </c>
      <c r="O44" s="17">
        <f t="shared" si="2"/>
        <v>11658</v>
      </c>
      <c r="P44" s="8">
        <f>SUMIFS('NeT GP - table_export'!$J:$J,'NeT GP - table_export'!$B:$B,$B44, 'NeT GP - table_export'!$K:$K,"Yes")</f>
        <v>0</v>
      </c>
      <c r="Q44" s="51">
        <f>SUMIFS('NeT GP - table_export'!$J:$J,'NeT GP - table_export'!$B:$B,$B44, 'NeT GP - table_export'!$K:$K,"No")</f>
        <v>11658</v>
      </c>
      <c r="R44" s="130">
        <f t="shared" si="3"/>
        <v>0</v>
      </c>
      <c r="S44" s="8">
        <f>SUMIFS('NeT GP - table_export'!$J:$J,'NeT GP - table_export'!$B:$B,$B44, 'NeT GP - table_export'!$K:$K,"Yes", 'NeT GP - table_export'!$L:$L,"Yes")</f>
        <v>0</v>
      </c>
      <c r="T44" s="8">
        <f>SUMIFS('NeT GP - table_export'!$J:$J,'NeT GP - table_export'!$B:$B,$B44, 'NeT GP - table_export'!$K:$K,"Yes", 'NeT GP - table_export'!$L:$L,"Yes",'NeT GP - table_export'!$AA:$AA,"Yes")</f>
        <v>0</v>
      </c>
      <c r="U44" s="8">
        <f>SUMIFS('NeT GP - table_export'!$J:$J,'NeT GP - table_export'!$B:$B,$B44, 'NeT GP - table_export'!$K:$K,"No", 'NeT GP - table_export'!$L:$L,"Yes")</f>
        <v>0</v>
      </c>
      <c r="V44" s="51">
        <f>SUMIFS('NeT GP - table_export'!$J:$J,'NeT GP - table_export'!$B:$B,$B44, 'NeT GP - table_export'!$K:$K,"No", 'NeT GP - table_export'!$L:$L,"Yes",'NeT GP - table_export'!$AA:$AA,"Yes")</f>
        <v>0</v>
      </c>
    </row>
    <row r="45" spans="2:22" x14ac:dyDescent="0.35">
      <c r="B45" s="101" t="s">
        <v>314</v>
      </c>
      <c r="C45" s="99" t="s">
        <v>593</v>
      </c>
      <c r="D45" s="114">
        <v>6</v>
      </c>
      <c r="E45" s="162" t="s">
        <v>10</v>
      </c>
      <c r="F45" s="167" t="str">
        <f>IF(E45="No","N/A",IF(COUNTIFS('NeT GP - table_export'!$B:$B,$B45,'NeT GP - table_export'!$K:$K,"No",'NeT GP - table_export'!$L:$L,"Yes")&gt;0,"Yes","No"))</f>
        <v>N/A</v>
      </c>
      <c r="G45" s="127">
        <f t="shared" si="0"/>
        <v>10</v>
      </c>
      <c r="H45" s="128">
        <f>COUNTIFS('NeT GP - table_export'!$B:$B,$B45, 'NeT GP - table_export'!$K:$K,"Yes")</f>
        <v>10</v>
      </c>
      <c r="I45" s="129">
        <f>COUNTIFS('NeT GP - table_export'!$B:$B,$B45, 'NeT GP - table_export'!$K:$K,"No")</f>
        <v>0</v>
      </c>
      <c r="J45" s="130">
        <f t="shared" si="1"/>
        <v>10</v>
      </c>
      <c r="K45" s="8">
        <f>COUNTIFS('NeT GP - table_export'!$B:$B,$B45, 'NeT GP - table_export'!$K:$K,"Yes", 'NeT GP - table_export'!$L:$L,"Yes")</f>
        <v>10</v>
      </c>
      <c r="L45" s="8">
        <f>COUNTIFS('NeT GP - table_export'!$B:$B,$B45, 'NeT GP - table_export'!$K:$K,"Yes", 'NeT GP - table_export'!$L:$L,"Yes",'NeT GP - table_export'!$AA:$AA,"Yes")</f>
        <v>7</v>
      </c>
      <c r="M45" s="8">
        <f>COUNTIFS('NeT GP - table_export'!$B:$B,$B45, 'NeT GP - table_export'!$K:$K,"No", 'NeT GP - table_export'!$L:$L,"Yes")</f>
        <v>0</v>
      </c>
      <c r="N45" s="131">
        <f>COUNTIFS('NeT GP - table_export'!$B:$B,$B45, 'NeT GP - table_export'!$K:$K,"No", 'NeT GP - table_export'!$L:$L,"Yes",'NeT GP - table_export'!$AA:$AA,"Yes")</f>
        <v>0</v>
      </c>
      <c r="O45" s="17">
        <f t="shared" si="2"/>
        <v>3122</v>
      </c>
      <c r="P45" s="8">
        <f>SUMIFS('NeT GP - table_export'!$J:$J,'NeT GP - table_export'!$B:$B,$B45, 'NeT GP - table_export'!$K:$K,"Yes")</f>
        <v>3122</v>
      </c>
      <c r="Q45" s="51">
        <f>SUMIFS('NeT GP - table_export'!$J:$J,'NeT GP - table_export'!$B:$B,$B45, 'NeT GP - table_export'!$K:$K,"No")</f>
        <v>0</v>
      </c>
      <c r="R45" s="130">
        <f t="shared" si="3"/>
        <v>3122</v>
      </c>
      <c r="S45" s="8">
        <f>SUMIFS('NeT GP - table_export'!$J:$J,'NeT GP - table_export'!$B:$B,$B45, 'NeT GP - table_export'!$K:$K,"Yes", 'NeT GP - table_export'!$L:$L,"Yes")</f>
        <v>3122</v>
      </c>
      <c r="T45" s="8">
        <f>SUMIFS('NeT GP - table_export'!$J:$J,'NeT GP - table_export'!$B:$B,$B45, 'NeT GP - table_export'!$K:$K,"Yes", 'NeT GP - table_export'!$L:$L,"Yes",'NeT GP - table_export'!$AA:$AA,"Yes")</f>
        <v>3062</v>
      </c>
      <c r="U45" s="8">
        <f>SUMIFS('NeT GP - table_export'!$J:$J,'NeT GP - table_export'!$B:$B,$B45, 'NeT GP - table_export'!$K:$K,"No", 'NeT GP - table_export'!$L:$L,"Yes")</f>
        <v>0</v>
      </c>
      <c r="V45" s="51">
        <f>SUMIFS('NeT GP - table_export'!$J:$J,'NeT GP - table_export'!$B:$B,$B45, 'NeT GP - table_export'!$K:$K,"No", 'NeT GP - table_export'!$L:$L,"Yes",'NeT GP - table_export'!$AA:$AA,"Yes")</f>
        <v>0</v>
      </c>
    </row>
    <row r="46" spans="2:22" x14ac:dyDescent="0.35">
      <c r="B46" s="101" t="s">
        <v>594</v>
      </c>
      <c r="C46" s="99" t="s">
        <v>595</v>
      </c>
      <c r="D46" s="114">
        <v>9</v>
      </c>
      <c r="E46" s="162" t="s">
        <v>10</v>
      </c>
      <c r="F46" s="167" t="str">
        <f>IF(E46="No","N/A",IF(COUNTIFS('NeT GP - table_export'!$B:$B,$B46,'NeT GP - table_export'!$K:$K,"No",'NeT GP - table_export'!$L:$L,"Yes")&gt;0,"Yes","No"))</f>
        <v>N/A</v>
      </c>
      <c r="G46" s="127">
        <f t="shared" si="0"/>
        <v>1</v>
      </c>
      <c r="H46" s="128">
        <f>COUNTIFS('NeT GP - table_export'!$B:$B,$B46, 'NeT GP - table_export'!$K:$K,"Yes")</f>
        <v>1</v>
      </c>
      <c r="I46" s="129">
        <f>COUNTIFS('NeT GP - table_export'!$B:$B,$B46, 'NeT GP - table_export'!$K:$K,"No")</f>
        <v>0</v>
      </c>
      <c r="J46" s="130">
        <f t="shared" si="1"/>
        <v>1</v>
      </c>
      <c r="K46" s="8">
        <f>COUNTIFS('NeT GP - table_export'!$B:$B,$B46, 'NeT GP - table_export'!$K:$K,"Yes", 'NeT GP - table_export'!$L:$L,"Yes")</f>
        <v>1</v>
      </c>
      <c r="L46" s="8">
        <f>COUNTIFS('NeT GP - table_export'!$B:$B,$B46, 'NeT GP - table_export'!$K:$K,"Yes", 'NeT GP - table_export'!$L:$L,"Yes",'NeT GP - table_export'!$AA:$AA,"Yes")</f>
        <v>0</v>
      </c>
      <c r="M46" s="8">
        <f>COUNTIFS('NeT GP - table_export'!$B:$B,$B46, 'NeT GP - table_export'!$K:$K,"No", 'NeT GP - table_export'!$L:$L,"Yes")</f>
        <v>0</v>
      </c>
      <c r="N46" s="131">
        <f>COUNTIFS('NeT GP - table_export'!$B:$B,$B46, 'NeT GP - table_export'!$K:$K,"No", 'NeT GP - table_export'!$L:$L,"Yes",'NeT GP - table_export'!$AA:$AA,"Yes")</f>
        <v>0</v>
      </c>
      <c r="O46" s="17">
        <f t="shared" si="2"/>
        <v>4</v>
      </c>
      <c r="P46" s="8">
        <f>SUMIFS('NeT GP - table_export'!$J:$J,'NeT GP - table_export'!$B:$B,$B46, 'NeT GP - table_export'!$K:$K,"Yes")</f>
        <v>4</v>
      </c>
      <c r="Q46" s="51">
        <f>SUMIFS('NeT GP - table_export'!$J:$J,'NeT GP - table_export'!$B:$B,$B46, 'NeT GP - table_export'!$K:$K,"No")</f>
        <v>0</v>
      </c>
      <c r="R46" s="130">
        <f t="shared" si="3"/>
        <v>4</v>
      </c>
      <c r="S46" s="8">
        <f>SUMIFS('NeT GP - table_export'!$J:$J,'NeT GP - table_export'!$B:$B,$B46, 'NeT GP - table_export'!$K:$K,"Yes", 'NeT GP - table_export'!$L:$L,"Yes")</f>
        <v>4</v>
      </c>
      <c r="T46" s="8">
        <f>SUMIFS('NeT GP - table_export'!$J:$J,'NeT GP - table_export'!$B:$B,$B46, 'NeT GP - table_export'!$K:$K,"Yes", 'NeT GP - table_export'!$L:$L,"Yes",'NeT GP - table_export'!$AA:$AA,"Yes")</f>
        <v>0</v>
      </c>
      <c r="U46" s="8">
        <f>SUMIFS('NeT GP - table_export'!$J:$J,'NeT GP - table_export'!$B:$B,$B46, 'NeT GP - table_export'!$K:$K,"No", 'NeT GP - table_export'!$L:$L,"Yes")</f>
        <v>0</v>
      </c>
      <c r="V46" s="51">
        <f>SUMIFS('NeT GP - table_export'!$J:$J,'NeT GP - table_export'!$B:$B,$B46, 'NeT GP - table_export'!$K:$K,"No", 'NeT GP - table_export'!$L:$L,"Yes",'NeT GP - table_export'!$AA:$AA,"Yes")</f>
        <v>0</v>
      </c>
    </row>
    <row r="47" spans="2:22" x14ac:dyDescent="0.35">
      <c r="B47" s="101" t="s">
        <v>319</v>
      </c>
      <c r="C47" s="99" t="s">
        <v>596</v>
      </c>
      <c r="D47" s="114">
        <v>9</v>
      </c>
      <c r="E47" s="162" t="s">
        <v>6</v>
      </c>
      <c r="F47" s="167" t="str">
        <f>IF(E47="No","N/A",IF(COUNTIFS('NeT GP - table_export'!$B:$B,$B47,'NeT GP - table_export'!$K:$K,"No",'NeT GP - table_export'!$L:$L,"Yes")&gt;0,"Yes","No"))</f>
        <v>No</v>
      </c>
      <c r="G47" s="127">
        <f t="shared" si="0"/>
        <v>10</v>
      </c>
      <c r="H47" s="128">
        <f>COUNTIFS('NeT GP - table_export'!$B:$B,$B47, 'NeT GP - table_export'!$K:$K,"Yes")</f>
        <v>3</v>
      </c>
      <c r="I47" s="129">
        <f>COUNTIFS('NeT GP - table_export'!$B:$B,$B47, 'NeT GP - table_export'!$K:$K,"No")</f>
        <v>7</v>
      </c>
      <c r="J47" s="130">
        <f t="shared" si="1"/>
        <v>3</v>
      </c>
      <c r="K47" s="8">
        <f>COUNTIFS('NeT GP - table_export'!$B:$B,$B47, 'NeT GP - table_export'!$K:$K,"Yes", 'NeT GP - table_export'!$L:$L,"Yes")</f>
        <v>3</v>
      </c>
      <c r="L47" s="8">
        <f>COUNTIFS('NeT GP - table_export'!$B:$B,$B47, 'NeT GP - table_export'!$K:$K,"Yes", 'NeT GP - table_export'!$L:$L,"Yes",'NeT GP - table_export'!$AA:$AA,"Yes")</f>
        <v>3</v>
      </c>
      <c r="M47" s="8">
        <f>COUNTIFS('NeT GP - table_export'!$B:$B,$B47, 'NeT GP - table_export'!$K:$K,"No", 'NeT GP - table_export'!$L:$L,"Yes")</f>
        <v>0</v>
      </c>
      <c r="N47" s="131">
        <f>COUNTIFS('NeT GP - table_export'!$B:$B,$B47, 'NeT GP - table_export'!$K:$K,"No", 'NeT GP - table_export'!$L:$L,"Yes",'NeT GP - table_export'!$AA:$AA,"Yes")</f>
        <v>0</v>
      </c>
      <c r="O47" s="17">
        <f t="shared" si="2"/>
        <v>3656</v>
      </c>
      <c r="P47" s="8">
        <f>SUMIFS('NeT GP - table_export'!$J:$J,'NeT GP - table_export'!$B:$B,$B47, 'NeT GP - table_export'!$K:$K,"Yes")</f>
        <v>3</v>
      </c>
      <c r="Q47" s="51">
        <f>SUMIFS('NeT GP - table_export'!$J:$J,'NeT GP - table_export'!$B:$B,$B47, 'NeT GP - table_export'!$K:$K,"No")</f>
        <v>3653</v>
      </c>
      <c r="R47" s="130">
        <f t="shared" si="3"/>
        <v>3</v>
      </c>
      <c r="S47" s="8">
        <f>SUMIFS('NeT GP - table_export'!$J:$J,'NeT GP - table_export'!$B:$B,$B47, 'NeT GP - table_export'!$K:$K,"Yes", 'NeT GP - table_export'!$L:$L,"Yes")</f>
        <v>3</v>
      </c>
      <c r="T47" s="8">
        <f>SUMIFS('NeT GP - table_export'!$J:$J,'NeT GP - table_export'!$B:$B,$B47, 'NeT GP - table_export'!$K:$K,"Yes", 'NeT GP - table_export'!$L:$L,"Yes",'NeT GP - table_export'!$AA:$AA,"Yes")</f>
        <v>3</v>
      </c>
      <c r="U47" s="8">
        <f>SUMIFS('NeT GP - table_export'!$J:$J,'NeT GP - table_export'!$B:$B,$B47, 'NeT GP - table_export'!$K:$K,"No", 'NeT GP - table_export'!$L:$L,"Yes")</f>
        <v>0</v>
      </c>
      <c r="V47" s="51">
        <f>SUMIFS('NeT GP - table_export'!$J:$J,'NeT GP - table_export'!$B:$B,$B47, 'NeT GP - table_export'!$K:$K,"No", 'NeT GP - table_export'!$L:$L,"Yes",'NeT GP - table_export'!$AA:$AA,"Yes")</f>
        <v>0</v>
      </c>
    </row>
    <row r="48" spans="2:22" x14ac:dyDescent="0.35">
      <c r="B48" s="101" t="s">
        <v>322</v>
      </c>
      <c r="C48" s="99" t="s">
        <v>597</v>
      </c>
      <c r="D48" s="114">
        <v>2</v>
      </c>
      <c r="E48" s="162" t="s">
        <v>6</v>
      </c>
      <c r="F48" s="167" t="str">
        <f>IF(E48="No","N/A",IF(COUNTIFS('NeT GP - table_export'!$B:$B,$B48,'NeT GP - table_export'!$K:$K,"No",'NeT GP - table_export'!$L:$L,"Yes")&gt;0,"Yes","No"))</f>
        <v>No</v>
      </c>
      <c r="G48" s="127">
        <f t="shared" si="0"/>
        <v>7</v>
      </c>
      <c r="H48" s="128">
        <f>COUNTIFS('NeT GP - table_export'!$B:$B,$B48, 'NeT GP - table_export'!$K:$K,"Yes")</f>
        <v>3</v>
      </c>
      <c r="I48" s="129">
        <f>COUNTIFS('NeT GP - table_export'!$B:$B,$B48, 'NeT GP - table_export'!$K:$K,"No")</f>
        <v>4</v>
      </c>
      <c r="J48" s="130">
        <f t="shared" si="1"/>
        <v>3</v>
      </c>
      <c r="K48" s="8">
        <f>COUNTIFS('NeT GP - table_export'!$B:$B,$B48, 'NeT GP - table_export'!$K:$K,"Yes", 'NeT GP - table_export'!$L:$L,"Yes")</f>
        <v>3</v>
      </c>
      <c r="L48" s="8">
        <f>COUNTIFS('NeT GP - table_export'!$B:$B,$B48, 'NeT GP - table_export'!$K:$K,"Yes", 'NeT GP - table_export'!$L:$L,"Yes",'NeT GP - table_export'!$AA:$AA,"Yes")</f>
        <v>3</v>
      </c>
      <c r="M48" s="8">
        <f>COUNTIFS('NeT GP - table_export'!$B:$B,$B48, 'NeT GP - table_export'!$K:$K,"No", 'NeT GP - table_export'!$L:$L,"Yes")</f>
        <v>0</v>
      </c>
      <c r="N48" s="131">
        <f>COUNTIFS('NeT GP - table_export'!$B:$B,$B48, 'NeT GP - table_export'!$K:$K,"No", 'NeT GP - table_export'!$L:$L,"Yes",'NeT GP - table_export'!$AA:$AA,"Yes")</f>
        <v>0</v>
      </c>
      <c r="O48" s="17">
        <f t="shared" si="2"/>
        <v>2398</v>
      </c>
      <c r="P48" s="8">
        <f>SUMIFS('NeT GP - table_export'!$J:$J,'NeT GP - table_export'!$B:$B,$B48, 'NeT GP - table_export'!$K:$K,"Yes")</f>
        <v>56</v>
      </c>
      <c r="Q48" s="51">
        <f>SUMIFS('NeT GP - table_export'!$J:$J,'NeT GP - table_export'!$B:$B,$B48, 'NeT GP - table_export'!$K:$K,"No")</f>
        <v>2342</v>
      </c>
      <c r="R48" s="130">
        <f t="shared" si="3"/>
        <v>56</v>
      </c>
      <c r="S48" s="8">
        <f>SUMIFS('NeT GP - table_export'!$J:$J,'NeT GP - table_export'!$B:$B,$B48, 'NeT GP - table_export'!$K:$K,"Yes", 'NeT GP - table_export'!$L:$L,"Yes")</f>
        <v>56</v>
      </c>
      <c r="T48" s="8">
        <f>SUMIFS('NeT GP - table_export'!$J:$J,'NeT GP - table_export'!$B:$B,$B48, 'NeT GP - table_export'!$K:$K,"Yes", 'NeT GP - table_export'!$L:$L,"Yes",'NeT GP - table_export'!$AA:$AA,"Yes")</f>
        <v>56</v>
      </c>
      <c r="U48" s="8">
        <f>SUMIFS('NeT GP - table_export'!$J:$J,'NeT GP - table_export'!$B:$B,$B48, 'NeT GP - table_export'!$K:$K,"No", 'NeT GP - table_export'!$L:$L,"Yes")</f>
        <v>0</v>
      </c>
      <c r="V48" s="51">
        <f>SUMIFS('NeT GP - table_export'!$J:$J,'NeT GP - table_export'!$B:$B,$B48, 'NeT GP - table_export'!$K:$K,"No", 'NeT GP - table_export'!$L:$L,"Yes",'NeT GP - table_export'!$AA:$AA,"Yes")</f>
        <v>0</v>
      </c>
    </row>
    <row r="49" spans="2:22" x14ac:dyDescent="0.35">
      <c r="B49" s="101" t="s">
        <v>1469</v>
      </c>
      <c r="C49" s="99" t="s">
        <v>1830</v>
      </c>
      <c r="D49" s="114">
        <v>5</v>
      </c>
      <c r="E49" s="162" t="s">
        <v>6</v>
      </c>
      <c r="F49" s="167" t="str">
        <f>IF(E49="No","N/A",IF(COUNTIFS('NeT GP - table_export'!$B:$B,$B49,'NeT GP - table_export'!$K:$K,"No",'NeT GP - table_export'!$L:$L,"Yes")&gt;0,"Yes","No"))</f>
        <v>No</v>
      </c>
      <c r="G49" s="127">
        <f t="shared" si="0"/>
        <v>21</v>
      </c>
      <c r="H49" s="128">
        <f>COUNTIFS('NeT GP - table_export'!$B:$B,$B49, 'NeT GP - table_export'!$K:$K,"Yes")</f>
        <v>0</v>
      </c>
      <c r="I49" s="129">
        <f>COUNTIFS('NeT GP - table_export'!$B:$B,$B49, 'NeT GP - table_export'!$K:$K,"No")</f>
        <v>21</v>
      </c>
      <c r="J49" s="130">
        <f t="shared" si="1"/>
        <v>0</v>
      </c>
      <c r="K49" s="8">
        <f>COUNTIFS('NeT GP - table_export'!$B:$B,$B49, 'NeT GP - table_export'!$K:$K,"Yes", 'NeT GP - table_export'!$L:$L,"Yes")</f>
        <v>0</v>
      </c>
      <c r="L49" s="8">
        <f>COUNTIFS('NeT GP - table_export'!$B:$B,$B49, 'NeT GP - table_export'!$K:$K,"Yes", 'NeT GP - table_export'!$L:$L,"Yes",'NeT GP - table_export'!$AA:$AA,"Yes")</f>
        <v>0</v>
      </c>
      <c r="M49" s="8">
        <f>COUNTIFS('NeT GP - table_export'!$B:$B,$B49, 'NeT GP - table_export'!$K:$K,"No", 'NeT GP - table_export'!$L:$L,"Yes")</f>
        <v>0</v>
      </c>
      <c r="N49" s="131">
        <f>COUNTIFS('NeT GP - table_export'!$B:$B,$B49, 'NeT GP - table_export'!$K:$K,"No", 'NeT GP - table_export'!$L:$L,"Yes",'NeT GP - table_export'!$AA:$AA,"Yes")</f>
        <v>0</v>
      </c>
      <c r="O49" s="17">
        <f t="shared" si="2"/>
        <v>35086</v>
      </c>
      <c r="P49" s="8">
        <f>SUMIFS('NeT GP - table_export'!$J:$J,'NeT GP - table_export'!$B:$B,$B49, 'NeT GP - table_export'!$K:$K,"Yes")</f>
        <v>0</v>
      </c>
      <c r="Q49" s="51">
        <f>SUMIFS('NeT GP - table_export'!$J:$J,'NeT GP - table_export'!$B:$B,$B49, 'NeT GP - table_export'!$K:$K,"No")</f>
        <v>35086</v>
      </c>
      <c r="R49" s="130">
        <f t="shared" si="3"/>
        <v>0</v>
      </c>
      <c r="S49" s="8">
        <f>SUMIFS('NeT GP - table_export'!$J:$J,'NeT GP - table_export'!$B:$B,$B49, 'NeT GP - table_export'!$K:$K,"Yes", 'NeT GP - table_export'!$L:$L,"Yes")</f>
        <v>0</v>
      </c>
      <c r="T49" s="8">
        <f>SUMIFS('NeT GP - table_export'!$J:$J,'NeT GP - table_export'!$B:$B,$B49, 'NeT GP - table_export'!$K:$K,"Yes", 'NeT GP - table_export'!$L:$L,"Yes",'NeT GP - table_export'!$AA:$AA,"Yes")</f>
        <v>0</v>
      </c>
      <c r="U49" s="8">
        <f>SUMIFS('NeT GP - table_export'!$J:$J,'NeT GP - table_export'!$B:$B,$B49, 'NeT GP - table_export'!$K:$K,"No", 'NeT GP - table_export'!$L:$L,"Yes")</f>
        <v>0</v>
      </c>
      <c r="V49" s="51">
        <f>SUMIFS('NeT GP - table_export'!$J:$J,'NeT GP - table_export'!$B:$B,$B49, 'NeT GP - table_export'!$K:$K,"No", 'NeT GP - table_export'!$L:$L,"Yes",'NeT GP - table_export'!$AA:$AA,"Yes")</f>
        <v>0</v>
      </c>
    </row>
    <row r="50" spans="2:22" x14ac:dyDescent="0.35">
      <c r="B50" s="101" t="s">
        <v>325</v>
      </c>
      <c r="C50" s="100" t="s">
        <v>1831</v>
      </c>
      <c r="D50" s="114">
        <v>6</v>
      </c>
      <c r="E50" s="162" t="s">
        <v>6</v>
      </c>
      <c r="F50" s="167" t="str">
        <f>IF(E50="No","N/A",IF(COUNTIFS('NeT GP - table_export'!$B:$B,$B50,'NeT GP - table_export'!$K:$K,"No",'NeT GP - table_export'!$L:$L,"Yes")&gt;0,"Yes","No"))</f>
        <v>No</v>
      </c>
      <c r="G50" s="127">
        <f t="shared" si="0"/>
        <v>27</v>
      </c>
      <c r="H50" s="128">
        <f>COUNTIFS('NeT GP - table_export'!$B:$B,$B50, 'NeT GP - table_export'!$K:$K,"Yes")</f>
        <v>7</v>
      </c>
      <c r="I50" s="129">
        <f>COUNTIFS('NeT GP - table_export'!$B:$B,$B50, 'NeT GP - table_export'!$K:$K,"No")</f>
        <v>20</v>
      </c>
      <c r="J50" s="130">
        <f t="shared" si="1"/>
        <v>7</v>
      </c>
      <c r="K50" s="8">
        <f>COUNTIFS('NeT GP - table_export'!$B:$B,$B50, 'NeT GP - table_export'!$K:$K,"Yes", 'NeT GP - table_export'!$L:$L,"Yes")</f>
        <v>7</v>
      </c>
      <c r="L50" s="8">
        <f>COUNTIFS('NeT GP - table_export'!$B:$B,$B50, 'NeT GP - table_export'!$K:$K,"Yes", 'NeT GP - table_export'!$L:$L,"Yes",'NeT GP - table_export'!$AA:$AA,"Yes")</f>
        <v>7</v>
      </c>
      <c r="M50" s="8">
        <f>COUNTIFS('NeT GP - table_export'!$B:$B,$B50, 'NeT GP - table_export'!$K:$K,"No", 'NeT GP - table_export'!$L:$L,"Yes")</f>
        <v>0</v>
      </c>
      <c r="N50" s="131">
        <f>COUNTIFS('NeT GP - table_export'!$B:$B,$B50, 'NeT GP - table_export'!$K:$K,"No", 'NeT GP - table_export'!$L:$L,"Yes",'NeT GP - table_export'!$AA:$AA,"Yes")</f>
        <v>0</v>
      </c>
      <c r="O50" s="17">
        <f t="shared" si="2"/>
        <v>6232</v>
      </c>
      <c r="P50" s="8">
        <f>SUMIFS('NeT GP - table_export'!$J:$J,'NeT GP - table_export'!$B:$B,$B50, 'NeT GP - table_export'!$K:$K,"Yes")</f>
        <v>105</v>
      </c>
      <c r="Q50" s="51">
        <f>SUMIFS('NeT GP - table_export'!$J:$J,'NeT GP - table_export'!$B:$B,$B50, 'NeT GP - table_export'!$K:$K,"No")</f>
        <v>6127</v>
      </c>
      <c r="R50" s="130">
        <f t="shared" si="3"/>
        <v>105</v>
      </c>
      <c r="S50" s="8">
        <f>SUMIFS('NeT GP - table_export'!$J:$J,'NeT GP - table_export'!$B:$B,$B50, 'NeT GP - table_export'!$K:$K,"Yes", 'NeT GP - table_export'!$L:$L,"Yes")</f>
        <v>105</v>
      </c>
      <c r="T50" s="8">
        <f>SUMIFS('NeT GP - table_export'!$J:$J,'NeT GP - table_export'!$B:$B,$B50, 'NeT GP - table_export'!$K:$K,"Yes", 'NeT GP - table_export'!$L:$L,"Yes",'NeT GP - table_export'!$AA:$AA,"Yes")</f>
        <v>105</v>
      </c>
      <c r="U50" s="8">
        <f>SUMIFS('NeT GP - table_export'!$J:$J,'NeT GP - table_export'!$B:$B,$B50, 'NeT GP - table_export'!$K:$K,"No", 'NeT GP - table_export'!$L:$L,"Yes")</f>
        <v>0</v>
      </c>
      <c r="V50" s="51">
        <f>SUMIFS('NeT GP - table_export'!$J:$J,'NeT GP - table_export'!$B:$B,$B50, 'NeT GP - table_export'!$K:$K,"No", 'NeT GP - table_export'!$L:$L,"Yes",'NeT GP - table_export'!$AA:$AA,"Yes")</f>
        <v>0</v>
      </c>
    </row>
    <row r="51" spans="2:22" x14ac:dyDescent="0.35">
      <c r="B51" s="101" t="s">
        <v>326</v>
      </c>
      <c r="C51" s="99" t="s">
        <v>598</v>
      </c>
      <c r="D51" s="114">
        <v>10</v>
      </c>
      <c r="E51" s="162" t="s">
        <v>6</v>
      </c>
      <c r="F51" s="167" t="str">
        <f>IF(E51="No","N/A",IF(COUNTIFS('NeT GP - table_export'!$B:$B,$B51,'NeT GP - table_export'!$K:$K,"No",'NeT GP - table_export'!$L:$L,"Yes")&gt;0,"Yes","No"))</f>
        <v>No</v>
      </c>
      <c r="G51" s="127">
        <f t="shared" si="0"/>
        <v>24</v>
      </c>
      <c r="H51" s="128">
        <f>COUNTIFS('NeT GP - table_export'!$B:$B,$B51, 'NeT GP - table_export'!$K:$K,"Yes")</f>
        <v>3</v>
      </c>
      <c r="I51" s="129">
        <f>COUNTIFS('NeT GP - table_export'!$B:$B,$B51, 'NeT GP - table_export'!$K:$K,"No")</f>
        <v>21</v>
      </c>
      <c r="J51" s="130">
        <f t="shared" si="1"/>
        <v>3</v>
      </c>
      <c r="K51" s="8">
        <f>COUNTIFS('NeT GP - table_export'!$B:$B,$B51, 'NeT GP - table_export'!$K:$K,"Yes", 'NeT GP - table_export'!$L:$L,"Yes")</f>
        <v>3</v>
      </c>
      <c r="L51" s="8">
        <f>COUNTIFS('NeT GP - table_export'!$B:$B,$B51, 'NeT GP - table_export'!$K:$K,"Yes", 'NeT GP - table_export'!$L:$L,"Yes",'NeT GP - table_export'!$AA:$AA,"Yes")</f>
        <v>3</v>
      </c>
      <c r="M51" s="8">
        <f>COUNTIFS('NeT GP - table_export'!$B:$B,$B51, 'NeT GP - table_export'!$K:$K,"No", 'NeT GP - table_export'!$L:$L,"Yes")</f>
        <v>0</v>
      </c>
      <c r="N51" s="131">
        <f>COUNTIFS('NeT GP - table_export'!$B:$B,$B51, 'NeT GP - table_export'!$K:$K,"No", 'NeT GP - table_export'!$L:$L,"Yes",'NeT GP - table_export'!$AA:$AA,"Yes")</f>
        <v>0</v>
      </c>
      <c r="O51" s="17">
        <f t="shared" si="2"/>
        <v>3492</v>
      </c>
      <c r="P51" s="8">
        <f>SUMIFS('NeT GP - table_export'!$J:$J,'NeT GP - table_export'!$B:$B,$B51, 'NeT GP - table_export'!$K:$K,"Yes")</f>
        <v>6</v>
      </c>
      <c r="Q51" s="51">
        <f>SUMIFS('NeT GP - table_export'!$J:$J,'NeT GP - table_export'!$B:$B,$B51, 'NeT GP - table_export'!$K:$K,"No")</f>
        <v>3486</v>
      </c>
      <c r="R51" s="130">
        <f t="shared" si="3"/>
        <v>6</v>
      </c>
      <c r="S51" s="8">
        <f>SUMIFS('NeT GP - table_export'!$J:$J,'NeT GP - table_export'!$B:$B,$B51, 'NeT GP - table_export'!$K:$K,"Yes", 'NeT GP - table_export'!$L:$L,"Yes")</f>
        <v>6</v>
      </c>
      <c r="T51" s="8">
        <f>SUMIFS('NeT GP - table_export'!$J:$J,'NeT GP - table_export'!$B:$B,$B51, 'NeT GP - table_export'!$K:$K,"Yes", 'NeT GP - table_export'!$L:$L,"Yes",'NeT GP - table_export'!$AA:$AA,"Yes")</f>
        <v>6</v>
      </c>
      <c r="U51" s="8">
        <f>SUMIFS('NeT GP - table_export'!$J:$J,'NeT GP - table_export'!$B:$B,$B51, 'NeT GP - table_export'!$K:$K,"No", 'NeT GP - table_export'!$L:$L,"Yes")</f>
        <v>0</v>
      </c>
      <c r="V51" s="51">
        <f>SUMIFS('NeT GP - table_export'!$J:$J,'NeT GP - table_export'!$B:$B,$B51, 'NeT GP - table_export'!$K:$K,"No", 'NeT GP - table_export'!$L:$L,"Yes",'NeT GP - table_export'!$AA:$AA,"Yes")</f>
        <v>0</v>
      </c>
    </row>
    <row r="52" spans="2:22" x14ac:dyDescent="0.35">
      <c r="B52" s="101" t="s">
        <v>599</v>
      </c>
      <c r="C52" s="99" t="s">
        <v>600</v>
      </c>
      <c r="D52" s="114">
        <v>3</v>
      </c>
      <c r="E52" s="162" t="s">
        <v>6</v>
      </c>
      <c r="F52" s="167" t="str">
        <f>IF(E52="No","N/A",IF(COUNTIFS('NeT GP - table_export'!$B:$B,$B52,'NeT GP - table_export'!$K:$K,"No",'NeT GP - table_export'!$L:$L,"Yes")&gt;0,"Yes","No"))</f>
        <v>No</v>
      </c>
      <c r="G52" s="127">
        <f t="shared" si="0"/>
        <v>11</v>
      </c>
      <c r="H52" s="128">
        <f>COUNTIFS('NeT GP - table_export'!$B:$B,$B52, 'NeT GP - table_export'!$K:$K,"Yes")</f>
        <v>0</v>
      </c>
      <c r="I52" s="129">
        <f>COUNTIFS('NeT GP - table_export'!$B:$B,$B52, 'NeT GP - table_export'!$K:$K,"No")</f>
        <v>11</v>
      </c>
      <c r="J52" s="130">
        <f t="shared" si="1"/>
        <v>0</v>
      </c>
      <c r="K52" s="8">
        <f>COUNTIFS('NeT GP - table_export'!$B:$B,$B52, 'NeT GP - table_export'!$K:$K,"Yes", 'NeT GP - table_export'!$L:$L,"Yes")</f>
        <v>0</v>
      </c>
      <c r="L52" s="8">
        <f>COUNTIFS('NeT GP - table_export'!$B:$B,$B52, 'NeT GP - table_export'!$K:$K,"Yes", 'NeT GP - table_export'!$L:$L,"Yes",'NeT GP - table_export'!$AA:$AA,"Yes")</f>
        <v>0</v>
      </c>
      <c r="M52" s="8">
        <f>COUNTIFS('NeT GP - table_export'!$B:$B,$B52, 'NeT GP - table_export'!$K:$K,"No", 'NeT GP - table_export'!$L:$L,"Yes")</f>
        <v>0</v>
      </c>
      <c r="N52" s="131">
        <f>COUNTIFS('NeT GP - table_export'!$B:$B,$B52, 'NeT GP - table_export'!$K:$K,"No", 'NeT GP - table_export'!$L:$L,"Yes",'NeT GP - table_export'!$AA:$AA,"Yes")</f>
        <v>0</v>
      </c>
      <c r="O52" s="17">
        <f t="shared" si="2"/>
        <v>12239</v>
      </c>
      <c r="P52" s="8">
        <f>SUMIFS('NeT GP - table_export'!$J:$J,'NeT GP - table_export'!$B:$B,$B52, 'NeT GP - table_export'!$K:$K,"Yes")</f>
        <v>0</v>
      </c>
      <c r="Q52" s="51">
        <f>SUMIFS('NeT GP - table_export'!$J:$J,'NeT GP - table_export'!$B:$B,$B52, 'NeT GP - table_export'!$K:$K,"No")</f>
        <v>12239</v>
      </c>
      <c r="R52" s="130">
        <f t="shared" si="3"/>
        <v>0</v>
      </c>
      <c r="S52" s="8">
        <f>SUMIFS('NeT GP - table_export'!$J:$J,'NeT GP - table_export'!$B:$B,$B52, 'NeT GP - table_export'!$K:$K,"Yes", 'NeT GP - table_export'!$L:$L,"Yes")</f>
        <v>0</v>
      </c>
      <c r="T52" s="8">
        <f>SUMIFS('NeT GP - table_export'!$J:$J,'NeT GP - table_export'!$B:$B,$B52, 'NeT GP - table_export'!$K:$K,"Yes", 'NeT GP - table_export'!$L:$L,"Yes",'NeT GP - table_export'!$AA:$AA,"Yes")</f>
        <v>0</v>
      </c>
      <c r="U52" s="8">
        <f>SUMIFS('NeT GP - table_export'!$J:$J,'NeT GP - table_export'!$B:$B,$B52, 'NeT GP - table_export'!$K:$K,"No", 'NeT GP - table_export'!$L:$L,"Yes")</f>
        <v>0</v>
      </c>
      <c r="V52" s="51">
        <f>SUMIFS('NeT GP - table_export'!$J:$J,'NeT GP - table_export'!$B:$B,$B52, 'NeT GP - table_export'!$K:$K,"No", 'NeT GP - table_export'!$L:$L,"Yes",'NeT GP - table_export'!$AA:$AA,"Yes")</f>
        <v>0</v>
      </c>
    </row>
    <row r="53" spans="2:22" x14ac:dyDescent="0.35">
      <c r="B53" s="101" t="s">
        <v>330</v>
      </c>
      <c r="C53" s="99" t="s">
        <v>601</v>
      </c>
      <c r="D53" s="114">
        <v>2</v>
      </c>
      <c r="E53" s="162" t="s">
        <v>10</v>
      </c>
      <c r="F53" s="167" t="str">
        <f>IF(E53="No","N/A",IF(COUNTIFS('NeT GP - table_export'!$B:$B,$B53,'NeT GP - table_export'!$K:$K,"No",'NeT GP - table_export'!$L:$L,"Yes")&gt;0,"Yes","No"))</f>
        <v>N/A</v>
      </c>
      <c r="G53" s="127">
        <f t="shared" si="0"/>
        <v>4</v>
      </c>
      <c r="H53" s="128">
        <f>COUNTIFS('NeT GP - table_export'!$B:$B,$B53, 'NeT GP - table_export'!$K:$K,"Yes")</f>
        <v>4</v>
      </c>
      <c r="I53" s="129">
        <f>COUNTIFS('NeT GP - table_export'!$B:$B,$B53, 'NeT GP - table_export'!$K:$K,"No")</f>
        <v>0</v>
      </c>
      <c r="J53" s="130">
        <f t="shared" si="1"/>
        <v>4</v>
      </c>
      <c r="K53" s="8">
        <f>COUNTIFS('NeT GP - table_export'!$B:$B,$B53, 'NeT GP - table_export'!$K:$K,"Yes", 'NeT GP - table_export'!$L:$L,"Yes")</f>
        <v>4</v>
      </c>
      <c r="L53" s="8">
        <f>COUNTIFS('NeT GP - table_export'!$B:$B,$B53, 'NeT GP - table_export'!$K:$K,"Yes", 'NeT GP - table_export'!$L:$L,"Yes",'NeT GP - table_export'!$AA:$AA,"Yes")</f>
        <v>3</v>
      </c>
      <c r="M53" s="8">
        <f>COUNTIFS('NeT GP - table_export'!$B:$B,$B53, 'NeT GP - table_export'!$K:$K,"No", 'NeT GP - table_export'!$L:$L,"Yes")</f>
        <v>0</v>
      </c>
      <c r="N53" s="131">
        <f>COUNTIFS('NeT GP - table_export'!$B:$B,$B53, 'NeT GP - table_export'!$K:$K,"No", 'NeT GP - table_export'!$L:$L,"Yes",'NeT GP - table_export'!$AA:$AA,"Yes")</f>
        <v>0</v>
      </c>
      <c r="O53" s="17">
        <f t="shared" si="2"/>
        <v>659</v>
      </c>
      <c r="P53" s="8">
        <f>SUMIFS('NeT GP - table_export'!$J:$J,'NeT GP - table_export'!$B:$B,$B53, 'NeT GP - table_export'!$K:$K,"Yes")</f>
        <v>659</v>
      </c>
      <c r="Q53" s="51">
        <f>SUMIFS('NeT GP - table_export'!$J:$J,'NeT GP - table_export'!$B:$B,$B53, 'NeT GP - table_export'!$K:$K,"No")</f>
        <v>0</v>
      </c>
      <c r="R53" s="130">
        <f t="shared" si="3"/>
        <v>659</v>
      </c>
      <c r="S53" s="8">
        <f>SUMIFS('NeT GP - table_export'!$J:$J,'NeT GP - table_export'!$B:$B,$B53, 'NeT GP - table_export'!$K:$K,"Yes", 'NeT GP - table_export'!$L:$L,"Yes")</f>
        <v>659</v>
      </c>
      <c r="T53" s="8">
        <f>SUMIFS('NeT GP - table_export'!$J:$J,'NeT GP - table_export'!$B:$B,$B53, 'NeT GP - table_export'!$K:$K,"Yes", 'NeT GP - table_export'!$L:$L,"Yes",'NeT GP - table_export'!$AA:$AA,"Yes")</f>
        <v>571</v>
      </c>
      <c r="U53" s="8">
        <f>SUMIFS('NeT GP - table_export'!$J:$J,'NeT GP - table_export'!$B:$B,$B53, 'NeT GP - table_export'!$K:$K,"No", 'NeT GP - table_export'!$L:$L,"Yes")</f>
        <v>0</v>
      </c>
      <c r="V53" s="51">
        <f>SUMIFS('NeT GP - table_export'!$J:$J,'NeT GP - table_export'!$B:$B,$B53, 'NeT GP - table_export'!$K:$K,"No", 'NeT GP - table_export'!$L:$L,"Yes",'NeT GP - table_export'!$AA:$AA,"Yes")</f>
        <v>0</v>
      </c>
    </row>
    <row r="54" spans="2:22" x14ac:dyDescent="0.35">
      <c r="B54" s="101" t="s">
        <v>336</v>
      </c>
      <c r="C54" s="99" t="s">
        <v>546</v>
      </c>
      <c r="D54" s="114">
        <v>1</v>
      </c>
      <c r="E54" s="162" t="s">
        <v>6</v>
      </c>
      <c r="F54" s="167" t="str">
        <f>IF(E54="No","N/A",IF(COUNTIFS('NeT GP - table_export'!$B:$B,$B54,'NeT GP - table_export'!$K:$K,"No",'NeT GP - table_export'!$L:$L,"Yes")&gt;0,"Yes","No"))</f>
        <v>Yes</v>
      </c>
      <c r="G54" s="127">
        <f t="shared" si="0"/>
        <v>11</v>
      </c>
      <c r="H54" s="128">
        <f>COUNTIFS('NeT GP - table_export'!$B:$B,$B54, 'NeT GP - table_export'!$K:$K,"Yes")</f>
        <v>4</v>
      </c>
      <c r="I54" s="129">
        <f>COUNTIFS('NeT GP - table_export'!$B:$B,$B54, 'NeT GP - table_export'!$K:$K,"No")</f>
        <v>7</v>
      </c>
      <c r="J54" s="130">
        <f t="shared" si="1"/>
        <v>9</v>
      </c>
      <c r="K54" s="8">
        <f>COUNTIFS('NeT GP - table_export'!$B:$B,$B54, 'NeT GP - table_export'!$K:$K,"Yes", 'NeT GP - table_export'!$L:$L,"Yes")</f>
        <v>4</v>
      </c>
      <c r="L54" s="8">
        <f>COUNTIFS('NeT GP - table_export'!$B:$B,$B54, 'NeT GP - table_export'!$K:$K,"Yes", 'NeT GP - table_export'!$L:$L,"Yes",'NeT GP - table_export'!$AA:$AA,"Yes")</f>
        <v>4</v>
      </c>
      <c r="M54" s="8">
        <f>COUNTIFS('NeT GP - table_export'!$B:$B,$B54, 'NeT GP - table_export'!$K:$K,"No", 'NeT GP - table_export'!$L:$L,"Yes")</f>
        <v>5</v>
      </c>
      <c r="N54" s="131">
        <f>COUNTIFS('NeT GP - table_export'!$B:$B,$B54, 'NeT GP - table_export'!$K:$K,"No", 'NeT GP - table_export'!$L:$L,"Yes",'NeT GP - table_export'!$AA:$AA,"Yes")</f>
        <v>1</v>
      </c>
      <c r="O54" s="17">
        <f t="shared" si="2"/>
        <v>1085</v>
      </c>
      <c r="P54" s="8">
        <f>SUMIFS('NeT GP - table_export'!$J:$J,'NeT GP - table_export'!$B:$B,$B54, 'NeT GP - table_export'!$K:$K,"Yes")</f>
        <v>2</v>
      </c>
      <c r="Q54" s="51">
        <f>SUMIFS('NeT GP - table_export'!$J:$J,'NeT GP - table_export'!$B:$B,$B54, 'NeT GP - table_export'!$K:$K,"No")</f>
        <v>1083</v>
      </c>
      <c r="R54" s="130">
        <f t="shared" si="3"/>
        <v>285</v>
      </c>
      <c r="S54" s="8">
        <f>SUMIFS('NeT GP - table_export'!$J:$J,'NeT GP - table_export'!$B:$B,$B54, 'NeT GP - table_export'!$K:$K,"Yes", 'NeT GP - table_export'!$L:$L,"Yes")</f>
        <v>2</v>
      </c>
      <c r="T54" s="8">
        <f>SUMIFS('NeT GP - table_export'!$J:$J,'NeT GP - table_export'!$B:$B,$B54, 'NeT GP - table_export'!$K:$K,"Yes", 'NeT GP - table_export'!$L:$L,"Yes",'NeT GP - table_export'!$AA:$AA,"Yes")</f>
        <v>2</v>
      </c>
      <c r="U54" s="8">
        <f>SUMIFS('NeT GP - table_export'!$J:$J,'NeT GP - table_export'!$B:$B,$B54, 'NeT GP - table_export'!$K:$K,"No", 'NeT GP - table_export'!$L:$L,"Yes")</f>
        <v>283</v>
      </c>
      <c r="V54" s="51">
        <f>SUMIFS('NeT GP - table_export'!$J:$J,'NeT GP - table_export'!$B:$B,$B54, 'NeT GP - table_export'!$K:$K,"No", 'NeT GP - table_export'!$L:$L,"Yes",'NeT GP - table_export'!$AA:$AA,"Yes")</f>
        <v>171</v>
      </c>
    </row>
    <row r="55" spans="2:22" x14ac:dyDescent="0.35">
      <c r="B55" s="101" t="s">
        <v>602</v>
      </c>
      <c r="C55" s="99" t="s">
        <v>603</v>
      </c>
      <c r="D55" s="114">
        <v>4</v>
      </c>
      <c r="E55" s="162" t="s">
        <v>6</v>
      </c>
      <c r="F55" s="167" t="str">
        <f>IF(E55="No","N/A",IF(COUNTIFS('NeT GP - table_export'!$B:$B,$B55,'NeT GP - table_export'!$K:$K,"No",'NeT GP - table_export'!$L:$L,"Yes")&gt;0,"Yes","No"))</f>
        <v>No</v>
      </c>
      <c r="G55" s="127">
        <f t="shared" si="0"/>
        <v>16</v>
      </c>
      <c r="H55" s="128">
        <f>COUNTIFS('NeT GP - table_export'!$B:$B,$B55, 'NeT GP - table_export'!$K:$K,"Yes")</f>
        <v>1</v>
      </c>
      <c r="I55" s="129">
        <f>COUNTIFS('NeT GP - table_export'!$B:$B,$B55, 'NeT GP - table_export'!$K:$K,"No")</f>
        <v>15</v>
      </c>
      <c r="J55" s="130">
        <f t="shared" si="1"/>
        <v>1</v>
      </c>
      <c r="K55" s="8">
        <f>COUNTIFS('NeT GP - table_export'!$B:$B,$B55, 'NeT GP - table_export'!$K:$K,"Yes", 'NeT GP - table_export'!$L:$L,"Yes")</f>
        <v>1</v>
      </c>
      <c r="L55" s="8">
        <f>COUNTIFS('NeT GP - table_export'!$B:$B,$B55, 'NeT GP - table_export'!$K:$K,"Yes", 'NeT GP - table_export'!$L:$L,"Yes",'NeT GP - table_export'!$AA:$AA,"Yes")</f>
        <v>1</v>
      </c>
      <c r="M55" s="8">
        <f>COUNTIFS('NeT GP - table_export'!$B:$B,$B55, 'NeT GP - table_export'!$K:$K,"No", 'NeT GP - table_export'!$L:$L,"Yes")</f>
        <v>0</v>
      </c>
      <c r="N55" s="131">
        <f>COUNTIFS('NeT GP - table_export'!$B:$B,$B55, 'NeT GP - table_export'!$K:$K,"No", 'NeT GP - table_export'!$L:$L,"Yes",'NeT GP - table_export'!$AA:$AA,"Yes")</f>
        <v>0</v>
      </c>
      <c r="O55" s="17">
        <f t="shared" si="2"/>
        <v>24914</v>
      </c>
      <c r="P55" s="8">
        <f>SUMIFS('NeT GP - table_export'!$J:$J,'NeT GP - table_export'!$B:$B,$B55, 'NeT GP - table_export'!$K:$K,"Yes")</f>
        <v>0</v>
      </c>
      <c r="Q55" s="51">
        <f>SUMIFS('NeT GP - table_export'!$J:$J,'NeT GP - table_export'!$B:$B,$B55, 'NeT GP - table_export'!$K:$K,"No")</f>
        <v>24914</v>
      </c>
      <c r="R55" s="130">
        <f t="shared" si="3"/>
        <v>0</v>
      </c>
      <c r="S55" s="8">
        <f>SUMIFS('NeT GP - table_export'!$J:$J,'NeT GP - table_export'!$B:$B,$B55, 'NeT GP - table_export'!$K:$K,"Yes", 'NeT GP - table_export'!$L:$L,"Yes")</f>
        <v>0</v>
      </c>
      <c r="T55" s="8">
        <f>SUMIFS('NeT GP - table_export'!$J:$J,'NeT GP - table_export'!$B:$B,$B55, 'NeT GP - table_export'!$K:$K,"Yes", 'NeT GP - table_export'!$L:$L,"Yes",'NeT GP - table_export'!$AA:$AA,"Yes")</f>
        <v>0</v>
      </c>
      <c r="U55" s="8">
        <f>SUMIFS('NeT GP - table_export'!$J:$J,'NeT GP - table_export'!$B:$B,$B55, 'NeT GP - table_export'!$K:$K,"No", 'NeT GP - table_export'!$L:$L,"Yes")</f>
        <v>0</v>
      </c>
      <c r="V55" s="51">
        <f>SUMIFS('NeT GP - table_export'!$J:$J,'NeT GP - table_export'!$B:$B,$B55, 'NeT GP - table_export'!$K:$K,"No", 'NeT GP - table_export'!$L:$L,"Yes",'NeT GP - table_export'!$AA:$AA,"Yes")</f>
        <v>0</v>
      </c>
    </row>
    <row r="56" spans="2:22" x14ac:dyDescent="0.35">
      <c r="B56" s="101" t="s">
        <v>348</v>
      </c>
      <c r="C56" s="99" t="s">
        <v>547</v>
      </c>
      <c r="D56" s="114">
        <v>8</v>
      </c>
      <c r="E56" s="162" t="s">
        <v>6</v>
      </c>
      <c r="F56" s="167" t="str">
        <f>IF(E56="No","N/A",IF(COUNTIFS('NeT GP - table_export'!$B:$B,$B56,'NeT GP - table_export'!$K:$K,"No",'NeT GP - table_export'!$L:$L,"Yes")&gt;0,"Yes","No"))</f>
        <v>Yes</v>
      </c>
      <c r="G56" s="127">
        <f t="shared" si="0"/>
        <v>15</v>
      </c>
      <c r="H56" s="128">
        <f>COUNTIFS('NeT GP - table_export'!$B:$B,$B56, 'NeT GP - table_export'!$K:$K,"Yes")</f>
        <v>5</v>
      </c>
      <c r="I56" s="129">
        <f>COUNTIFS('NeT GP - table_export'!$B:$B,$B56, 'NeT GP - table_export'!$K:$K,"No")</f>
        <v>10</v>
      </c>
      <c r="J56" s="130">
        <f t="shared" si="1"/>
        <v>14</v>
      </c>
      <c r="K56" s="8">
        <f>COUNTIFS('NeT GP - table_export'!$B:$B,$B56, 'NeT GP - table_export'!$K:$K,"Yes", 'NeT GP - table_export'!$L:$L,"Yes")</f>
        <v>5</v>
      </c>
      <c r="L56" s="8">
        <f>COUNTIFS('NeT GP - table_export'!$B:$B,$B56, 'NeT GP - table_export'!$K:$K,"Yes", 'NeT GP - table_export'!$L:$L,"Yes",'NeT GP - table_export'!$AA:$AA,"Yes")</f>
        <v>3</v>
      </c>
      <c r="M56" s="8">
        <f>COUNTIFS('NeT GP - table_export'!$B:$B,$B56, 'NeT GP - table_export'!$K:$K,"No", 'NeT GP - table_export'!$L:$L,"Yes")</f>
        <v>9</v>
      </c>
      <c r="N56" s="131">
        <f>COUNTIFS('NeT GP - table_export'!$B:$B,$B56, 'NeT GP - table_export'!$K:$K,"No", 'NeT GP - table_export'!$L:$L,"Yes",'NeT GP - table_export'!$AA:$AA,"Yes")</f>
        <v>2</v>
      </c>
      <c r="O56" s="17">
        <f t="shared" si="2"/>
        <v>3339</v>
      </c>
      <c r="P56" s="8">
        <f>SUMIFS('NeT GP - table_export'!$J:$J,'NeT GP - table_export'!$B:$B,$B56, 'NeT GP - table_export'!$K:$K,"Yes")</f>
        <v>109</v>
      </c>
      <c r="Q56" s="51">
        <f>SUMIFS('NeT GP - table_export'!$J:$J,'NeT GP - table_export'!$B:$B,$B56, 'NeT GP - table_export'!$K:$K,"No")</f>
        <v>3230</v>
      </c>
      <c r="R56" s="130">
        <f t="shared" si="3"/>
        <v>3339</v>
      </c>
      <c r="S56" s="8">
        <f>SUMIFS('NeT GP - table_export'!$J:$J,'NeT GP - table_export'!$B:$B,$B56, 'NeT GP - table_export'!$K:$K,"Yes", 'NeT GP - table_export'!$L:$L,"Yes")</f>
        <v>109</v>
      </c>
      <c r="T56" s="8">
        <f>SUMIFS('NeT GP - table_export'!$J:$J,'NeT GP - table_export'!$B:$B,$B56, 'NeT GP - table_export'!$K:$K,"Yes", 'NeT GP - table_export'!$L:$L,"Yes",'NeT GP - table_export'!$AA:$AA,"Yes")</f>
        <v>28</v>
      </c>
      <c r="U56" s="8">
        <f>SUMIFS('NeT GP - table_export'!$J:$J,'NeT GP - table_export'!$B:$B,$B56, 'NeT GP - table_export'!$K:$K,"No", 'NeT GP - table_export'!$L:$L,"Yes")</f>
        <v>3230</v>
      </c>
      <c r="V56" s="51">
        <f>SUMIFS('NeT GP - table_export'!$J:$J,'NeT GP - table_export'!$B:$B,$B56, 'NeT GP - table_export'!$K:$K,"No", 'NeT GP - table_export'!$L:$L,"Yes",'NeT GP - table_export'!$AA:$AA,"Yes")</f>
        <v>2701</v>
      </c>
    </row>
    <row r="57" spans="2:22" x14ac:dyDescent="0.35">
      <c r="B57" s="101" t="s">
        <v>604</v>
      </c>
      <c r="C57" s="99" t="s">
        <v>605</v>
      </c>
      <c r="D57" s="114">
        <v>2</v>
      </c>
      <c r="E57" s="162" t="s">
        <v>10</v>
      </c>
      <c r="F57" s="167" t="str">
        <f>IF(E57="No","N/A",IF(COUNTIFS('NeT GP - table_export'!$B:$B,$B57,'NeT GP - table_export'!$K:$K,"No",'NeT GP - table_export'!$L:$L,"Yes")&gt;0,"Yes","No"))</f>
        <v>N/A</v>
      </c>
      <c r="G57" s="127">
        <f t="shared" si="0"/>
        <v>0</v>
      </c>
      <c r="H57" s="128">
        <f>COUNTIFS('NeT GP - table_export'!$B:$B,$B57, 'NeT GP - table_export'!$K:$K,"Yes")</f>
        <v>0</v>
      </c>
      <c r="I57" s="129">
        <f>COUNTIFS('NeT GP - table_export'!$B:$B,$B57, 'NeT GP - table_export'!$K:$K,"No")</f>
        <v>0</v>
      </c>
      <c r="J57" s="130">
        <f t="shared" si="1"/>
        <v>0</v>
      </c>
      <c r="K57" s="8">
        <f>COUNTIFS('NeT GP - table_export'!$B:$B,$B57, 'NeT GP - table_export'!$K:$K,"Yes", 'NeT GP - table_export'!$L:$L,"Yes")</f>
        <v>0</v>
      </c>
      <c r="L57" s="8">
        <f>COUNTIFS('NeT GP - table_export'!$B:$B,$B57, 'NeT GP - table_export'!$K:$K,"Yes", 'NeT GP - table_export'!$L:$L,"Yes",'NeT GP - table_export'!$AA:$AA,"Yes")</f>
        <v>0</v>
      </c>
      <c r="M57" s="8">
        <f>COUNTIFS('NeT GP - table_export'!$B:$B,$B57, 'NeT GP - table_export'!$K:$K,"No", 'NeT GP - table_export'!$L:$L,"Yes")</f>
        <v>0</v>
      </c>
      <c r="N57" s="131">
        <f>COUNTIFS('NeT GP - table_export'!$B:$B,$B57, 'NeT GP - table_export'!$K:$K,"No", 'NeT GP - table_export'!$L:$L,"Yes",'NeT GP - table_export'!$AA:$AA,"Yes")</f>
        <v>0</v>
      </c>
      <c r="O57" s="17">
        <f t="shared" si="2"/>
        <v>0</v>
      </c>
      <c r="P57" s="8">
        <f>SUMIFS('NeT GP - table_export'!$J:$J,'NeT GP - table_export'!$B:$B,$B57, 'NeT GP - table_export'!$K:$K,"Yes")</f>
        <v>0</v>
      </c>
      <c r="Q57" s="51">
        <f>SUMIFS('NeT GP - table_export'!$J:$J,'NeT GP - table_export'!$B:$B,$B57, 'NeT GP - table_export'!$K:$K,"No")</f>
        <v>0</v>
      </c>
      <c r="R57" s="130">
        <f t="shared" si="3"/>
        <v>0</v>
      </c>
      <c r="S57" s="8">
        <f>SUMIFS('NeT GP - table_export'!$J:$J,'NeT GP - table_export'!$B:$B,$B57, 'NeT GP - table_export'!$K:$K,"Yes", 'NeT GP - table_export'!$L:$L,"Yes")</f>
        <v>0</v>
      </c>
      <c r="T57" s="8">
        <f>SUMIFS('NeT GP - table_export'!$J:$J,'NeT GP - table_export'!$B:$B,$B57, 'NeT GP - table_export'!$K:$K,"Yes", 'NeT GP - table_export'!$L:$L,"Yes",'NeT GP - table_export'!$AA:$AA,"Yes")</f>
        <v>0</v>
      </c>
      <c r="U57" s="8">
        <f>SUMIFS('NeT GP - table_export'!$J:$J,'NeT GP - table_export'!$B:$B,$B57, 'NeT GP - table_export'!$K:$K,"No", 'NeT GP - table_export'!$L:$L,"Yes")</f>
        <v>0</v>
      </c>
      <c r="V57" s="51">
        <f>SUMIFS('NeT GP - table_export'!$J:$J,'NeT GP - table_export'!$B:$B,$B57, 'NeT GP - table_export'!$K:$K,"No", 'NeT GP - table_export'!$L:$L,"Yes",'NeT GP - table_export'!$AA:$AA,"Yes")</f>
        <v>0</v>
      </c>
    </row>
    <row r="58" spans="2:22" x14ac:dyDescent="0.35">
      <c r="B58" s="101" t="s">
        <v>606</v>
      </c>
      <c r="C58" s="99" t="s">
        <v>607</v>
      </c>
      <c r="D58" s="114">
        <v>4</v>
      </c>
      <c r="E58" s="162" t="s">
        <v>6</v>
      </c>
      <c r="F58" s="167" t="str">
        <f>IF(E58="No","N/A",IF(COUNTIFS('NeT GP - table_export'!$B:$B,$B58,'NeT GP - table_export'!$K:$K,"No",'NeT GP - table_export'!$L:$L,"Yes")&gt;0,"Yes","No"))</f>
        <v>No</v>
      </c>
      <c r="G58" s="127">
        <f t="shared" si="0"/>
        <v>9</v>
      </c>
      <c r="H58" s="128">
        <f>COUNTIFS('NeT GP - table_export'!$B:$B,$B58, 'NeT GP - table_export'!$K:$K,"Yes")</f>
        <v>0</v>
      </c>
      <c r="I58" s="129">
        <f>COUNTIFS('NeT GP - table_export'!$B:$B,$B58, 'NeT GP - table_export'!$K:$K,"No")</f>
        <v>9</v>
      </c>
      <c r="J58" s="130">
        <f t="shared" si="1"/>
        <v>0</v>
      </c>
      <c r="K58" s="8">
        <f>COUNTIFS('NeT GP - table_export'!$B:$B,$B58, 'NeT GP - table_export'!$K:$K,"Yes", 'NeT GP - table_export'!$L:$L,"Yes")</f>
        <v>0</v>
      </c>
      <c r="L58" s="8">
        <f>COUNTIFS('NeT GP - table_export'!$B:$B,$B58, 'NeT GP - table_export'!$K:$K,"Yes", 'NeT GP - table_export'!$L:$L,"Yes",'NeT GP - table_export'!$AA:$AA,"Yes")</f>
        <v>0</v>
      </c>
      <c r="M58" s="8">
        <f>COUNTIFS('NeT GP - table_export'!$B:$B,$B58, 'NeT GP - table_export'!$K:$K,"No", 'NeT GP - table_export'!$L:$L,"Yes")</f>
        <v>0</v>
      </c>
      <c r="N58" s="131">
        <f>COUNTIFS('NeT GP - table_export'!$B:$B,$B58, 'NeT GP - table_export'!$K:$K,"No", 'NeT GP - table_export'!$L:$L,"Yes",'NeT GP - table_export'!$AA:$AA,"Yes")</f>
        <v>0</v>
      </c>
      <c r="O58" s="17">
        <f t="shared" si="2"/>
        <v>8780</v>
      </c>
      <c r="P58" s="8">
        <f>SUMIFS('NeT GP - table_export'!$J:$J,'NeT GP - table_export'!$B:$B,$B58, 'NeT GP - table_export'!$K:$K,"Yes")</f>
        <v>0</v>
      </c>
      <c r="Q58" s="51">
        <f>SUMIFS('NeT GP - table_export'!$J:$J,'NeT GP - table_export'!$B:$B,$B58, 'NeT GP - table_export'!$K:$K,"No")</f>
        <v>8780</v>
      </c>
      <c r="R58" s="130">
        <f t="shared" si="3"/>
        <v>0</v>
      </c>
      <c r="S58" s="8">
        <f>SUMIFS('NeT GP - table_export'!$J:$J,'NeT GP - table_export'!$B:$B,$B58, 'NeT GP - table_export'!$K:$K,"Yes", 'NeT GP - table_export'!$L:$L,"Yes")</f>
        <v>0</v>
      </c>
      <c r="T58" s="8">
        <f>SUMIFS('NeT GP - table_export'!$J:$J,'NeT GP - table_export'!$B:$B,$B58, 'NeT GP - table_export'!$K:$K,"Yes", 'NeT GP - table_export'!$L:$L,"Yes",'NeT GP - table_export'!$AA:$AA,"Yes")</f>
        <v>0</v>
      </c>
      <c r="U58" s="8">
        <f>SUMIFS('NeT GP - table_export'!$J:$J,'NeT GP - table_export'!$B:$B,$B58, 'NeT GP - table_export'!$K:$K,"No", 'NeT GP - table_export'!$L:$L,"Yes")</f>
        <v>0</v>
      </c>
      <c r="V58" s="51">
        <f>SUMIFS('NeT GP - table_export'!$J:$J,'NeT GP - table_export'!$B:$B,$B58, 'NeT GP - table_export'!$K:$K,"No", 'NeT GP - table_export'!$L:$L,"Yes",'NeT GP - table_export'!$AA:$AA,"Yes")</f>
        <v>0</v>
      </c>
    </row>
    <row r="59" spans="2:22" x14ac:dyDescent="0.35">
      <c r="B59" s="101" t="s">
        <v>368</v>
      </c>
      <c r="C59" s="99" t="s">
        <v>549</v>
      </c>
      <c r="D59" s="114">
        <v>6</v>
      </c>
      <c r="E59" s="162" t="s">
        <v>6</v>
      </c>
      <c r="F59" s="167" t="str">
        <f>IF(E59="No","N/A",IF(COUNTIFS('NeT GP - table_export'!$B:$B,$B59,'NeT GP - table_export'!$K:$K,"No",'NeT GP - table_export'!$L:$L,"Yes")&gt;0,"Yes","No"))</f>
        <v>Yes</v>
      </c>
      <c r="G59" s="127">
        <f t="shared" si="0"/>
        <v>22</v>
      </c>
      <c r="H59" s="128">
        <f>COUNTIFS('NeT GP - table_export'!$B:$B,$B59, 'NeT GP - table_export'!$K:$K,"Yes")</f>
        <v>6</v>
      </c>
      <c r="I59" s="129">
        <f>COUNTIFS('NeT GP - table_export'!$B:$B,$B59, 'NeT GP - table_export'!$K:$K,"No")</f>
        <v>16</v>
      </c>
      <c r="J59" s="130">
        <f t="shared" si="1"/>
        <v>7</v>
      </c>
      <c r="K59" s="8">
        <f>COUNTIFS('NeT GP - table_export'!$B:$B,$B59, 'NeT GP - table_export'!$K:$K,"Yes", 'NeT GP - table_export'!$L:$L,"Yes")</f>
        <v>6</v>
      </c>
      <c r="L59" s="8">
        <f>COUNTIFS('NeT GP - table_export'!$B:$B,$B59, 'NeT GP - table_export'!$K:$K,"Yes", 'NeT GP - table_export'!$L:$L,"Yes",'NeT GP - table_export'!$AA:$AA,"Yes")</f>
        <v>6</v>
      </c>
      <c r="M59" s="8">
        <f>COUNTIFS('NeT GP - table_export'!$B:$B,$B59, 'NeT GP - table_export'!$K:$K,"No", 'NeT GP - table_export'!$L:$L,"Yes")</f>
        <v>1</v>
      </c>
      <c r="N59" s="131">
        <f>COUNTIFS('NeT GP - table_export'!$B:$B,$B59, 'NeT GP - table_export'!$K:$K,"No", 'NeT GP - table_export'!$L:$L,"Yes",'NeT GP - table_export'!$AA:$AA,"Yes")</f>
        <v>1</v>
      </c>
      <c r="O59" s="17">
        <f t="shared" si="2"/>
        <v>53445</v>
      </c>
      <c r="P59" s="8">
        <f>SUMIFS('NeT GP - table_export'!$J:$J,'NeT GP - table_export'!$B:$B,$B59, 'NeT GP - table_export'!$K:$K,"Yes")</f>
        <v>2364</v>
      </c>
      <c r="Q59" s="51">
        <f>SUMIFS('NeT GP - table_export'!$J:$J,'NeT GP - table_export'!$B:$B,$B59, 'NeT GP - table_export'!$K:$K,"No")</f>
        <v>51081</v>
      </c>
      <c r="R59" s="130">
        <f t="shared" si="3"/>
        <v>2878</v>
      </c>
      <c r="S59" s="8">
        <f>SUMIFS('NeT GP - table_export'!$J:$J,'NeT GP - table_export'!$B:$B,$B59, 'NeT GP - table_export'!$K:$K,"Yes", 'NeT GP - table_export'!$L:$L,"Yes")</f>
        <v>2364</v>
      </c>
      <c r="T59" s="8">
        <f>SUMIFS('NeT GP - table_export'!$J:$J,'NeT GP - table_export'!$B:$B,$B59, 'NeT GP - table_export'!$K:$K,"Yes", 'NeT GP - table_export'!$L:$L,"Yes",'NeT GP - table_export'!$AA:$AA,"Yes")</f>
        <v>2364</v>
      </c>
      <c r="U59" s="8">
        <f>SUMIFS('NeT GP - table_export'!$J:$J,'NeT GP - table_export'!$B:$B,$B59, 'NeT GP - table_export'!$K:$K,"No", 'NeT GP - table_export'!$L:$L,"Yes")</f>
        <v>514</v>
      </c>
      <c r="V59" s="51">
        <f>SUMIFS('NeT GP - table_export'!$J:$J,'NeT GP - table_export'!$B:$B,$B59, 'NeT GP - table_export'!$K:$K,"No", 'NeT GP - table_export'!$L:$L,"Yes",'NeT GP - table_export'!$AA:$AA,"Yes")</f>
        <v>514</v>
      </c>
    </row>
    <row r="60" spans="2:22" x14ac:dyDescent="0.35">
      <c r="B60" s="101" t="s">
        <v>370</v>
      </c>
      <c r="C60" s="99" t="s">
        <v>550</v>
      </c>
      <c r="D60" s="114">
        <v>8</v>
      </c>
      <c r="E60" s="162" t="s">
        <v>6</v>
      </c>
      <c r="F60" s="167" t="str">
        <f>IF(E60="No","N/A",IF(COUNTIFS('NeT GP - table_export'!$B:$B,$B60,'NeT GP - table_export'!$K:$K,"No",'NeT GP - table_export'!$L:$L,"Yes")&gt;0,"Yes","No"))</f>
        <v>Yes</v>
      </c>
      <c r="G60" s="127">
        <f t="shared" si="0"/>
        <v>16</v>
      </c>
      <c r="H60" s="128">
        <f>COUNTIFS('NeT GP - table_export'!$B:$B,$B60, 'NeT GP - table_export'!$K:$K,"Yes")</f>
        <v>5</v>
      </c>
      <c r="I60" s="129">
        <f>COUNTIFS('NeT GP - table_export'!$B:$B,$B60, 'NeT GP - table_export'!$K:$K,"No")</f>
        <v>11</v>
      </c>
      <c r="J60" s="130">
        <f t="shared" si="1"/>
        <v>16</v>
      </c>
      <c r="K60" s="8">
        <f>COUNTIFS('NeT GP - table_export'!$B:$B,$B60, 'NeT GP - table_export'!$K:$K,"Yes", 'NeT GP - table_export'!$L:$L,"Yes")</f>
        <v>5</v>
      </c>
      <c r="L60" s="8">
        <f>COUNTIFS('NeT GP - table_export'!$B:$B,$B60, 'NeT GP - table_export'!$K:$K,"Yes", 'NeT GP - table_export'!$L:$L,"Yes",'NeT GP - table_export'!$AA:$AA,"Yes")</f>
        <v>3</v>
      </c>
      <c r="M60" s="8">
        <f>COUNTIFS('NeT GP - table_export'!$B:$B,$B60, 'NeT GP - table_export'!$K:$K,"No", 'NeT GP - table_export'!$L:$L,"Yes")</f>
        <v>11</v>
      </c>
      <c r="N60" s="131">
        <f>COUNTIFS('NeT GP - table_export'!$B:$B,$B60, 'NeT GP - table_export'!$K:$K,"No", 'NeT GP - table_export'!$L:$L,"Yes",'NeT GP - table_export'!$AA:$AA,"Yes")</f>
        <v>7</v>
      </c>
      <c r="O60" s="17">
        <f t="shared" si="2"/>
        <v>4570</v>
      </c>
      <c r="P60" s="8">
        <f>SUMIFS('NeT GP - table_export'!$J:$J,'NeT GP - table_export'!$B:$B,$B60, 'NeT GP - table_export'!$K:$K,"Yes")</f>
        <v>12</v>
      </c>
      <c r="Q60" s="51">
        <f>SUMIFS('NeT GP - table_export'!$J:$J,'NeT GP - table_export'!$B:$B,$B60, 'NeT GP - table_export'!$K:$K,"No")</f>
        <v>4558</v>
      </c>
      <c r="R60" s="130">
        <f t="shared" si="3"/>
        <v>4570</v>
      </c>
      <c r="S60" s="8">
        <f>SUMIFS('NeT GP - table_export'!$J:$J,'NeT GP - table_export'!$B:$B,$B60, 'NeT GP - table_export'!$K:$K,"Yes", 'NeT GP - table_export'!$L:$L,"Yes")</f>
        <v>12</v>
      </c>
      <c r="T60" s="8">
        <f>SUMIFS('NeT GP - table_export'!$J:$J,'NeT GP - table_export'!$B:$B,$B60, 'NeT GP - table_export'!$K:$K,"Yes", 'NeT GP - table_export'!$L:$L,"Yes",'NeT GP - table_export'!$AA:$AA,"Yes")</f>
        <v>5</v>
      </c>
      <c r="U60" s="8">
        <f>SUMIFS('NeT GP - table_export'!$J:$J,'NeT GP - table_export'!$B:$B,$B60, 'NeT GP - table_export'!$K:$K,"No", 'NeT GP - table_export'!$L:$L,"Yes")</f>
        <v>4558</v>
      </c>
      <c r="V60" s="51">
        <f>SUMIFS('NeT GP - table_export'!$J:$J,'NeT GP - table_export'!$B:$B,$B60, 'NeT GP - table_export'!$K:$K,"No", 'NeT GP - table_export'!$L:$L,"Yes",'NeT GP - table_export'!$AA:$AA,"Yes")</f>
        <v>4495</v>
      </c>
    </row>
    <row r="61" spans="2:22" x14ac:dyDescent="0.35">
      <c r="B61" s="101" t="s">
        <v>393</v>
      </c>
      <c r="C61" s="99" t="s">
        <v>608</v>
      </c>
      <c r="D61" s="114">
        <v>3</v>
      </c>
      <c r="E61" s="162" t="s">
        <v>6</v>
      </c>
      <c r="F61" s="167" t="str">
        <f>IF(E61="No","N/A",IF(COUNTIFS('NeT GP - table_export'!$B:$B,$B61,'NeT GP - table_export'!$K:$K,"No",'NeT GP - table_export'!$L:$L,"Yes")&gt;0,"Yes","No"))</f>
        <v>No</v>
      </c>
      <c r="G61" s="127">
        <f t="shared" si="0"/>
        <v>15</v>
      </c>
      <c r="H61" s="128">
        <f>COUNTIFS('NeT GP - table_export'!$B:$B,$B61, 'NeT GP - table_export'!$K:$K,"Yes")</f>
        <v>2</v>
      </c>
      <c r="I61" s="129">
        <f>COUNTIFS('NeT GP - table_export'!$B:$B,$B61, 'NeT GP - table_export'!$K:$K,"No")</f>
        <v>13</v>
      </c>
      <c r="J61" s="130">
        <f t="shared" si="1"/>
        <v>2</v>
      </c>
      <c r="K61" s="8">
        <f>COUNTIFS('NeT GP - table_export'!$B:$B,$B61, 'NeT GP - table_export'!$K:$K,"Yes", 'NeT GP - table_export'!$L:$L,"Yes")</f>
        <v>2</v>
      </c>
      <c r="L61" s="8">
        <f>COUNTIFS('NeT GP - table_export'!$B:$B,$B61, 'NeT GP - table_export'!$K:$K,"Yes", 'NeT GP - table_export'!$L:$L,"Yes",'NeT GP - table_export'!$AA:$AA,"Yes")</f>
        <v>2</v>
      </c>
      <c r="M61" s="8">
        <f>COUNTIFS('NeT GP - table_export'!$B:$B,$B61, 'NeT GP - table_export'!$K:$K,"No", 'NeT GP - table_export'!$L:$L,"Yes")</f>
        <v>0</v>
      </c>
      <c r="N61" s="131">
        <f>COUNTIFS('NeT GP - table_export'!$B:$B,$B61, 'NeT GP - table_export'!$K:$K,"No", 'NeT GP - table_export'!$L:$L,"Yes",'NeT GP - table_export'!$AA:$AA,"Yes")</f>
        <v>0</v>
      </c>
      <c r="O61" s="17">
        <f t="shared" si="2"/>
        <v>11292</v>
      </c>
      <c r="P61" s="8">
        <f>SUMIFS('NeT GP - table_export'!$J:$J,'NeT GP - table_export'!$B:$B,$B61, 'NeT GP - table_export'!$K:$K,"Yes")</f>
        <v>1</v>
      </c>
      <c r="Q61" s="51">
        <f>SUMIFS('NeT GP - table_export'!$J:$J,'NeT GP - table_export'!$B:$B,$B61, 'NeT GP - table_export'!$K:$K,"No")</f>
        <v>11291</v>
      </c>
      <c r="R61" s="130">
        <f t="shared" si="3"/>
        <v>1</v>
      </c>
      <c r="S61" s="8">
        <f>SUMIFS('NeT GP - table_export'!$J:$J,'NeT GP - table_export'!$B:$B,$B61, 'NeT GP - table_export'!$K:$K,"Yes", 'NeT GP - table_export'!$L:$L,"Yes")</f>
        <v>1</v>
      </c>
      <c r="T61" s="8">
        <f>SUMIFS('NeT GP - table_export'!$J:$J,'NeT GP - table_export'!$B:$B,$B61, 'NeT GP - table_export'!$K:$K,"Yes", 'NeT GP - table_export'!$L:$L,"Yes",'NeT GP - table_export'!$AA:$AA,"Yes")</f>
        <v>1</v>
      </c>
      <c r="U61" s="8">
        <f>SUMIFS('NeT GP - table_export'!$J:$J,'NeT GP - table_export'!$B:$B,$B61, 'NeT GP - table_export'!$K:$K,"No", 'NeT GP - table_export'!$L:$L,"Yes")</f>
        <v>0</v>
      </c>
      <c r="V61" s="51">
        <f>SUMIFS('NeT GP - table_export'!$J:$J,'NeT GP - table_export'!$B:$B,$B61, 'NeT GP - table_export'!$K:$K,"No", 'NeT GP - table_export'!$L:$L,"Yes",'NeT GP - table_export'!$AA:$AA,"Yes")</f>
        <v>0</v>
      </c>
    </row>
    <row r="62" spans="2:22" x14ac:dyDescent="0.35">
      <c r="B62" s="101" t="s">
        <v>395</v>
      </c>
      <c r="C62" s="99" t="s">
        <v>551</v>
      </c>
      <c r="D62" s="114">
        <v>2</v>
      </c>
      <c r="E62" s="162" t="s">
        <v>6</v>
      </c>
      <c r="F62" s="167" t="str">
        <f>IF(E62="No","N/A",IF(COUNTIFS('NeT GP - table_export'!$B:$B,$B62,'NeT GP - table_export'!$K:$K,"No",'NeT GP - table_export'!$L:$L,"Yes")&gt;0,"Yes","No"))</f>
        <v>Yes</v>
      </c>
      <c r="G62" s="127">
        <f t="shared" si="0"/>
        <v>4</v>
      </c>
      <c r="H62" s="128">
        <f>COUNTIFS('NeT GP - table_export'!$B:$B,$B62, 'NeT GP - table_export'!$K:$K,"Yes")</f>
        <v>0</v>
      </c>
      <c r="I62" s="129">
        <f>COUNTIFS('NeT GP - table_export'!$B:$B,$B62, 'NeT GP - table_export'!$K:$K,"No")</f>
        <v>4</v>
      </c>
      <c r="J62" s="130">
        <f t="shared" si="1"/>
        <v>4</v>
      </c>
      <c r="K62" s="8">
        <f>COUNTIFS('NeT GP - table_export'!$B:$B,$B62, 'NeT GP - table_export'!$K:$K,"Yes", 'NeT GP - table_export'!$L:$L,"Yes")</f>
        <v>0</v>
      </c>
      <c r="L62" s="8">
        <f>COUNTIFS('NeT GP - table_export'!$B:$B,$B62, 'NeT GP - table_export'!$K:$K,"Yes", 'NeT GP - table_export'!$L:$L,"Yes",'NeT GP - table_export'!$AA:$AA,"Yes")</f>
        <v>0</v>
      </c>
      <c r="M62" s="8">
        <f>COUNTIFS('NeT GP - table_export'!$B:$B,$B62, 'NeT GP - table_export'!$K:$K,"No", 'NeT GP - table_export'!$L:$L,"Yes")</f>
        <v>4</v>
      </c>
      <c r="N62" s="131">
        <f>COUNTIFS('NeT GP - table_export'!$B:$B,$B62, 'NeT GP - table_export'!$K:$K,"No", 'NeT GP - table_export'!$L:$L,"Yes",'NeT GP - table_export'!$AA:$AA,"Yes")</f>
        <v>0</v>
      </c>
      <c r="O62" s="17">
        <f t="shared" si="2"/>
        <v>147</v>
      </c>
      <c r="P62" s="8">
        <f>SUMIFS('NeT GP - table_export'!$J:$J,'NeT GP - table_export'!$B:$B,$B62, 'NeT GP - table_export'!$K:$K,"Yes")</f>
        <v>0</v>
      </c>
      <c r="Q62" s="51">
        <f>SUMIFS('NeT GP - table_export'!$J:$J,'NeT GP - table_export'!$B:$B,$B62, 'NeT GP - table_export'!$K:$K,"No")</f>
        <v>147</v>
      </c>
      <c r="R62" s="130">
        <f t="shared" si="3"/>
        <v>147</v>
      </c>
      <c r="S62" s="8">
        <f>SUMIFS('NeT GP - table_export'!$J:$J,'NeT GP - table_export'!$B:$B,$B62, 'NeT GP - table_export'!$K:$K,"Yes", 'NeT GP - table_export'!$L:$L,"Yes")</f>
        <v>0</v>
      </c>
      <c r="T62" s="8">
        <f>SUMIFS('NeT GP - table_export'!$J:$J,'NeT GP - table_export'!$B:$B,$B62, 'NeT GP - table_export'!$K:$K,"Yes", 'NeT GP - table_export'!$L:$L,"Yes",'NeT GP - table_export'!$AA:$AA,"Yes")</f>
        <v>0</v>
      </c>
      <c r="U62" s="8">
        <f>SUMIFS('NeT GP - table_export'!$J:$J,'NeT GP - table_export'!$B:$B,$B62, 'NeT GP - table_export'!$K:$K,"No", 'NeT GP - table_export'!$L:$L,"Yes")</f>
        <v>147</v>
      </c>
      <c r="V62" s="51">
        <f>SUMIFS('NeT GP - table_export'!$J:$J,'NeT GP - table_export'!$B:$B,$B62, 'NeT GP - table_export'!$K:$K,"No", 'NeT GP - table_export'!$L:$L,"Yes",'NeT GP - table_export'!$AA:$AA,"Yes")</f>
        <v>0</v>
      </c>
    </row>
    <row r="63" spans="2:22" x14ac:dyDescent="0.35">
      <c r="B63" s="101" t="s">
        <v>402</v>
      </c>
      <c r="C63" s="99" t="s">
        <v>609</v>
      </c>
      <c r="D63" s="114">
        <v>1</v>
      </c>
      <c r="E63" s="162" t="s">
        <v>6</v>
      </c>
      <c r="F63" s="167" t="str">
        <f>IF(E63="No","N/A",IF(COUNTIFS('NeT GP - table_export'!$B:$B,$B63,'NeT GP - table_export'!$K:$K,"No",'NeT GP - table_export'!$L:$L,"Yes")&gt;0,"Yes","No"))</f>
        <v>No</v>
      </c>
      <c r="G63" s="127">
        <f t="shared" si="0"/>
        <v>10</v>
      </c>
      <c r="H63" s="128">
        <f>COUNTIFS('NeT GP - table_export'!$B:$B,$B63, 'NeT GP - table_export'!$K:$K,"Yes")</f>
        <v>5</v>
      </c>
      <c r="I63" s="129">
        <f>COUNTIFS('NeT GP - table_export'!$B:$B,$B63, 'NeT GP - table_export'!$K:$K,"No")</f>
        <v>5</v>
      </c>
      <c r="J63" s="130">
        <f t="shared" si="1"/>
        <v>5</v>
      </c>
      <c r="K63" s="8">
        <f>COUNTIFS('NeT GP - table_export'!$B:$B,$B63, 'NeT GP - table_export'!$K:$K,"Yes", 'NeT GP - table_export'!$L:$L,"Yes")</f>
        <v>5</v>
      </c>
      <c r="L63" s="8">
        <f>COUNTIFS('NeT GP - table_export'!$B:$B,$B63, 'NeT GP - table_export'!$K:$K,"Yes", 'NeT GP - table_export'!$L:$L,"Yes",'NeT GP - table_export'!$AA:$AA,"Yes")</f>
        <v>5</v>
      </c>
      <c r="M63" s="8">
        <f>COUNTIFS('NeT GP - table_export'!$B:$B,$B63, 'NeT GP - table_export'!$K:$K,"No", 'NeT GP - table_export'!$L:$L,"Yes")</f>
        <v>0</v>
      </c>
      <c r="N63" s="131">
        <f>COUNTIFS('NeT GP - table_export'!$B:$B,$B63, 'NeT GP - table_export'!$K:$K,"No", 'NeT GP - table_export'!$L:$L,"Yes",'NeT GP - table_export'!$AA:$AA,"Yes")</f>
        <v>0</v>
      </c>
      <c r="O63" s="17">
        <f t="shared" si="2"/>
        <v>1046</v>
      </c>
      <c r="P63" s="8">
        <f>SUMIFS('NeT GP - table_export'!$J:$J,'NeT GP - table_export'!$B:$B,$B63, 'NeT GP - table_export'!$K:$K,"Yes")</f>
        <v>15</v>
      </c>
      <c r="Q63" s="51">
        <f>SUMIFS('NeT GP - table_export'!$J:$J,'NeT GP - table_export'!$B:$B,$B63, 'NeT GP - table_export'!$K:$K,"No")</f>
        <v>1031</v>
      </c>
      <c r="R63" s="130">
        <f t="shared" si="3"/>
        <v>15</v>
      </c>
      <c r="S63" s="8">
        <f>SUMIFS('NeT GP - table_export'!$J:$J,'NeT GP - table_export'!$B:$B,$B63, 'NeT GP - table_export'!$K:$K,"Yes", 'NeT GP - table_export'!$L:$L,"Yes")</f>
        <v>15</v>
      </c>
      <c r="T63" s="8">
        <f>SUMIFS('NeT GP - table_export'!$J:$J,'NeT GP - table_export'!$B:$B,$B63, 'NeT GP - table_export'!$K:$K,"Yes", 'NeT GP - table_export'!$L:$L,"Yes",'NeT GP - table_export'!$AA:$AA,"Yes")</f>
        <v>15</v>
      </c>
      <c r="U63" s="8">
        <f>SUMIFS('NeT GP - table_export'!$J:$J,'NeT GP - table_export'!$B:$B,$B63, 'NeT GP - table_export'!$K:$K,"No", 'NeT GP - table_export'!$L:$L,"Yes")</f>
        <v>0</v>
      </c>
      <c r="V63" s="51">
        <f>SUMIFS('NeT GP - table_export'!$J:$J,'NeT GP - table_export'!$B:$B,$B63, 'NeT GP - table_export'!$K:$K,"No", 'NeT GP - table_export'!$L:$L,"Yes",'NeT GP - table_export'!$AA:$AA,"Yes")</f>
        <v>0</v>
      </c>
    </row>
    <row r="64" spans="2:22" x14ac:dyDescent="0.35">
      <c r="B64" s="101" t="s">
        <v>406</v>
      </c>
      <c r="C64" s="99" t="s">
        <v>610</v>
      </c>
      <c r="D64" s="114">
        <v>10</v>
      </c>
      <c r="E64" s="162" t="s">
        <v>6</v>
      </c>
      <c r="F64" s="167" t="str">
        <f>IF(E64="No","N/A",IF(COUNTIFS('NeT GP - table_export'!$B:$B,$B64,'NeT GP - table_export'!$K:$K,"No",'NeT GP - table_export'!$L:$L,"Yes")&gt;0,"Yes","No"))</f>
        <v>No</v>
      </c>
      <c r="G64" s="127">
        <f t="shared" si="0"/>
        <v>31</v>
      </c>
      <c r="H64" s="128">
        <f>COUNTIFS('NeT GP - table_export'!$B:$B,$B64, 'NeT GP - table_export'!$K:$K,"Yes")</f>
        <v>8</v>
      </c>
      <c r="I64" s="129">
        <f>COUNTIFS('NeT GP - table_export'!$B:$B,$B64, 'NeT GP - table_export'!$K:$K,"No")</f>
        <v>23</v>
      </c>
      <c r="J64" s="130">
        <f t="shared" si="1"/>
        <v>8</v>
      </c>
      <c r="K64" s="8">
        <f>COUNTIFS('NeT GP - table_export'!$B:$B,$B64, 'NeT GP - table_export'!$K:$K,"Yes", 'NeT GP - table_export'!$L:$L,"Yes")</f>
        <v>8</v>
      </c>
      <c r="L64" s="8">
        <f>COUNTIFS('NeT GP - table_export'!$B:$B,$B64, 'NeT GP - table_export'!$K:$K,"Yes", 'NeT GP - table_export'!$L:$L,"Yes",'NeT GP - table_export'!$AA:$AA,"Yes")</f>
        <v>7</v>
      </c>
      <c r="M64" s="8">
        <f>COUNTIFS('NeT GP - table_export'!$B:$B,$B64, 'NeT GP - table_export'!$K:$K,"No", 'NeT GP - table_export'!$L:$L,"Yes")</f>
        <v>0</v>
      </c>
      <c r="N64" s="131">
        <f>COUNTIFS('NeT GP - table_export'!$B:$B,$B64, 'NeT GP - table_export'!$K:$K,"No", 'NeT GP - table_export'!$L:$L,"Yes",'NeT GP - table_export'!$AA:$AA,"Yes")</f>
        <v>0</v>
      </c>
      <c r="O64" s="17">
        <f t="shared" si="2"/>
        <v>6133</v>
      </c>
      <c r="P64" s="8">
        <f>SUMIFS('NeT GP - table_export'!$J:$J,'NeT GP - table_export'!$B:$B,$B64, 'NeT GP - table_export'!$K:$K,"Yes")</f>
        <v>211</v>
      </c>
      <c r="Q64" s="51">
        <f>SUMIFS('NeT GP - table_export'!$J:$J,'NeT GP - table_export'!$B:$B,$B64, 'NeT GP - table_export'!$K:$K,"No")</f>
        <v>5922</v>
      </c>
      <c r="R64" s="130">
        <f t="shared" si="3"/>
        <v>211</v>
      </c>
      <c r="S64" s="8">
        <f>SUMIFS('NeT GP - table_export'!$J:$J,'NeT GP - table_export'!$B:$B,$B64, 'NeT GP - table_export'!$K:$K,"Yes", 'NeT GP - table_export'!$L:$L,"Yes")</f>
        <v>211</v>
      </c>
      <c r="T64" s="8">
        <f>SUMIFS('NeT GP - table_export'!$J:$J,'NeT GP - table_export'!$B:$B,$B64, 'NeT GP - table_export'!$K:$K,"Yes", 'NeT GP - table_export'!$L:$L,"Yes",'NeT GP - table_export'!$AA:$AA,"Yes")</f>
        <v>196</v>
      </c>
      <c r="U64" s="8">
        <f>SUMIFS('NeT GP - table_export'!$J:$J,'NeT GP - table_export'!$B:$B,$B64, 'NeT GP - table_export'!$K:$K,"No", 'NeT GP - table_export'!$L:$L,"Yes")</f>
        <v>0</v>
      </c>
      <c r="V64" s="51">
        <f>SUMIFS('NeT GP - table_export'!$J:$J,'NeT GP - table_export'!$B:$B,$B64, 'NeT GP - table_export'!$K:$K,"No", 'NeT GP - table_export'!$L:$L,"Yes",'NeT GP - table_export'!$AA:$AA,"Yes")</f>
        <v>0</v>
      </c>
    </row>
    <row r="65" spans="2:22" x14ac:dyDescent="0.35">
      <c r="B65" s="101" t="s">
        <v>412</v>
      </c>
      <c r="C65" s="99" t="s">
        <v>1832</v>
      </c>
      <c r="D65" s="114">
        <v>5</v>
      </c>
      <c r="E65" s="162" t="s">
        <v>6</v>
      </c>
      <c r="F65" s="167" t="str">
        <f>IF(E65="No","N/A",IF(COUNTIFS('NeT GP - table_export'!$B:$B,$B65,'NeT GP - table_export'!$K:$K,"No",'NeT GP - table_export'!$L:$L,"Yes")&gt;0,"Yes","No"))</f>
        <v>No</v>
      </c>
      <c r="G65" s="127">
        <f t="shared" si="0"/>
        <v>30</v>
      </c>
      <c r="H65" s="128">
        <f>COUNTIFS('NeT GP - table_export'!$B:$B,$B65, 'NeT GP - table_export'!$K:$K,"Yes")</f>
        <v>3</v>
      </c>
      <c r="I65" s="129">
        <f>COUNTIFS('NeT GP - table_export'!$B:$B,$B65, 'NeT GP - table_export'!$K:$K,"No")</f>
        <v>27</v>
      </c>
      <c r="J65" s="130">
        <f t="shared" si="1"/>
        <v>3</v>
      </c>
      <c r="K65" s="8">
        <f>COUNTIFS('NeT GP - table_export'!$B:$B,$B65, 'NeT GP - table_export'!$K:$K,"Yes", 'NeT GP - table_export'!$L:$L,"Yes")</f>
        <v>3</v>
      </c>
      <c r="L65" s="8">
        <f>COUNTIFS('NeT GP - table_export'!$B:$B,$B65, 'NeT GP - table_export'!$K:$K,"Yes", 'NeT GP - table_export'!$L:$L,"Yes",'NeT GP - table_export'!$AA:$AA,"Yes")</f>
        <v>3</v>
      </c>
      <c r="M65" s="8">
        <f>COUNTIFS('NeT GP - table_export'!$B:$B,$B65, 'NeT GP - table_export'!$K:$K,"No", 'NeT GP - table_export'!$L:$L,"Yes")</f>
        <v>0</v>
      </c>
      <c r="N65" s="131">
        <f>COUNTIFS('NeT GP - table_export'!$B:$B,$B65, 'NeT GP - table_export'!$K:$K,"No", 'NeT GP - table_export'!$L:$L,"Yes",'NeT GP - table_export'!$AA:$AA,"Yes")</f>
        <v>0</v>
      </c>
      <c r="O65" s="17">
        <f t="shared" si="2"/>
        <v>14932</v>
      </c>
      <c r="P65" s="8">
        <f>SUMIFS('NeT GP - table_export'!$J:$J,'NeT GP - table_export'!$B:$B,$B65, 'NeT GP - table_export'!$K:$K,"Yes")</f>
        <v>54</v>
      </c>
      <c r="Q65" s="51">
        <f>SUMIFS('NeT GP - table_export'!$J:$J,'NeT GP - table_export'!$B:$B,$B65, 'NeT GP - table_export'!$K:$K,"No")</f>
        <v>14878</v>
      </c>
      <c r="R65" s="130">
        <f t="shared" si="3"/>
        <v>54</v>
      </c>
      <c r="S65" s="8">
        <f>SUMIFS('NeT GP - table_export'!$J:$J,'NeT GP - table_export'!$B:$B,$B65, 'NeT GP - table_export'!$K:$K,"Yes", 'NeT GP - table_export'!$L:$L,"Yes")</f>
        <v>54</v>
      </c>
      <c r="T65" s="8">
        <f>SUMIFS('NeT GP - table_export'!$J:$J,'NeT GP - table_export'!$B:$B,$B65, 'NeT GP - table_export'!$K:$K,"Yes", 'NeT GP - table_export'!$L:$L,"Yes",'NeT GP - table_export'!$AA:$AA,"Yes")</f>
        <v>54</v>
      </c>
      <c r="U65" s="8">
        <f>SUMIFS('NeT GP - table_export'!$J:$J,'NeT GP - table_export'!$B:$B,$B65, 'NeT GP - table_export'!$K:$K,"No", 'NeT GP - table_export'!$L:$L,"Yes")</f>
        <v>0</v>
      </c>
      <c r="V65" s="51">
        <f>SUMIFS('NeT GP - table_export'!$J:$J,'NeT GP - table_export'!$B:$B,$B65, 'NeT GP - table_export'!$K:$K,"No", 'NeT GP - table_export'!$L:$L,"Yes",'NeT GP - table_export'!$AA:$AA,"Yes")</f>
        <v>0</v>
      </c>
    </row>
    <row r="66" spans="2:22" x14ac:dyDescent="0.35">
      <c r="B66" s="101" t="s">
        <v>611</v>
      </c>
      <c r="C66" s="99" t="s">
        <v>612</v>
      </c>
      <c r="D66" s="114">
        <v>3</v>
      </c>
      <c r="E66" s="162" t="s">
        <v>6</v>
      </c>
      <c r="F66" s="167" t="str">
        <f>IF(E66="No","N/A",IF(COUNTIFS('NeT GP - table_export'!$B:$B,$B66,'NeT GP - table_export'!$K:$K,"No",'NeT GP - table_export'!$L:$L,"Yes")&gt;0,"Yes","No"))</f>
        <v>No</v>
      </c>
      <c r="G66" s="127">
        <f t="shared" si="0"/>
        <v>14</v>
      </c>
      <c r="H66" s="128">
        <f>COUNTIFS('NeT GP - table_export'!$B:$B,$B66, 'NeT GP - table_export'!$K:$K,"Yes")</f>
        <v>0</v>
      </c>
      <c r="I66" s="129">
        <f>COUNTIFS('NeT GP - table_export'!$B:$B,$B66, 'NeT GP - table_export'!$K:$K,"No")</f>
        <v>14</v>
      </c>
      <c r="J66" s="130">
        <f t="shared" si="1"/>
        <v>0</v>
      </c>
      <c r="K66" s="8">
        <f>COUNTIFS('NeT GP - table_export'!$B:$B,$B66, 'NeT GP - table_export'!$K:$K,"Yes", 'NeT GP - table_export'!$L:$L,"Yes")</f>
        <v>0</v>
      </c>
      <c r="L66" s="8">
        <f>COUNTIFS('NeT GP - table_export'!$B:$B,$B66, 'NeT GP - table_export'!$K:$K,"Yes", 'NeT GP - table_export'!$L:$L,"Yes",'NeT GP - table_export'!$AA:$AA,"Yes")</f>
        <v>0</v>
      </c>
      <c r="M66" s="8">
        <f>COUNTIFS('NeT GP - table_export'!$B:$B,$B66, 'NeT GP - table_export'!$K:$K,"No", 'NeT GP - table_export'!$L:$L,"Yes")</f>
        <v>0</v>
      </c>
      <c r="N66" s="131">
        <f>COUNTIFS('NeT GP - table_export'!$B:$B,$B66, 'NeT GP - table_export'!$K:$K,"No", 'NeT GP - table_export'!$L:$L,"Yes",'NeT GP - table_export'!$AA:$AA,"Yes")</f>
        <v>0</v>
      </c>
      <c r="O66" s="17">
        <f t="shared" si="2"/>
        <v>9996</v>
      </c>
      <c r="P66" s="8">
        <f>SUMIFS('NeT GP - table_export'!$J:$J,'NeT GP - table_export'!$B:$B,$B66, 'NeT GP - table_export'!$K:$K,"Yes")</f>
        <v>0</v>
      </c>
      <c r="Q66" s="51">
        <f>SUMIFS('NeT GP - table_export'!$J:$J,'NeT GP - table_export'!$B:$B,$B66, 'NeT GP - table_export'!$K:$K,"No")</f>
        <v>9996</v>
      </c>
      <c r="R66" s="130">
        <f t="shared" si="3"/>
        <v>0</v>
      </c>
      <c r="S66" s="8">
        <f>SUMIFS('NeT GP - table_export'!$J:$J,'NeT GP - table_export'!$B:$B,$B66, 'NeT GP - table_export'!$K:$K,"Yes", 'NeT GP - table_export'!$L:$L,"Yes")</f>
        <v>0</v>
      </c>
      <c r="T66" s="8">
        <f>SUMIFS('NeT GP - table_export'!$J:$J,'NeT GP - table_export'!$B:$B,$B66, 'NeT GP - table_export'!$K:$K,"Yes", 'NeT GP - table_export'!$L:$L,"Yes",'NeT GP - table_export'!$AA:$AA,"Yes")</f>
        <v>0</v>
      </c>
      <c r="U66" s="8">
        <f>SUMIFS('NeT GP - table_export'!$J:$J,'NeT GP - table_export'!$B:$B,$B66, 'NeT GP - table_export'!$K:$K,"No", 'NeT GP - table_export'!$L:$L,"Yes")</f>
        <v>0</v>
      </c>
      <c r="V66" s="51">
        <f>SUMIFS('NeT GP - table_export'!$J:$J,'NeT GP - table_export'!$B:$B,$B66, 'NeT GP - table_export'!$K:$K,"No", 'NeT GP - table_export'!$L:$L,"Yes",'NeT GP - table_export'!$AA:$AA,"Yes")</f>
        <v>0</v>
      </c>
    </row>
    <row r="67" spans="2:22" ht="15" thickBot="1" x14ac:dyDescent="0.4">
      <c r="B67" s="102" t="s">
        <v>415</v>
      </c>
      <c r="C67" s="103" t="s">
        <v>613</v>
      </c>
      <c r="D67" s="115">
        <v>8</v>
      </c>
      <c r="E67" s="163" t="s">
        <v>6</v>
      </c>
      <c r="F67" s="168" t="str">
        <f>IF(E67="No","N/A",IF(COUNTIFS('NeT GP - table_export'!$B:$B,$B67,'NeT GP - table_export'!$K:$K,"No",'NeT GP - table_export'!$L:$L,"Yes")&gt;0,"Yes","No"))</f>
        <v>No</v>
      </c>
      <c r="G67" s="132">
        <f t="shared" si="0"/>
        <v>22</v>
      </c>
      <c r="H67" s="133">
        <f>COUNTIFS('NeT GP - table_export'!$B:$B,$B67, 'NeT GP - table_export'!$K:$K,"Yes")</f>
        <v>5</v>
      </c>
      <c r="I67" s="134">
        <f>COUNTIFS('NeT GP - table_export'!$B:$B,$B67, 'NeT GP - table_export'!$K:$K,"No")</f>
        <v>17</v>
      </c>
      <c r="J67" s="135">
        <f t="shared" si="1"/>
        <v>5</v>
      </c>
      <c r="K67" s="36">
        <f>COUNTIFS('NeT GP - table_export'!$B:$B,$B67, 'NeT GP - table_export'!$K:$K,"Yes", 'NeT GP - table_export'!$L:$L,"Yes")</f>
        <v>5</v>
      </c>
      <c r="L67" s="36">
        <f>COUNTIFS('NeT GP - table_export'!$B:$B,$B67, 'NeT GP - table_export'!$K:$K,"Yes", 'NeT GP - table_export'!$L:$L,"Yes",'NeT GP - table_export'!$AA:$AA,"Yes")</f>
        <v>3</v>
      </c>
      <c r="M67" s="36">
        <f>COUNTIFS('NeT GP - table_export'!$B:$B,$B67, 'NeT GP - table_export'!$K:$K,"No", 'NeT GP - table_export'!$L:$L,"Yes")</f>
        <v>0</v>
      </c>
      <c r="N67" s="136">
        <f>COUNTIFS('NeT GP - table_export'!$B:$B,$B67, 'NeT GP - table_export'!$K:$K,"No", 'NeT GP - table_export'!$L:$L,"Yes",'NeT GP - table_export'!$AA:$AA,"Yes")</f>
        <v>0</v>
      </c>
      <c r="O67" s="22">
        <f t="shared" si="2"/>
        <v>1291</v>
      </c>
      <c r="P67" s="36">
        <f>SUMIFS('NeT GP - table_export'!$J:$J,'NeT GP - table_export'!$B:$B,$B67, 'NeT GP - table_export'!$K:$K,"Yes")</f>
        <v>13</v>
      </c>
      <c r="Q67" s="52">
        <f>SUMIFS('NeT GP - table_export'!$J:$J,'NeT GP - table_export'!$B:$B,$B67, 'NeT GP - table_export'!$K:$K,"No")</f>
        <v>1278</v>
      </c>
      <c r="R67" s="135">
        <f t="shared" si="3"/>
        <v>13</v>
      </c>
      <c r="S67" s="36">
        <f>SUMIFS('NeT GP - table_export'!$J:$J,'NeT GP - table_export'!$B:$B,$B67, 'NeT GP - table_export'!$K:$K,"Yes", 'NeT GP - table_export'!$L:$L,"Yes")</f>
        <v>13</v>
      </c>
      <c r="T67" s="36">
        <f>SUMIFS('NeT GP - table_export'!$J:$J,'NeT GP - table_export'!$B:$B,$B67, 'NeT GP - table_export'!$K:$K,"Yes", 'NeT GP - table_export'!$L:$L,"Yes",'NeT GP - table_export'!$AA:$AA,"Yes")</f>
        <v>5</v>
      </c>
      <c r="U67" s="36">
        <f>SUMIFS('NeT GP - table_export'!$J:$J,'NeT GP - table_export'!$B:$B,$B67, 'NeT GP - table_export'!$K:$K,"No", 'NeT GP - table_export'!$L:$L,"Yes")</f>
        <v>0</v>
      </c>
      <c r="V67" s="52">
        <f>SUMIFS('NeT GP - table_export'!$J:$J,'NeT GP - table_export'!$B:$B,$B67, 'NeT GP - table_export'!$K:$K,"No", 'NeT GP - table_export'!$L:$L,"Yes",'NeT GP - table_export'!$AA:$AA,"Yes")</f>
        <v>0</v>
      </c>
    </row>
    <row r="69" spans="2:22" x14ac:dyDescent="0.35">
      <c r="D69" s="23" t="s">
        <v>420</v>
      </c>
      <c r="E69" s="164">
        <f>COUNTIF(E6:E67,"Yes")</f>
        <v>48</v>
      </c>
      <c r="F69" s="164">
        <f>COUNTIF(F6:F67,"Yes")</f>
        <v>13</v>
      </c>
      <c r="G69" s="4">
        <f t="shared" ref="G69:V69" si="4">SUM(G6:G67)</f>
        <v>955</v>
      </c>
      <c r="H69" s="4">
        <f t="shared" si="4"/>
        <v>200</v>
      </c>
      <c r="I69" s="4">
        <f t="shared" si="4"/>
        <v>755</v>
      </c>
      <c r="J69" s="4">
        <f t="shared" si="4"/>
        <v>291</v>
      </c>
      <c r="K69" s="4">
        <f t="shared" si="4"/>
        <v>197</v>
      </c>
      <c r="L69" s="4">
        <f t="shared" si="4"/>
        <v>159</v>
      </c>
      <c r="M69" s="4">
        <f t="shared" si="4"/>
        <v>94</v>
      </c>
      <c r="N69" s="4">
        <f t="shared" si="4"/>
        <v>16</v>
      </c>
      <c r="O69" s="4">
        <f t="shared" si="4"/>
        <v>436170</v>
      </c>
      <c r="P69" s="4">
        <f t="shared" si="4"/>
        <v>28453</v>
      </c>
      <c r="Q69" s="4">
        <f t="shared" si="4"/>
        <v>407717</v>
      </c>
      <c r="R69" s="4">
        <f t="shared" si="4"/>
        <v>55045</v>
      </c>
      <c r="S69" s="4">
        <f t="shared" si="4"/>
        <v>28453</v>
      </c>
      <c r="T69" s="4">
        <f t="shared" si="4"/>
        <v>23946</v>
      </c>
      <c r="U69" s="4">
        <f t="shared" si="4"/>
        <v>26592</v>
      </c>
      <c r="V69" s="4">
        <f t="shared" si="4"/>
        <v>9407</v>
      </c>
    </row>
    <row r="71" spans="2:22" x14ac:dyDescent="0.35">
      <c r="B71" s="97" t="s">
        <v>2048</v>
      </c>
      <c r="D71" s="97"/>
      <c r="E71" s="97"/>
      <c r="F71" s="97"/>
    </row>
    <row r="72" spans="2:22" ht="59.15" customHeight="1" x14ac:dyDescent="0.35">
      <c r="B72" s="138" t="s">
        <v>1852</v>
      </c>
      <c r="C72" s="138" t="s">
        <v>1853</v>
      </c>
      <c r="D72" s="138" t="s">
        <v>1860</v>
      </c>
      <c r="E72" s="138" t="s">
        <v>2066</v>
      </c>
      <c r="F72" s="138" t="s">
        <v>2071</v>
      </c>
    </row>
    <row r="73" spans="2:22" x14ac:dyDescent="0.35">
      <c r="B73" s="7" t="s">
        <v>53</v>
      </c>
      <c r="C73" s="99" t="s">
        <v>532</v>
      </c>
      <c r="D73" s="8">
        <f>COUNTIFS('NeT GP - table_export'!$B:$B,$B73, 'NeT GP - table_export'!$K:$K,"No", 'NeT GP - table_export'!$L:$L,"Yes")</f>
        <v>8</v>
      </c>
      <c r="E73" s="8">
        <f>COUNTIFS('NeT GP - table_export'!$B:$B,$B73, 'NeT GP - table_export'!$K:$K,"No", 'NeT GP - table_export'!$L:$L,"Yes",'NeT GP - table_export'!$AA:$AA,"Yes")</f>
        <v>0</v>
      </c>
      <c r="F73" s="8">
        <f>D73-E73</f>
        <v>8</v>
      </c>
    </row>
    <row r="74" spans="2:22" x14ac:dyDescent="0.35">
      <c r="B74" s="7" t="s">
        <v>78</v>
      </c>
      <c r="C74" s="99" t="s">
        <v>568</v>
      </c>
      <c r="D74" s="8">
        <f>COUNTIFS('NeT GP - table_export'!$B:$B,$B74, 'NeT GP - table_export'!$K:$K,"No", 'NeT GP - table_export'!$L:$L,"Yes")</f>
        <v>2</v>
      </c>
      <c r="E74" s="8">
        <f>COUNTIFS('NeT GP - table_export'!$B:$B,$B74, 'NeT GP - table_export'!$K:$K,"No", 'NeT GP - table_export'!$L:$L,"Yes",'NeT GP - table_export'!$AA:$AA,"Yes")</f>
        <v>1</v>
      </c>
      <c r="F74" s="8">
        <f t="shared" ref="F74:F85" si="5">D74-E74</f>
        <v>1</v>
      </c>
    </row>
    <row r="75" spans="2:22" x14ac:dyDescent="0.35">
      <c r="B75" s="7" t="s">
        <v>104</v>
      </c>
      <c r="C75" s="99" t="s">
        <v>576</v>
      </c>
      <c r="D75" s="8">
        <f>COUNTIFS('NeT GP - table_export'!$B:$B,$B75, 'NeT GP - table_export'!$K:$K,"No", 'NeT GP - table_export'!$L:$L,"Yes")</f>
        <v>4</v>
      </c>
      <c r="E75" s="8">
        <f>COUNTIFS('NeT GP - table_export'!$B:$B,$B75, 'NeT GP - table_export'!$K:$K,"No", 'NeT GP - table_export'!$L:$L,"Yes",'NeT GP - table_export'!$AA:$AA,"Yes")</f>
        <v>1</v>
      </c>
      <c r="F75" s="8">
        <f t="shared" si="5"/>
        <v>3</v>
      </c>
    </row>
    <row r="76" spans="2:22" x14ac:dyDescent="0.35">
      <c r="B76" s="7" t="s">
        <v>119</v>
      </c>
      <c r="C76" s="99" t="s">
        <v>536</v>
      </c>
      <c r="D76" s="8">
        <f>COUNTIFS('NeT GP - table_export'!$B:$B,$B76, 'NeT GP - table_export'!$K:$K,"No", 'NeT GP - table_export'!$L:$L,"Yes")</f>
        <v>13</v>
      </c>
      <c r="E76" s="8">
        <f>COUNTIFS('NeT GP - table_export'!$B:$B,$B76, 'NeT GP - table_export'!$K:$K,"No", 'NeT GP - table_export'!$L:$L,"Yes",'NeT GP - table_export'!$AA:$AA,"Yes")</f>
        <v>2</v>
      </c>
      <c r="F76" s="8">
        <f t="shared" si="5"/>
        <v>11</v>
      </c>
    </row>
    <row r="77" spans="2:22" x14ac:dyDescent="0.35">
      <c r="B77" s="7" t="s">
        <v>79</v>
      </c>
      <c r="C77" s="99" t="s">
        <v>543</v>
      </c>
      <c r="D77" s="8">
        <f>COUNTIFS('NeT GP - table_export'!$B:$B,$B77, 'NeT GP - table_export'!$K:$K,"No", 'NeT GP - table_export'!$L:$L,"Yes")</f>
        <v>8</v>
      </c>
      <c r="E77" s="8">
        <f>COUNTIFS('NeT GP - table_export'!$B:$B,$B77, 'NeT GP - table_export'!$K:$K,"No", 'NeT GP - table_export'!$L:$L,"Yes",'NeT GP - table_export'!$AA:$AA,"Yes")</f>
        <v>0</v>
      </c>
      <c r="F77" s="8">
        <f t="shared" si="5"/>
        <v>8</v>
      </c>
    </row>
    <row r="78" spans="2:22" x14ac:dyDescent="0.35">
      <c r="B78" s="7" t="s">
        <v>186</v>
      </c>
      <c r="C78" s="99" t="s">
        <v>540</v>
      </c>
      <c r="D78" s="8">
        <f>COUNTIFS('NeT GP - table_export'!$B:$B,$B78, 'NeT GP - table_export'!$K:$K,"No", 'NeT GP - table_export'!$L:$L,"Yes")</f>
        <v>8</v>
      </c>
      <c r="E78" s="8">
        <f>COUNTIFS('NeT GP - table_export'!$B:$B,$B78, 'NeT GP - table_export'!$K:$K,"No", 'NeT GP - table_export'!$L:$L,"Yes",'NeT GP - table_export'!$AA:$AA,"Yes")</f>
        <v>0</v>
      </c>
      <c r="F78" s="8">
        <f t="shared" ref="F78" si="6">D78-E78</f>
        <v>8</v>
      </c>
    </row>
    <row r="79" spans="2:22" x14ac:dyDescent="0.35">
      <c r="B79" s="7" t="s">
        <v>226</v>
      </c>
      <c r="C79" s="99" t="s">
        <v>544</v>
      </c>
      <c r="D79" s="8">
        <f>COUNTIFS('NeT GP - table_export'!$B:$B,$B79, 'NeT GP - table_export'!$K:$K,"No", 'NeT GP - table_export'!$L:$L,"Yes")</f>
        <v>10</v>
      </c>
      <c r="E79" s="8">
        <f>COUNTIFS('NeT GP - table_export'!$B:$B,$B79, 'NeT GP - table_export'!$K:$K,"No", 'NeT GP - table_export'!$L:$L,"Yes",'NeT GP - table_export'!$AA:$AA,"Yes")</f>
        <v>0</v>
      </c>
      <c r="F79" s="8">
        <f t="shared" si="5"/>
        <v>10</v>
      </c>
    </row>
    <row r="80" spans="2:22" x14ac:dyDescent="0.35">
      <c r="B80" s="7" t="s">
        <v>275</v>
      </c>
      <c r="C80" s="99" t="s">
        <v>545</v>
      </c>
      <c r="D80" s="8">
        <f>COUNTIFS('NeT GP - table_export'!$B:$B,$B80, 'NeT GP - table_export'!$K:$K,"No", 'NeT GP - table_export'!$L:$L,"Yes")</f>
        <v>11</v>
      </c>
      <c r="E80" s="8">
        <f>COUNTIFS('NeT GP - table_export'!$B:$B,$B80, 'NeT GP - table_export'!$K:$K,"No", 'NeT GP - table_export'!$L:$L,"Yes",'NeT GP - table_export'!$AA:$AA,"Yes")</f>
        <v>1</v>
      </c>
      <c r="F80" s="8">
        <f t="shared" si="5"/>
        <v>10</v>
      </c>
    </row>
    <row r="81" spans="2:6" x14ac:dyDescent="0.35">
      <c r="B81" s="7" t="s">
        <v>336</v>
      </c>
      <c r="C81" s="99" t="s">
        <v>546</v>
      </c>
      <c r="D81" s="8">
        <f>COUNTIFS('NeT GP - table_export'!$B:$B,$B81, 'NeT GP - table_export'!$K:$K,"No", 'NeT GP - table_export'!$L:$L,"Yes")</f>
        <v>5</v>
      </c>
      <c r="E81" s="8">
        <f>COUNTIFS('NeT GP - table_export'!$B:$B,$B81, 'NeT GP - table_export'!$K:$K,"No", 'NeT GP - table_export'!$L:$L,"Yes",'NeT GP - table_export'!$AA:$AA,"Yes")</f>
        <v>1</v>
      </c>
      <c r="F81" s="8">
        <f t="shared" si="5"/>
        <v>4</v>
      </c>
    </row>
    <row r="82" spans="2:6" x14ac:dyDescent="0.35">
      <c r="B82" s="7" t="s">
        <v>348</v>
      </c>
      <c r="C82" s="99" t="s">
        <v>547</v>
      </c>
      <c r="D82" s="8">
        <f>COUNTIFS('NeT GP - table_export'!$B:$B,$B82, 'NeT GP - table_export'!$K:$K,"No", 'NeT GP - table_export'!$L:$L,"Yes")</f>
        <v>9</v>
      </c>
      <c r="E82" s="8">
        <f>COUNTIFS('NeT GP - table_export'!$B:$B,$B82, 'NeT GP - table_export'!$K:$K,"No", 'NeT GP - table_export'!$L:$L,"Yes",'NeT GP - table_export'!$AA:$AA,"Yes")</f>
        <v>2</v>
      </c>
      <c r="F82" s="8">
        <f t="shared" si="5"/>
        <v>7</v>
      </c>
    </row>
    <row r="83" spans="2:6" x14ac:dyDescent="0.35">
      <c r="B83" s="7" t="s">
        <v>368</v>
      </c>
      <c r="C83" s="99" t="s">
        <v>549</v>
      </c>
      <c r="D83" s="8">
        <f>COUNTIFS('NeT GP - table_export'!$B:$B,$B83, 'NeT GP - table_export'!$K:$K,"No", 'NeT GP - table_export'!$L:$L,"Yes")</f>
        <v>1</v>
      </c>
      <c r="E83" s="8">
        <f>COUNTIFS('NeT GP - table_export'!$B:$B,$B83, 'NeT GP - table_export'!$K:$K,"No", 'NeT GP - table_export'!$L:$L,"Yes",'NeT GP - table_export'!$AA:$AA,"Yes")</f>
        <v>1</v>
      </c>
      <c r="F83" s="8">
        <f t="shared" si="5"/>
        <v>0</v>
      </c>
    </row>
    <row r="84" spans="2:6" x14ac:dyDescent="0.35">
      <c r="B84" s="7" t="s">
        <v>370</v>
      </c>
      <c r="C84" s="99" t="s">
        <v>550</v>
      </c>
      <c r="D84" s="8">
        <f>COUNTIFS('NeT GP - table_export'!$B:$B,$B84, 'NeT GP - table_export'!$K:$K,"No", 'NeT GP - table_export'!$L:$L,"Yes")</f>
        <v>11</v>
      </c>
      <c r="E84" s="8">
        <f>COUNTIFS('NeT GP - table_export'!$B:$B,$B84, 'NeT GP - table_export'!$K:$K,"No", 'NeT GP - table_export'!$L:$L,"Yes",'NeT GP - table_export'!$AA:$AA,"Yes")</f>
        <v>7</v>
      </c>
      <c r="F84" s="8">
        <f t="shared" si="5"/>
        <v>4</v>
      </c>
    </row>
    <row r="85" spans="2:6" x14ac:dyDescent="0.35">
      <c r="B85" s="7" t="s">
        <v>395</v>
      </c>
      <c r="C85" s="99" t="s">
        <v>551</v>
      </c>
      <c r="D85" s="8">
        <f>COUNTIFS('NeT GP - table_export'!$B:$B,$B85, 'NeT GP - table_export'!$K:$K,"No", 'NeT GP - table_export'!$L:$L,"Yes")</f>
        <v>4</v>
      </c>
      <c r="E85" s="8">
        <f>COUNTIFS('NeT GP - table_export'!$B:$B,$B85, 'NeT GP - table_export'!$K:$K,"No", 'NeT GP - table_export'!$L:$L,"Yes",'NeT GP - table_export'!$AA:$AA,"Yes")</f>
        <v>0</v>
      </c>
      <c r="F85" s="8">
        <f t="shared" si="5"/>
        <v>4</v>
      </c>
    </row>
    <row r="86" spans="2:6" x14ac:dyDescent="0.35">
      <c r="C86" s="5" t="s">
        <v>420</v>
      </c>
      <c r="D86" s="4">
        <f>SUM(D73:D85)</f>
        <v>94</v>
      </c>
      <c r="E86" s="4">
        <f>SUM(E73:E85)</f>
        <v>16</v>
      </c>
      <c r="F86" s="4">
        <f>SUM(F73:F85)</f>
        <v>78</v>
      </c>
    </row>
    <row r="87" spans="2:6" x14ac:dyDescent="0.35">
      <c r="D87" s="4"/>
      <c r="E87" s="4"/>
      <c r="F87" s="4"/>
    </row>
    <row r="88" spans="2:6" x14ac:dyDescent="0.35">
      <c r="B88" s="23" t="s">
        <v>2065</v>
      </c>
      <c r="C88" s="3" t="str">
        <f>IF(COUNTA(C73:C85)=$F$69,"Yes","No")</f>
        <v>Yes</v>
      </c>
      <c r="D88" s="3" t="str">
        <f>IF(D86=$M$69,"Yes","No")</f>
        <v>Yes</v>
      </c>
      <c r="E88" s="3" t="str">
        <f>IF(E86=$N$69,"Yes","No")</f>
        <v>Yes</v>
      </c>
      <c r="F88" s="4"/>
    </row>
    <row r="89" spans="2:6" x14ac:dyDescent="0.35">
      <c r="D89" s="4"/>
      <c r="E89" s="4"/>
      <c r="F89" s="4"/>
    </row>
    <row r="90" spans="2:6" x14ac:dyDescent="0.35">
      <c r="B90" s="97" t="s">
        <v>2049</v>
      </c>
      <c r="D90" s="97"/>
      <c r="E90" s="97"/>
      <c r="F90" s="97"/>
    </row>
    <row r="91" spans="2:6" ht="117" customHeight="1" x14ac:dyDescent="0.35">
      <c r="B91" s="138" t="s">
        <v>1852</v>
      </c>
      <c r="C91" s="138" t="s">
        <v>1853</v>
      </c>
      <c r="D91" s="138" t="s">
        <v>528</v>
      </c>
      <c r="E91" s="138" t="s">
        <v>2067</v>
      </c>
      <c r="F91" s="138" t="s">
        <v>2072</v>
      </c>
    </row>
    <row r="92" spans="2:6" x14ac:dyDescent="0.35">
      <c r="B92" s="99" t="s">
        <v>53</v>
      </c>
      <c r="C92" s="99" t="s">
        <v>532</v>
      </c>
      <c r="D92" s="8">
        <f>SUMIFS('NeT GP - table_export'!$J:$J,'NeT GP - table_export'!$B:$B,$B92, 'NeT GP - table_export'!$K:$K,"No", 'NeT GP - table_export'!$L:$L,"Yes")</f>
        <v>2712</v>
      </c>
      <c r="E92" s="8">
        <f>SUMIFS('NeT GP - table_export'!$J:$J,'NeT GP - table_export'!$B:$B,$B92, 'NeT GP - table_export'!$K:$K,"No", 'NeT GP - table_export'!$L:$L,"Yes",'NeT GP - table_export'!$AA:$AA,"Yes")</f>
        <v>0</v>
      </c>
      <c r="F92" s="8">
        <f>D92-E92</f>
        <v>2712</v>
      </c>
    </row>
    <row r="93" spans="2:6" x14ac:dyDescent="0.35">
      <c r="B93" s="7" t="s">
        <v>78</v>
      </c>
      <c r="C93" s="99" t="s">
        <v>568</v>
      </c>
      <c r="D93" s="8">
        <f>SUMIFS('NeT GP - table_export'!$J:$J,'NeT GP - table_export'!$B:$B,$B93, 'NeT GP - table_export'!$K:$K,"No", 'NeT GP - table_export'!$L:$L,"Yes")</f>
        <v>390</v>
      </c>
      <c r="E93" s="8">
        <f>SUMIFS('NeT GP - table_export'!$J:$J,'NeT GP - table_export'!$B:$B,$B93, 'NeT GP - table_export'!$K:$K,"No", 'NeT GP - table_export'!$L:$L,"Yes",'NeT GP - table_export'!$AA:$AA,"Yes")</f>
        <v>3</v>
      </c>
      <c r="F93" s="8">
        <f t="shared" ref="F93:F104" si="7">D93-E93</f>
        <v>387</v>
      </c>
    </row>
    <row r="94" spans="2:6" x14ac:dyDescent="0.35">
      <c r="B94" s="99" t="s">
        <v>104</v>
      </c>
      <c r="C94" s="99" t="s">
        <v>576</v>
      </c>
      <c r="D94" s="8">
        <f>SUMIFS('NeT GP - table_export'!$J:$J,'NeT GP - table_export'!$B:$B,$B94, 'NeT GP - table_export'!$K:$K,"No", 'NeT GP - table_export'!$L:$L,"Yes")</f>
        <v>200</v>
      </c>
      <c r="E94" s="8">
        <f>SUMIFS('NeT GP - table_export'!$J:$J,'NeT GP - table_export'!$B:$B,$B94, 'NeT GP - table_export'!$K:$K,"No", 'NeT GP - table_export'!$L:$L,"Yes",'NeT GP - table_export'!$AA:$AA,"Yes")</f>
        <v>10</v>
      </c>
      <c r="F94" s="8">
        <f t="shared" si="7"/>
        <v>190</v>
      </c>
    </row>
    <row r="95" spans="2:6" x14ac:dyDescent="0.35">
      <c r="B95" s="99" t="s">
        <v>119</v>
      </c>
      <c r="C95" s="99" t="s">
        <v>536</v>
      </c>
      <c r="D95" s="8">
        <f>SUMIFS('NeT GP - table_export'!$J:$J,'NeT GP - table_export'!$B:$B,$B95, 'NeT GP - table_export'!$K:$K,"No", 'NeT GP - table_export'!$L:$L,"Yes")</f>
        <v>5488</v>
      </c>
      <c r="E95" s="8">
        <f>SUMIFS('NeT GP - table_export'!$J:$J,'NeT GP - table_export'!$B:$B,$B95, 'NeT GP - table_export'!$K:$K,"No", 'NeT GP - table_export'!$L:$L,"Yes",'NeT GP - table_export'!$AA:$AA,"Yes")</f>
        <v>1499</v>
      </c>
      <c r="F95" s="8">
        <f t="shared" si="7"/>
        <v>3989</v>
      </c>
    </row>
    <row r="96" spans="2:6" x14ac:dyDescent="0.35">
      <c r="B96" s="99" t="s">
        <v>79</v>
      </c>
      <c r="C96" s="99" t="s">
        <v>543</v>
      </c>
      <c r="D96" s="8">
        <f>SUMIFS('NeT GP - table_export'!$J:$J,'NeT GP - table_export'!$B:$B,$B96, 'NeT GP - table_export'!$K:$K,"No", 'NeT GP - table_export'!$L:$L,"Yes")</f>
        <v>63</v>
      </c>
      <c r="E96" s="8">
        <f>SUMIFS('NeT GP - table_export'!$J:$J,'NeT GP - table_export'!$B:$B,$B96, 'NeT GP - table_export'!$K:$K,"No", 'NeT GP - table_export'!$L:$L,"Yes",'NeT GP - table_export'!$AA:$AA,"Yes")</f>
        <v>0</v>
      </c>
      <c r="F96" s="8">
        <f t="shared" si="7"/>
        <v>63</v>
      </c>
    </row>
    <row r="97" spans="2:6" x14ac:dyDescent="0.35">
      <c r="B97" s="99" t="s">
        <v>186</v>
      </c>
      <c r="C97" s="99" t="s">
        <v>540</v>
      </c>
      <c r="D97" s="8">
        <f>SUMIFS('NeT GP - table_export'!$J:$J,'NeT GP - table_export'!$B:$B,$B97, 'NeT GP - table_export'!$K:$K,"No", 'NeT GP - table_export'!$L:$L,"Yes")</f>
        <v>4364</v>
      </c>
      <c r="E97" s="8">
        <f>SUMIFS('NeT GP - table_export'!$J:$J,'NeT GP - table_export'!$B:$B,$B97, 'NeT GP - table_export'!$K:$K,"No", 'NeT GP - table_export'!$L:$L,"Yes",'NeT GP - table_export'!$AA:$AA,"Yes")</f>
        <v>0</v>
      </c>
      <c r="F97" s="8">
        <f t="shared" ref="F97" si="8">D97-E97</f>
        <v>4364</v>
      </c>
    </row>
    <row r="98" spans="2:6" x14ac:dyDescent="0.35">
      <c r="B98" s="99" t="s">
        <v>226</v>
      </c>
      <c r="C98" s="99" t="s">
        <v>544</v>
      </c>
      <c r="D98" s="8">
        <f>SUMIFS('NeT GP - table_export'!$J:$J,'NeT GP - table_export'!$B:$B,$B98, 'NeT GP - table_export'!$K:$K,"No", 'NeT GP - table_export'!$L:$L,"Yes")</f>
        <v>4123</v>
      </c>
      <c r="E98" s="8">
        <f>SUMIFS('NeT GP - table_export'!$J:$J,'NeT GP - table_export'!$B:$B,$B98, 'NeT GP - table_export'!$K:$K,"No", 'NeT GP - table_export'!$L:$L,"Yes",'NeT GP - table_export'!$AA:$AA,"Yes")</f>
        <v>0</v>
      </c>
      <c r="F98" s="8">
        <f t="shared" si="7"/>
        <v>4123</v>
      </c>
    </row>
    <row r="99" spans="2:6" x14ac:dyDescent="0.35">
      <c r="B99" s="99" t="s">
        <v>275</v>
      </c>
      <c r="C99" s="99" t="s">
        <v>545</v>
      </c>
      <c r="D99" s="8">
        <f>SUMIFS('NeT GP - table_export'!$J:$J,'NeT GP - table_export'!$B:$B,$B99, 'NeT GP - table_export'!$K:$K,"No", 'NeT GP - table_export'!$L:$L,"Yes")</f>
        <v>520</v>
      </c>
      <c r="E99" s="8">
        <f>SUMIFS('NeT GP - table_export'!$J:$J,'NeT GP - table_export'!$B:$B,$B99, 'NeT GP - table_export'!$K:$K,"No", 'NeT GP - table_export'!$L:$L,"Yes",'NeT GP - table_export'!$AA:$AA,"Yes")</f>
        <v>14</v>
      </c>
      <c r="F99" s="8">
        <f t="shared" si="7"/>
        <v>506</v>
      </c>
    </row>
    <row r="100" spans="2:6" x14ac:dyDescent="0.35">
      <c r="B100" s="99" t="s">
        <v>336</v>
      </c>
      <c r="C100" s="99" t="s">
        <v>546</v>
      </c>
      <c r="D100" s="8">
        <f>SUMIFS('NeT GP - table_export'!$J:$J,'NeT GP - table_export'!$B:$B,$B100, 'NeT GP - table_export'!$K:$K,"No", 'NeT GP - table_export'!$L:$L,"Yes")</f>
        <v>283</v>
      </c>
      <c r="E100" s="8">
        <f>SUMIFS('NeT GP - table_export'!$J:$J,'NeT GP - table_export'!$B:$B,$B100, 'NeT GP - table_export'!$K:$K,"No", 'NeT GP - table_export'!$L:$L,"Yes",'NeT GP - table_export'!$AA:$AA,"Yes")</f>
        <v>171</v>
      </c>
      <c r="F100" s="8">
        <f t="shared" si="7"/>
        <v>112</v>
      </c>
    </row>
    <row r="101" spans="2:6" x14ac:dyDescent="0.35">
      <c r="B101" s="99" t="s">
        <v>348</v>
      </c>
      <c r="C101" s="99" t="s">
        <v>547</v>
      </c>
      <c r="D101" s="8">
        <f>SUMIFS('NeT GP - table_export'!$J:$J,'NeT GP - table_export'!$B:$B,$B101, 'NeT GP - table_export'!$K:$K,"No", 'NeT GP - table_export'!$L:$L,"Yes")</f>
        <v>3230</v>
      </c>
      <c r="E101" s="8">
        <f>SUMIFS('NeT GP - table_export'!$J:$J,'NeT GP - table_export'!$B:$B,$B101, 'NeT GP - table_export'!$K:$K,"No", 'NeT GP - table_export'!$L:$L,"Yes",'NeT GP - table_export'!$AA:$AA,"Yes")</f>
        <v>2701</v>
      </c>
      <c r="F101" s="8">
        <f t="shared" si="7"/>
        <v>529</v>
      </c>
    </row>
    <row r="102" spans="2:6" x14ac:dyDescent="0.35">
      <c r="B102" s="99" t="s">
        <v>368</v>
      </c>
      <c r="C102" s="99" t="s">
        <v>549</v>
      </c>
      <c r="D102" s="8">
        <f>SUMIFS('NeT GP - table_export'!$J:$J,'NeT GP - table_export'!$B:$B,$B102, 'NeT GP - table_export'!$K:$K,"No", 'NeT GP - table_export'!$L:$L,"Yes")</f>
        <v>514</v>
      </c>
      <c r="E102" s="8">
        <f>SUMIFS('NeT GP - table_export'!$J:$J,'NeT GP - table_export'!$B:$B,$B102, 'NeT GP - table_export'!$K:$K,"No", 'NeT GP - table_export'!$L:$L,"Yes",'NeT GP - table_export'!$AA:$AA,"Yes")</f>
        <v>514</v>
      </c>
      <c r="F102" s="8">
        <f t="shared" si="7"/>
        <v>0</v>
      </c>
    </row>
    <row r="103" spans="2:6" x14ac:dyDescent="0.35">
      <c r="B103" s="99" t="s">
        <v>370</v>
      </c>
      <c r="C103" s="99" t="s">
        <v>550</v>
      </c>
      <c r="D103" s="8">
        <f>SUMIFS('NeT GP - table_export'!$J:$J,'NeT GP - table_export'!$B:$B,$B103, 'NeT GP - table_export'!$K:$K,"No", 'NeT GP - table_export'!$L:$L,"Yes")</f>
        <v>4558</v>
      </c>
      <c r="E103" s="8">
        <f>SUMIFS('NeT GP - table_export'!$J:$J,'NeT GP - table_export'!$B:$B,$B103, 'NeT GP - table_export'!$K:$K,"No", 'NeT GP - table_export'!$L:$L,"Yes",'NeT GP - table_export'!$AA:$AA,"Yes")</f>
        <v>4495</v>
      </c>
      <c r="F103" s="8">
        <f t="shared" si="7"/>
        <v>63</v>
      </c>
    </row>
    <row r="104" spans="2:6" x14ac:dyDescent="0.35">
      <c r="B104" s="99" t="s">
        <v>395</v>
      </c>
      <c r="C104" s="99" t="s">
        <v>551</v>
      </c>
      <c r="D104" s="8">
        <f>SUMIFS('NeT GP - table_export'!$J:$J,'NeT GP - table_export'!$B:$B,$B104, 'NeT GP - table_export'!$K:$K,"No", 'NeT GP - table_export'!$L:$L,"Yes")</f>
        <v>147</v>
      </c>
      <c r="E104" s="8">
        <f>SUMIFS('NeT GP - table_export'!$J:$J,'NeT GP - table_export'!$B:$B,$B104, 'NeT GP - table_export'!$K:$K,"No", 'NeT GP - table_export'!$L:$L,"Yes",'NeT GP - table_export'!$AA:$AA,"Yes")</f>
        <v>0</v>
      </c>
      <c r="F104" s="8">
        <f t="shared" si="7"/>
        <v>147</v>
      </c>
    </row>
    <row r="105" spans="2:6" x14ac:dyDescent="0.35">
      <c r="C105" s="5" t="s">
        <v>420</v>
      </c>
      <c r="D105" s="4">
        <f>SUM(D92:D104)</f>
        <v>26592</v>
      </c>
      <c r="E105" s="4">
        <f>SUM(E92:E104)</f>
        <v>9407</v>
      </c>
      <c r="F105" s="4">
        <f>SUM(F92:F104)</f>
        <v>17185</v>
      </c>
    </row>
    <row r="106" spans="2:6" x14ac:dyDescent="0.35">
      <c r="C106" s="5"/>
      <c r="D106" s="4"/>
      <c r="E106" s="4"/>
      <c r="F106" s="4"/>
    </row>
    <row r="107" spans="2:6" x14ac:dyDescent="0.35">
      <c r="B107" s="23" t="s">
        <v>2065</v>
      </c>
      <c r="C107" s="3" t="str">
        <f>IF(COUNTA(C92:C104)=$F$69,"Yes","No")</f>
        <v>Yes</v>
      </c>
      <c r="D107" s="3" t="str">
        <f>IF(D105=$U$69,"Yes","No")</f>
        <v>Yes</v>
      </c>
      <c r="E107" s="3" t="str">
        <f>IF(E105=$V$69,"Yes","No")</f>
        <v>Yes</v>
      </c>
      <c r="F107" s="4"/>
    </row>
    <row r="108" spans="2:6" x14ac:dyDescent="0.35">
      <c r="C108" s="5"/>
      <c r="D108" s="4"/>
      <c r="E108" s="4"/>
      <c r="F108" s="4"/>
    </row>
    <row r="109" spans="2:6" x14ac:dyDescent="0.35">
      <c r="B109" s="97" t="s">
        <v>2146</v>
      </c>
      <c r="D109" s="97"/>
      <c r="E109" s="97"/>
      <c r="F109" s="97"/>
    </row>
    <row r="110" spans="2:6" ht="99.65" customHeight="1" x14ac:dyDescent="0.35">
      <c r="B110" s="138" t="s">
        <v>1852</v>
      </c>
      <c r="C110" s="138" t="s">
        <v>1853</v>
      </c>
      <c r="D110" s="138" t="s">
        <v>2147</v>
      </c>
      <c r="E110" s="138" t="s">
        <v>2148</v>
      </c>
      <c r="F110" s="138" t="s">
        <v>2149</v>
      </c>
    </row>
    <row r="111" spans="2:6" x14ac:dyDescent="0.35">
      <c r="B111" s="99" t="s">
        <v>53</v>
      </c>
      <c r="C111" s="99" t="s">
        <v>532</v>
      </c>
      <c r="D111" s="8">
        <f>COUNTIFS('NeT GP Proxy Cards'!$F:$F,$B111)</f>
        <v>6</v>
      </c>
      <c r="E111" s="8">
        <f>COUNTIFS('NeT GP Proxy Cards'!$F:$F,$B111,'NeT GP Proxy Cards'!$G:$G,"Yes")</f>
        <v>0</v>
      </c>
      <c r="F111" s="8">
        <f>D111-E111</f>
        <v>6</v>
      </c>
    </row>
    <row r="112" spans="2:6" x14ac:dyDescent="0.35">
      <c r="B112" s="7" t="s">
        <v>78</v>
      </c>
      <c r="C112" s="99" t="s">
        <v>568</v>
      </c>
      <c r="D112" s="8">
        <f>COUNTIFS('NeT GP Proxy Cards'!$F:$F,$B112)</f>
        <v>2</v>
      </c>
      <c r="E112" s="8">
        <f>COUNTIFS('NeT GP Proxy Cards'!$F:$F,$B112,'NeT GP Proxy Cards'!$G:$G,"Yes")</f>
        <v>1</v>
      </c>
      <c r="F112" s="8">
        <f t="shared" ref="F112:F123" si="9">D112-E112</f>
        <v>1</v>
      </c>
    </row>
    <row r="113" spans="2:6" x14ac:dyDescent="0.35">
      <c r="B113" s="99" t="s">
        <v>104</v>
      </c>
      <c r="C113" s="99" t="s">
        <v>576</v>
      </c>
      <c r="D113" s="8">
        <f>COUNTIFS('NeT GP Proxy Cards'!$F:$F,$B113)</f>
        <v>3</v>
      </c>
      <c r="E113" s="8">
        <f>COUNTIFS('NeT GP Proxy Cards'!$F:$F,$B113,'NeT GP Proxy Cards'!$G:$G,"Yes")</f>
        <v>0</v>
      </c>
      <c r="F113" s="8">
        <f t="shared" si="9"/>
        <v>3</v>
      </c>
    </row>
    <row r="114" spans="2:6" x14ac:dyDescent="0.35">
      <c r="B114" s="99" t="s">
        <v>119</v>
      </c>
      <c r="C114" s="99" t="s">
        <v>536</v>
      </c>
      <c r="D114" s="8">
        <f>COUNTIFS('NeT GP Proxy Cards'!$F:$F,$B114)</f>
        <v>10</v>
      </c>
      <c r="E114" s="8">
        <f>COUNTIFS('NeT GP Proxy Cards'!$F:$F,$B114,'NeT GP Proxy Cards'!$G:$G,"Yes")</f>
        <v>2</v>
      </c>
      <c r="F114" s="8">
        <f t="shared" si="9"/>
        <v>8</v>
      </c>
    </row>
    <row r="115" spans="2:6" x14ac:dyDescent="0.35">
      <c r="B115" s="99" t="s">
        <v>79</v>
      </c>
      <c r="C115" s="99" t="s">
        <v>543</v>
      </c>
      <c r="D115" s="8">
        <f>COUNTIFS('NeT GP Proxy Cards'!$F:$F,$B115)</f>
        <v>3</v>
      </c>
      <c r="E115" s="8">
        <f>COUNTIFS('NeT GP Proxy Cards'!$F:$F,$B115,'NeT GP Proxy Cards'!$G:$G,"Yes")</f>
        <v>0</v>
      </c>
      <c r="F115" s="8">
        <f t="shared" si="9"/>
        <v>3</v>
      </c>
    </row>
    <row r="116" spans="2:6" x14ac:dyDescent="0.35">
      <c r="B116" s="99" t="s">
        <v>186</v>
      </c>
      <c r="C116" s="99" t="s">
        <v>540</v>
      </c>
      <c r="D116" s="8">
        <f>COUNTIFS('NeT GP Proxy Cards'!$F:$F,$B116)</f>
        <v>8</v>
      </c>
      <c r="E116" s="8">
        <f>COUNTIFS('NeT GP Proxy Cards'!$F:$F,$B116,'NeT GP Proxy Cards'!$G:$G,"Yes")</f>
        <v>0</v>
      </c>
      <c r="F116" s="8">
        <f t="shared" ref="F116" si="10">D116-E116</f>
        <v>8</v>
      </c>
    </row>
    <row r="117" spans="2:6" x14ac:dyDescent="0.35">
      <c r="B117" s="99" t="s">
        <v>226</v>
      </c>
      <c r="C117" s="99" t="s">
        <v>544</v>
      </c>
      <c r="D117" s="8">
        <f>COUNTIFS('NeT GP Proxy Cards'!$F:$F,$B117)</f>
        <v>5</v>
      </c>
      <c r="E117" s="8">
        <f>COUNTIFS('NeT GP Proxy Cards'!$F:$F,$B117,'NeT GP Proxy Cards'!$G:$G,"Yes")</f>
        <v>0</v>
      </c>
      <c r="F117" s="8">
        <f t="shared" si="9"/>
        <v>5</v>
      </c>
    </row>
    <row r="118" spans="2:6" x14ac:dyDescent="0.35">
      <c r="B118" s="99" t="s">
        <v>275</v>
      </c>
      <c r="C118" s="99" t="s">
        <v>545</v>
      </c>
      <c r="D118" s="8">
        <f>COUNTIFS('NeT GP Proxy Cards'!$F:$F,$B118)</f>
        <v>4</v>
      </c>
      <c r="E118" s="8">
        <f>COUNTIFS('NeT GP Proxy Cards'!$F:$F,$B118,'NeT GP Proxy Cards'!$G:$G,"Yes")</f>
        <v>1</v>
      </c>
      <c r="F118" s="8">
        <f t="shared" si="9"/>
        <v>3</v>
      </c>
    </row>
    <row r="119" spans="2:6" x14ac:dyDescent="0.35">
      <c r="B119" s="99" t="s">
        <v>336</v>
      </c>
      <c r="C119" s="99" t="s">
        <v>546</v>
      </c>
      <c r="D119" s="8">
        <f>COUNTIFS('NeT GP Proxy Cards'!$F:$F,$B119)</f>
        <v>5</v>
      </c>
      <c r="E119" s="8">
        <f>COUNTIFS('NeT GP Proxy Cards'!$F:$F,$B119,'NeT GP Proxy Cards'!$G:$G,"Yes")</f>
        <v>1</v>
      </c>
      <c r="F119" s="8">
        <f t="shared" si="9"/>
        <v>4</v>
      </c>
    </row>
    <row r="120" spans="2:6" x14ac:dyDescent="0.35">
      <c r="B120" s="99" t="s">
        <v>348</v>
      </c>
      <c r="C120" s="99" t="s">
        <v>547</v>
      </c>
      <c r="D120" s="8">
        <f>COUNTIFS('NeT GP Proxy Cards'!$F:$F,$B120)</f>
        <v>7</v>
      </c>
      <c r="E120" s="8">
        <f>COUNTIFS('NeT GP Proxy Cards'!$F:$F,$B120,'NeT GP Proxy Cards'!$G:$G,"Yes")</f>
        <v>2</v>
      </c>
      <c r="F120" s="8">
        <f t="shared" si="9"/>
        <v>5</v>
      </c>
    </row>
    <row r="121" spans="2:6" x14ac:dyDescent="0.35">
      <c r="B121" s="99" t="s">
        <v>368</v>
      </c>
      <c r="C121" s="99" t="s">
        <v>549</v>
      </c>
      <c r="D121" s="8">
        <f>COUNTIFS('NeT GP Proxy Cards'!$F:$F,$B121)</f>
        <v>1</v>
      </c>
      <c r="E121" s="8">
        <f>COUNTIFS('NeT GP Proxy Cards'!$F:$F,$B121,'NeT GP Proxy Cards'!$G:$G,"Yes")</f>
        <v>1</v>
      </c>
      <c r="F121" s="8">
        <f t="shared" si="9"/>
        <v>0</v>
      </c>
    </row>
    <row r="122" spans="2:6" x14ac:dyDescent="0.35">
      <c r="B122" s="99" t="s">
        <v>370</v>
      </c>
      <c r="C122" s="99" t="s">
        <v>550</v>
      </c>
      <c r="D122" s="8">
        <f>COUNTIFS('NeT GP Proxy Cards'!$F:$F,$B122)</f>
        <v>9</v>
      </c>
      <c r="E122" s="8">
        <f>COUNTIFS('NeT GP Proxy Cards'!$F:$F,$B122,'NeT GP Proxy Cards'!$G:$G,"Yes")</f>
        <v>6</v>
      </c>
      <c r="F122" s="8">
        <f t="shared" si="9"/>
        <v>3</v>
      </c>
    </row>
    <row r="123" spans="2:6" x14ac:dyDescent="0.35">
      <c r="B123" s="99" t="s">
        <v>395</v>
      </c>
      <c r="C123" s="99" t="s">
        <v>551</v>
      </c>
      <c r="D123" s="8">
        <f>COUNTIFS('NeT GP Proxy Cards'!$F:$F,$B123)</f>
        <v>4</v>
      </c>
      <c r="E123" s="8">
        <f>COUNTIFS('NeT GP Proxy Cards'!$F:$F,$B123,'NeT GP Proxy Cards'!$G:$G,"Yes")</f>
        <v>0</v>
      </c>
      <c r="F123" s="8">
        <f t="shared" si="9"/>
        <v>4</v>
      </c>
    </row>
    <row r="124" spans="2:6" x14ac:dyDescent="0.35">
      <c r="C124" s="5" t="s">
        <v>420</v>
      </c>
      <c r="D124" s="4">
        <f>SUM(D111:D123)</f>
        <v>67</v>
      </c>
      <c r="E124" s="4">
        <f>SUM(E111:E123)</f>
        <v>14</v>
      </c>
      <c r="F124" s="4">
        <f>SUM(F111:F123)</f>
        <v>53</v>
      </c>
    </row>
    <row r="125" spans="2:6" x14ac:dyDescent="0.35">
      <c r="C125" s="5"/>
      <c r="D125" s="4"/>
      <c r="E125" s="4"/>
      <c r="F125" s="4"/>
    </row>
    <row r="126" spans="2:6" x14ac:dyDescent="0.35">
      <c r="B126" s="23" t="s">
        <v>2065</v>
      </c>
      <c r="C126" s="3" t="str">
        <f>IF(COUNTA(C73:C85)=F69,"Yes","No")</f>
        <v>Yes</v>
      </c>
      <c r="D126" s="3" t="str">
        <f>IF(D124=COUNTIFS('NeT GP Proxy Cards'!$E:$E,"No"),"Yes","No")</f>
        <v>Yes</v>
      </c>
      <c r="E126" s="3" t="str">
        <f>IF(E124=COUNTIFS('NeT GP Proxy Cards'!$E:$E,"No",'NeT GP Proxy Cards'!$G:$G,"Yes"),"Yes","No")</f>
        <v>Yes</v>
      </c>
    </row>
    <row r="128" spans="2:6" x14ac:dyDescent="0.35">
      <c r="B128" s="97" t="s">
        <v>2068</v>
      </c>
    </row>
    <row r="129" spans="2:6" ht="58" x14ac:dyDescent="0.35">
      <c r="B129" s="138" t="s">
        <v>2160</v>
      </c>
      <c r="C129" s="138" t="s">
        <v>2069</v>
      </c>
      <c r="D129" s="138" t="s">
        <v>1858</v>
      </c>
      <c r="E129" s="138" t="s">
        <v>2073</v>
      </c>
      <c r="F129" s="138" t="s">
        <v>2074</v>
      </c>
    </row>
    <row r="130" spans="2:6" x14ac:dyDescent="0.35">
      <c r="B130" s="7" t="s">
        <v>2092</v>
      </c>
      <c r="C130" s="99" t="s">
        <v>2092</v>
      </c>
      <c r="D130" s="8">
        <f>SUM('NeT Roadmap'!D6,'NeT Roadmap'!D7,'NeT Roadmap'!D10)</f>
        <v>140</v>
      </c>
      <c r="E130" s="8">
        <f>SUM('NeT Roadmap'!E6,'NeT Roadmap'!E7,'NeT Roadmap'!E10)</f>
        <v>140</v>
      </c>
      <c r="F130" s="8">
        <f>D130-E130</f>
        <v>0</v>
      </c>
    </row>
    <row r="131" spans="2:6" x14ac:dyDescent="0.35">
      <c r="B131" s="7">
        <v>1</v>
      </c>
      <c r="C131" s="99" t="s">
        <v>2150</v>
      </c>
      <c r="D131" s="8">
        <f>COUNTIFS('NeT GP - table_export'!$C:$C,$B131,'NeT GP - table_export'!$K:$K,"Yes",'NeT GP - table_export'!$L:$L,"Yes")-(COUNTIFS('NeT GP - table_export'!$C:$C,$B131,'NeT GP - table_export'!$K:$K,"Yes",'NeT GP - table_export'!$N:$N,"Stormwater - Industrial")+COUNTIFS('NeT GP - table_export'!$C:$C,$B131,'NeT GP - table_export'!$K:$K,"Yes",'NeT GP - table_export'!$N:$N,"Stormwater - Construction")+COUNTIFS('NeT GP - table_export'!$C:$C,$B131,'NeT GP - table_export'!$K:$K,"Yes",'NeT GP - table_export'!$N:$N,"Pesticide Application"))</f>
        <v>24</v>
      </c>
      <c r="E131" s="8">
        <f>COUNTIFS('NeT GP - table_export'!$C:$C,$B131,'NeT GP - table_export'!$K:$K,"Yes",'NeT GP - table_export'!$L:$L,"Yes",'NeT GP - table_export'!$AA:$AA,"Yes")-(COUNTIFS('NeT GP - table_export'!$C:$C,$B131,'NeT GP - table_export'!$K:$K,"Yes",'NeT GP - table_export'!$AA:$AA,"Yes",'NeT GP - table_export'!$N:$N,"Stormwater - Industrial")+COUNTIFS('NeT GP - table_export'!$C:$C,$B131,'NeT GP - table_export'!$K:$K,"Yes",'NeT GP - table_export'!$AA:$AA,"Yes",'NeT GP - table_export'!$N:$N,"Stormwater - Construction")+COUNTIFS('NeT GP - table_export'!$C:$C,$B131,'NeT GP - table_export'!$K:$K,"Yes",'NeT GP - table_export'!$AA:$AA,"Yes",'NeT GP - table_export'!$N:$N,"Pesticide Application"))</f>
        <v>8</v>
      </c>
      <c r="F131" s="8">
        <f t="shared" ref="F131:F140" si="11">D131-E131</f>
        <v>16</v>
      </c>
    </row>
    <row r="132" spans="2:6" x14ac:dyDescent="0.35">
      <c r="B132" s="7">
        <v>2</v>
      </c>
      <c r="C132" s="99" t="s">
        <v>2151</v>
      </c>
      <c r="D132" s="8">
        <f>COUNTIFS('NeT GP - table_export'!$C:$C,$B132,'NeT GP - table_export'!$K:$K,"Yes",'NeT GP - table_export'!$L:$L,"Yes")-(COUNTIFS('NeT GP - table_export'!$C:$C,$B132,'NeT GP - table_export'!$K:$K,"Yes",'NeT GP - table_export'!$N:$N,"Stormwater - Industrial")+COUNTIFS('NeT GP - table_export'!$C:$C,$B132,'NeT GP - table_export'!$K:$K,"Yes",'NeT GP - table_export'!$N:$N,"Stormwater - Construction")+COUNTIFS('NeT GP - table_export'!$C:$C,$B132,'NeT GP - table_export'!$K:$K,"Yes",'NeT GP - table_export'!$N:$N,"Pesticide Application"))</f>
        <v>1</v>
      </c>
      <c r="E132" s="8">
        <f>COUNTIFS('NeT GP - table_export'!$C:$C,$B132,'NeT GP - table_export'!$K:$K,"Yes",'NeT GP - table_export'!$L:$L,"Yes",'NeT GP - table_export'!$AA:$AA,"Yes")-(COUNTIFS('NeT GP - table_export'!$C:$C,$B132,'NeT GP - table_export'!$K:$K,"Yes",'NeT GP - table_export'!$AA:$AA,"Yes",'NeT GP - table_export'!$N:$N,"Stormwater - Industrial")+COUNTIFS('NeT GP - table_export'!$C:$C,$B132,'NeT GP - table_export'!$K:$K,"Yes",'NeT GP - table_export'!$AA:$AA,"Yes",'NeT GP - table_export'!$N:$N,"Stormwater - Construction")+COUNTIFS('NeT GP - table_export'!$C:$C,$B132,'NeT GP - table_export'!$K:$K,"Yes",'NeT GP - table_export'!$AA:$AA,"Yes",'NeT GP - table_export'!$N:$N,"Pesticide Application"))</f>
        <v>0</v>
      </c>
      <c r="F132" s="8">
        <f t="shared" si="11"/>
        <v>1</v>
      </c>
    </row>
    <row r="133" spans="2:6" x14ac:dyDescent="0.35">
      <c r="B133" s="7">
        <v>3</v>
      </c>
      <c r="C133" s="99" t="s">
        <v>2152</v>
      </c>
      <c r="D133" s="8">
        <f>COUNTIFS('NeT GP - table_export'!$C:$C,$B133,'NeT GP - table_export'!$K:$K,"Yes",'NeT GP - table_export'!$L:$L,"Yes")-(COUNTIFS('NeT GP - table_export'!$C:$C,$B133,'NeT GP - table_export'!$K:$K,"Yes",'NeT GP - table_export'!$N:$N,"Stormwater - Industrial")+COUNTIFS('NeT GP - table_export'!$C:$C,$B133,'NeT GP - table_export'!$K:$K,"Yes",'NeT GP - table_export'!$N:$N,"Stormwater - Construction")+COUNTIFS('NeT GP - table_export'!$C:$C,$B133,'NeT GP - table_export'!$K:$K,"Yes",'NeT GP - table_export'!$N:$N,"Pesticide Application"))</f>
        <v>0</v>
      </c>
      <c r="E133" s="8">
        <f>COUNTIFS('NeT GP - table_export'!$C:$C,$B133,'NeT GP - table_export'!$K:$K,"Yes",'NeT GP - table_export'!$L:$L,"Yes",'NeT GP - table_export'!$AA:$AA,"Yes")-(COUNTIFS('NeT GP - table_export'!$C:$C,$B133,'NeT GP - table_export'!$K:$K,"Yes",'NeT GP - table_export'!$AA:$AA,"Yes",'NeT GP - table_export'!$N:$N,"Stormwater - Industrial")+COUNTIFS('NeT GP - table_export'!$C:$C,$B133,'NeT GP - table_export'!$K:$K,"Yes",'NeT GP - table_export'!$AA:$AA,"Yes",'NeT GP - table_export'!$N:$N,"Stormwater - Construction")+COUNTIFS('NeT GP - table_export'!$C:$C,$B133,'NeT GP - table_export'!$K:$K,"Yes",'NeT GP - table_export'!$AA:$AA,"Yes",'NeT GP - table_export'!$N:$N,"Pesticide Application"))</f>
        <v>0</v>
      </c>
      <c r="F133" s="8">
        <f t="shared" si="11"/>
        <v>0</v>
      </c>
    </row>
    <row r="134" spans="2:6" x14ac:dyDescent="0.35">
      <c r="B134" s="7">
        <v>4</v>
      </c>
      <c r="C134" s="99" t="s">
        <v>2153</v>
      </c>
      <c r="D134" s="8">
        <f>COUNTIFS('NeT GP - table_export'!$C:$C,$B134,'NeT GP - table_export'!$K:$K,"Yes",'NeT GP - table_export'!$L:$L,"Yes")-(COUNTIFS('NeT GP - table_export'!$C:$C,$B134,'NeT GP - table_export'!$K:$K,"Yes",'NeT GP - table_export'!$N:$N,"Stormwater - Industrial")+COUNTIFS('NeT GP - table_export'!$C:$C,$B134,'NeT GP - table_export'!$K:$K,"Yes",'NeT GP - table_export'!$N:$N,"Stormwater - Construction")+COUNTIFS('NeT GP - table_export'!$C:$C,$B134,'NeT GP - table_export'!$K:$K,"Yes",'NeT GP - table_export'!$N:$N,"Pesticide Application"))</f>
        <v>1</v>
      </c>
      <c r="E134" s="8">
        <f>COUNTIFS('NeT GP - table_export'!$C:$C,$B134,'NeT GP - table_export'!$K:$K,"Yes",'NeT GP - table_export'!$L:$L,"Yes",'NeT GP - table_export'!$AA:$AA,"Yes")-(COUNTIFS('NeT GP - table_export'!$C:$C,$B134,'NeT GP - table_export'!$K:$K,"Yes",'NeT GP - table_export'!$AA:$AA,"Yes",'NeT GP - table_export'!$N:$N,"Stormwater - Industrial")+COUNTIFS('NeT GP - table_export'!$C:$C,$B134,'NeT GP - table_export'!$K:$K,"Yes",'NeT GP - table_export'!$AA:$AA,"Yes",'NeT GP - table_export'!$N:$N,"Stormwater - Construction")+COUNTIFS('NeT GP - table_export'!$C:$C,$B134,'NeT GP - table_export'!$K:$K,"Yes",'NeT GP - table_export'!$AA:$AA,"Yes",'NeT GP - table_export'!$N:$N,"Pesticide Application"))</f>
        <v>1</v>
      </c>
      <c r="F134" s="8">
        <f t="shared" si="11"/>
        <v>0</v>
      </c>
    </row>
    <row r="135" spans="2:6" x14ac:dyDescent="0.35">
      <c r="B135" s="7">
        <v>5</v>
      </c>
      <c r="C135" s="99" t="s">
        <v>2154</v>
      </c>
      <c r="D135" s="8">
        <f>COUNTIFS('NeT GP - table_export'!$C:$C,$B135,'NeT GP - table_export'!$K:$K,"Yes",'NeT GP - table_export'!$L:$L,"Yes")-(COUNTIFS('NeT GP - table_export'!$C:$C,$B135,'NeT GP - table_export'!$K:$K,"Yes",'NeT GP - table_export'!$N:$N,"Stormwater - Industrial")+COUNTIFS('NeT GP - table_export'!$C:$C,$B135,'NeT GP - table_export'!$K:$K,"Yes",'NeT GP - table_export'!$N:$N,"Stormwater - Construction")+COUNTIFS('NeT GP - table_export'!$C:$C,$B135,'NeT GP - table_export'!$K:$K,"Yes",'NeT GP - table_export'!$N:$N,"Pesticide Application"))</f>
        <v>0</v>
      </c>
      <c r="E135" s="8">
        <f>COUNTIFS('NeT GP - table_export'!$C:$C,$B135,'NeT GP - table_export'!$K:$K,"Yes",'NeT GP - table_export'!$L:$L,"Yes",'NeT GP - table_export'!$AA:$AA,"Yes")-(COUNTIFS('NeT GP - table_export'!$C:$C,$B135,'NeT GP - table_export'!$K:$K,"Yes",'NeT GP - table_export'!$AA:$AA,"Yes",'NeT GP - table_export'!$N:$N,"Stormwater - Industrial")+COUNTIFS('NeT GP - table_export'!$C:$C,$B135,'NeT GP - table_export'!$K:$K,"Yes",'NeT GP - table_export'!$AA:$AA,"Yes",'NeT GP - table_export'!$N:$N,"Stormwater - Construction")+COUNTIFS('NeT GP - table_export'!$C:$C,$B135,'NeT GP - table_export'!$K:$K,"Yes",'NeT GP - table_export'!$AA:$AA,"Yes",'NeT GP - table_export'!$N:$N,"Pesticide Application"))</f>
        <v>0</v>
      </c>
      <c r="F135" s="8">
        <f t="shared" si="11"/>
        <v>0</v>
      </c>
    </row>
    <row r="136" spans="2:6" x14ac:dyDescent="0.35">
      <c r="B136" s="7">
        <v>6</v>
      </c>
      <c r="C136" s="99" t="s">
        <v>2155</v>
      </c>
      <c r="D136" s="8">
        <f>COUNTIFS('NeT GP - table_export'!$C:$C,$B136,'NeT GP - table_export'!$K:$K,"Yes",'NeT GP - table_export'!$L:$L,"Yes")-(COUNTIFS('NeT GP - table_export'!$C:$C,$B136,'NeT GP - table_export'!$K:$K,"Yes",'NeT GP - table_export'!$N:$N,"Stormwater - Industrial")+COUNTIFS('NeT GP - table_export'!$C:$C,$B136,'NeT GP - table_export'!$K:$K,"Yes",'NeT GP - table_export'!$N:$N,"Stormwater - Construction")+COUNTIFS('NeT GP - table_export'!$C:$C,$B136,'NeT GP - table_export'!$K:$K,"Yes",'NeT GP - table_export'!$N:$N,"Pesticide Application"))</f>
        <v>10</v>
      </c>
      <c r="E136" s="8">
        <f>COUNTIFS('NeT GP - table_export'!$C:$C,$B136,'NeT GP - table_export'!$K:$K,"Yes",'NeT GP - table_export'!$L:$L,"Yes",'NeT GP - table_export'!$AA:$AA,"Yes")-(COUNTIFS('NeT GP - table_export'!$C:$C,$B136,'NeT GP - table_export'!$K:$K,"Yes",'NeT GP - table_export'!$AA:$AA,"Yes",'NeT GP - table_export'!$N:$N,"Stormwater - Industrial")+COUNTIFS('NeT GP - table_export'!$C:$C,$B136,'NeT GP - table_export'!$K:$K,"Yes",'NeT GP - table_export'!$AA:$AA,"Yes",'NeT GP - table_export'!$N:$N,"Stormwater - Construction")+COUNTIFS('NeT GP - table_export'!$C:$C,$B136,'NeT GP - table_export'!$K:$K,"Yes",'NeT GP - table_export'!$AA:$AA,"Yes",'NeT GP - table_export'!$N:$N,"Pesticide Application"))</f>
        <v>7</v>
      </c>
      <c r="F136" s="8">
        <f t="shared" si="11"/>
        <v>3</v>
      </c>
    </row>
    <row r="137" spans="2:6" x14ac:dyDescent="0.35">
      <c r="B137" s="7">
        <v>7</v>
      </c>
      <c r="C137" s="99" t="s">
        <v>2156</v>
      </c>
      <c r="D137" s="8">
        <f>COUNTIFS('NeT GP - table_export'!$C:$C,$B137,'NeT GP - table_export'!$K:$K,"Yes",'NeT GP - table_export'!$L:$L,"Yes")-(COUNTIFS('NeT GP - table_export'!$C:$C,$B137,'NeT GP - table_export'!$K:$K,"Yes",'NeT GP - table_export'!$N:$N,"Stormwater - Industrial")+COUNTIFS('NeT GP - table_export'!$C:$C,$B137,'NeT GP - table_export'!$K:$K,"Yes",'NeT GP - table_export'!$N:$N,"Stormwater - Construction")+COUNTIFS('NeT GP - table_export'!$C:$C,$B137,'NeT GP - table_export'!$K:$K,"Yes",'NeT GP - table_export'!$N:$N,"Pesticide Application"))</f>
        <v>0</v>
      </c>
      <c r="E137" s="8">
        <f>COUNTIFS('NeT GP - table_export'!$C:$C,$B137,'NeT GP - table_export'!$K:$K,"Yes",'NeT GP - table_export'!$L:$L,"Yes",'NeT GP - table_export'!$AA:$AA,"Yes")-(COUNTIFS('NeT GP - table_export'!$C:$C,$B137,'NeT GP - table_export'!$K:$K,"Yes",'NeT GP - table_export'!$AA:$AA,"Yes",'NeT GP - table_export'!$N:$N,"Stormwater - Industrial")+COUNTIFS('NeT GP - table_export'!$C:$C,$B137,'NeT GP - table_export'!$K:$K,"Yes",'NeT GP - table_export'!$AA:$AA,"Yes",'NeT GP - table_export'!$N:$N,"Stormwater - Construction")+COUNTIFS('NeT GP - table_export'!$C:$C,$B137,'NeT GP - table_export'!$K:$K,"Yes",'NeT GP - table_export'!$AA:$AA,"Yes",'NeT GP - table_export'!$N:$N,"Pesticide Application"))</f>
        <v>0</v>
      </c>
      <c r="F137" s="8">
        <f t="shared" si="11"/>
        <v>0</v>
      </c>
    </row>
    <row r="138" spans="2:6" x14ac:dyDescent="0.35">
      <c r="B138" s="7">
        <v>8</v>
      </c>
      <c r="C138" s="99" t="s">
        <v>2157</v>
      </c>
      <c r="D138" s="8">
        <f>COUNTIFS('NeT GP - table_export'!$C:$C,$B138,'NeT GP - table_export'!$K:$K,"Yes",'NeT GP - table_export'!$L:$L,"Yes")-(COUNTIFS('NeT GP - table_export'!$C:$C,$B138,'NeT GP - table_export'!$K:$K,"Yes",'NeT GP - table_export'!$N:$N,"Stormwater - Industrial")+COUNTIFS('NeT GP - table_export'!$C:$C,$B138,'NeT GP - table_export'!$K:$K,"Yes",'NeT GP - table_export'!$N:$N,"Stormwater - Construction")+COUNTIFS('NeT GP - table_export'!$C:$C,$B138,'NeT GP - table_export'!$K:$K,"Yes",'NeT GP - table_export'!$N:$N,"Pesticide Application"))</f>
        <v>12</v>
      </c>
      <c r="E138" s="8">
        <f>COUNTIFS('NeT GP - table_export'!$C:$C,$B138,'NeT GP - table_export'!$K:$K,"Yes",'NeT GP - table_export'!$L:$L,"Yes",'NeT GP - table_export'!$AA:$AA,"Yes")-(COUNTIFS('NeT GP - table_export'!$C:$C,$B138,'NeT GP - table_export'!$K:$K,"Yes",'NeT GP - table_export'!$AA:$AA,"Yes",'NeT GP - table_export'!$N:$N,"Stormwater - Industrial")+COUNTIFS('NeT GP - table_export'!$C:$C,$B138,'NeT GP - table_export'!$K:$K,"Yes",'NeT GP - table_export'!$AA:$AA,"Yes",'NeT GP - table_export'!$N:$N,"Stormwater - Construction")+COUNTIFS('NeT GP - table_export'!$C:$C,$B138,'NeT GP - table_export'!$K:$K,"Yes",'NeT GP - table_export'!$AA:$AA,"Yes",'NeT GP - table_export'!$N:$N,"Pesticide Application"))</f>
        <v>0</v>
      </c>
      <c r="F138" s="8">
        <f t="shared" si="11"/>
        <v>12</v>
      </c>
    </row>
    <row r="139" spans="2:6" x14ac:dyDescent="0.35">
      <c r="B139" s="7">
        <v>9</v>
      </c>
      <c r="C139" s="99" t="s">
        <v>2158</v>
      </c>
      <c r="D139" s="8">
        <f>COUNTIFS('NeT GP - table_export'!$C:$C,$B139,'NeT GP - table_export'!$K:$K,"Yes",'NeT GP - table_export'!$L:$L,"Yes")-(COUNTIFS('NeT GP - table_export'!$C:$C,$B139,'NeT GP - table_export'!$K:$K,"Yes",'NeT GP - table_export'!$N:$N,"Stormwater - Industrial")+COUNTIFS('NeT GP - table_export'!$C:$C,$B139,'NeT GP - table_export'!$K:$K,"Yes",'NeT GP - table_export'!$N:$N,"Stormwater - Construction")+COUNTIFS('NeT GP - table_export'!$C:$C,$B139,'NeT GP - table_export'!$K:$K,"Yes",'NeT GP - table_export'!$N:$N,"Pesticide Application"))</f>
        <v>3</v>
      </c>
      <c r="E139" s="8">
        <f>COUNTIFS('NeT GP - table_export'!$C:$C,$B139,'NeT GP - table_export'!$K:$K,"Yes",'NeT GP - table_export'!$L:$L,"Yes",'NeT GP - table_export'!$AA:$AA,"Yes")-(COUNTIFS('NeT GP - table_export'!$C:$C,$B139,'NeT GP - table_export'!$K:$K,"Yes",'NeT GP - table_export'!$AA:$AA,"Yes",'NeT GP - table_export'!$N:$N,"Stormwater - Industrial")+COUNTIFS('NeT GP - table_export'!$C:$C,$B139,'NeT GP - table_export'!$K:$K,"Yes",'NeT GP - table_export'!$AA:$AA,"Yes",'NeT GP - table_export'!$N:$N,"Stormwater - Construction")+COUNTIFS('NeT GP - table_export'!$C:$C,$B139,'NeT GP - table_export'!$K:$K,"Yes",'NeT GP - table_export'!$AA:$AA,"Yes",'NeT GP - table_export'!$N:$N,"Pesticide Application"))</f>
        <v>0</v>
      </c>
      <c r="F139" s="8">
        <f t="shared" si="11"/>
        <v>3</v>
      </c>
    </row>
    <row r="140" spans="2:6" x14ac:dyDescent="0.35">
      <c r="B140" s="7">
        <v>10</v>
      </c>
      <c r="C140" s="99" t="s">
        <v>2159</v>
      </c>
      <c r="D140" s="8">
        <f>COUNTIFS('NeT GP - table_export'!$C:$C,$B140,'NeT GP - table_export'!$K:$K,"Yes",'NeT GP - table_export'!$L:$L,"Yes")-(COUNTIFS('NeT GP - table_export'!$C:$C,$B140,'NeT GP - table_export'!$K:$K,"Yes",'NeT GP - table_export'!$N:$N,"Stormwater - Industrial")+COUNTIFS('NeT GP - table_export'!$C:$C,$B140,'NeT GP - table_export'!$K:$K,"Yes",'NeT GP - table_export'!$N:$N,"Stormwater - Construction")+COUNTIFS('NeT GP - table_export'!$C:$C,$B140,'NeT GP - table_export'!$K:$K,"Yes",'NeT GP - table_export'!$N:$N,"Pesticide Application"))</f>
        <v>6</v>
      </c>
      <c r="E140" s="8">
        <f>COUNTIFS('NeT GP - table_export'!$C:$C,$B140,'NeT GP - table_export'!$K:$K,"Yes",'NeT GP - table_export'!$L:$L,"Yes",'NeT GP - table_export'!$AA:$AA,"Yes")-(COUNTIFS('NeT GP - table_export'!$C:$C,$B140,'NeT GP - table_export'!$K:$K,"Yes",'NeT GP - table_export'!$AA:$AA,"Yes",'NeT GP - table_export'!$N:$N,"Stormwater - Industrial")+COUNTIFS('NeT GP - table_export'!$C:$C,$B140,'NeT GP - table_export'!$K:$K,"Yes",'NeT GP - table_export'!$AA:$AA,"Yes",'NeT GP - table_export'!$N:$N,"Stormwater - Construction")+COUNTIFS('NeT GP - table_export'!$C:$C,$B140,'NeT GP - table_export'!$K:$K,"Yes",'NeT GP - table_export'!$AA:$AA,"Yes",'NeT GP - table_export'!$N:$N,"Pesticide Application"))</f>
        <v>3</v>
      </c>
      <c r="F140" s="8">
        <f t="shared" si="11"/>
        <v>3</v>
      </c>
    </row>
    <row r="141" spans="2:6" x14ac:dyDescent="0.35">
      <c r="C141" s="5" t="s">
        <v>420</v>
      </c>
      <c r="D141" s="94">
        <f>SUM(D130:D140)</f>
        <v>197</v>
      </c>
      <c r="E141" s="94">
        <f>SUM(E130:E140)</f>
        <v>159</v>
      </c>
      <c r="F141" s="94">
        <f>SUM(F130:F140)</f>
        <v>38</v>
      </c>
    </row>
    <row r="143" spans="2:6" x14ac:dyDescent="0.35">
      <c r="B143" s="97" t="s">
        <v>2070</v>
      </c>
    </row>
    <row r="144" spans="2:6" ht="58" x14ac:dyDescent="0.35">
      <c r="B144" s="138" t="s">
        <v>2160</v>
      </c>
      <c r="C144" s="138" t="s">
        <v>2069</v>
      </c>
      <c r="D144" s="138" t="s">
        <v>2075</v>
      </c>
      <c r="E144" s="138" t="s">
        <v>2076</v>
      </c>
      <c r="F144" s="138" t="s">
        <v>2077</v>
      </c>
    </row>
    <row r="145" spans="2:6" x14ac:dyDescent="0.35">
      <c r="B145" s="7" t="s">
        <v>2092</v>
      </c>
      <c r="C145" s="99" t="s">
        <v>2092</v>
      </c>
      <c r="D145" s="8">
        <f>SUM('NeT Roadmap'!I6,'NeT Roadmap'!I7,'NeT Roadmap'!I10)</f>
        <v>13200</v>
      </c>
      <c r="E145" s="8">
        <f>SUM('NeT Roadmap'!J6,'NeT Roadmap'!J7,'NeT Roadmap'!J10)</f>
        <v>13200</v>
      </c>
      <c r="F145" s="8">
        <f>D145-E145</f>
        <v>0</v>
      </c>
    </row>
    <row r="146" spans="2:6" x14ac:dyDescent="0.35">
      <c r="B146" s="7">
        <v>1</v>
      </c>
      <c r="C146" s="99" t="s">
        <v>2150</v>
      </c>
      <c r="D146" s="8">
        <f>SUMIFS('NeT GP - table_export'!$J:$J,'NeT GP - table_export'!$C:$C,$B146,'NeT GP - table_export'!$K:$K,"Yes",'NeT GP - table_export'!$L:$L,"Yes")-(SUMIFS('NeT GP - table_export'!$J:$J,'NeT GP - table_export'!$C:$C,$B146,'NeT GP - table_export'!$K:$K,"Yes",'NeT GP - table_export'!$N:$N,"Stormwater - Industrial")+SUMIFS('NeT GP - table_export'!$J:$J,'NeT GP - table_export'!$C:$C,$B146,'NeT GP - table_export'!$K:$K,"Yes",'NeT GP - table_export'!$N:$N,"Stormwater - Construction")+SUMIFS('NeT GP - table_export'!$J:$J,'NeT GP - table_export'!$C:$C,$B146,'NeT GP - table_export'!$K:$K,"Yes",'NeT GP - table_export'!$N:$N,"Pesticide Application"))</f>
        <v>4243</v>
      </c>
      <c r="E146" s="8">
        <f>SUMIFS('NeT GP - table_export'!$J:$J,'NeT GP - table_export'!$C:$C,$B146,'NeT GP - table_export'!$K:$K,"Yes",'NeT GP - table_export'!$L:$L,"Yes",'NeT GP - table_export'!$AA:$AA,"Yes")-(SUMIFS('NeT GP - table_export'!$J:$J,'NeT GP - table_export'!$C:$C,$B146,'NeT GP - table_export'!$K:$K,"Yes",'NeT GP - table_export'!$AA:$AA,"Yes",'NeT GP - table_export'!$N:$N,"Stormwater - Industrial")+SUMIFS('NeT GP - table_export'!$J:$J,'NeT GP - table_export'!$C:$C,$B146,'NeT GP - table_export'!$K:$K,"Yes",'NeT GP - table_export'!$AA:$AA,"Yes",'NeT GP - table_export'!$N:$N,"Stormwater - Construction")+SUMIFS('NeT GP - table_export'!$J:$J,'NeT GP - table_export'!$C:$C,$B146,'NeT GP - table_export'!$K:$K,"Yes",'NeT GP - table_export'!$AA:$AA,"Yes",'NeT GP - table_export'!$N:$N,"Pesticide Application"))</f>
        <v>164</v>
      </c>
      <c r="F146" s="8">
        <f t="shared" ref="F146:F155" si="12">D146-E146</f>
        <v>4079</v>
      </c>
    </row>
    <row r="147" spans="2:6" x14ac:dyDescent="0.35">
      <c r="B147" s="7">
        <v>2</v>
      </c>
      <c r="C147" s="99" t="s">
        <v>2151</v>
      </c>
      <c r="D147" s="8">
        <f>SUMIFS('NeT GP - table_export'!$J:$J,'NeT GP - table_export'!$C:$C,$B147,'NeT GP - table_export'!$K:$K,"Yes",'NeT GP - table_export'!$L:$L,"Yes")-(SUMIFS('NeT GP - table_export'!$J:$J,'NeT GP - table_export'!$C:$C,$B147,'NeT GP - table_export'!$K:$K,"Yes",'NeT GP - table_export'!$N:$N,"Stormwater - Industrial")+SUMIFS('NeT GP - table_export'!$J:$J,'NeT GP - table_export'!$C:$C,$B147,'NeT GP - table_export'!$K:$K,"Yes",'NeT GP - table_export'!$N:$N,"Stormwater - Construction")+SUMIFS('NeT GP - table_export'!$J:$J,'NeT GP - table_export'!$C:$C,$B147,'NeT GP - table_export'!$K:$K,"Yes",'NeT GP - table_export'!$N:$N,"Pesticide Application"))</f>
        <v>88</v>
      </c>
      <c r="E147" s="8">
        <f>SUMIFS('NeT GP - table_export'!$J:$J,'NeT GP - table_export'!$C:$C,$B147,'NeT GP - table_export'!$K:$K,"Yes",'NeT GP - table_export'!$L:$L,"Yes",'NeT GP - table_export'!$AA:$AA,"Yes")-(SUMIFS('NeT GP - table_export'!$J:$J,'NeT GP - table_export'!$C:$C,$B147,'NeT GP - table_export'!$K:$K,"Yes",'NeT GP - table_export'!$AA:$AA,"Yes",'NeT GP - table_export'!$N:$N,"Stormwater - Industrial")+SUMIFS('NeT GP - table_export'!$J:$J,'NeT GP - table_export'!$C:$C,$B147,'NeT GP - table_export'!$K:$K,"Yes",'NeT GP - table_export'!$AA:$AA,"Yes",'NeT GP - table_export'!$N:$N,"Stormwater - Construction")+SUMIFS('NeT GP - table_export'!$J:$J,'NeT GP - table_export'!$C:$C,$B147,'NeT GP - table_export'!$K:$K,"Yes",'NeT GP - table_export'!$AA:$AA,"Yes",'NeT GP - table_export'!$N:$N,"Pesticide Application"))</f>
        <v>0</v>
      </c>
      <c r="F147" s="8">
        <f t="shared" si="12"/>
        <v>88</v>
      </c>
    </row>
    <row r="148" spans="2:6" x14ac:dyDescent="0.35">
      <c r="B148" s="7">
        <v>3</v>
      </c>
      <c r="C148" s="99" t="s">
        <v>2152</v>
      </c>
      <c r="D148" s="8">
        <f>SUMIFS('NeT GP - table_export'!$J:$J,'NeT GP - table_export'!$C:$C,$B148,'NeT GP - table_export'!$K:$K,"Yes",'NeT GP - table_export'!$L:$L,"Yes")-(SUMIFS('NeT GP - table_export'!$J:$J,'NeT GP - table_export'!$C:$C,$B148,'NeT GP - table_export'!$K:$K,"Yes",'NeT GP - table_export'!$N:$N,"Stormwater - Industrial")+SUMIFS('NeT GP - table_export'!$J:$J,'NeT GP - table_export'!$C:$C,$B148,'NeT GP - table_export'!$K:$K,"Yes",'NeT GP - table_export'!$N:$N,"Stormwater - Construction")+SUMIFS('NeT GP - table_export'!$J:$J,'NeT GP - table_export'!$C:$C,$B148,'NeT GP - table_export'!$K:$K,"Yes",'NeT GP - table_export'!$N:$N,"Pesticide Application"))</f>
        <v>0</v>
      </c>
      <c r="E148" s="8">
        <f>SUMIFS('NeT GP - table_export'!$J:$J,'NeT GP - table_export'!$C:$C,$B148,'NeT GP - table_export'!$K:$K,"Yes",'NeT GP - table_export'!$L:$L,"Yes",'NeT GP - table_export'!$AA:$AA,"Yes")-(SUMIFS('NeT GP - table_export'!$J:$J,'NeT GP - table_export'!$C:$C,$B148,'NeT GP - table_export'!$K:$K,"Yes",'NeT GP - table_export'!$AA:$AA,"Yes",'NeT GP - table_export'!$N:$N,"Stormwater - Industrial")+SUMIFS('NeT GP - table_export'!$J:$J,'NeT GP - table_export'!$C:$C,$B148,'NeT GP - table_export'!$K:$K,"Yes",'NeT GP - table_export'!$AA:$AA,"Yes",'NeT GP - table_export'!$N:$N,"Stormwater - Construction")+SUMIFS('NeT GP - table_export'!$J:$J,'NeT GP - table_export'!$C:$C,$B148,'NeT GP - table_export'!$K:$K,"Yes",'NeT GP - table_export'!$AA:$AA,"Yes",'NeT GP - table_export'!$N:$N,"Pesticide Application"))</f>
        <v>0</v>
      </c>
      <c r="F148" s="8">
        <f t="shared" si="12"/>
        <v>0</v>
      </c>
    </row>
    <row r="149" spans="2:6" x14ac:dyDescent="0.35">
      <c r="B149" s="7">
        <v>4</v>
      </c>
      <c r="C149" s="99" t="s">
        <v>2153</v>
      </c>
      <c r="D149" s="8">
        <f>SUMIFS('NeT GP - table_export'!$J:$J,'NeT GP - table_export'!$C:$C,$B149,'NeT GP - table_export'!$K:$K,"Yes",'NeT GP - table_export'!$L:$L,"Yes")-(SUMIFS('NeT GP - table_export'!$J:$J,'NeT GP - table_export'!$C:$C,$B149,'NeT GP - table_export'!$K:$K,"Yes",'NeT GP - table_export'!$N:$N,"Stormwater - Industrial")+SUMIFS('NeT GP - table_export'!$J:$J,'NeT GP - table_export'!$C:$C,$B149,'NeT GP - table_export'!$K:$K,"Yes",'NeT GP - table_export'!$N:$N,"Stormwater - Construction")+SUMIFS('NeT GP - table_export'!$J:$J,'NeT GP - table_export'!$C:$C,$B149,'NeT GP - table_export'!$K:$K,"Yes",'NeT GP - table_export'!$N:$N,"Pesticide Application"))</f>
        <v>28</v>
      </c>
      <c r="E149" s="8">
        <f>SUMIFS('NeT GP - table_export'!$J:$J,'NeT GP - table_export'!$C:$C,$B149,'NeT GP - table_export'!$K:$K,"Yes",'NeT GP - table_export'!$L:$L,"Yes",'NeT GP - table_export'!$AA:$AA,"Yes")-(SUMIFS('NeT GP - table_export'!$J:$J,'NeT GP - table_export'!$C:$C,$B149,'NeT GP - table_export'!$K:$K,"Yes",'NeT GP - table_export'!$AA:$AA,"Yes",'NeT GP - table_export'!$N:$N,"Stormwater - Industrial")+SUMIFS('NeT GP - table_export'!$J:$J,'NeT GP - table_export'!$C:$C,$B149,'NeT GP - table_export'!$K:$K,"Yes",'NeT GP - table_export'!$AA:$AA,"Yes",'NeT GP - table_export'!$N:$N,"Stormwater - Construction")+SUMIFS('NeT GP - table_export'!$J:$J,'NeT GP - table_export'!$C:$C,$B149,'NeT GP - table_export'!$K:$K,"Yes",'NeT GP - table_export'!$AA:$AA,"Yes",'NeT GP - table_export'!$N:$N,"Pesticide Application"))</f>
        <v>28</v>
      </c>
      <c r="F149" s="8">
        <f t="shared" si="12"/>
        <v>0</v>
      </c>
    </row>
    <row r="150" spans="2:6" x14ac:dyDescent="0.35">
      <c r="B150" s="7">
        <v>5</v>
      </c>
      <c r="C150" s="99" t="s">
        <v>2154</v>
      </c>
      <c r="D150" s="8">
        <f>SUMIFS('NeT GP - table_export'!$J:$J,'NeT GP - table_export'!$C:$C,$B150,'NeT GP - table_export'!$K:$K,"Yes",'NeT GP - table_export'!$L:$L,"Yes")-(SUMIFS('NeT GP - table_export'!$J:$J,'NeT GP - table_export'!$C:$C,$B150,'NeT GP - table_export'!$K:$K,"Yes",'NeT GP - table_export'!$N:$N,"Stormwater - Industrial")+SUMIFS('NeT GP - table_export'!$J:$J,'NeT GP - table_export'!$C:$C,$B150,'NeT GP - table_export'!$K:$K,"Yes",'NeT GP - table_export'!$N:$N,"Stormwater - Construction")+SUMIFS('NeT GP - table_export'!$J:$J,'NeT GP - table_export'!$C:$C,$B150,'NeT GP - table_export'!$K:$K,"Yes",'NeT GP - table_export'!$N:$N,"Pesticide Application"))</f>
        <v>0</v>
      </c>
      <c r="E150" s="8">
        <f>SUMIFS('NeT GP - table_export'!$J:$J,'NeT GP - table_export'!$C:$C,$B150,'NeT GP - table_export'!$K:$K,"Yes",'NeT GP - table_export'!$L:$L,"Yes",'NeT GP - table_export'!$AA:$AA,"Yes")-(SUMIFS('NeT GP - table_export'!$J:$J,'NeT GP - table_export'!$C:$C,$B150,'NeT GP - table_export'!$K:$K,"Yes",'NeT GP - table_export'!$AA:$AA,"Yes",'NeT GP - table_export'!$N:$N,"Stormwater - Industrial")+SUMIFS('NeT GP - table_export'!$J:$J,'NeT GP - table_export'!$C:$C,$B150,'NeT GP - table_export'!$K:$K,"Yes",'NeT GP - table_export'!$AA:$AA,"Yes",'NeT GP - table_export'!$N:$N,"Stormwater - Construction")+SUMIFS('NeT GP - table_export'!$J:$J,'NeT GP - table_export'!$C:$C,$B150,'NeT GP - table_export'!$K:$K,"Yes",'NeT GP - table_export'!$AA:$AA,"Yes",'NeT GP - table_export'!$N:$N,"Pesticide Application"))</f>
        <v>0</v>
      </c>
      <c r="F150" s="8">
        <f t="shared" si="12"/>
        <v>0</v>
      </c>
    </row>
    <row r="151" spans="2:6" x14ac:dyDescent="0.35">
      <c r="B151" s="7">
        <v>6</v>
      </c>
      <c r="C151" s="99" t="s">
        <v>2155</v>
      </c>
      <c r="D151" s="8">
        <f>SUMIFS('NeT GP - table_export'!$J:$J,'NeT GP - table_export'!$C:$C,$B151,'NeT GP - table_export'!$K:$K,"Yes",'NeT GP - table_export'!$L:$L,"Yes")-(SUMIFS('NeT GP - table_export'!$J:$J,'NeT GP - table_export'!$C:$C,$B151,'NeT GP - table_export'!$K:$K,"Yes",'NeT GP - table_export'!$N:$N,"Stormwater - Industrial")+SUMIFS('NeT GP - table_export'!$J:$J,'NeT GP - table_export'!$C:$C,$B151,'NeT GP - table_export'!$K:$K,"Yes",'NeT GP - table_export'!$N:$N,"Stormwater - Construction")+SUMIFS('NeT GP - table_export'!$J:$J,'NeT GP - table_export'!$C:$C,$B151,'NeT GP - table_export'!$K:$K,"Yes",'NeT GP - table_export'!$N:$N,"Pesticide Application"))</f>
        <v>10576</v>
      </c>
      <c r="E151" s="8">
        <f>SUMIFS('NeT GP - table_export'!$J:$J,'NeT GP - table_export'!$C:$C,$B151,'NeT GP - table_export'!$K:$K,"Yes",'NeT GP - table_export'!$L:$L,"Yes",'NeT GP - table_export'!$AA:$AA,"Yes")-(SUMIFS('NeT GP - table_export'!$J:$J,'NeT GP - table_export'!$C:$C,$B151,'NeT GP - table_export'!$K:$K,"Yes",'NeT GP - table_export'!$AA:$AA,"Yes",'NeT GP - table_export'!$N:$N,"Stormwater - Industrial")+SUMIFS('NeT GP - table_export'!$J:$J,'NeT GP - table_export'!$C:$C,$B151,'NeT GP - table_export'!$K:$K,"Yes",'NeT GP - table_export'!$AA:$AA,"Yes",'NeT GP - table_export'!$N:$N,"Stormwater - Construction")+SUMIFS('NeT GP - table_export'!$J:$J,'NeT GP - table_export'!$C:$C,$B151,'NeT GP - table_export'!$K:$K,"Yes",'NeT GP - table_export'!$AA:$AA,"Yes",'NeT GP - table_export'!$N:$N,"Pesticide Application"))</f>
        <v>10516</v>
      </c>
      <c r="F151" s="8">
        <f t="shared" si="12"/>
        <v>60</v>
      </c>
    </row>
    <row r="152" spans="2:6" x14ac:dyDescent="0.35">
      <c r="B152" s="7">
        <v>7</v>
      </c>
      <c r="C152" s="99" t="s">
        <v>2156</v>
      </c>
      <c r="D152" s="8">
        <f>SUMIFS('NeT GP - table_export'!$J:$J,'NeT GP - table_export'!$C:$C,$B152,'NeT GP - table_export'!$K:$K,"Yes",'NeT GP - table_export'!$L:$L,"Yes")-(SUMIFS('NeT GP - table_export'!$J:$J,'NeT GP - table_export'!$C:$C,$B152,'NeT GP - table_export'!$K:$K,"Yes",'NeT GP - table_export'!$N:$N,"Stormwater - Industrial")+SUMIFS('NeT GP - table_export'!$J:$J,'NeT GP - table_export'!$C:$C,$B152,'NeT GP - table_export'!$K:$K,"Yes",'NeT GP - table_export'!$N:$N,"Stormwater - Construction")+SUMIFS('NeT GP - table_export'!$J:$J,'NeT GP - table_export'!$C:$C,$B152,'NeT GP - table_export'!$K:$K,"Yes",'NeT GP - table_export'!$N:$N,"Pesticide Application"))</f>
        <v>0</v>
      </c>
      <c r="E152" s="8">
        <f>SUMIFS('NeT GP - table_export'!$J:$J,'NeT GP - table_export'!$C:$C,$B152,'NeT GP - table_export'!$K:$K,"Yes",'NeT GP - table_export'!$L:$L,"Yes",'NeT GP - table_export'!$AA:$AA,"Yes")-(SUMIFS('NeT GP - table_export'!$J:$J,'NeT GP - table_export'!$C:$C,$B152,'NeT GP - table_export'!$K:$K,"Yes",'NeT GP - table_export'!$AA:$AA,"Yes",'NeT GP - table_export'!$N:$N,"Stormwater - Industrial")+SUMIFS('NeT GP - table_export'!$J:$J,'NeT GP - table_export'!$C:$C,$B152,'NeT GP - table_export'!$K:$K,"Yes",'NeT GP - table_export'!$AA:$AA,"Yes",'NeT GP - table_export'!$N:$N,"Stormwater - Construction")+SUMIFS('NeT GP - table_export'!$J:$J,'NeT GP - table_export'!$C:$C,$B152,'NeT GP - table_export'!$K:$K,"Yes",'NeT GP - table_export'!$AA:$AA,"Yes",'NeT GP - table_export'!$N:$N,"Pesticide Application"))</f>
        <v>0</v>
      </c>
      <c r="F152" s="8">
        <f t="shared" si="12"/>
        <v>0</v>
      </c>
    </row>
    <row r="153" spans="2:6" x14ac:dyDescent="0.35">
      <c r="B153" s="7">
        <v>8</v>
      </c>
      <c r="C153" s="99" t="s">
        <v>2157</v>
      </c>
      <c r="D153" s="8">
        <f>SUMIFS('NeT GP - table_export'!$J:$J,'NeT GP - table_export'!$C:$C,$B153,'NeT GP - table_export'!$K:$K,"Yes",'NeT GP - table_export'!$L:$L,"Yes")-(SUMIFS('NeT GP - table_export'!$J:$J,'NeT GP - table_export'!$C:$C,$B153,'NeT GP - table_export'!$K:$K,"Yes",'NeT GP - table_export'!$N:$N,"Stormwater - Industrial")+SUMIFS('NeT GP - table_export'!$J:$J,'NeT GP - table_export'!$C:$C,$B153,'NeT GP - table_export'!$K:$K,"Yes",'NeT GP - table_export'!$N:$N,"Stormwater - Construction")+SUMIFS('NeT GP - table_export'!$J:$J,'NeT GP - table_export'!$C:$C,$B153,'NeT GP - table_export'!$K:$K,"Yes",'NeT GP - table_export'!$N:$N,"Pesticide Application"))</f>
        <v>159</v>
      </c>
      <c r="E153" s="8">
        <f>SUMIFS('NeT GP - table_export'!$J:$J,'NeT GP - table_export'!$C:$C,$B153,'NeT GP - table_export'!$K:$K,"Yes",'NeT GP - table_export'!$L:$L,"Yes",'NeT GP - table_export'!$AA:$AA,"Yes")-(SUMIFS('NeT GP - table_export'!$J:$J,'NeT GP - table_export'!$C:$C,$B153,'NeT GP - table_export'!$K:$K,"Yes",'NeT GP - table_export'!$AA:$AA,"Yes",'NeT GP - table_export'!$N:$N,"Stormwater - Industrial")+SUMIFS('NeT GP - table_export'!$J:$J,'NeT GP - table_export'!$C:$C,$B153,'NeT GP - table_export'!$K:$K,"Yes",'NeT GP - table_export'!$AA:$AA,"Yes",'NeT GP - table_export'!$N:$N,"Stormwater - Construction")+SUMIFS('NeT GP - table_export'!$J:$J,'NeT GP - table_export'!$C:$C,$B153,'NeT GP - table_export'!$K:$K,"Yes",'NeT GP - table_export'!$AA:$AA,"Yes",'NeT GP - table_export'!$N:$N,"Pesticide Application"))</f>
        <v>0</v>
      </c>
      <c r="F153" s="8">
        <f t="shared" si="12"/>
        <v>159</v>
      </c>
    </row>
    <row r="154" spans="2:6" x14ac:dyDescent="0.35">
      <c r="B154" s="7">
        <v>9</v>
      </c>
      <c r="C154" s="99" t="s">
        <v>2158</v>
      </c>
      <c r="D154" s="8">
        <f>SUMIFS('NeT GP - table_export'!$J:$J,'NeT GP - table_export'!$C:$C,$B154,'NeT GP - table_export'!$K:$K,"Yes",'NeT GP - table_export'!$L:$L,"Yes")-(SUMIFS('NeT GP - table_export'!$J:$J,'NeT GP - table_export'!$C:$C,$B154,'NeT GP - table_export'!$K:$K,"Yes",'NeT GP - table_export'!$N:$N,"Stormwater - Industrial")+SUMIFS('NeT GP - table_export'!$J:$J,'NeT GP - table_export'!$C:$C,$B154,'NeT GP - table_export'!$K:$K,"Yes",'NeT GP - table_export'!$N:$N,"Stormwater - Construction")+SUMIFS('NeT GP - table_export'!$J:$J,'NeT GP - table_export'!$C:$C,$B154,'NeT GP - table_export'!$K:$K,"Yes",'NeT GP - table_export'!$N:$N,"Pesticide Application"))</f>
        <v>32</v>
      </c>
      <c r="E154" s="8">
        <f>SUMIFS('NeT GP - table_export'!$J:$J,'NeT GP - table_export'!$C:$C,$B154,'NeT GP - table_export'!$K:$K,"Yes",'NeT GP - table_export'!$L:$L,"Yes",'NeT GP - table_export'!$AA:$AA,"Yes")-(SUMIFS('NeT GP - table_export'!$J:$J,'NeT GP - table_export'!$C:$C,$B154,'NeT GP - table_export'!$K:$K,"Yes",'NeT GP - table_export'!$AA:$AA,"Yes",'NeT GP - table_export'!$N:$N,"Stormwater - Industrial")+SUMIFS('NeT GP - table_export'!$J:$J,'NeT GP - table_export'!$C:$C,$B154,'NeT GP - table_export'!$K:$K,"Yes",'NeT GP - table_export'!$AA:$AA,"Yes",'NeT GP - table_export'!$N:$N,"Stormwater - Construction")+SUMIFS('NeT GP - table_export'!$J:$J,'NeT GP - table_export'!$C:$C,$B154,'NeT GP - table_export'!$K:$K,"Yes",'NeT GP - table_export'!$AA:$AA,"Yes",'NeT GP - table_export'!$N:$N,"Pesticide Application"))</f>
        <v>0</v>
      </c>
      <c r="F154" s="8">
        <f t="shared" si="12"/>
        <v>32</v>
      </c>
    </row>
    <row r="155" spans="2:6" x14ac:dyDescent="0.35">
      <c r="B155" s="7">
        <v>10</v>
      </c>
      <c r="C155" s="99" t="s">
        <v>2159</v>
      </c>
      <c r="D155" s="8">
        <f>SUMIFS('NeT GP - table_export'!$J:$J,'NeT GP - table_export'!$C:$C,$B155,'NeT GP - table_export'!$K:$K,"Yes",'NeT GP - table_export'!$L:$L,"Yes")-(SUMIFS('NeT GP - table_export'!$J:$J,'NeT GP - table_export'!$C:$C,$B155,'NeT GP - table_export'!$K:$K,"Yes",'NeT GP - table_export'!$N:$N,"Stormwater - Industrial")+SUMIFS('NeT GP - table_export'!$J:$J,'NeT GP - table_export'!$C:$C,$B155,'NeT GP - table_export'!$K:$K,"Yes",'NeT GP - table_export'!$N:$N,"Stormwater - Construction")+SUMIFS('NeT GP - table_export'!$J:$J,'NeT GP - table_export'!$C:$C,$B155,'NeT GP - table_export'!$K:$K,"Yes",'NeT GP - table_export'!$N:$N,"Pesticide Application"))</f>
        <v>127</v>
      </c>
      <c r="E155" s="8">
        <f>SUMIFS('NeT GP - table_export'!$J:$J,'NeT GP - table_export'!$C:$C,$B155,'NeT GP - table_export'!$K:$K,"Yes",'NeT GP - table_export'!$L:$L,"Yes",'NeT GP - table_export'!$AA:$AA,"Yes")-(SUMIFS('NeT GP - table_export'!$J:$J,'NeT GP - table_export'!$C:$C,$B155,'NeT GP - table_export'!$K:$K,"Yes",'NeT GP - table_export'!$AA:$AA,"Yes",'NeT GP - table_export'!$N:$N,"Stormwater - Industrial")+SUMIFS('NeT GP - table_export'!$J:$J,'NeT GP - table_export'!$C:$C,$B155,'NeT GP - table_export'!$K:$K,"Yes",'NeT GP - table_export'!$AA:$AA,"Yes",'NeT GP - table_export'!$N:$N,"Stormwater - Construction")+SUMIFS('NeT GP - table_export'!$J:$J,'NeT GP - table_export'!$C:$C,$B155,'NeT GP - table_export'!$K:$K,"Yes",'NeT GP - table_export'!$AA:$AA,"Yes",'NeT GP - table_export'!$N:$N,"Pesticide Application"))</f>
        <v>38</v>
      </c>
      <c r="F155" s="8">
        <f t="shared" si="12"/>
        <v>89</v>
      </c>
    </row>
    <row r="156" spans="2:6" x14ac:dyDescent="0.35">
      <c r="C156" s="5" t="s">
        <v>420</v>
      </c>
      <c r="D156" s="4">
        <f>SUM(D145:D155)</f>
        <v>28453</v>
      </c>
      <c r="E156" s="4">
        <f>SUM(E145:E155)</f>
        <v>23946</v>
      </c>
      <c r="F156" s="4">
        <f>SUM(F145:F155)</f>
        <v>4507</v>
      </c>
    </row>
    <row r="159" spans="2:6" x14ac:dyDescent="0.35">
      <c r="B159" s="97" t="s">
        <v>2145</v>
      </c>
    </row>
    <row r="160" spans="2:6" ht="72.650000000000006" customHeight="1" x14ac:dyDescent="0.35">
      <c r="B160" s="138" t="s">
        <v>2160</v>
      </c>
      <c r="C160" s="138" t="s">
        <v>2069</v>
      </c>
      <c r="D160" s="138" t="s">
        <v>2089</v>
      </c>
      <c r="E160" s="138" t="s">
        <v>2090</v>
      </c>
      <c r="F160" s="138" t="s">
        <v>2091</v>
      </c>
    </row>
    <row r="161" spans="2:12" x14ac:dyDescent="0.35">
      <c r="B161" s="7" t="s">
        <v>2092</v>
      </c>
      <c r="C161" s="99" t="s">
        <v>2092</v>
      </c>
      <c r="D161" s="8">
        <f>COUNTIFS('NeT GP Proxy Cards'!$F:$F,$C161)</f>
        <v>3</v>
      </c>
      <c r="E161" s="8">
        <f>COUNTIFS('NeT GP Proxy Cards'!$F:$F,$C161,'NeT GP Proxy Cards'!$G:$G,"Yes")</f>
        <v>3</v>
      </c>
      <c r="F161" s="8">
        <f>D161-E161</f>
        <v>0</v>
      </c>
    </row>
    <row r="162" spans="2:12" x14ac:dyDescent="0.35">
      <c r="B162" s="7">
        <v>1</v>
      </c>
      <c r="C162" s="99" t="s">
        <v>2150</v>
      </c>
      <c r="D162" s="8">
        <f>COUNTIFS('NeT GP Proxy Cards'!$F:$F,$C162)</f>
        <v>7</v>
      </c>
      <c r="E162" s="8">
        <f>COUNTIFS('NeT GP Proxy Cards'!$F:$F,$C162,'NeT GP Proxy Cards'!$G:$G,"Yes")</f>
        <v>2</v>
      </c>
      <c r="F162" s="8">
        <f t="shared" ref="F162:F171" si="13">D162-E162</f>
        <v>5</v>
      </c>
    </row>
    <row r="163" spans="2:12" x14ac:dyDescent="0.35">
      <c r="B163" s="7">
        <v>2</v>
      </c>
      <c r="C163" s="99" t="s">
        <v>2151</v>
      </c>
      <c r="D163" s="8">
        <f>COUNTIFS('NeT GP Proxy Cards'!$F:$F,$C163)</f>
        <v>1</v>
      </c>
      <c r="E163" s="8">
        <f>COUNTIFS('NeT GP Proxy Cards'!$F:$F,$C163,'NeT GP Proxy Cards'!$G:$G,"Yes")</f>
        <v>0</v>
      </c>
      <c r="F163" s="8">
        <f t="shared" si="13"/>
        <v>1</v>
      </c>
    </row>
    <row r="164" spans="2:12" x14ac:dyDescent="0.35">
      <c r="B164" s="7">
        <v>3</v>
      </c>
      <c r="C164" s="99" t="s">
        <v>2152</v>
      </c>
      <c r="D164" s="8">
        <f>COUNTIFS('NeT GP Proxy Cards'!$F:$F,$C164)</f>
        <v>0</v>
      </c>
      <c r="E164" s="8">
        <f>COUNTIFS('NeT GP Proxy Cards'!$F:$F,$C164,'NeT GP Proxy Cards'!$G:$G,"Yes")</f>
        <v>0</v>
      </c>
      <c r="F164" s="8">
        <f t="shared" si="13"/>
        <v>0</v>
      </c>
    </row>
    <row r="165" spans="2:12" x14ac:dyDescent="0.35">
      <c r="B165" s="7">
        <v>4</v>
      </c>
      <c r="C165" s="99" t="s">
        <v>2153</v>
      </c>
      <c r="D165" s="8">
        <f>COUNTIFS('NeT GP Proxy Cards'!$F:$F,$C165)</f>
        <v>1</v>
      </c>
      <c r="E165" s="8">
        <f>COUNTIFS('NeT GP Proxy Cards'!$F:$F,$C165,'NeT GP Proxy Cards'!$G:$G,"Yes")</f>
        <v>1</v>
      </c>
      <c r="F165" s="8">
        <f t="shared" si="13"/>
        <v>0</v>
      </c>
    </row>
    <row r="166" spans="2:12" x14ac:dyDescent="0.35">
      <c r="B166" s="7">
        <v>5</v>
      </c>
      <c r="C166" s="99" t="s">
        <v>2154</v>
      </c>
      <c r="D166" s="8">
        <f>COUNTIFS('NeT GP Proxy Cards'!$F:$F,$C166)</f>
        <v>0</v>
      </c>
      <c r="E166" s="8">
        <f>COUNTIFS('NeT GP Proxy Cards'!$F:$F,$C166,'NeT GP Proxy Cards'!$G:$G,"Yes")</f>
        <v>0</v>
      </c>
      <c r="F166" s="8">
        <f t="shared" si="13"/>
        <v>0</v>
      </c>
    </row>
    <row r="167" spans="2:12" x14ac:dyDescent="0.35">
      <c r="B167" s="7">
        <v>6</v>
      </c>
      <c r="C167" s="99" t="s">
        <v>2155</v>
      </c>
      <c r="D167" s="8">
        <f>COUNTIFS('NeT GP Proxy Cards'!$F:$F,$C167)</f>
        <v>5</v>
      </c>
      <c r="E167" s="8">
        <f>COUNTIFS('NeT GP Proxy Cards'!$F:$F,$C167,'NeT GP Proxy Cards'!$G:$G,"Yes")</f>
        <v>2</v>
      </c>
      <c r="F167" s="8">
        <f t="shared" si="13"/>
        <v>3</v>
      </c>
    </row>
    <row r="168" spans="2:12" x14ac:dyDescent="0.35">
      <c r="B168" s="7">
        <v>7</v>
      </c>
      <c r="C168" s="99" t="s">
        <v>2156</v>
      </c>
      <c r="D168" s="8">
        <f>COUNTIFS('NeT GP Proxy Cards'!$F:$F,$C168)</f>
        <v>0</v>
      </c>
      <c r="E168" s="8">
        <f>COUNTIFS('NeT GP Proxy Cards'!$F:$F,$C168,'NeT GP Proxy Cards'!$G:$G,"Yes")</f>
        <v>0</v>
      </c>
      <c r="F168" s="8">
        <f t="shared" si="13"/>
        <v>0</v>
      </c>
    </row>
    <row r="169" spans="2:12" x14ac:dyDescent="0.35">
      <c r="B169" s="7">
        <v>8</v>
      </c>
      <c r="C169" s="99" t="s">
        <v>2157</v>
      </c>
      <c r="D169" s="8">
        <f>COUNTIFS('NeT GP Proxy Cards'!$F:$F,$C169)</f>
        <v>2</v>
      </c>
      <c r="E169" s="8">
        <f>COUNTIFS('NeT GP Proxy Cards'!$F:$F,$C169,'NeT GP Proxy Cards'!$G:$G,"Yes")</f>
        <v>0</v>
      </c>
      <c r="F169" s="8">
        <f t="shared" si="13"/>
        <v>2</v>
      </c>
    </row>
    <row r="170" spans="2:12" x14ac:dyDescent="0.35">
      <c r="B170" s="7">
        <v>9</v>
      </c>
      <c r="C170" s="99" t="s">
        <v>2158</v>
      </c>
      <c r="D170" s="8">
        <f>COUNTIFS('NeT GP Proxy Cards'!$F:$F,$C170)</f>
        <v>0</v>
      </c>
      <c r="E170" s="8">
        <f>COUNTIFS('NeT GP Proxy Cards'!$F:$F,$C170,'NeT GP Proxy Cards'!$G:$G,"Yes")</f>
        <v>0</v>
      </c>
      <c r="F170" s="8">
        <f t="shared" si="13"/>
        <v>0</v>
      </c>
    </row>
    <row r="171" spans="2:12" x14ac:dyDescent="0.35">
      <c r="B171" s="7">
        <v>10</v>
      </c>
      <c r="C171" s="99" t="s">
        <v>2159</v>
      </c>
      <c r="D171" s="8">
        <f>COUNTIFS('NeT GP Proxy Cards'!$F:$F,$C171)</f>
        <v>5</v>
      </c>
      <c r="E171" s="8">
        <f>COUNTIFS('NeT GP Proxy Cards'!$F:$F,$C171,'NeT GP Proxy Cards'!$G:$G,"Yes")</f>
        <v>3</v>
      </c>
      <c r="F171" s="8">
        <f t="shared" si="13"/>
        <v>2</v>
      </c>
    </row>
    <row r="172" spans="2:12" x14ac:dyDescent="0.35">
      <c r="C172" s="5" t="s">
        <v>420</v>
      </c>
      <c r="D172" s="4">
        <f>SUM(D161:D171)</f>
        <v>24</v>
      </c>
      <c r="E172" s="4">
        <f>SUM(E161:E171)</f>
        <v>11</v>
      </c>
      <c r="F172" s="4">
        <f>SUM(F161:F171)</f>
        <v>13</v>
      </c>
    </row>
    <row r="175" spans="2:12" ht="15" thickBot="1" x14ac:dyDescent="0.4"/>
    <row r="176" spans="2:12" ht="120" customHeight="1" thickBot="1" x14ac:dyDescent="0.4">
      <c r="C176" s="165" t="s">
        <v>2163</v>
      </c>
      <c r="D176" s="104" t="s">
        <v>2165</v>
      </c>
      <c r="E176" s="105" t="s">
        <v>2167</v>
      </c>
      <c r="F176" s="107" t="s">
        <v>2169</v>
      </c>
      <c r="G176" s="104" t="s">
        <v>2166</v>
      </c>
      <c r="H176" s="107" t="s">
        <v>2171</v>
      </c>
      <c r="I176" s="104" t="s">
        <v>2168</v>
      </c>
      <c r="J176" s="107" t="s">
        <v>2170</v>
      </c>
      <c r="K176" s="108" t="s">
        <v>2181</v>
      </c>
      <c r="L176" s="107" t="s">
        <v>2182</v>
      </c>
    </row>
    <row r="177" spans="3:12" x14ac:dyDescent="0.35">
      <c r="C177" s="195" t="s">
        <v>2164</v>
      </c>
      <c r="D177" s="180">
        <f>'NeT Roadmap'!D17</f>
        <v>197</v>
      </c>
      <c r="E177" s="121">
        <f>'NeT Roadmap'!I17</f>
        <v>28453</v>
      </c>
      <c r="F177" s="126">
        <f>'NeT Roadmap'!N17</f>
        <v>27</v>
      </c>
      <c r="G177" s="180">
        <f>'NeT Roadmap'!E17</f>
        <v>159</v>
      </c>
      <c r="H177" s="126">
        <f>D177-G177</f>
        <v>38</v>
      </c>
      <c r="I177" s="180">
        <f>'NeT Roadmap'!J17</f>
        <v>23946</v>
      </c>
      <c r="J177" s="126">
        <f>E177-I177</f>
        <v>4507</v>
      </c>
      <c r="K177" s="120">
        <f>'NeT Roadmap'!O17</f>
        <v>11</v>
      </c>
      <c r="L177" s="126">
        <f>F177-K177</f>
        <v>16</v>
      </c>
    </row>
    <row r="178" spans="3:12" ht="15" thickBot="1" x14ac:dyDescent="0.4">
      <c r="C178" s="196" t="s">
        <v>529</v>
      </c>
      <c r="D178" s="22">
        <f>'NeT Roadmap'!F17</f>
        <v>94</v>
      </c>
      <c r="E178" s="36">
        <f>'NeT Roadmap'!K17</f>
        <v>26592</v>
      </c>
      <c r="F178" s="52">
        <f>'NeT Roadmap'!P17</f>
        <v>67</v>
      </c>
      <c r="G178" s="22">
        <f>'NeT Roadmap'!G17</f>
        <v>16</v>
      </c>
      <c r="H178" s="52">
        <f>D178-G178</f>
        <v>78</v>
      </c>
      <c r="I178" s="22">
        <f>'NeT Roadmap'!L17</f>
        <v>9407</v>
      </c>
      <c r="J178" s="52">
        <f>E178-I178</f>
        <v>17185</v>
      </c>
      <c r="K178" s="135">
        <f>'NeT Roadmap'!Q17</f>
        <v>14</v>
      </c>
      <c r="L178" s="19">
        <f>F178-K178</f>
        <v>53</v>
      </c>
    </row>
    <row r="179" spans="3:12" x14ac:dyDescent="0.35">
      <c r="C179" s="197" t="s">
        <v>420</v>
      </c>
      <c r="D179" s="94">
        <f t="shared" ref="D179:L179" si="14">SUM(D177:D178)</f>
        <v>291</v>
      </c>
      <c r="E179" s="94">
        <f t="shared" si="14"/>
        <v>55045</v>
      </c>
      <c r="F179" s="94">
        <f t="shared" si="14"/>
        <v>94</v>
      </c>
      <c r="G179" s="94">
        <f t="shared" si="14"/>
        <v>175</v>
      </c>
      <c r="H179" s="94">
        <f t="shared" si="14"/>
        <v>116</v>
      </c>
      <c r="I179" s="94">
        <f t="shared" si="14"/>
        <v>33353</v>
      </c>
      <c r="J179" s="94">
        <f t="shared" si="14"/>
        <v>21692</v>
      </c>
      <c r="K179" s="94">
        <f t="shared" si="14"/>
        <v>25</v>
      </c>
      <c r="L179" s="94">
        <f t="shared" si="14"/>
        <v>69</v>
      </c>
    </row>
    <row r="180" spans="3:12" ht="15" thickBot="1" x14ac:dyDescent="0.4"/>
    <row r="181" spans="3:12" ht="58.5" thickBot="1" x14ac:dyDescent="0.4">
      <c r="C181" s="165" t="s">
        <v>2163</v>
      </c>
      <c r="D181" s="104" t="s">
        <v>2166</v>
      </c>
      <c r="E181" s="107" t="s">
        <v>2171</v>
      </c>
    </row>
    <row r="182" spans="3:12" x14ac:dyDescent="0.35">
      <c r="C182" s="195" t="s">
        <v>2164</v>
      </c>
      <c r="D182" s="180">
        <f>G177</f>
        <v>159</v>
      </c>
      <c r="E182" s="126">
        <f t="shared" ref="E182:E183" si="15">H177</f>
        <v>38</v>
      </c>
    </row>
    <row r="183" spans="3:12" ht="15" thickBot="1" x14ac:dyDescent="0.4">
      <c r="C183" s="196" t="s">
        <v>529</v>
      </c>
      <c r="D183" s="22">
        <f t="shared" ref="D183" si="16">G178</f>
        <v>16</v>
      </c>
      <c r="E183" s="52">
        <f t="shared" si="15"/>
        <v>78</v>
      </c>
    </row>
    <row r="184" spans="3:12" x14ac:dyDescent="0.35">
      <c r="C184" s="197" t="s">
        <v>420</v>
      </c>
      <c r="D184" s="4">
        <f>SUM(D182:D183)</f>
        <v>175</v>
      </c>
      <c r="E184" s="4">
        <f>SUM(E182:E183)</f>
        <v>116</v>
      </c>
    </row>
    <row r="185" spans="3:12" ht="15" thickBot="1" x14ac:dyDescent="0.4"/>
    <row r="186" spans="3:12" ht="106" customHeight="1" thickBot="1" x14ac:dyDescent="0.4">
      <c r="C186" s="165" t="s">
        <v>2163</v>
      </c>
      <c r="D186" s="104" t="str">
        <f>I176</f>
        <v>Estimated Number of General Permit Covered Facilities - NeT Application Deployed</v>
      </c>
      <c r="E186" s="107" t="str">
        <f>J176</f>
        <v>Estimated Number of General Permit Covered Facilities - NeT Application Not Deployed</v>
      </c>
    </row>
    <row r="187" spans="3:12" x14ac:dyDescent="0.35">
      <c r="C187" s="195" t="s">
        <v>2164</v>
      </c>
      <c r="D187" s="180">
        <f>I177</f>
        <v>23946</v>
      </c>
      <c r="E187" s="126">
        <f t="shared" ref="E187:E188" si="17">J177</f>
        <v>4507</v>
      </c>
    </row>
    <row r="188" spans="3:12" ht="15" thickBot="1" x14ac:dyDescent="0.4">
      <c r="C188" s="196" t="s">
        <v>529</v>
      </c>
      <c r="D188" s="22">
        <f t="shared" ref="D188" si="18">I178</f>
        <v>9407</v>
      </c>
      <c r="E188" s="52">
        <f t="shared" si="17"/>
        <v>17185</v>
      </c>
    </row>
    <row r="189" spans="3:12" x14ac:dyDescent="0.35">
      <c r="C189" s="197" t="s">
        <v>420</v>
      </c>
      <c r="D189" s="4">
        <f>SUM(D187:D188)</f>
        <v>33353</v>
      </c>
      <c r="E189" s="4">
        <f>SUM(E187:E188)</f>
        <v>21692</v>
      </c>
    </row>
    <row r="190" spans="3:12" ht="15" thickBot="1" x14ac:dyDescent="0.4"/>
    <row r="191" spans="3:12" ht="87.65" customHeight="1" thickBot="1" x14ac:dyDescent="0.4">
      <c r="C191" s="165" t="s">
        <v>2163</v>
      </c>
      <c r="D191" s="104" t="str">
        <f>K176</f>
        <v>Estimated Number of NeT Proxy Cards - General Permits - NeT Application Deployed</v>
      </c>
      <c r="E191" s="107" t="str">
        <f>L176</f>
        <v>Estimated Number of NeT Proxy Cards - General Permits - NeT Application Not Deployed</v>
      </c>
    </row>
    <row r="192" spans="3:12" x14ac:dyDescent="0.35">
      <c r="C192" s="195" t="s">
        <v>2164</v>
      </c>
      <c r="D192" s="180">
        <f>K177</f>
        <v>11</v>
      </c>
      <c r="E192" s="126">
        <f t="shared" ref="E192:E193" si="19">L177</f>
        <v>16</v>
      </c>
    </row>
    <row r="193" spans="3:5" ht="15" thickBot="1" x14ac:dyDescent="0.4">
      <c r="C193" s="196" t="s">
        <v>529</v>
      </c>
      <c r="D193" s="22">
        <f t="shared" ref="D193" si="20">K178</f>
        <v>14</v>
      </c>
      <c r="E193" s="52">
        <f t="shared" si="19"/>
        <v>53</v>
      </c>
    </row>
    <row r="194" spans="3:5" x14ac:dyDescent="0.35">
      <c r="C194" s="197" t="s">
        <v>420</v>
      </c>
      <c r="D194" s="4">
        <f>SUM(D192:D193)</f>
        <v>25</v>
      </c>
      <c r="E194" s="4">
        <f>SUM(E192:E193)</f>
        <v>69</v>
      </c>
    </row>
  </sheetData>
  <conditionalFormatting sqref="C88:E88">
    <cfRule type="containsText" dxfId="26" priority="5" operator="containsText" text="Yes">
      <formula>NOT(ISERROR(SEARCH("Yes",C88)))</formula>
    </cfRule>
    <cfRule type="containsText" dxfId="25" priority="6" operator="containsText" text="No">
      <formula>NOT(ISERROR(SEARCH("No",C88)))</formula>
    </cfRule>
  </conditionalFormatting>
  <conditionalFormatting sqref="C107:E107">
    <cfRule type="containsText" dxfId="24" priority="3" operator="containsText" text="Yes">
      <formula>NOT(ISERROR(SEARCH("Yes",C107)))</formula>
    </cfRule>
    <cfRule type="containsText" dxfId="23" priority="4" operator="containsText" text="No">
      <formula>NOT(ISERROR(SEARCH("No",C107)))</formula>
    </cfRule>
  </conditionalFormatting>
  <conditionalFormatting sqref="C126:E126">
    <cfRule type="containsText" dxfId="22" priority="1" operator="containsText" text="Yes">
      <formula>NOT(ISERROR(SEARCH("Yes",C126)))</formula>
    </cfRule>
    <cfRule type="containsText" dxfId="21" priority="2" operator="containsText" text="No">
      <formula>NOT(ISERROR(SEARCH("No",C126)))</formula>
    </cfRule>
  </conditionalFormatting>
  <pageMargins left="0.7" right="0.7" top="0.75" bottom="0.75" header="0.3" footer="0.3"/>
  <pageSetup orientation="portrait"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D4607-384B-450F-9AA3-5300CCB5FDFE}">
  <dimension ref="B1:U164"/>
  <sheetViews>
    <sheetView zoomScale="85" zoomScaleNormal="85" workbookViewId="0"/>
  </sheetViews>
  <sheetFormatPr defaultColWidth="9.1796875" defaultRowHeight="14.5" x14ac:dyDescent="0.35"/>
  <cols>
    <col min="1" max="1" width="4.26953125" style="3" customWidth="1"/>
    <col min="2" max="2" width="9.1796875" style="3"/>
    <col min="3" max="3" width="22" style="3" bestFit="1" customWidth="1"/>
    <col min="4" max="5" width="17.1796875" style="3" customWidth="1"/>
    <col min="6" max="6" width="20.54296875" style="3" customWidth="1"/>
    <col min="7" max="8" width="17.1796875" style="3" customWidth="1"/>
    <col min="9" max="9" width="25.453125" style="3" customWidth="1"/>
    <col min="10" max="10" width="26.7265625" style="3" customWidth="1"/>
    <col min="11" max="12" width="27.54296875" style="3" customWidth="1"/>
    <col min="13" max="16" width="21.81640625" style="3" customWidth="1"/>
    <col min="17" max="17" width="27.26953125" style="3" customWidth="1"/>
    <col min="18" max="18" width="25.26953125" style="3" customWidth="1"/>
    <col min="19" max="19" width="29.1796875" style="3" customWidth="1"/>
    <col min="20" max="20" width="26.26953125" style="3" customWidth="1"/>
    <col min="21" max="21" width="32.7265625" style="3" customWidth="1"/>
    <col min="22" max="16384" width="9.1796875" style="3"/>
  </cols>
  <sheetData>
    <row r="1" spans="2:21" x14ac:dyDescent="0.35">
      <c r="B1" s="111" t="s">
        <v>1891</v>
      </c>
    </row>
    <row r="2" spans="2:21" x14ac:dyDescent="0.35">
      <c r="B2" s="97" t="s">
        <v>1854</v>
      </c>
    </row>
    <row r="3" spans="2:21" x14ac:dyDescent="0.35">
      <c r="B3" s="111" t="s">
        <v>462</v>
      </c>
      <c r="D3" s="193">
        <f>'NeT Roadmap'!$C$3</f>
        <v>45688</v>
      </c>
      <c r="E3" s="137"/>
      <c r="F3" s="137"/>
      <c r="G3" s="137"/>
      <c r="H3" s="137"/>
    </row>
    <row r="4" spans="2:21" ht="15" thickBot="1" x14ac:dyDescent="0.4"/>
    <row r="5" spans="2:21" ht="73" thickBot="1" x14ac:dyDescent="0.4">
      <c r="B5" s="104" t="s">
        <v>1852</v>
      </c>
      <c r="C5" s="105" t="s">
        <v>1853</v>
      </c>
      <c r="D5" s="106" t="s">
        <v>0</v>
      </c>
      <c r="E5" s="104" t="s">
        <v>620</v>
      </c>
      <c r="F5" s="112" t="s">
        <v>1871</v>
      </c>
      <c r="G5" s="107" t="s">
        <v>1872</v>
      </c>
      <c r="H5" s="160" t="s">
        <v>2717</v>
      </c>
      <c r="I5" s="108" t="s">
        <v>557</v>
      </c>
      <c r="J5" s="105" t="s">
        <v>558</v>
      </c>
      <c r="K5" s="106" t="s">
        <v>636</v>
      </c>
      <c r="L5" s="106" t="s">
        <v>559</v>
      </c>
      <c r="M5" s="106" t="s">
        <v>637</v>
      </c>
      <c r="N5" s="104" t="s">
        <v>1873</v>
      </c>
      <c r="O5" s="105" t="s">
        <v>1874</v>
      </c>
      <c r="P5" s="107" t="s">
        <v>1875</v>
      </c>
      <c r="Q5" s="116" t="s">
        <v>1876</v>
      </c>
      <c r="R5" s="108" t="s">
        <v>1877</v>
      </c>
      <c r="S5" s="106" t="s">
        <v>1878</v>
      </c>
      <c r="T5" s="106" t="s">
        <v>1879</v>
      </c>
      <c r="U5" s="107" t="s">
        <v>1880</v>
      </c>
    </row>
    <row r="6" spans="2:21" x14ac:dyDescent="0.35">
      <c r="B6" s="109" t="s">
        <v>3</v>
      </c>
      <c r="C6" s="110" t="s">
        <v>560</v>
      </c>
      <c r="D6" s="113">
        <v>10</v>
      </c>
      <c r="E6" s="117">
        <f>SUM(F6:G6)</f>
        <v>7</v>
      </c>
      <c r="F6" s="118">
        <f>COUNTIFS('NeT PR - table_export'!$A:$A,$B6, 'NeT PR - table_export'!$E:$E,"Yes")</f>
        <v>1</v>
      </c>
      <c r="G6" s="119">
        <f>COUNTIFS('NeT PR - table_export'!$A:$A,$B6, 'NeT PR - table_export'!$E:$E,"No")</f>
        <v>6</v>
      </c>
      <c r="H6" s="170" t="str">
        <f>IF(COUNTIFS('NeT PR - table_export'!$A:$A,$B6,'NeT PR - table_export'!$F:$F,"Yes",'NeT PR - table_export'!$G:$G,"Yes")&gt;0,"Yes","No")</f>
        <v>No</v>
      </c>
      <c r="I6" s="120">
        <f>SUM($J6,$L6)</f>
        <v>1</v>
      </c>
      <c r="J6" s="121">
        <f>COUNTIFS('NeT PR - table_export'!$A:$A,$B6, 'NeT PR - table_export'!$E:$E,"Yes", 'NeT PR - table_export'!$F:$F,"Yes")</f>
        <v>1</v>
      </c>
      <c r="K6" s="121">
        <f>COUNTIFS('NeT PR - table_export'!$A:$A,$B6, 'NeT PR - table_export'!$E:$E,"Yes", 'NeT PR - table_export'!$F:$F,"Yes",'NeT PR - table_export'!$J:$J,"Yes")</f>
        <v>1</v>
      </c>
      <c r="L6" s="121">
        <f>COUNTIFS('NeT PR - table_export'!$A:$A,$B6, 'NeT PR - table_export'!$E:$E,"No", 'NeT PR - table_export'!$F:$F,"Yes")</f>
        <v>0</v>
      </c>
      <c r="M6" s="122">
        <f>COUNTIFS('NeT PR - table_export'!$A:$A,$B6, 'NeT PR - table_export'!$E:$E,"No", 'NeT PR - table_export'!$F:$F,"Yes",'NeT PR - table_export'!$J:$J,"Yes")</f>
        <v>0</v>
      </c>
      <c r="N6" s="123">
        <f>SUM(O6:P6)</f>
        <v>161</v>
      </c>
      <c r="O6" s="124">
        <f>SUMIFS('NeT PR - table_export'!$H:$H,'NeT PR - table_export'!$A:$A,$B6, 'NeT PR - table_export'!$E:$E,"Yes")</f>
        <v>3</v>
      </c>
      <c r="P6" s="125">
        <f>SUMIFS('NeT PR - table_export'!$H:$H,'NeT PR - table_export'!$A:$A,$B6, 'NeT PR - table_export'!$E:$E,"No")</f>
        <v>158</v>
      </c>
      <c r="Q6" s="120">
        <f>SUM($R6,$T6)</f>
        <v>3</v>
      </c>
      <c r="R6" s="121">
        <f>SUMIFS('NeT PR - table_export'!$H:$H,'NeT PR - table_export'!$A:$A,$B6, 'NeT PR - table_export'!$E:$E,"Yes", 'NeT PR - table_export'!$F:$F,"Yes")</f>
        <v>3</v>
      </c>
      <c r="S6" s="121">
        <f>SUMIFS('NeT PR - table_export'!$H:$H,'NeT PR - table_export'!$A:$A,$B6, 'NeT PR - table_export'!$E:$E,"Yes", 'NeT PR - table_export'!$F:$F,"Yes",'NeT PR - table_export'!$J:$J,"Yes")</f>
        <v>3</v>
      </c>
      <c r="T6" s="121">
        <f>SUMIFS('NeT PR - table_export'!$H:$H,'NeT PR - table_export'!$A:$A,$B6, 'NeT PR - table_export'!$E:$E,"No", 'NeT PR - table_export'!$F:$F,"Yes")</f>
        <v>0</v>
      </c>
      <c r="U6" s="126">
        <f>SUMIFS('NeT PR - table_export'!$H:$H,'NeT PR - table_export'!$A:$A,$B6, 'NeT PR - table_export'!$E:$E,"No", 'NeT PR - table_export'!$F:$F,"Yes",'NeT PR - table_export'!$J:$J,"Yes")</f>
        <v>0</v>
      </c>
    </row>
    <row r="7" spans="2:21" x14ac:dyDescent="0.35">
      <c r="B7" s="101" t="s">
        <v>30</v>
      </c>
      <c r="C7" s="99" t="s">
        <v>561</v>
      </c>
      <c r="D7" s="114">
        <v>4</v>
      </c>
      <c r="E7" s="127">
        <f t="shared" ref="E7:E67" si="0">SUM(F7:G7)</f>
        <v>7</v>
      </c>
      <c r="F7" s="128">
        <f>COUNTIFS('NeT PR - table_export'!$A:$A,$B7, 'NeT PR - table_export'!$E:$E,"Yes")</f>
        <v>1</v>
      </c>
      <c r="G7" s="129">
        <f>COUNTIFS('NeT PR - table_export'!$A:$A,$B7, 'NeT PR - table_export'!$E:$E,"No")</f>
        <v>6</v>
      </c>
      <c r="H7" s="171" t="str">
        <f>IF(COUNTIFS('NeT PR - table_export'!$A:$A,$B7,'NeT PR - table_export'!$F:$F,"Yes",'NeT PR - table_export'!$G:$G,"Yes")&gt;0,"Yes","No")</f>
        <v>No</v>
      </c>
      <c r="I7" s="130">
        <f t="shared" ref="I7:I67" si="1">SUM($J7,$L7)</f>
        <v>1</v>
      </c>
      <c r="J7" s="8">
        <f>COUNTIFS('NeT PR - table_export'!$A:$A,$B7, 'NeT PR - table_export'!$E:$E,"Yes", 'NeT PR - table_export'!$F:$F,"Yes")</f>
        <v>1</v>
      </c>
      <c r="K7" s="8">
        <f>COUNTIFS('NeT PR - table_export'!$A:$A,$B7, 'NeT PR - table_export'!$E:$E,"Yes", 'NeT PR - table_export'!$F:$F,"Yes",'NeT PR - table_export'!$J:$J,"Yes")</f>
        <v>1</v>
      </c>
      <c r="L7" s="8">
        <f>COUNTIFS('NeT PR - table_export'!$A:$A,$B7, 'NeT PR - table_export'!$E:$E,"No", 'NeT PR - table_export'!$F:$F,"Yes")</f>
        <v>0</v>
      </c>
      <c r="M7" s="131">
        <f>COUNTIFS('NeT PR - table_export'!$A:$A,$B7, 'NeT PR - table_export'!$E:$E,"No", 'NeT PR - table_export'!$F:$F,"Yes",'NeT PR - table_export'!$J:$J,"Yes")</f>
        <v>0</v>
      </c>
      <c r="N7" s="17">
        <f t="shared" ref="N7:N67" si="2">SUM(O7:P7)</f>
        <v>873</v>
      </c>
      <c r="O7" s="8">
        <f>SUMIFS('NeT PR - table_export'!$H:$H,'NeT PR - table_export'!$A:$A,$B7, 'NeT PR - table_export'!$E:$E,"Yes")</f>
        <v>56</v>
      </c>
      <c r="P7" s="51">
        <f>SUMIFS('NeT PR - table_export'!$H:$H,'NeT PR - table_export'!$A:$A,$B7, 'NeT PR - table_export'!$E:$E,"No")</f>
        <v>817</v>
      </c>
      <c r="Q7" s="130">
        <f t="shared" ref="Q7:Q67" si="3">SUM($R7,$T7)</f>
        <v>56</v>
      </c>
      <c r="R7" s="8">
        <f>SUMIFS('NeT PR - table_export'!$H:$H,'NeT PR - table_export'!$A:$A,$B7, 'NeT PR - table_export'!$E:$E,"Yes", 'NeT PR - table_export'!$F:$F,"Yes")</f>
        <v>56</v>
      </c>
      <c r="S7" s="8">
        <f>SUMIFS('NeT PR - table_export'!$H:$H,'NeT PR - table_export'!$A:$A,$B7, 'NeT PR - table_export'!$E:$E,"Yes", 'NeT PR - table_export'!$F:$F,"Yes",'NeT PR - table_export'!$J:$J,"Yes")</f>
        <v>56</v>
      </c>
      <c r="T7" s="8">
        <f>SUMIFS('NeT PR - table_export'!$H:$H,'NeT PR - table_export'!$A:$A,$B7, 'NeT PR - table_export'!$E:$E,"No", 'NeT PR - table_export'!$F:$F,"Yes")</f>
        <v>0</v>
      </c>
      <c r="U7" s="51">
        <f>SUMIFS('NeT PR - table_export'!$H:$H,'NeT PR - table_export'!$A:$A,$B7, 'NeT PR - table_export'!$E:$E,"No", 'NeT PR - table_export'!$F:$F,"Yes",'NeT PR - table_export'!$J:$J,"Yes")</f>
        <v>0</v>
      </c>
    </row>
    <row r="8" spans="2:21" x14ac:dyDescent="0.35">
      <c r="B8" s="101" t="s">
        <v>562</v>
      </c>
      <c r="C8" s="99" t="s">
        <v>563</v>
      </c>
      <c r="D8" s="114">
        <v>6</v>
      </c>
      <c r="E8" s="127">
        <f t="shared" si="0"/>
        <v>7</v>
      </c>
      <c r="F8" s="128">
        <f>COUNTIFS('NeT PR - table_export'!$A:$A,$B8, 'NeT PR - table_export'!$E:$E,"Yes")</f>
        <v>1</v>
      </c>
      <c r="G8" s="129">
        <f>COUNTIFS('NeT PR - table_export'!$A:$A,$B8, 'NeT PR - table_export'!$E:$E,"No")</f>
        <v>6</v>
      </c>
      <c r="H8" s="171" t="str">
        <f>IF(COUNTIFS('NeT PR - table_export'!$A:$A,$B8,'NeT PR - table_export'!$F:$F,"Yes",'NeT PR - table_export'!$G:$G,"Yes")&gt;0,"Yes","No")</f>
        <v>No</v>
      </c>
      <c r="I8" s="130">
        <f t="shared" si="1"/>
        <v>1</v>
      </c>
      <c r="J8" s="8">
        <f>COUNTIFS('NeT PR - table_export'!$A:$A,$B8, 'NeT PR - table_export'!$E:$E,"Yes", 'NeT PR - table_export'!$F:$F,"Yes")</f>
        <v>1</v>
      </c>
      <c r="K8" s="8">
        <f>COUNTIFS('NeT PR - table_export'!$A:$A,$B8, 'NeT PR - table_export'!$E:$E,"Yes", 'NeT PR - table_export'!$F:$F,"Yes",'NeT PR - table_export'!$J:$J,"Yes")</f>
        <v>1</v>
      </c>
      <c r="L8" s="8">
        <f>COUNTIFS('NeT PR - table_export'!$A:$A,$B8, 'NeT PR - table_export'!$E:$E,"No", 'NeT PR - table_export'!$F:$F,"Yes")</f>
        <v>0</v>
      </c>
      <c r="M8" s="131">
        <f>COUNTIFS('NeT PR - table_export'!$A:$A,$B8, 'NeT PR - table_export'!$E:$E,"No", 'NeT PR - table_export'!$F:$F,"Yes",'NeT PR - table_export'!$J:$J,"Yes")</f>
        <v>0</v>
      </c>
      <c r="N8" s="17">
        <f t="shared" si="2"/>
        <v>535</v>
      </c>
      <c r="O8" s="8">
        <f>SUMIFS('NeT PR - table_export'!$H:$H,'NeT PR - table_export'!$A:$A,$B8, 'NeT PR - table_export'!$E:$E,"Yes")</f>
        <v>35</v>
      </c>
      <c r="P8" s="51">
        <f>SUMIFS('NeT PR - table_export'!$H:$H,'NeT PR - table_export'!$A:$A,$B8, 'NeT PR - table_export'!$E:$E,"No")</f>
        <v>500</v>
      </c>
      <c r="Q8" s="130">
        <f t="shared" si="3"/>
        <v>35</v>
      </c>
      <c r="R8" s="8">
        <f>SUMIFS('NeT PR - table_export'!$H:$H,'NeT PR - table_export'!$A:$A,$B8, 'NeT PR - table_export'!$E:$E,"Yes", 'NeT PR - table_export'!$F:$F,"Yes")</f>
        <v>35</v>
      </c>
      <c r="S8" s="8">
        <f>SUMIFS('NeT PR - table_export'!$H:$H,'NeT PR - table_export'!$A:$A,$B8, 'NeT PR - table_export'!$E:$E,"Yes", 'NeT PR - table_export'!$F:$F,"Yes",'NeT PR - table_export'!$J:$J,"Yes")</f>
        <v>35</v>
      </c>
      <c r="T8" s="8">
        <f>SUMIFS('NeT PR - table_export'!$H:$H,'NeT PR - table_export'!$A:$A,$B8, 'NeT PR - table_export'!$E:$E,"No", 'NeT PR - table_export'!$F:$F,"Yes")</f>
        <v>0</v>
      </c>
      <c r="U8" s="51">
        <f>SUMIFS('NeT PR - table_export'!$H:$H,'NeT PR - table_export'!$A:$A,$B8, 'NeT PR - table_export'!$E:$E,"No", 'NeT PR - table_export'!$F:$F,"Yes",'NeT PR - table_export'!$J:$J,"Yes")</f>
        <v>0</v>
      </c>
    </row>
    <row r="9" spans="2:21" x14ac:dyDescent="0.35">
      <c r="B9" s="101" t="s">
        <v>33</v>
      </c>
      <c r="C9" s="99" t="s">
        <v>564</v>
      </c>
      <c r="D9" s="114">
        <v>9</v>
      </c>
      <c r="E9" s="127">
        <f t="shared" si="0"/>
        <v>7</v>
      </c>
      <c r="F9" s="128">
        <f>COUNTIFS('NeT PR - table_export'!$A:$A,$B9, 'NeT PR - table_export'!$E:$E,"Yes")</f>
        <v>7</v>
      </c>
      <c r="G9" s="129">
        <f>COUNTIFS('NeT PR - table_export'!$A:$A,$B9, 'NeT PR - table_export'!$E:$E,"No")</f>
        <v>0</v>
      </c>
      <c r="H9" s="171" t="str">
        <f>IF(COUNTIFS('NeT PR - table_export'!$A:$A,$B9,'NeT PR - table_export'!$F:$F,"Yes",'NeT PR - table_export'!$G:$G,"Yes")&gt;0,"Yes","No")</f>
        <v>No</v>
      </c>
      <c r="I9" s="130">
        <f t="shared" si="1"/>
        <v>2</v>
      </c>
      <c r="J9" s="8">
        <f>COUNTIFS('NeT PR - table_export'!$A:$A,$B9, 'NeT PR - table_export'!$E:$E,"Yes", 'NeT PR - table_export'!$F:$F,"Yes")</f>
        <v>2</v>
      </c>
      <c r="K9" s="8">
        <f>COUNTIFS('NeT PR - table_export'!$A:$A,$B9, 'NeT PR - table_export'!$E:$E,"Yes", 'NeT PR - table_export'!$F:$F,"Yes",'NeT PR - table_export'!$J:$J,"Yes")</f>
        <v>2</v>
      </c>
      <c r="L9" s="8">
        <f>COUNTIFS('NeT PR - table_export'!$A:$A,$B9, 'NeT PR - table_export'!$E:$E,"No", 'NeT PR - table_export'!$F:$F,"Yes")</f>
        <v>0</v>
      </c>
      <c r="M9" s="131">
        <f>COUNTIFS('NeT PR - table_export'!$A:$A,$B9, 'NeT PR - table_export'!$E:$E,"No", 'NeT PR - table_export'!$F:$F,"Yes",'NeT PR - table_export'!$J:$J,"Yes")</f>
        <v>0</v>
      </c>
      <c r="N9" s="17">
        <f t="shared" si="2"/>
        <v>4</v>
      </c>
      <c r="O9" s="8">
        <f>SUMIFS('NeT PR - table_export'!$H:$H,'NeT PR - table_export'!$A:$A,$B9, 'NeT PR - table_export'!$E:$E,"Yes")</f>
        <v>4</v>
      </c>
      <c r="P9" s="51">
        <f>SUMIFS('NeT PR - table_export'!$H:$H,'NeT PR - table_export'!$A:$A,$B9, 'NeT PR - table_export'!$E:$E,"No")</f>
        <v>0</v>
      </c>
      <c r="Q9" s="130">
        <f t="shared" si="3"/>
        <v>4</v>
      </c>
      <c r="R9" s="8">
        <f>SUMIFS('NeT PR - table_export'!$H:$H,'NeT PR - table_export'!$A:$A,$B9, 'NeT PR - table_export'!$E:$E,"Yes", 'NeT PR - table_export'!$F:$F,"Yes")</f>
        <v>4</v>
      </c>
      <c r="S9" s="8">
        <f>SUMIFS('NeT PR - table_export'!$H:$H,'NeT PR - table_export'!$A:$A,$B9, 'NeT PR - table_export'!$E:$E,"Yes", 'NeT PR - table_export'!$F:$F,"Yes",'NeT PR - table_export'!$J:$J,"Yes")</f>
        <v>4</v>
      </c>
      <c r="T9" s="8">
        <f>SUMIFS('NeT PR - table_export'!$H:$H,'NeT PR - table_export'!$A:$A,$B9, 'NeT PR - table_export'!$E:$E,"No", 'NeT PR - table_export'!$F:$F,"Yes")</f>
        <v>0</v>
      </c>
      <c r="U9" s="51">
        <f>SUMIFS('NeT PR - table_export'!$H:$H,'NeT PR - table_export'!$A:$A,$B9, 'NeT PR - table_export'!$E:$E,"No", 'NeT PR - table_export'!$F:$F,"Yes",'NeT PR - table_export'!$J:$J,"Yes")</f>
        <v>0</v>
      </c>
    </row>
    <row r="10" spans="2:21" x14ac:dyDescent="0.35">
      <c r="B10" s="101" t="s">
        <v>38</v>
      </c>
      <c r="C10" s="99" t="s">
        <v>1827</v>
      </c>
      <c r="D10" s="114">
        <v>9</v>
      </c>
      <c r="E10" s="127">
        <f t="shared" si="0"/>
        <v>7</v>
      </c>
      <c r="F10" s="128">
        <f>COUNTIFS('NeT PR - table_export'!$A:$A,$B10, 'NeT PR - table_export'!$E:$E,"Yes")</f>
        <v>0</v>
      </c>
      <c r="G10" s="129">
        <f>COUNTIFS('NeT PR - table_export'!$A:$A,$B10, 'NeT PR - table_export'!$E:$E,"No")</f>
        <v>7</v>
      </c>
      <c r="H10" s="171" t="str">
        <f>IF(COUNTIFS('NeT PR - table_export'!$A:$A,$B10,'NeT PR - table_export'!$F:$F,"Yes",'NeT PR - table_export'!$G:$G,"Yes")&gt;0,"Yes","No")</f>
        <v>Yes</v>
      </c>
      <c r="I10" s="130">
        <f t="shared" si="1"/>
        <v>1</v>
      </c>
      <c r="J10" s="8">
        <f>COUNTIFS('NeT PR - table_export'!$A:$A,$B10, 'NeT PR - table_export'!$E:$E,"Yes", 'NeT PR - table_export'!$F:$F,"Yes")</f>
        <v>0</v>
      </c>
      <c r="K10" s="8">
        <f>COUNTIFS('NeT PR - table_export'!$A:$A,$B10, 'NeT PR - table_export'!$E:$E,"Yes", 'NeT PR - table_export'!$F:$F,"Yes",'NeT PR - table_export'!$J:$J,"Yes")</f>
        <v>0</v>
      </c>
      <c r="L10" s="8">
        <f>COUNTIFS('NeT PR - table_export'!$A:$A,$B10, 'NeT PR - table_export'!$E:$E,"No", 'NeT PR - table_export'!$F:$F,"Yes")</f>
        <v>1</v>
      </c>
      <c r="M10" s="131">
        <f>COUNTIFS('NeT PR - table_export'!$A:$A,$B10, 'NeT PR - table_export'!$E:$E,"No", 'NeT PR - table_export'!$F:$F,"Yes",'NeT PR - table_export'!$J:$J,"Yes")</f>
        <v>1</v>
      </c>
      <c r="N10" s="17">
        <f t="shared" si="2"/>
        <v>173</v>
      </c>
      <c r="O10" s="8">
        <f>SUMIFS('NeT PR - table_export'!$H:$H,'NeT PR - table_export'!$A:$A,$B10, 'NeT PR - table_export'!$E:$E,"Yes")</f>
        <v>0</v>
      </c>
      <c r="P10" s="51">
        <f>SUMIFS('NeT PR - table_export'!$H:$H,'NeT PR - table_export'!$A:$A,$B10, 'NeT PR - table_export'!$E:$E,"No")</f>
        <v>173</v>
      </c>
      <c r="Q10" s="130">
        <f t="shared" si="3"/>
        <v>72</v>
      </c>
      <c r="R10" s="8">
        <f>SUMIFS('NeT PR - table_export'!$H:$H,'NeT PR - table_export'!$A:$A,$B10, 'NeT PR - table_export'!$E:$E,"Yes", 'NeT PR - table_export'!$F:$F,"Yes")</f>
        <v>0</v>
      </c>
      <c r="S10" s="8">
        <f>SUMIFS('NeT PR - table_export'!$H:$H,'NeT PR - table_export'!$A:$A,$B10, 'NeT PR - table_export'!$E:$E,"Yes", 'NeT PR - table_export'!$F:$F,"Yes",'NeT PR - table_export'!$J:$J,"Yes")</f>
        <v>0</v>
      </c>
      <c r="T10" s="8">
        <f>SUMIFS('NeT PR - table_export'!$H:$H,'NeT PR - table_export'!$A:$A,$B10, 'NeT PR - table_export'!$E:$E,"No", 'NeT PR - table_export'!$F:$F,"Yes")</f>
        <v>72</v>
      </c>
      <c r="U10" s="51">
        <f>SUMIFS('NeT PR - table_export'!$H:$H,'NeT PR - table_export'!$A:$A,$B10, 'NeT PR - table_export'!$E:$E,"No", 'NeT PR - table_export'!$F:$F,"Yes",'NeT PR - table_export'!$J:$J,"Yes")</f>
        <v>72</v>
      </c>
    </row>
    <row r="11" spans="2:21" x14ac:dyDescent="0.35">
      <c r="B11" s="101" t="s">
        <v>41</v>
      </c>
      <c r="C11" s="99" t="s">
        <v>565</v>
      </c>
      <c r="D11" s="114">
        <v>9</v>
      </c>
      <c r="E11" s="127">
        <f t="shared" si="0"/>
        <v>7</v>
      </c>
      <c r="F11" s="128">
        <f>COUNTIFS('NeT PR - table_export'!$A:$A,$B11, 'NeT PR - table_export'!$E:$E,"Yes")</f>
        <v>1</v>
      </c>
      <c r="G11" s="129">
        <f>COUNTIFS('NeT PR - table_export'!$A:$A,$B11, 'NeT PR - table_export'!$E:$E,"No")</f>
        <v>6</v>
      </c>
      <c r="H11" s="171" t="str">
        <f>IF(COUNTIFS('NeT PR - table_export'!$A:$A,$B11,'NeT PR - table_export'!$F:$F,"Yes",'NeT PR - table_export'!$G:$G,"Yes")&gt;0,"Yes","No")</f>
        <v>No</v>
      </c>
      <c r="I11" s="130">
        <f t="shared" si="1"/>
        <v>1</v>
      </c>
      <c r="J11" s="8">
        <f>COUNTIFS('NeT PR - table_export'!$A:$A,$B11, 'NeT PR - table_export'!$E:$E,"Yes", 'NeT PR - table_export'!$F:$F,"Yes")</f>
        <v>1</v>
      </c>
      <c r="K11" s="8">
        <f>COUNTIFS('NeT PR - table_export'!$A:$A,$B11, 'NeT PR - table_export'!$E:$E,"Yes", 'NeT PR - table_export'!$F:$F,"Yes",'NeT PR - table_export'!$J:$J,"Yes")</f>
        <v>1</v>
      </c>
      <c r="L11" s="8">
        <f>COUNTIFS('NeT PR - table_export'!$A:$A,$B11, 'NeT PR - table_export'!$E:$E,"No", 'NeT PR - table_export'!$F:$F,"Yes")</f>
        <v>0</v>
      </c>
      <c r="M11" s="131">
        <f>COUNTIFS('NeT PR - table_export'!$A:$A,$B11, 'NeT PR - table_export'!$E:$E,"No", 'NeT PR - table_export'!$F:$F,"Yes",'NeT PR - table_export'!$J:$J,"Yes")</f>
        <v>0</v>
      </c>
      <c r="N11" s="17">
        <f t="shared" si="2"/>
        <v>1198</v>
      </c>
      <c r="O11" s="8">
        <f>SUMIFS('NeT PR - table_export'!$H:$H,'NeT PR - table_export'!$A:$A,$B11, 'NeT PR - table_export'!$E:$E,"Yes")</f>
        <v>201</v>
      </c>
      <c r="P11" s="51">
        <f>SUMIFS('NeT PR - table_export'!$H:$H,'NeT PR - table_export'!$A:$A,$B11, 'NeT PR - table_export'!$E:$E,"No")</f>
        <v>997</v>
      </c>
      <c r="Q11" s="130">
        <f t="shared" si="3"/>
        <v>201</v>
      </c>
      <c r="R11" s="8">
        <f>SUMIFS('NeT PR - table_export'!$H:$H,'NeT PR - table_export'!$A:$A,$B11, 'NeT PR - table_export'!$E:$E,"Yes", 'NeT PR - table_export'!$F:$F,"Yes")</f>
        <v>201</v>
      </c>
      <c r="S11" s="8">
        <f>SUMIFS('NeT PR - table_export'!$H:$H,'NeT PR - table_export'!$A:$A,$B11, 'NeT PR - table_export'!$E:$E,"Yes", 'NeT PR - table_export'!$F:$F,"Yes",'NeT PR - table_export'!$J:$J,"Yes")</f>
        <v>201</v>
      </c>
      <c r="T11" s="8">
        <f>SUMIFS('NeT PR - table_export'!$H:$H,'NeT PR - table_export'!$A:$A,$B11, 'NeT PR - table_export'!$E:$E,"No", 'NeT PR - table_export'!$F:$F,"Yes")</f>
        <v>0</v>
      </c>
      <c r="U11" s="51">
        <f>SUMIFS('NeT PR - table_export'!$H:$H,'NeT PR - table_export'!$A:$A,$B11, 'NeT PR - table_export'!$E:$E,"No", 'NeT PR - table_export'!$F:$F,"Yes",'NeT PR - table_export'!$J:$J,"Yes")</f>
        <v>0</v>
      </c>
    </row>
    <row r="12" spans="2:21" x14ac:dyDescent="0.35">
      <c r="B12" s="101" t="s">
        <v>46</v>
      </c>
      <c r="C12" s="99" t="s">
        <v>566</v>
      </c>
      <c r="D12" s="114">
        <v>8</v>
      </c>
      <c r="E12" s="127">
        <f t="shared" si="0"/>
        <v>7</v>
      </c>
      <c r="F12" s="128">
        <f>COUNTIFS('NeT PR - table_export'!$A:$A,$B12, 'NeT PR - table_export'!$E:$E,"Yes")</f>
        <v>3</v>
      </c>
      <c r="G12" s="129">
        <f>COUNTIFS('NeT PR - table_export'!$A:$A,$B12, 'NeT PR - table_export'!$E:$E,"No")</f>
        <v>4</v>
      </c>
      <c r="H12" s="171" t="str">
        <f>IF(COUNTIFS('NeT PR - table_export'!$A:$A,$B12,'NeT PR - table_export'!$F:$F,"Yes",'NeT PR - table_export'!$G:$G,"Yes")&gt;0,"Yes","No")</f>
        <v>No</v>
      </c>
      <c r="I12" s="130">
        <f t="shared" si="1"/>
        <v>3</v>
      </c>
      <c r="J12" s="8">
        <f>COUNTIFS('NeT PR - table_export'!$A:$A,$B12, 'NeT PR - table_export'!$E:$E,"Yes", 'NeT PR - table_export'!$F:$F,"Yes")</f>
        <v>3</v>
      </c>
      <c r="K12" s="8">
        <f>COUNTIFS('NeT PR - table_export'!$A:$A,$B12, 'NeT PR - table_export'!$E:$E,"Yes", 'NeT PR - table_export'!$F:$F,"Yes",'NeT PR - table_export'!$J:$J,"Yes")</f>
        <v>2</v>
      </c>
      <c r="L12" s="8">
        <f>COUNTIFS('NeT PR - table_export'!$A:$A,$B12, 'NeT PR - table_export'!$E:$E,"No", 'NeT PR - table_export'!$F:$F,"Yes")</f>
        <v>0</v>
      </c>
      <c r="M12" s="131">
        <f>COUNTIFS('NeT PR - table_export'!$A:$A,$B12, 'NeT PR - table_export'!$E:$E,"No", 'NeT PR - table_export'!$F:$F,"Yes",'NeT PR - table_export'!$J:$J,"Yes")</f>
        <v>0</v>
      </c>
      <c r="N12" s="17">
        <f t="shared" si="2"/>
        <v>620</v>
      </c>
      <c r="O12" s="8">
        <f>SUMIFS('NeT PR - table_export'!$H:$H,'NeT PR - table_export'!$A:$A,$B12, 'NeT PR - table_export'!$E:$E,"Yes")</f>
        <v>111</v>
      </c>
      <c r="P12" s="51">
        <f>SUMIFS('NeT PR - table_export'!$H:$H,'NeT PR - table_export'!$A:$A,$B12, 'NeT PR - table_export'!$E:$E,"No")</f>
        <v>509</v>
      </c>
      <c r="Q12" s="130">
        <f t="shared" si="3"/>
        <v>111</v>
      </c>
      <c r="R12" s="8">
        <f>SUMIFS('NeT PR - table_export'!$H:$H,'NeT PR - table_export'!$A:$A,$B12, 'NeT PR - table_export'!$E:$E,"Yes", 'NeT PR - table_export'!$F:$F,"Yes")</f>
        <v>111</v>
      </c>
      <c r="S12" s="8">
        <f>SUMIFS('NeT PR - table_export'!$H:$H,'NeT PR - table_export'!$A:$A,$B12, 'NeT PR - table_export'!$E:$E,"Yes", 'NeT PR - table_export'!$F:$F,"Yes",'NeT PR - table_export'!$J:$J,"Yes")</f>
        <v>104</v>
      </c>
      <c r="T12" s="8">
        <f>SUMIFS('NeT PR - table_export'!$H:$H,'NeT PR - table_export'!$A:$A,$B12, 'NeT PR - table_export'!$E:$E,"No", 'NeT PR - table_export'!$F:$F,"Yes")</f>
        <v>0</v>
      </c>
      <c r="U12" s="51">
        <f>SUMIFS('NeT PR - table_export'!$H:$H,'NeT PR - table_export'!$A:$A,$B12, 'NeT PR - table_export'!$E:$E,"No", 'NeT PR - table_export'!$F:$F,"Yes",'NeT PR - table_export'!$J:$J,"Yes")</f>
        <v>0</v>
      </c>
    </row>
    <row r="13" spans="2:21" x14ac:dyDescent="0.35">
      <c r="B13" s="101" t="s">
        <v>53</v>
      </c>
      <c r="C13" s="99" t="s">
        <v>532</v>
      </c>
      <c r="D13" s="114">
        <v>1</v>
      </c>
      <c r="E13" s="127">
        <f t="shared" si="0"/>
        <v>7</v>
      </c>
      <c r="F13" s="128">
        <f>COUNTIFS('NeT PR - table_export'!$A:$A,$B13, 'NeT PR - table_export'!$E:$E,"Yes")</f>
        <v>1</v>
      </c>
      <c r="G13" s="129">
        <f>COUNTIFS('NeT PR - table_export'!$A:$A,$B13, 'NeT PR - table_export'!$E:$E,"No")</f>
        <v>6</v>
      </c>
      <c r="H13" s="171" t="str">
        <f>IF(COUNTIFS('NeT PR - table_export'!$A:$A,$B13,'NeT PR - table_export'!$F:$F,"Yes",'NeT PR - table_export'!$G:$G,"Yes")&gt;0,"Yes","No")</f>
        <v>Yes</v>
      </c>
      <c r="I13" s="130">
        <f t="shared" si="1"/>
        <v>4</v>
      </c>
      <c r="J13" s="8">
        <f>COUNTIFS('NeT PR - table_export'!$A:$A,$B13, 'NeT PR - table_export'!$E:$E,"Yes", 'NeT PR - table_export'!$F:$F,"Yes")</f>
        <v>1</v>
      </c>
      <c r="K13" s="8">
        <f>COUNTIFS('NeT PR - table_export'!$A:$A,$B13, 'NeT PR - table_export'!$E:$E,"Yes", 'NeT PR - table_export'!$F:$F,"Yes",'NeT PR - table_export'!$J:$J,"Yes")</f>
        <v>1</v>
      </c>
      <c r="L13" s="8">
        <f>COUNTIFS('NeT PR - table_export'!$A:$A,$B13, 'NeT PR - table_export'!$E:$E,"No", 'NeT PR - table_export'!$F:$F,"Yes")</f>
        <v>3</v>
      </c>
      <c r="M13" s="131">
        <f>COUNTIFS('NeT PR - table_export'!$A:$A,$B13, 'NeT PR - table_export'!$E:$E,"No", 'NeT PR - table_export'!$F:$F,"Yes",'NeT PR - table_export'!$J:$J,"Yes")</f>
        <v>0</v>
      </c>
      <c r="N13" s="17">
        <f t="shared" si="2"/>
        <v>468</v>
      </c>
      <c r="O13" s="8">
        <f>SUMIFS('NeT PR - table_export'!$H:$H,'NeT PR - table_export'!$A:$A,$B13, 'NeT PR - table_export'!$E:$E,"Yes")</f>
        <v>41</v>
      </c>
      <c r="P13" s="51">
        <f>SUMIFS('NeT PR - table_export'!$H:$H,'NeT PR - table_export'!$A:$A,$B13, 'NeT PR - table_export'!$E:$E,"No")</f>
        <v>427</v>
      </c>
      <c r="Q13" s="130">
        <f t="shared" si="3"/>
        <v>366</v>
      </c>
      <c r="R13" s="8">
        <f>SUMIFS('NeT PR - table_export'!$H:$H,'NeT PR - table_export'!$A:$A,$B13, 'NeT PR - table_export'!$E:$E,"Yes", 'NeT PR - table_export'!$F:$F,"Yes")</f>
        <v>41</v>
      </c>
      <c r="S13" s="8">
        <f>SUMIFS('NeT PR - table_export'!$H:$H,'NeT PR - table_export'!$A:$A,$B13, 'NeT PR - table_export'!$E:$E,"Yes", 'NeT PR - table_export'!$F:$F,"Yes",'NeT PR - table_export'!$J:$J,"Yes")</f>
        <v>41</v>
      </c>
      <c r="T13" s="8">
        <f>SUMIFS('NeT PR - table_export'!$H:$H,'NeT PR - table_export'!$A:$A,$B13, 'NeT PR - table_export'!$E:$E,"No", 'NeT PR - table_export'!$F:$F,"Yes")</f>
        <v>325</v>
      </c>
      <c r="U13" s="51">
        <f>SUMIFS('NeT PR - table_export'!$H:$H,'NeT PR - table_export'!$A:$A,$B13, 'NeT PR - table_export'!$E:$E,"No", 'NeT PR - table_export'!$F:$F,"Yes",'NeT PR - table_export'!$J:$J,"Yes")</f>
        <v>0</v>
      </c>
    </row>
    <row r="14" spans="2:21" x14ac:dyDescent="0.35">
      <c r="B14" s="101" t="s">
        <v>73</v>
      </c>
      <c r="C14" s="99" t="s">
        <v>567</v>
      </c>
      <c r="D14" s="114">
        <v>3</v>
      </c>
      <c r="E14" s="127">
        <f t="shared" si="0"/>
        <v>7</v>
      </c>
      <c r="F14" s="128">
        <f>COUNTIFS('NeT PR - table_export'!$A:$A,$B14, 'NeT PR - table_export'!$E:$E,"Yes")</f>
        <v>7</v>
      </c>
      <c r="G14" s="129">
        <f>COUNTIFS('NeT PR - table_export'!$A:$A,$B14, 'NeT PR - table_export'!$E:$E,"No")</f>
        <v>0</v>
      </c>
      <c r="H14" s="171" t="str">
        <f>IF(COUNTIFS('NeT PR - table_export'!$A:$A,$B14,'NeT PR - table_export'!$F:$F,"Yes",'NeT PR - table_export'!$G:$G,"Yes")&gt;0,"Yes","No")</f>
        <v>No</v>
      </c>
      <c r="I14" s="130">
        <f t="shared" si="1"/>
        <v>5</v>
      </c>
      <c r="J14" s="8">
        <f>COUNTIFS('NeT PR - table_export'!$A:$A,$B14, 'NeT PR - table_export'!$E:$E,"Yes", 'NeT PR - table_export'!$F:$F,"Yes")</f>
        <v>5</v>
      </c>
      <c r="K14" s="8">
        <f>COUNTIFS('NeT PR - table_export'!$A:$A,$B14, 'NeT PR - table_export'!$E:$E,"Yes", 'NeT PR - table_export'!$F:$F,"Yes",'NeT PR - table_export'!$J:$J,"Yes")</f>
        <v>3</v>
      </c>
      <c r="L14" s="8">
        <f>COUNTIFS('NeT PR - table_export'!$A:$A,$B14, 'NeT PR - table_export'!$E:$E,"No", 'NeT PR - table_export'!$F:$F,"Yes")</f>
        <v>0</v>
      </c>
      <c r="M14" s="131">
        <f>COUNTIFS('NeT PR - table_export'!$A:$A,$B14, 'NeT PR - table_export'!$E:$E,"No", 'NeT PR - table_export'!$F:$F,"Yes",'NeT PR - table_export'!$J:$J,"Yes")</f>
        <v>0</v>
      </c>
      <c r="N14" s="17">
        <f t="shared" si="2"/>
        <v>5</v>
      </c>
      <c r="O14" s="8">
        <f>SUMIFS('NeT PR - table_export'!$H:$H,'NeT PR - table_export'!$A:$A,$B14, 'NeT PR - table_export'!$E:$E,"Yes")</f>
        <v>5</v>
      </c>
      <c r="P14" s="51">
        <f>SUMIFS('NeT PR - table_export'!$H:$H,'NeT PR - table_export'!$A:$A,$B14, 'NeT PR - table_export'!$E:$E,"No")</f>
        <v>0</v>
      </c>
      <c r="Q14" s="130">
        <f t="shared" si="3"/>
        <v>5</v>
      </c>
      <c r="R14" s="8">
        <f>SUMIFS('NeT PR - table_export'!$H:$H,'NeT PR - table_export'!$A:$A,$B14, 'NeT PR - table_export'!$E:$E,"Yes", 'NeT PR - table_export'!$F:$F,"Yes")</f>
        <v>5</v>
      </c>
      <c r="S14" s="8">
        <f>SUMIFS('NeT PR - table_export'!$H:$H,'NeT PR - table_export'!$A:$A,$B14, 'NeT PR - table_export'!$E:$E,"Yes", 'NeT PR - table_export'!$F:$F,"Yes",'NeT PR - table_export'!$J:$J,"Yes")</f>
        <v>3</v>
      </c>
      <c r="T14" s="8">
        <f>SUMIFS('NeT PR - table_export'!$H:$H,'NeT PR - table_export'!$A:$A,$B14, 'NeT PR - table_export'!$E:$E,"No", 'NeT PR - table_export'!$F:$F,"Yes")</f>
        <v>0</v>
      </c>
      <c r="U14" s="51">
        <f>SUMIFS('NeT PR - table_export'!$H:$H,'NeT PR - table_export'!$A:$A,$B14, 'NeT PR - table_export'!$E:$E,"No", 'NeT PR - table_export'!$F:$F,"Yes",'NeT PR - table_export'!$J:$J,"Yes")</f>
        <v>0</v>
      </c>
    </row>
    <row r="15" spans="2:21" x14ac:dyDescent="0.35">
      <c r="B15" s="101" t="s">
        <v>78</v>
      </c>
      <c r="C15" s="99" t="s">
        <v>568</v>
      </c>
      <c r="D15" s="114">
        <v>3</v>
      </c>
      <c r="E15" s="127">
        <f t="shared" si="0"/>
        <v>7</v>
      </c>
      <c r="F15" s="128">
        <f>COUNTIFS('NeT PR - table_export'!$A:$A,$B15, 'NeT PR - table_export'!$E:$E,"Yes")</f>
        <v>3</v>
      </c>
      <c r="G15" s="129">
        <f>COUNTIFS('NeT PR - table_export'!$A:$A,$B15, 'NeT PR - table_export'!$E:$E,"No")</f>
        <v>4</v>
      </c>
      <c r="H15" s="171" t="str">
        <f>IF(COUNTIFS('NeT PR - table_export'!$A:$A,$B15,'NeT PR - table_export'!$F:$F,"Yes",'NeT PR - table_export'!$G:$G,"Yes")&gt;0,"Yes","No")</f>
        <v>Yes</v>
      </c>
      <c r="I15" s="130">
        <f t="shared" si="1"/>
        <v>4</v>
      </c>
      <c r="J15" s="8">
        <f>COUNTIFS('NeT PR - table_export'!$A:$A,$B15, 'NeT PR - table_export'!$E:$E,"Yes", 'NeT PR - table_export'!$F:$F,"Yes")</f>
        <v>3</v>
      </c>
      <c r="K15" s="8">
        <f>COUNTIFS('NeT PR - table_export'!$A:$A,$B15, 'NeT PR - table_export'!$E:$E,"Yes", 'NeT PR - table_export'!$F:$F,"Yes",'NeT PR - table_export'!$J:$J,"Yes")</f>
        <v>2</v>
      </c>
      <c r="L15" s="8">
        <f>COUNTIFS('NeT PR - table_export'!$A:$A,$B15, 'NeT PR - table_export'!$E:$E,"No", 'NeT PR - table_export'!$F:$F,"Yes")</f>
        <v>1</v>
      </c>
      <c r="M15" s="131">
        <f>COUNTIFS('NeT PR - table_export'!$A:$A,$B15, 'NeT PR - table_export'!$E:$E,"No", 'NeT PR - table_export'!$F:$F,"Yes",'NeT PR - table_export'!$J:$J,"Yes")</f>
        <v>1</v>
      </c>
      <c r="N15" s="17">
        <f t="shared" si="2"/>
        <v>229</v>
      </c>
      <c r="O15" s="8">
        <f>SUMIFS('NeT PR - table_export'!$H:$H,'NeT PR - table_export'!$A:$A,$B15, 'NeT PR - table_export'!$E:$E,"Yes")</f>
        <v>12</v>
      </c>
      <c r="P15" s="51">
        <f>SUMIFS('NeT PR - table_export'!$H:$H,'NeT PR - table_export'!$A:$A,$B15, 'NeT PR - table_export'!$E:$E,"No")</f>
        <v>217</v>
      </c>
      <c r="Q15" s="130">
        <f t="shared" si="3"/>
        <v>15</v>
      </c>
      <c r="R15" s="8">
        <f>SUMIFS('NeT PR - table_export'!$H:$H,'NeT PR - table_export'!$A:$A,$B15, 'NeT PR - table_export'!$E:$E,"Yes", 'NeT PR - table_export'!$F:$F,"Yes")</f>
        <v>12</v>
      </c>
      <c r="S15" s="8">
        <f>SUMIFS('NeT PR - table_export'!$H:$H,'NeT PR - table_export'!$A:$A,$B15, 'NeT PR - table_export'!$E:$E,"Yes", 'NeT PR - table_export'!$F:$F,"Yes",'NeT PR - table_export'!$J:$J,"Yes")</f>
        <v>11</v>
      </c>
      <c r="T15" s="8">
        <f>SUMIFS('NeT PR - table_export'!$H:$H,'NeT PR - table_export'!$A:$A,$B15, 'NeT PR - table_export'!$E:$E,"No", 'NeT PR - table_export'!$F:$F,"Yes")</f>
        <v>3</v>
      </c>
      <c r="U15" s="51">
        <f>SUMIFS('NeT PR - table_export'!$H:$H,'NeT PR - table_export'!$A:$A,$B15, 'NeT PR - table_export'!$E:$E,"No", 'NeT PR - table_export'!$F:$F,"Yes",'NeT PR - table_export'!$J:$J,"Yes")</f>
        <v>3</v>
      </c>
    </row>
    <row r="16" spans="2:21" x14ac:dyDescent="0.35">
      <c r="B16" s="101" t="s">
        <v>85</v>
      </c>
      <c r="C16" s="99" t="s">
        <v>569</v>
      </c>
      <c r="D16" s="114">
        <v>4</v>
      </c>
      <c r="E16" s="127">
        <f t="shared" si="0"/>
        <v>7</v>
      </c>
      <c r="F16" s="128">
        <f>COUNTIFS('NeT PR - table_export'!$A:$A,$B16, 'NeT PR - table_export'!$E:$E,"Yes")</f>
        <v>1</v>
      </c>
      <c r="G16" s="129">
        <f>COUNTIFS('NeT PR - table_export'!$A:$A,$B16, 'NeT PR - table_export'!$E:$E,"No")</f>
        <v>6</v>
      </c>
      <c r="H16" s="171" t="str">
        <f>IF(COUNTIFS('NeT PR - table_export'!$A:$A,$B16,'NeT PR - table_export'!$F:$F,"Yes",'NeT PR - table_export'!$G:$G,"Yes")&gt;0,"Yes","No")</f>
        <v>No</v>
      </c>
      <c r="I16" s="130">
        <f t="shared" si="1"/>
        <v>1</v>
      </c>
      <c r="J16" s="8">
        <f>COUNTIFS('NeT PR - table_export'!$A:$A,$B16, 'NeT PR - table_export'!$E:$E,"Yes", 'NeT PR - table_export'!$F:$F,"Yes")</f>
        <v>1</v>
      </c>
      <c r="K16" s="8">
        <f>COUNTIFS('NeT PR - table_export'!$A:$A,$B16, 'NeT PR - table_export'!$E:$E,"Yes", 'NeT PR - table_export'!$F:$F,"Yes",'NeT PR - table_export'!$J:$J,"Yes")</f>
        <v>1</v>
      </c>
      <c r="L16" s="8">
        <f>COUNTIFS('NeT PR - table_export'!$A:$A,$B16, 'NeT PR - table_export'!$E:$E,"No", 'NeT PR - table_export'!$F:$F,"Yes")</f>
        <v>0</v>
      </c>
      <c r="M16" s="131">
        <f>COUNTIFS('NeT PR - table_export'!$A:$A,$B16, 'NeT PR - table_export'!$E:$E,"No", 'NeT PR - table_export'!$F:$F,"Yes",'NeT PR - table_export'!$J:$J,"Yes")</f>
        <v>0</v>
      </c>
      <c r="N16" s="17">
        <f t="shared" si="2"/>
        <v>788</v>
      </c>
      <c r="O16" s="8">
        <f>SUMIFS('NeT PR - table_export'!$H:$H,'NeT PR - table_export'!$A:$A,$B16, 'NeT PR - table_export'!$E:$E,"Yes")</f>
        <v>109</v>
      </c>
      <c r="P16" s="51">
        <f>SUMIFS('NeT PR - table_export'!$H:$H,'NeT PR - table_export'!$A:$A,$B16, 'NeT PR - table_export'!$E:$E,"No")</f>
        <v>679</v>
      </c>
      <c r="Q16" s="130">
        <f t="shared" si="3"/>
        <v>109</v>
      </c>
      <c r="R16" s="8">
        <f>SUMIFS('NeT PR - table_export'!$H:$H,'NeT PR - table_export'!$A:$A,$B16, 'NeT PR - table_export'!$E:$E,"Yes", 'NeT PR - table_export'!$F:$F,"Yes")</f>
        <v>109</v>
      </c>
      <c r="S16" s="8">
        <f>SUMIFS('NeT PR - table_export'!$H:$H,'NeT PR - table_export'!$A:$A,$B16, 'NeT PR - table_export'!$E:$E,"Yes", 'NeT PR - table_export'!$F:$F,"Yes",'NeT PR - table_export'!$J:$J,"Yes")</f>
        <v>109</v>
      </c>
      <c r="T16" s="8">
        <f>SUMIFS('NeT PR - table_export'!$H:$H,'NeT PR - table_export'!$A:$A,$B16, 'NeT PR - table_export'!$E:$E,"No", 'NeT PR - table_export'!$F:$F,"Yes")</f>
        <v>0</v>
      </c>
      <c r="U16" s="51">
        <f>SUMIFS('NeT PR - table_export'!$H:$H,'NeT PR - table_export'!$A:$A,$B16, 'NeT PR - table_export'!$E:$E,"No", 'NeT PR - table_export'!$F:$F,"Yes",'NeT PR - table_export'!$J:$J,"Yes")</f>
        <v>0</v>
      </c>
    </row>
    <row r="17" spans="2:21" x14ac:dyDescent="0.35">
      <c r="B17" s="101" t="s">
        <v>570</v>
      </c>
      <c r="C17" s="99" t="s">
        <v>571</v>
      </c>
      <c r="D17" s="114">
        <v>4</v>
      </c>
      <c r="E17" s="127">
        <f t="shared" si="0"/>
        <v>7</v>
      </c>
      <c r="F17" s="128">
        <f>COUNTIFS('NeT PR - table_export'!$A:$A,$B17, 'NeT PR - table_export'!$E:$E,"Yes")</f>
        <v>1</v>
      </c>
      <c r="G17" s="129">
        <f>COUNTIFS('NeT PR - table_export'!$A:$A,$B17, 'NeT PR - table_export'!$E:$E,"No")</f>
        <v>6</v>
      </c>
      <c r="H17" s="171" t="str">
        <f>IF(COUNTIFS('NeT PR - table_export'!$A:$A,$B17,'NeT PR - table_export'!$F:$F,"Yes",'NeT PR - table_export'!$G:$G,"Yes")&gt;0,"Yes","No")</f>
        <v>No</v>
      </c>
      <c r="I17" s="130">
        <f t="shared" si="1"/>
        <v>1</v>
      </c>
      <c r="J17" s="8">
        <f>COUNTIFS('NeT PR - table_export'!$A:$A,$B17, 'NeT PR - table_export'!$E:$E,"Yes", 'NeT PR - table_export'!$F:$F,"Yes")</f>
        <v>1</v>
      </c>
      <c r="K17" s="8">
        <f>COUNTIFS('NeT PR - table_export'!$A:$A,$B17, 'NeT PR - table_export'!$E:$E,"Yes", 'NeT PR - table_export'!$F:$F,"Yes",'NeT PR - table_export'!$J:$J,"Yes")</f>
        <v>1</v>
      </c>
      <c r="L17" s="8">
        <f>COUNTIFS('NeT PR - table_export'!$A:$A,$B17, 'NeT PR - table_export'!$E:$E,"No", 'NeT PR - table_export'!$F:$F,"Yes")</f>
        <v>0</v>
      </c>
      <c r="M17" s="131">
        <f>COUNTIFS('NeT PR - table_export'!$A:$A,$B17, 'NeT PR - table_export'!$E:$E,"No", 'NeT PR - table_export'!$F:$F,"Yes",'NeT PR - table_export'!$J:$J,"Yes")</f>
        <v>0</v>
      </c>
      <c r="N17" s="17">
        <f t="shared" si="2"/>
        <v>752</v>
      </c>
      <c r="O17" s="8">
        <f>SUMIFS('NeT PR - table_export'!$H:$H,'NeT PR - table_export'!$A:$A,$B17, 'NeT PR - table_export'!$E:$E,"Yes")</f>
        <v>76</v>
      </c>
      <c r="P17" s="51">
        <f>SUMIFS('NeT PR - table_export'!$H:$H,'NeT PR - table_export'!$A:$A,$B17, 'NeT PR - table_export'!$E:$E,"No")</f>
        <v>676</v>
      </c>
      <c r="Q17" s="130">
        <f t="shared" si="3"/>
        <v>76</v>
      </c>
      <c r="R17" s="8">
        <f>SUMIFS('NeT PR - table_export'!$H:$H,'NeT PR - table_export'!$A:$A,$B17, 'NeT PR - table_export'!$E:$E,"Yes", 'NeT PR - table_export'!$F:$F,"Yes")</f>
        <v>76</v>
      </c>
      <c r="S17" s="8">
        <f>SUMIFS('NeT PR - table_export'!$H:$H,'NeT PR - table_export'!$A:$A,$B17, 'NeT PR - table_export'!$E:$E,"Yes", 'NeT PR - table_export'!$F:$F,"Yes",'NeT PR - table_export'!$J:$J,"Yes")</f>
        <v>76</v>
      </c>
      <c r="T17" s="8">
        <f>SUMIFS('NeT PR - table_export'!$H:$H,'NeT PR - table_export'!$A:$A,$B17, 'NeT PR - table_export'!$E:$E,"No", 'NeT PR - table_export'!$F:$F,"Yes")</f>
        <v>0</v>
      </c>
      <c r="U17" s="51">
        <f>SUMIFS('NeT PR - table_export'!$H:$H,'NeT PR - table_export'!$A:$A,$B17, 'NeT PR - table_export'!$E:$E,"No", 'NeT PR - table_export'!$F:$F,"Yes",'NeT PR - table_export'!$J:$J,"Yes")</f>
        <v>0</v>
      </c>
    </row>
    <row r="18" spans="2:21" x14ac:dyDescent="0.35">
      <c r="B18" s="101" t="s">
        <v>88</v>
      </c>
      <c r="C18" s="99" t="s">
        <v>1869</v>
      </c>
      <c r="D18" s="114">
        <v>4</v>
      </c>
      <c r="E18" s="127">
        <f t="shared" si="0"/>
        <v>0</v>
      </c>
      <c r="F18" s="128">
        <f>COUNTIFS('NeT PR - table_export'!$A:$A,$B18, 'NeT PR - table_export'!$E:$E,"Yes")</f>
        <v>0</v>
      </c>
      <c r="G18" s="129">
        <f>COUNTIFS('NeT PR - table_export'!$A:$A,$B18, 'NeT PR - table_export'!$E:$E,"No")</f>
        <v>0</v>
      </c>
      <c r="H18" s="171" t="str">
        <f>IF(COUNTIFS('NeT PR - table_export'!$A:$A,$B18,'NeT PR - table_export'!$F:$F,"Yes",'NeT PR - table_export'!$G:$G,"Yes")&gt;0,"Yes","No")</f>
        <v>No</v>
      </c>
      <c r="I18" s="130">
        <f t="shared" si="1"/>
        <v>0</v>
      </c>
      <c r="J18" s="8">
        <f>COUNTIFS('NeT PR - table_export'!$A:$A,$B18, 'NeT PR - table_export'!$E:$E,"Yes", 'NeT PR - table_export'!$F:$F,"Yes")</f>
        <v>0</v>
      </c>
      <c r="K18" s="8">
        <f>COUNTIFS('NeT PR - table_export'!$A:$A,$B18, 'NeT PR - table_export'!$E:$E,"Yes", 'NeT PR - table_export'!$F:$F,"Yes",'NeT PR - table_export'!$J:$J,"Yes")</f>
        <v>0</v>
      </c>
      <c r="L18" s="8">
        <f>COUNTIFS('NeT PR - table_export'!$A:$A,$B18, 'NeT PR - table_export'!$E:$E,"No", 'NeT PR - table_export'!$F:$F,"Yes")</f>
        <v>0</v>
      </c>
      <c r="M18" s="131">
        <f>COUNTIFS('NeT PR - table_export'!$A:$A,$B18, 'NeT PR - table_export'!$E:$E,"No", 'NeT PR - table_export'!$F:$F,"Yes",'NeT PR - table_export'!$J:$J,"Yes")</f>
        <v>0</v>
      </c>
      <c r="N18" s="17">
        <f t="shared" si="2"/>
        <v>0</v>
      </c>
      <c r="O18" s="8">
        <f>SUMIFS('NeT PR - table_export'!$H:$H,'NeT PR - table_export'!$A:$A,$B18, 'NeT PR - table_export'!$E:$E,"Yes")</f>
        <v>0</v>
      </c>
      <c r="P18" s="51">
        <f>SUMIFS('NeT PR - table_export'!$H:$H,'NeT PR - table_export'!$A:$A,$B18, 'NeT PR - table_export'!$E:$E,"No")</f>
        <v>0</v>
      </c>
      <c r="Q18" s="130">
        <f t="shared" si="3"/>
        <v>0</v>
      </c>
      <c r="R18" s="8">
        <f>SUMIFS('NeT PR - table_export'!$H:$H,'NeT PR - table_export'!$A:$A,$B18, 'NeT PR - table_export'!$E:$E,"Yes", 'NeT PR - table_export'!$F:$F,"Yes")</f>
        <v>0</v>
      </c>
      <c r="S18" s="8">
        <f>SUMIFS('NeT PR - table_export'!$H:$H,'NeT PR - table_export'!$A:$A,$B18, 'NeT PR - table_export'!$E:$E,"Yes", 'NeT PR - table_export'!$F:$F,"Yes",'NeT PR - table_export'!$J:$J,"Yes")</f>
        <v>0</v>
      </c>
      <c r="T18" s="8">
        <f>SUMIFS('NeT PR - table_export'!$H:$H,'NeT PR - table_export'!$A:$A,$B18, 'NeT PR - table_export'!$E:$E,"No", 'NeT PR - table_export'!$F:$F,"Yes")</f>
        <v>0</v>
      </c>
      <c r="U18" s="51">
        <f>SUMIFS('NeT PR - table_export'!$H:$H,'NeT PR - table_export'!$A:$A,$B18, 'NeT PR - table_export'!$E:$E,"No", 'NeT PR - table_export'!$F:$F,"Yes",'NeT PR - table_export'!$J:$J,"Yes")</f>
        <v>0</v>
      </c>
    </row>
    <row r="19" spans="2:21" x14ac:dyDescent="0.35">
      <c r="B19" s="101" t="s">
        <v>92</v>
      </c>
      <c r="C19" s="99" t="s">
        <v>1828</v>
      </c>
      <c r="D19" s="114">
        <v>6</v>
      </c>
      <c r="E19" s="127">
        <f t="shared" si="0"/>
        <v>0</v>
      </c>
      <c r="F19" s="128">
        <f>COUNTIFS('NeT PR - table_export'!$A:$A,$B19, 'NeT PR - table_export'!$E:$E,"Yes")</f>
        <v>0</v>
      </c>
      <c r="G19" s="129">
        <f>COUNTIFS('NeT PR - table_export'!$A:$A,$B19, 'NeT PR - table_export'!$E:$E,"No")</f>
        <v>0</v>
      </c>
      <c r="H19" s="171" t="str">
        <f>IF(COUNTIFS('NeT PR - table_export'!$A:$A,$B19,'NeT PR - table_export'!$F:$F,"Yes",'NeT PR - table_export'!$G:$G,"Yes")&gt;0,"Yes","No")</f>
        <v>No</v>
      </c>
      <c r="I19" s="130">
        <f t="shared" si="1"/>
        <v>0</v>
      </c>
      <c r="J19" s="8">
        <f>COUNTIFS('NeT PR - table_export'!$A:$A,$B19, 'NeT PR - table_export'!$E:$E,"Yes", 'NeT PR - table_export'!$F:$F,"Yes")</f>
        <v>0</v>
      </c>
      <c r="K19" s="8">
        <f>COUNTIFS('NeT PR - table_export'!$A:$A,$B19, 'NeT PR - table_export'!$E:$E,"Yes", 'NeT PR - table_export'!$F:$F,"Yes",'NeT PR - table_export'!$J:$J,"Yes")</f>
        <v>0</v>
      </c>
      <c r="L19" s="8">
        <f>COUNTIFS('NeT PR - table_export'!$A:$A,$B19, 'NeT PR - table_export'!$E:$E,"No", 'NeT PR - table_export'!$F:$F,"Yes")</f>
        <v>0</v>
      </c>
      <c r="M19" s="131">
        <f>COUNTIFS('NeT PR - table_export'!$A:$A,$B19, 'NeT PR - table_export'!$E:$E,"No", 'NeT PR - table_export'!$F:$F,"Yes",'NeT PR - table_export'!$J:$J,"Yes")</f>
        <v>0</v>
      </c>
      <c r="N19" s="17">
        <f t="shared" si="2"/>
        <v>0</v>
      </c>
      <c r="O19" s="8">
        <f>SUMIFS('NeT PR - table_export'!$H:$H,'NeT PR - table_export'!$A:$A,$B19, 'NeT PR - table_export'!$E:$E,"Yes")</f>
        <v>0</v>
      </c>
      <c r="P19" s="51">
        <f>SUMIFS('NeT PR - table_export'!$H:$H,'NeT PR - table_export'!$A:$A,$B19, 'NeT PR - table_export'!$E:$E,"No")</f>
        <v>0</v>
      </c>
      <c r="Q19" s="130">
        <f t="shared" si="3"/>
        <v>0</v>
      </c>
      <c r="R19" s="8">
        <f>SUMIFS('NeT PR - table_export'!$H:$H,'NeT PR - table_export'!$A:$A,$B19, 'NeT PR - table_export'!$E:$E,"Yes", 'NeT PR - table_export'!$F:$F,"Yes")</f>
        <v>0</v>
      </c>
      <c r="S19" s="8">
        <f>SUMIFS('NeT PR - table_export'!$H:$H,'NeT PR - table_export'!$A:$A,$B19, 'NeT PR - table_export'!$E:$E,"Yes", 'NeT PR - table_export'!$F:$F,"Yes",'NeT PR - table_export'!$J:$J,"Yes")</f>
        <v>0</v>
      </c>
      <c r="T19" s="8">
        <f>SUMIFS('NeT PR - table_export'!$H:$H,'NeT PR - table_export'!$A:$A,$B19, 'NeT PR - table_export'!$E:$E,"No", 'NeT PR - table_export'!$F:$F,"Yes")</f>
        <v>0</v>
      </c>
      <c r="U19" s="51">
        <f>SUMIFS('NeT PR - table_export'!$H:$H,'NeT PR - table_export'!$A:$A,$B19, 'NeT PR - table_export'!$E:$E,"No", 'NeT PR - table_export'!$F:$F,"Yes",'NeT PR - table_export'!$J:$J,"Yes")</f>
        <v>0</v>
      </c>
    </row>
    <row r="20" spans="2:21" x14ac:dyDescent="0.35">
      <c r="B20" s="101" t="s">
        <v>96</v>
      </c>
      <c r="C20" s="99" t="s">
        <v>572</v>
      </c>
      <c r="D20" s="114">
        <v>9</v>
      </c>
      <c r="E20" s="127">
        <f t="shared" si="0"/>
        <v>7</v>
      </c>
      <c r="F20" s="128">
        <f>COUNTIFS('NeT PR - table_export'!$A:$A,$B20, 'NeT PR - table_export'!$E:$E,"Yes")</f>
        <v>7</v>
      </c>
      <c r="G20" s="129">
        <f>COUNTIFS('NeT PR - table_export'!$A:$A,$B20, 'NeT PR - table_export'!$E:$E,"No")</f>
        <v>0</v>
      </c>
      <c r="H20" s="171" t="str">
        <f>IF(COUNTIFS('NeT PR - table_export'!$A:$A,$B20,'NeT PR - table_export'!$F:$F,"Yes",'NeT PR - table_export'!$G:$G,"Yes")&gt;0,"Yes","No")</f>
        <v>No</v>
      </c>
      <c r="I20" s="130">
        <f t="shared" si="1"/>
        <v>4</v>
      </c>
      <c r="J20" s="8">
        <f>COUNTIFS('NeT PR - table_export'!$A:$A,$B20, 'NeT PR - table_export'!$E:$E,"Yes", 'NeT PR - table_export'!$F:$F,"Yes")</f>
        <v>4</v>
      </c>
      <c r="K20" s="8">
        <f>COUNTIFS('NeT PR - table_export'!$A:$A,$B20, 'NeT PR - table_export'!$E:$E,"Yes", 'NeT PR - table_export'!$F:$F,"Yes",'NeT PR - table_export'!$J:$J,"Yes")</f>
        <v>2</v>
      </c>
      <c r="L20" s="8">
        <f>COUNTIFS('NeT PR - table_export'!$A:$A,$B20, 'NeT PR - table_export'!$E:$E,"No", 'NeT PR - table_export'!$F:$F,"Yes")</f>
        <v>0</v>
      </c>
      <c r="M20" s="131">
        <f>COUNTIFS('NeT PR - table_export'!$A:$A,$B20, 'NeT PR - table_export'!$E:$E,"No", 'NeT PR - table_export'!$F:$F,"Yes",'NeT PR - table_export'!$J:$J,"Yes")</f>
        <v>0</v>
      </c>
      <c r="N20" s="17">
        <f t="shared" si="2"/>
        <v>11</v>
      </c>
      <c r="O20" s="8">
        <f>SUMIFS('NeT PR - table_export'!$H:$H,'NeT PR - table_export'!$A:$A,$B20, 'NeT PR - table_export'!$E:$E,"Yes")</f>
        <v>11</v>
      </c>
      <c r="P20" s="51">
        <f>SUMIFS('NeT PR - table_export'!$H:$H,'NeT PR - table_export'!$A:$A,$B20, 'NeT PR - table_export'!$E:$E,"No")</f>
        <v>0</v>
      </c>
      <c r="Q20" s="130">
        <f t="shared" si="3"/>
        <v>11</v>
      </c>
      <c r="R20" s="8">
        <f>SUMIFS('NeT PR - table_export'!$H:$H,'NeT PR - table_export'!$A:$A,$B20, 'NeT PR - table_export'!$E:$E,"Yes", 'NeT PR - table_export'!$F:$F,"Yes")</f>
        <v>11</v>
      </c>
      <c r="S20" s="8">
        <f>SUMIFS('NeT PR - table_export'!$H:$H,'NeT PR - table_export'!$A:$A,$B20, 'NeT PR - table_export'!$E:$E,"Yes", 'NeT PR - table_export'!$F:$F,"Yes",'NeT PR - table_export'!$J:$J,"Yes")</f>
        <v>8</v>
      </c>
      <c r="T20" s="8">
        <f>SUMIFS('NeT PR - table_export'!$H:$H,'NeT PR - table_export'!$A:$A,$B20, 'NeT PR - table_export'!$E:$E,"No", 'NeT PR - table_export'!$F:$F,"Yes")</f>
        <v>0</v>
      </c>
      <c r="U20" s="51">
        <f>SUMIFS('NeT PR - table_export'!$H:$H,'NeT PR - table_export'!$A:$A,$B20, 'NeT PR - table_export'!$E:$E,"No", 'NeT PR - table_export'!$F:$F,"Yes",'NeT PR - table_export'!$J:$J,"Yes")</f>
        <v>0</v>
      </c>
    </row>
    <row r="21" spans="2:21" x14ac:dyDescent="0.35">
      <c r="B21" s="101" t="s">
        <v>573</v>
      </c>
      <c r="C21" s="99" t="s">
        <v>574</v>
      </c>
      <c r="D21" s="114">
        <v>9</v>
      </c>
      <c r="E21" s="127">
        <f t="shared" si="0"/>
        <v>7</v>
      </c>
      <c r="F21" s="128">
        <f>COUNTIFS('NeT PR - table_export'!$A:$A,$B21, 'NeT PR - table_export'!$E:$E,"Yes")</f>
        <v>1</v>
      </c>
      <c r="G21" s="129">
        <f>COUNTIFS('NeT PR - table_export'!$A:$A,$B21, 'NeT PR - table_export'!$E:$E,"No")</f>
        <v>6</v>
      </c>
      <c r="H21" s="171" t="str">
        <f>IF(COUNTIFS('NeT PR - table_export'!$A:$A,$B21,'NeT PR - table_export'!$F:$F,"Yes",'NeT PR - table_export'!$G:$G,"Yes")&gt;0,"Yes","No")</f>
        <v>No</v>
      </c>
      <c r="I21" s="130">
        <f t="shared" si="1"/>
        <v>1</v>
      </c>
      <c r="J21" s="8">
        <f>COUNTIFS('NeT PR - table_export'!$A:$A,$B21, 'NeT PR - table_export'!$E:$E,"Yes", 'NeT PR - table_export'!$F:$F,"Yes")</f>
        <v>1</v>
      </c>
      <c r="K21" s="8">
        <f>COUNTIFS('NeT PR - table_export'!$A:$A,$B21, 'NeT PR - table_export'!$E:$E,"Yes", 'NeT PR - table_export'!$F:$F,"Yes",'NeT PR - table_export'!$J:$J,"Yes")</f>
        <v>1</v>
      </c>
      <c r="L21" s="8">
        <f>COUNTIFS('NeT PR - table_export'!$A:$A,$B21, 'NeT PR - table_export'!$E:$E,"No", 'NeT PR - table_export'!$F:$F,"Yes")</f>
        <v>0</v>
      </c>
      <c r="M21" s="131">
        <f>COUNTIFS('NeT PR - table_export'!$A:$A,$B21, 'NeT PR - table_export'!$E:$E,"No", 'NeT PR - table_export'!$F:$F,"Yes",'NeT PR - table_export'!$J:$J,"Yes")</f>
        <v>0</v>
      </c>
      <c r="N21" s="17">
        <f t="shared" si="2"/>
        <v>68</v>
      </c>
      <c r="O21" s="8">
        <f>SUMIFS('NeT PR - table_export'!$H:$H,'NeT PR - table_export'!$A:$A,$B21, 'NeT PR - table_export'!$E:$E,"Yes")</f>
        <v>18</v>
      </c>
      <c r="P21" s="51">
        <f>SUMIFS('NeT PR - table_export'!$H:$H,'NeT PR - table_export'!$A:$A,$B21, 'NeT PR - table_export'!$E:$E,"No")</f>
        <v>50</v>
      </c>
      <c r="Q21" s="130">
        <f t="shared" si="3"/>
        <v>18</v>
      </c>
      <c r="R21" s="8">
        <f>SUMIFS('NeT PR - table_export'!$H:$H,'NeT PR - table_export'!$A:$A,$B21, 'NeT PR - table_export'!$E:$E,"Yes", 'NeT PR - table_export'!$F:$F,"Yes")</f>
        <v>18</v>
      </c>
      <c r="S21" s="8">
        <f>SUMIFS('NeT PR - table_export'!$H:$H,'NeT PR - table_export'!$A:$A,$B21, 'NeT PR - table_export'!$E:$E,"Yes", 'NeT PR - table_export'!$F:$F,"Yes",'NeT PR - table_export'!$J:$J,"Yes")</f>
        <v>18</v>
      </c>
      <c r="T21" s="8">
        <f>SUMIFS('NeT PR - table_export'!$H:$H,'NeT PR - table_export'!$A:$A,$B21, 'NeT PR - table_export'!$E:$E,"No", 'NeT PR - table_export'!$F:$F,"Yes")</f>
        <v>0</v>
      </c>
      <c r="U21" s="51">
        <f>SUMIFS('NeT PR - table_export'!$H:$H,'NeT PR - table_export'!$A:$A,$B21, 'NeT PR - table_export'!$E:$E,"No", 'NeT PR - table_export'!$F:$F,"Yes",'NeT PR - table_export'!$J:$J,"Yes")</f>
        <v>0</v>
      </c>
    </row>
    <row r="22" spans="2:21" x14ac:dyDescent="0.35">
      <c r="B22" s="101" t="s">
        <v>101</v>
      </c>
      <c r="C22" s="99" t="s">
        <v>575</v>
      </c>
      <c r="D22" s="114">
        <v>7</v>
      </c>
      <c r="E22" s="127">
        <f t="shared" si="0"/>
        <v>7</v>
      </c>
      <c r="F22" s="128">
        <f>COUNTIFS('NeT PR - table_export'!$A:$A,$B22, 'NeT PR - table_export'!$E:$E,"Yes")</f>
        <v>1</v>
      </c>
      <c r="G22" s="129">
        <f>COUNTIFS('NeT PR - table_export'!$A:$A,$B22, 'NeT PR - table_export'!$E:$E,"No")</f>
        <v>6</v>
      </c>
      <c r="H22" s="171" t="str">
        <f>IF(COUNTIFS('NeT PR - table_export'!$A:$A,$B22,'NeT PR - table_export'!$F:$F,"Yes",'NeT PR - table_export'!$G:$G,"Yes")&gt;0,"Yes","No")</f>
        <v>No</v>
      </c>
      <c r="I22" s="130">
        <f t="shared" si="1"/>
        <v>1</v>
      </c>
      <c r="J22" s="8">
        <f>COUNTIFS('NeT PR - table_export'!$A:$A,$B22, 'NeT PR - table_export'!$E:$E,"Yes", 'NeT PR - table_export'!$F:$F,"Yes")</f>
        <v>1</v>
      </c>
      <c r="K22" s="8">
        <f>COUNTIFS('NeT PR - table_export'!$A:$A,$B22, 'NeT PR - table_export'!$E:$E,"Yes", 'NeT PR - table_export'!$F:$F,"Yes",'NeT PR - table_export'!$J:$J,"Yes")</f>
        <v>1</v>
      </c>
      <c r="L22" s="8">
        <f>COUNTIFS('NeT PR - table_export'!$A:$A,$B22, 'NeT PR - table_export'!$E:$E,"No", 'NeT PR - table_export'!$F:$F,"Yes")</f>
        <v>0</v>
      </c>
      <c r="M22" s="131">
        <f>COUNTIFS('NeT PR - table_export'!$A:$A,$B22, 'NeT PR - table_export'!$E:$E,"No", 'NeT PR - table_export'!$F:$F,"Yes",'NeT PR - table_export'!$J:$J,"Yes")</f>
        <v>0</v>
      </c>
      <c r="N22" s="17">
        <f t="shared" si="2"/>
        <v>965</v>
      </c>
      <c r="O22" s="8">
        <f>SUMIFS('NeT PR - table_export'!$H:$H,'NeT PR - table_export'!$A:$A,$B22, 'NeT PR - table_export'!$E:$E,"Yes")</f>
        <v>85</v>
      </c>
      <c r="P22" s="51">
        <f>SUMIFS('NeT PR - table_export'!$H:$H,'NeT PR - table_export'!$A:$A,$B22, 'NeT PR - table_export'!$E:$E,"No")</f>
        <v>880</v>
      </c>
      <c r="Q22" s="130">
        <f t="shared" si="3"/>
        <v>85</v>
      </c>
      <c r="R22" s="8">
        <f>SUMIFS('NeT PR - table_export'!$H:$H,'NeT PR - table_export'!$A:$A,$B22, 'NeT PR - table_export'!$E:$E,"Yes", 'NeT PR - table_export'!$F:$F,"Yes")</f>
        <v>85</v>
      </c>
      <c r="S22" s="8">
        <f>SUMIFS('NeT PR - table_export'!$H:$H,'NeT PR - table_export'!$A:$A,$B22, 'NeT PR - table_export'!$E:$E,"Yes", 'NeT PR - table_export'!$F:$F,"Yes",'NeT PR - table_export'!$J:$J,"Yes")</f>
        <v>85</v>
      </c>
      <c r="T22" s="8">
        <f>SUMIFS('NeT PR - table_export'!$H:$H,'NeT PR - table_export'!$A:$A,$B22, 'NeT PR - table_export'!$E:$E,"No", 'NeT PR - table_export'!$F:$F,"Yes")</f>
        <v>0</v>
      </c>
      <c r="U22" s="51">
        <f>SUMIFS('NeT PR - table_export'!$H:$H,'NeT PR - table_export'!$A:$A,$B22, 'NeT PR - table_export'!$E:$E,"No", 'NeT PR - table_export'!$F:$F,"Yes",'NeT PR - table_export'!$J:$J,"Yes")</f>
        <v>0</v>
      </c>
    </row>
    <row r="23" spans="2:21" x14ac:dyDescent="0.35">
      <c r="B23" s="101" t="s">
        <v>104</v>
      </c>
      <c r="C23" s="99" t="s">
        <v>576</v>
      </c>
      <c r="D23" s="114">
        <v>10</v>
      </c>
      <c r="E23" s="127">
        <f t="shared" si="0"/>
        <v>7</v>
      </c>
      <c r="F23" s="128">
        <f>COUNTIFS('NeT PR - table_export'!$A:$A,$B23, 'NeT PR - table_export'!$E:$E,"Yes")</f>
        <v>0</v>
      </c>
      <c r="G23" s="129">
        <f>COUNTIFS('NeT PR - table_export'!$A:$A,$B23, 'NeT PR - table_export'!$E:$E,"No")</f>
        <v>7</v>
      </c>
      <c r="H23" s="171" t="str">
        <f>IF(COUNTIFS('NeT PR - table_export'!$A:$A,$B23,'NeT PR - table_export'!$F:$F,"Yes",'NeT PR - table_export'!$G:$G,"Yes")&gt;0,"Yes","No")</f>
        <v>No</v>
      </c>
      <c r="I23" s="130">
        <f t="shared" si="1"/>
        <v>0</v>
      </c>
      <c r="J23" s="8">
        <f>COUNTIFS('NeT PR - table_export'!$A:$A,$B23, 'NeT PR - table_export'!$E:$E,"Yes", 'NeT PR - table_export'!$F:$F,"Yes")</f>
        <v>0</v>
      </c>
      <c r="K23" s="8">
        <f>COUNTIFS('NeT PR - table_export'!$A:$A,$B23, 'NeT PR - table_export'!$E:$E,"Yes", 'NeT PR - table_export'!$F:$F,"Yes",'NeT PR - table_export'!$J:$J,"Yes")</f>
        <v>0</v>
      </c>
      <c r="L23" s="8">
        <f>COUNTIFS('NeT PR - table_export'!$A:$A,$B23, 'NeT PR - table_export'!$E:$E,"No", 'NeT PR - table_export'!$F:$F,"Yes")</f>
        <v>0</v>
      </c>
      <c r="M23" s="131">
        <f>COUNTIFS('NeT PR - table_export'!$A:$A,$B23, 'NeT PR - table_export'!$E:$E,"No", 'NeT PR - table_export'!$F:$F,"Yes",'NeT PR - table_export'!$J:$J,"Yes")</f>
        <v>0</v>
      </c>
      <c r="N23" s="17">
        <f t="shared" si="2"/>
        <v>170</v>
      </c>
      <c r="O23" s="8">
        <f>SUMIFS('NeT PR - table_export'!$H:$H,'NeT PR - table_export'!$A:$A,$B23, 'NeT PR - table_export'!$E:$E,"Yes")</f>
        <v>0</v>
      </c>
      <c r="P23" s="51">
        <f>SUMIFS('NeT PR - table_export'!$H:$H,'NeT PR - table_export'!$A:$A,$B23, 'NeT PR - table_export'!$E:$E,"No")</f>
        <v>170</v>
      </c>
      <c r="Q23" s="130">
        <f t="shared" si="3"/>
        <v>0</v>
      </c>
      <c r="R23" s="8">
        <f>SUMIFS('NeT PR - table_export'!$H:$H,'NeT PR - table_export'!$A:$A,$B23, 'NeT PR - table_export'!$E:$E,"Yes", 'NeT PR - table_export'!$F:$F,"Yes")</f>
        <v>0</v>
      </c>
      <c r="S23" s="8">
        <f>SUMIFS('NeT PR - table_export'!$H:$H,'NeT PR - table_export'!$A:$A,$B23, 'NeT PR - table_export'!$E:$E,"Yes", 'NeT PR - table_export'!$F:$F,"Yes",'NeT PR - table_export'!$J:$J,"Yes")</f>
        <v>0</v>
      </c>
      <c r="T23" s="8">
        <f>SUMIFS('NeT PR - table_export'!$H:$H,'NeT PR - table_export'!$A:$A,$B23, 'NeT PR - table_export'!$E:$E,"No", 'NeT PR - table_export'!$F:$F,"Yes")</f>
        <v>0</v>
      </c>
      <c r="U23" s="51">
        <f>SUMIFS('NeT PR - table_export'!$H:$H,'NeT PR - table_export'!$A:$A,$B23, 'NeT PR - table_export'!$E:$E,"No", 'NeT PR - table_export'!$F:$F,"Yes",'NeT PR - table_export'!$J:$J,"Yes")</f>
        <v>0</v>
      </c>
    </row>
    <row r="24" spans="2:21" x14ac:dyDescent="0.35">
      <c r="B24" s="101" t="s">
        <v>119</v>
      </c>
      <c r="C24" s="99" t="s">
        <v>536</v>
      </c>
      <c r="D24" s="114">
        <v>5</v>
      </c>
      <c r="E24" s="127">
        <f t="shared" si="0"/>
        <v>7</v>
      </c>
      <c r="F24" s="128">
        <f>COUNTIFS('NeT PR - table_export'!$A:$A,$B24, 'NeT PR - table_export'!$E:$E,"Yes")</f>
        <v>3</v>
      </c>
      <c r="G24" s="129">
        <f>COUNTIFS('NeT PR - table_export'!$A:$A,$B24, 'NeT PR - table_export'!$E:$E,"No")</f>
        <v>4</v>
      </c>
      <c r="H24" s="171" t="str">
        <f>IF(COUNTIFS('NeT PR - table_export'!$A:$A,$B24,'NeT PR - table_export'!$F:$F,"Yes",'NeT PR - table_export'!$G:$G,"Yes")&gt;0,"Yes","No")</f>
        <v>Yes</v>
      </c>
      <c r="I24" s="130">
        <f t="shared" si="1"/>
        <v>6</v>
      </c>
      <c r="J24" s="8">
        <f>COUNTIFS('NeT PR - table_export'!$A:$A,$B24, 'NeT PR - table_export'!$E:$E,"Yes", 'NeT PR - table_export'!$F:$F,"Yes")</f>
        <v>3</v>
      </c>
      <c r="K24" s="8">
        <f>COUNTIFS('NeT PR - table_export'!$A:$A,$B24, 'NeT PR - table_export'!$E:$E,"Yes", 'NeT PR - table_export'!$F:$F,"Yes",'NeT PR - table_export'!$J:$J,"Yes")</f>
        <v>2</v>
      </c>
      <c r="L24" s="8">
        <f>COUNTIFS('NeT PR - table_export'!$A:$A,$B24, 'NeT PR - table_export'!$E:$E,"No", 'NeT PR - table_export'!$F:$F,"Yes")</f>
        <v>3</v>
      </c>
      <c r="M24" s="131">
        <f>COUNTIFS('NeT PR - table_export'!$A:$A,$B24, 'NeT PR - table_export'!$E:$E,"No", 'NeT PR - table_export'!$F:$F,"Yes",'NeT PR - table_export'!$J:$J,"Yes")</f>
        <v>1</v>
      </c>
      <c r="N24" s="17">
        <f t="shared" si="2"/>
        <v>1685</v>
      </c>
      <c r="O24" s="8">
        <f>SUMIFS('NeT PR - table_export'!$H:$H,'NeT PR - table_export'!$A:$A,$B24, 'NeT PR - table_export'!$E:$E,"Yes")</f>
        <v>288</v>
      </c>
      <c r="P24" s="51">
        <f>SUMIFS('NeT PR - table_export'!$H:$H,'NeT PR - table_export'!$A:$A,$B24, 'NeT PR - table_export'!$E:$E,"No")</f>
        <v>1397</v>
      </c>
      <c r="Q24" s="130">
        <f t="shared" si="3"/>
        <v>1685</v>
      </c>
      <c r="R24" s="8">
        <f>SUMIFS('NeT PR - table_export'!$H:$H,'NeT PR - table_export'!$A:$A,$B24, 'NeT PR - table_export'!$E:$E,"Yes", 'NeT PR - table_export'!$F:$F,"Yes")</f>
        <v>288</v>
      </c>
      <c r="S24" s="8">
        <f>SUMIFS('NeT PR - table_export'!$H:$H,'NeT PR - table_export'!$A:$A,$B24, 'NeT PR - table_export'!$E:$E,"Yes", 'NeT PR - table_export'!$F:$F,"Yes",'NeT PR - table_export'!$J:$J,"Yes")</f>
        <v>208</v>
      </c>
      <c r="T24" s="8">
        <f>SUMIFS('NeT PR - table_export'!$H:$H,'NeT PR - table_export'!$A:$A,$B24, 'NeT PR - table_export'!$E:$E,"No", 'NeT PR - table_export'!$F:$F,"Yes")</f>
        <v>1397</v>
      </c>
      <c r="U24" s="51">
        <f>SUMIFS('NeT PR - table_export'!$H:$H,'NeT PR - table_export'!$A:$A,$B24, 'NeT PR - table_export'!$E:$E,"No", 'NeT PR - table_export'!$F:$F,"Yes",'NeT PR - table_export'!$J:$J,"Yes")</f>
        <v>889</v>
      </c>
    </row>
    <row r="25" spans="2:21" x14ac:dyDescent="0.35">
      <c r="B25" s="101" t="s">
        <v>577</v>
      </c>
      <c r="C25" s="99" t="s">
        <v>578</v>
      </c>
      <c r="D25" s="114">
        <v>5</v>
      </c>
      <c r="E25" s="127">
        <f t="shared" si="0"/>
        <v>7</v>
      </c>
      <c r="F25" s="128">
        <f>COUNTIFS('NeT PR - table_export'!$A:$A,$B25, 'NeT PR - table_export'!$E:$E,"Yes")</f>
        <v>3</v>
      </c>
      <c r="G25" s="129">
        <f>COUNTIFS('NeT PR - table_export'!$A:$A,$B25, 'NeT PR - table_export'!$E:$E,"No")</f>
        <v>4</v>
      </c>
      <c r="H25" s="171" t="str">
        <f>IF(COUNTIFS('NeT PR - table_export'!$A:$A,$B25,'NeT PR - table_export'!$F:$F,"Yes",'NeT PR - table_export'!$G:$G,"Yes")&gt;0,"Yes","No")</f>
        <v>Yes</v>
      </c>
      <c r="I25" s="130">
        <f t="shared" si="1"/>
        <v>4</v>
      </c>
      <c r="J25" s="8">
        <f>COUNTIFS('NeT PR - table_export'!$A:$A,$B25, 'NeT PR - table_export'!$E:$E,"Yes", 'NeT PR - table_export'!$F:$F,"Yes")</f>
        <v>3</v>
      </c>
      <c r="K25" s="8">
        <f>COUNTIFS('NeT PR - table_export'!$A:$A,$B25, 'NeT PR - table_export'!$E:$E,"Yes", 'NeT PR - table_export'!$F:$F,"Yes",'NeT PR - table_export'!$J:$J,"Yes")</f>
        <v>2</v>
      </c>
      <c r="L25" s="8">
        <f>COUNTIFS('NeT PR - table_export'!$A:$A,$B25, 'NeT PR - table_export'!$E:$E,"No", 'NeT PR - table_export'!$F:$F,"Yes")</f>
        <v>1</v>
      </c>
      <c r="M25" s="131">
        <f>COUNTIFS('NeT PR - table_export'!$A:$A,$B25, 'NeT PR - table_export'!$E:$E,"No", 'NeT PR - table_export'!$F:$F,"Yes",'NeT PR - table_export'!$J:$J,"Yes")</f>
        <v>1</v>
      </c>
      <c r="N25" s="17">
        <f t="shared" si="2"/>
        <v>1109</v>
      </c>
      <c r="O25" s="8">
        <f>SUMIFS('NeT PR - table_export'!$H:$H,'NeT PR - table_export'!$A:$A,$B25, 'NeT PR - table_export'!$E:$E,"Yes")</f>
        <v>312</v>
      </c>
      <c r="P25" s="51">
        <f>SUMIFS('NeT PR - table_export'!$H:$H,'NeT PR - table_export'!$A:$A,$B25, 'NeT PR - table_export'!$E:$E,"No")</f>
        <v>797</v>
      </c>
      <c r="Q25" s="130">
        <f t="shared" si="3"/>
        <v>1076</v>
      </c>
      <c r="R25" s="8">
        <f>SUMIFS('NeT PR - table_export'!$H:$H,'NeT PR - table_export'!$A:$A,$B25, 'NeT PR - table_export'!$E:$E,"Yes", 'NeT PR - table_export'!$F:$F,"Yes")</f>
        <v>312</v>
      </c>
      <c r="S25" s="8">
        <f>SUMIFS('NeT PR - table_export'!$H:$H,'NeT PR - table_export'!$A:$A,$B25, 'NeT PR - table_export'!$E:$E,"Yes", 'NeT PR - table_export'!$F:$F,"Yes",'NeT PR - table_export'!$J:$J,"Yes")</f>
        <v>127</v>
      </c>
      <c r="T25" s="8">
        <f>SUMIFS('NeT PR - table_export'!$H:$H,'NeT PR - table_export'!$A:$A,$B25, 'NeT PR - table_export'!$E:$E,"No", 'NeT PR - table_export'!$F:$F,"Yes")</f>
        <v>764</v>
      </c>
      <c r="U25" s="51">
        <f>SUMIFS('NeT PR - table_export'!$H:$H,'NeT PR - table_export'!$A:$A,$B25, 'NeT PR - table_export'!$E:$E,"No", 'NeT PR - table_export'!$F:$F,"Yes",'NeT PR - table_export'!$J:$J,"Yes")</f>
        <v>764</v>
      </c>
    </row>
    <row r="26" spans="2:21" x14ac:dyDescent="0.35">
      <c r="B26" s="101" t="s">
        <v>157</v>
      </c>
      <c r="C26" s="99" t="s">
        <v>1870</v>
      </c>
      <c r="D26" s="114">
        <v>9</v>
      </c>
      <c r="E26" s="127">
        <f t="shared" si="0"/>
        <v>0</v>
      </c>
      <c r="F26" s="128">
        <f>COUNTIFS('NeT PR - table_export'!$A:$A,$B26, 'NeT PR - table_export'!$E:$E,"Yes")</f>
        <v>0</v>
      </c>
      <c r="G26" s="129">
        <f>COUNTIFS('NeT PR - table_export'!$A:$A,$B26, 'NeT PR - table_export'!$E:$E,"No")</f>
        <v>0</v>
      </c>
      <c r="H26" s="171" t="str">
        <f>IF(COUNTIFS('NeT PR - table_export'!$A:$A,$B26,'NeT PR - table_export'!$F:$F,"Yes",'NeT PR - table_export'!$G:$G,"Yes")&gt;0,"Yes","No")</f>
        <v>No</v>
      </c>
      <c r="I26" s="130">
        <f t="shared" si="1"/>
        <v>0</v>
      </c>
      <c r="J26" s="8">
        <f>COUNTIFS('NeT PR - table_export'!$A:$A,$B26, 'NeT PR - table_export'!$E:$E,"Yes", 'NeT PR - table_export'!$F:$F,"Yes")</f>
        <v>0</v>
      </c>
      <c r="K26" s="8">
        <f>COUNTIFS('NeT PR - table_export'!$A:$A,$B26, 'NeT PR - table_export'!$E:$E,"Yes", 'NeT PR - table_export'!$F:$F,"Yes",'NeT PR - table_export'!$J:$J,"Yes")</f>
        <v>0</v>
      </c>
      <c r="L26" s="8">
        <f>COUNTIFS('NeT PR - table_export'!$A:$A,$B26, 'NeT PR - table_export'!$E:$E,"No", 'NeT PR - table_export'!$F:$F,"Yes")</f>
        <v>0</v>
      </c>
      <c r="M26" s="131">
        <f>COUNTIFS('NeT PR - table_export'!$A:$A,$B26, 'NeT PR - table_export'!$E:$E,"No", 'NeT PR - table_export'!$F:$F,"Yes",'NeT PR - table_export'!$J:$J,"Yes")</f>
        <v>0</v>
      </c>
      <c r="N26" s="17">
        <f t="shared" si="2"/>
        <v>0</v>
      </c>
      <c r="O26" s="8">
        <f>SUMIFS('NeT PR - table_export'!$H:$H,'NeT PR - table_export'!$A:$A,$B26, 'NeT PR - table_export'!$E:$E,"Yes")</f>
        <v>0</v>
      </c>
      <c r="P26" s="51">
        <f>SUMIFS('NeT PR - table_export'!$H:$H,'NeT PR - table_export'!$A:$A,$B26, 'NeT PR - table_export'!$E:$E,"No")</f>
        <v>0</v>
      </c>
      <c r="Q26" s="130">
        <f t="shared" si="3"/>
        <v>0</v>
      </c>
      <c r="R26" s="8">
        <f>SUMIFS('NeT PR - table_export'!$H:$H,'NeT PR - table_export'!$A:$A,$B26, 'NeT PR - table_export'!$E:$E,"Yes", 'NeT PR - table_export'!$F:$F,"Yes")</f>
        <v>0</v>
      </c>
      <c r="S26" s="8">
        <f>SUMIFS('NeT PR - table_export'!$H:$H,'NeT PR - table_export'!$A:$A,$B26, 'NeT PR - table_export'!$E:$E,"Yes", 'NeT PR - table_export'!$F:$F,"Yes",'NeT PR - table_export'!$J:$J,"Yes")</f>
        <v>0</v>
      </c>
      <c r="T26" s="8">
        <f>SUMIFS('NeT PR - table_export'!$H:$H,'NeT PR - table_export'!$A:$A,$B26, 'NeT PR - table_export'!$E:$E,"No", 'NeT PR - table_export'!$F:$F,"Yes")</f>
        <v>0</v>
      </c>
      <c r="U26" s="51">
        <f>SUMIFS('NeT PR - table_export'!$H:$H,'NeT PR - table_export'!$A:$A,$B26, 'NeT PR - table_export'!$E:$E,"No", 'NeT PR - table_export'!$F:$F,"Yes",'NeT PR - table_export'!$J:$J,"Yes")</f>
        <v>0</v>
      </c>
    </row>
    <row r="27" spans="2:21" x14ac:dyDescent="0.35">
      <c r="B27" s="101" t="s">
        <v>162</v>
      </c>
      <c r="C27" s="99" t="s">
        <v>579</v>
      </c>
      <c r="D27" s="114">
        <v>7</v>
      </c>
      <c r="E27" s="127">
        <f t="shared" si="0"/>
        <v>7</v>
      </c>
      <c r="F27" s="128">
        <f>COUNTIFS('NeT PR - table_export'!$A:$A,$B27, 'NeT PR - table_export'!$E:$E,"Yes")</f>
        <v>3</v>
      </c>
      <c r="G27" s="129">
        <f>COUNTIFS('NeT PR - table_export'!$A:$A,$B27, 'NeT PR - table_export'!$E:$E,"No")</f>
        <v>4</v>
      </c>
      <c r="H27" s="171" t="str">
        <f>IF(COUNTIFS('NeT PR - table_export'!$A:$A,$B27,'NeT PR - table_export'!$F:$F,"Yes",'NeT PR - table_export'!$G:$G,"Yes")&gt;0,"Yes","No")</f>
        <v>No</v>
      </c>
      <c r="I27" s="130">
        <f t="shared" si="1"/>
        <v>3</v>
      </c>
      <c r="J27" s="8">
        <f>COUNTIFS('NeT PR - table_export'!$A:$A,$B27, 'NeT PR - table_export'!$E:$E,"Yes", 'NeT PR - table_export'!$F:$F,"Yes")</f>
        <v>3</v>
      </c>
      <c r="K27" s="8">
        <f>COUNTIFS('NeT PR - table_export'!$A:$A,$B27, 'NeT PR - table_export'!$E:$E,"Yes", 'NeT PR - table_export'!$F:$F,"Yes",'NeT PR - table_export'!$J:$J,"Yes")</f>
        <v>2</v>
      </c>
      <c r="L27" s="8">
        <f>COUNTIFS('NeT PR - table_export'!$A:$A,$B27, 'NeT PR - table_export'!$E:$E,"No", 'NeT PR - table_export'!$F:$F,"Yes")</f>
        <v>0</v>
      </c>
      <c r="M27" s="131">
        <f>COUNTIFS('NeT PR - table_export'!$A:$A,$B27, 'NeT PR - table_export'!$E:$E,"No", 'NeT PR - table_export'!$F:$F,"Yes",'NeT PR - table_export'!$J:$J,"Yes")</f>
        <v>0</v>
      </c>
      <c r="N27" s="17">
        <f t="shared" si="2"/>
        <v>992</v>
      </c>
      <c r="O27" s="8">
        <f>SUMIFS('NeT PR - table_export'!$H:$H,'NeT PR - table_export'!$A:$A,$B27, 'NeT PR - table_export'!$E:$E,"Yes")</f>
        <v>116</v>
      </c>
      <c r="P27" s="51">
        <f>SUMIFS('NeT PR - table_export'!$H:$H,'NeT PR - table_export'!$A:$A,$B27, 'NeT PR - table_export'!$E:$E,"No")</f>
        <v>876</v>
      </c>
      <c r="Q27" s="130">
        <f t="shared" si="3"/>
        <v>116</v>
      </c>
      <c r="R27" s="8">
        <f>SUMIFS('NeT PR - table_export'!$H:$H,'NeT PR - table_export'!$A:$A,$B27, 'NeT PR - table_export'!$E:$E,"Yes", 'NeT PR - table_export'!$F:$F,"Yes")</f>
        <v>116</v>
      </c>
      <c r="S27" s="8">
        <f>SUMIFS('NeT PR - table_export'!$H:$H,'NeT PR - table_export'!$A:$A,$B27, 'NeT PR - table_export'!$E:$E,"Yes", 'NeT PR - table_export'!$F:$F,"Yes",'NeT PR - table_export'!$J:$J,"Yes")</f>
        <v>56</v>
      </c>
      <c r="T27" s="8">
        <f>SUMIFS('NeT PR - table_export'!$H:$H,'NeT PR - table_export'!$A:$A,$B27, 'NeT PR - table_export'!$E:$E,"No", 'NeT PR - table_export'!$F:$F,"Yes")</f>
        <v>0</v>
      </c>
      <c r="U27" s="51">
        <f>SUMIFS('NeT PR - table_export'!$H:$H,'NeT PR - table_export'!$A:$A,$B27, 'NeT PR - table_export'!$E:$E,"No", 'NeT PR - table_export'!$F:$F,"Yes",'NeT PR - table_export'!$J:$J,"Yes")</f>
        <v>0</v>
      </c>
    </row>
    <row r="28" spans="2:21" x14ac:dyDescent="0.35">
      <c r="B28" s="101" t="s">
        <v>538</v>
      </c>
      <c r="C28" s="99" t="s">
        <v>539</v>
      </c>
      <c r="D28" s="114">
        <v>4</v>
      </c>
      <c r="E28" s="127">
        <f t="shared" si="0"/>
        <v>7</v>
      </c>
      <c r="F28" s="128">
        <f>COUNTIFS('NeT PR - table_export'!$A:$A,$B28, 'NeT PR - table_export'!$E:$E,"Yes")</f>
        <v>1</v>
      </c>
      <c r="G28" s="129">
        <f>COUNTIFS('NeT PR - table_export'!$A:$A,$B28, 'NeT PR - table_export'!$E:$E,"No")</f>
        <v>6</v>
      </c>
      <c r="H28" s="171" t="str">
        <f>IF(COUNTIFS('NeT PR - table_export'!$A:$A,$B28,'NeT PR - table_export'!$F:$F,"Yes",'NeT PR - table_export'!$G:$G,"Yes")&gt;0,"Yes","No")</f>
        <v>Yes</v>
      </c>
      <c r="I28" s="130">
        <f t="shared" si="1"/>
        <v>3</v>
      </c>
      <c r="J28" s="8">
        <f>COUNTIFS('NeT PR - table_export'!$A:$A,$B28, 'NeT PR - table_export'!$E:$E,"Yes", 'NeT PR - table_export'!$F:$F,"Yes")</f>
        <v>1</v>
      </c>
      <c r="K28" s="8">
        <f>COUNTIFS('NeT PR - table_export'!$A:$A,$B28, 'NeT PR - table_export'!$E:$E,"Yes", 'NeT PR - table_export'!$F:$F,"Yes",'NeT PR - table_export'!$J:$J,"Yes")</f>
        <v>1</v>
      </c>
      <c r="L28" s="8">
        <f>COUNTIFS('NeT PR - table_export'!$A:$A,$B28, 'NeT PR - table_export'!$E:$E,"No", 'NeT PR - table_export'!$F:$F,"Yes")</f>
        <v>2</v>
      </c>
      <c r="M28" s="131">
        <f>COUNTIFS('NeT PR - table_export'!$A:$A,$B28, 'NeT PR - table_export'!$E:$E,"No", 'NeT PR - table_export'!$F:$F,"Yes",'NeT PR - table_export'!$J:$J,"Yes")</f>
        <v>0</v>
      </c>
      <c r="N28" s="17">
        <f t="shared" si="2"/>
        <v>492</v>
      </c>
      <c r="O28" s="8">
        <f>SUMIFS('NeT PR - table_export'!$H:$H,'NeT PR - table_export'!$A:$A,$B28, 'NeT PR - table_export'!$E:$E,"Yes")</f>
        <v>37</v>
      </c>
      <c r="P28" s="51">
        <f>SUMIFS('NeT PR - table_export'!$H:$H,'NeT PR - table_export'!$A:$A,$B28, 'NeT PR - table_export'!$E:$E,"No")</f>
        <v>455</v>
      </c>
      <c r="Q28" s="130">
        <f t="shared" si="3"/>
        <v>170</v>
      </c>
      <c r="R28" s="8">
        <f>SUMIFS('NeT PR - table_export'!$H:$H,'NeT PR - table_export'!$A:$A,$B28, 'NeT PR - table_export'!$E:$E,"Yes", 'NeT PR - table_export'!$F:$F,"Yes")</f>
        <v>37</v>
      </c>
      <c r="S28" s="8">
        <f>SUMIFS('NeT PR - table_export'!$H:$H,'NeT PR - table_export'!$A:$A,$B28, 'NeT PR - table_export'!$E:$E,"Yes", 'NeT PR - table_export'!$F:$F,"Yes",'NeT PR - table_export'!$J:$J,"Yes")</f>
        <v>37</v>
      </c>
      <c r="T28" s="8">
        <f>SUMIFS('NeT PR - table_export'!$H:$H,'NeT PR - table_export'!$A:$A,$B28, 'NeT PR - table_export'!$E:$E,"No", 'NeT PR - table_export'!$F:$F,"Yes")</f>
        <v>133</v>
      </c>
      <c r="U28" s="51">
        <f>SUMIFS('NeT PR - table_export'!$H:$H,'NeT PR - table_export'!$A:$A,$B28, 'NeT PR - table_export'!$E:$E,"No", 'NeT PR - table_export'!$F:$F,"Yes",'NeT PR - table_export'!$J:$J,"Yes")</f>
        <v>0</v>
      </c>
    </row>
    <row r="29" spans="2:21" x14ac:dyDescent="0.35">
      <c r="B29" s="101" t="s">
        <v>165</v>
      </c>
      <c r="C29" s="99" t="s">
        <v>580</v>
      </c>
      <c r="D29" s="114">
        <v>6</v>
      </c>
      <c r="E29" s="127">
        <f t="shared" si="0"/>
        <v>7</v>
      </c>
      <c r="F29" s="128">
        <f>COUNTIFS('NeT PR - table_export'!$A:$A,$B29, 'NeT PR - table_export'!$E:$E,"Yes")</f>
        <v>1</v>
      </c>
      <c r="G29" s="129">
        <f>COUNTIFS('NeT PR - table_export'!$A:$A,$B29, 'NeT PR - table_export'!$E:$E,"No")</f>
        <v>6</v>
      </c>
      <c r="H29" s="171" t="str">
        <f>IF(COUNTIFS('NeT PR - table_export'!$A:$A,$B29,'NeT PR - table_export'!$F:$F,"Yes",'NeT PR - table_export'!$G:$G,"Yes")&gt;0,"Yes","No")</f>
        <v>Yes</v>
      </c>
      <c r="I29" s="130">
        <f t="shared" si="1"/>
        <v>7</v>
      </c>
      <c r="J29" s="8">
        <f>COUNTIFS('NeT PR - table_export'!$A:$A,$B29, 'NeT PR - table_export'!$E:$E,"Yes", 'NeT PR - table_export'!$F:$F,"Yes")</f>
        <v>1</v>
      </c>
      <c r="K29" s="8">
        <f>COUNTIFS('NeT PR - table_export'!$A:$A,$B29, 'NeT PR - table_export'!$E:$E,"Yes", 'NeT PR - table_export'!$F:$F,"Yes",'NeT PR - table_export'!$J:$J,"Yes")</f>
        <v>1</v>
      </c>
      <c r="L29" s="8">
        <f>COUNTIFS('NeT PR - table_export'!$A:$A,$B29, 'NeT PR - table_export'!$E:$E,"No", 'NeT PR - table_export'!$F:$F,"Yes")</f>
        <v>6</v>
      </c>
      <c r="M29" s="131">
        <f>COUNTIFS('NeT PR - table_export'!$A:$A,$B29, 'NeT PR - table_export'!$E:$E,"No", 'NeT PR - table_export'!$F:$F,"Yes",'NeT PR - table_export'!$J:$J,"Yes")</f>
        <v>2</v>
      </c>
      <c r="N29" s="17">
        <f t="shared" si="2"/>
        <v>449</v>
      </c>
      <c r="O29" s="8">
        <f>SUMIFS('NeT PR - table_export'!$H:$H,'NeT PR - table_export'!$A:$A,$B29, 'NeT PR - table_export'!$E:$E,"Yes")</f>
        <v>32</v>
      </c>
      <c r="P29" s="51">
        <f>SUMIFS('NeT PR - table_export'!$H:$H,'NeT PR - table_export'!$A:$A,$B29, 'NeT PR - table_export'!$E:$E,"No")</f>
        <v>417</v>
      </c>
      <c r="Q29" s="130">
        <f t="shared" si="3"/>
        <v>449</v>
      </c>
      <c r="R29" s="8">
        <f>SUMIFS('NeT PR - table_export'!$H:$H,'NeT PR - table_export'!$A:$A,$B29, 'NeT PR - table_export'!$E:$E,"Yes", 'NeT PR - table_export'!$F:$F,"Yes")</f>
        <v>32</v>
      </c>
      <c r="S29" s="8">
        <f>SUMIFS('NeT PR - table_export'!$H:$H,'NeT PR - table_export'!$A:$A,$B29, 'NeT PR - table_export'!$E:$E,"Yes", 'NeT PR - table_export'!$F:$F,"Yes",'NeT PR - table_export'!$J:$J,"Yes")</f>
        <v>32</v>
      </c>
      <c r="T29" s="8">
        <f>SUMIFS('NeT PR - table_export'!$H:$H,'NeT PR - table_export'!$A:$A,$B29, 'NeT PR - table_export'!$E:$E,"No", 'NeT PR - table_export'!$F:$F,"Yes")</f>
        <v>417</v>
      </c>
      <c r="U29" s="51">
        <f>SUMIFS('NeT PR - table_export'!$H:$H,'NeT PR - table_export'!$A:$A,$B29, 'NeT PR - table_export'!$E:$E,"No", 'NeT PR - table_export'!$F:$F,"Yes",'NeT PR - table_export'!$J:$J,"Yes")</f>
        <v>329</v>
      </c>
    </row>
    <row r="30" spans="2:21" x14ac:dyDescent="0.35">
      <c r="B30" s="101" t="s">
        <v>168</v>
      </c>
      <c r="C30" s="99" t="s">
        <v>581</v>
      </c>
      <c r="D30" s="114">
        <v>1</v>
      </c>
      <c r="E30" s="127">
        <f t="shared" si="0"/>
        <v>7</v>
      </c>
      <c r="F30" s="128">
        <f>COUNTIFS('NeT PR - table_export'!$A:$A,$B30, 'NeT PR - table_export'!$E:$E,"Yes")</f>
        <v>7</v>
      </c>
      <c r="G30" s="129">
        <f>COUNTIFS('NeT PR - table_export'!$A:$A,$B30, 'NeT PR - table_export'!$E:$E,"No")</f>
        <v>0</v>
      </c>
      <c r="H30" s="171" t="str">
        <f>IF(COUNTIFS('NeT PR - table_export'!$A:$A,$B30,'NeT PR - table_export'!$F:$F,"Yes",'NeT PR - table_export'!$G:$G,"Yes")&gt;0,"Yes","No")</f>
        <v>No</v>
      </c>
      <c r="I30" s="130">
        <f t="shared" si="1"/>
        <v>6</v>
      </c>
      <c r="J30" s="8">
        <f>COUNTIFS('NeT PR - table_export'!$A:$A,$B30, 'NeT PR - table_export'!$E:$E,"Yes", 'NeT PR - table_export'!$F:$F,"Yes")</f>
        <v>6</v>
      </c>
      <c r="K30" s="8">
        <f>COUNTIFS('NeT PR - table_export'!$A:$A,$B30, 'NeT PR - table_export'!$E:$E,"Yes", 'NeT PR - table_export'!$F:$F,"Yes",'NeT PR - table_export'!$J:$J,"Yes")</f>
        <v>3</v>
      </c>
      <c r="L30" s="8">
        <f>COUNTIFS('NeT PR - table_export'!$A:$A,$B30, 'NeT PR - table_export'!$E:$E,"No", 'NeT PR - table_export'!$F:$F,"Yes")</f>
        <v>0</v>
      </c>
      <c r="M30" s="131">
        <f>COUNTIFS('NeT PR - table_export'!$A:$A,$B30, 'NeT PR - table_export'!$E:$E,"No", 'NeT PR - table_export'!$F:$F,"Yes",'NeT PR - table_export'!$J:$J,"Yes")</f>
        <v>0</v>
      </c>
      <c r="N30" s="17">
        <f t="shared" si="2"/>
        <v>597</v>
      </c>
      <c r="O30" s="8">
        <f>SUMIFS('NeT PR - table_export'!$H:$H,'NeT PR - table_export'!$A:$A,$B30, 'NeT PR - table_export'!$E:$E,"Yes")</f>
        <v>597</v>
      </c>
      <c r="P30" s="51">
        <f>SUMIFS('NeT PR - table_export'!$H:$H,'NeT PR - table_export'!$A:$A,$B30, 'NeT PR - table_export'!$E:$E,"No")</f>
        <v>0</v>
      </c>
      <c r="Q30" s="130">
        <f t="shared" si="3"/>
        <v>597</v>
      </c>
      <c r="R30" s="8">
        <f>SUMIFS('NeT PR - table_export'!$H:$H,'NeT PR - table_export'!$A:$A,$B30, 'NeT PR - table_export'!$E:$E,"Yes", 'NeT PR - table_export'!$F:$F,"Yes")</f>
        <v>597</v>
      </c>
      <c r="S30" s="8">
        <f>SUMIFS('NeT PR - table_export'!$H:$H,'NeT PR - table_export'!$A:$A,$B30, 'NeT PR - table_export'!$E:$E,"Yes", 'NeT PR - table_export'!$F:$F,"Yes",'NeT PR - table_export'!$J:$J,"Yes")</f>
        <v>301</v>
      </c>
      <c r="T30" s="8">
        <f>SUMIFS('NeT PR - table_export'!$H:$H,'NeT PR - table_export'!$A:$A,$B30, 'NeT PR - table_export'!$E:$E,"No", 'NeT PR - table_export'!$F:$F,"Yes")</f>
        <v>0</v>
      </c>
      <c r="U30" s="51">
        <f>SUMIFS('NeT PR - table_export'!$H:$H,'NeT PR - table_export'!$A:$A,$B30, 'NeT PR - table_export'!$E:$E,"No", 'NeT PR - table_export'!$F:$F,"Yes",'NeT PR - table_export'!$J:$J,"Yes")</f>
        <v>0</v>
      </c>
    </row>
    <row r="31" spans="2:21" x14ac:dyDescent="0.35">
      <c r="B31" s="101" t="s">
        <v>186</v>
      </c>
      <c r="C31" s="99" t="s">
        <v>540</v>
      </c>
      <c r="D31" s="114">
        <v>3</v>
      </c>
      <c r="E31" s="127">
        <f t="shared" si="0"/>
        <v>7</v>
      </c>
      <c r="F31" s="128">
        <f>COUNTIFS('NeT PR - table_export'!$A:$A,$B31, 'NeT PR - table_export'!$E:$E,"Yes")</f>
        <v>1</v>
      </c>
      <c r="G31" s="129">
        <f>COUNTIFS('NeT PR - table_export'!$A:$A,$B31, 'NeT PR - table_export'!$E:$E,"No")</f>
        <v>6</v>
      </c>
      <c r="H31" s="171" t="str">
        <f>IF(COUNTIFS('NeT PR - table_export'!$A:$A,$B31,'NeT PR - table_export'!$F:$F,"Yes",'NeT PR - table_export'!$G:$G,"Yes")&gt;0,"Yes","No")</f>
        <v>Yes</v>
      </c>
      <c r="I31" s="130">
        <f t="shared" si="1"/>
        <v>4</v>
      </c>
      <c r="J31" s="8">
        <f>COUNTIFS('NeT PR - table_export'!$A:$A,$B31, 'NeT PR - table_export'!$E:$E,"Yes", 'NeT PR - table_export'!$F:$F,"Yes")</f>
        <v>1</v>
      </c>
      <c r="K31" s="8">
        <f>COUNTIFS('NeT PR - table_export'!$A:$A,$B31, 'NeT PR - table_export'!$E:$E,"Yes", 'NeT PR - table_export'!$F:$F,"Yes",'NeT PR - table_export'!$J:$J,"Yes")</f>
        <v>1</v>
      </c>
      <c r="L31" s="8">
        <f>COUNTIFS('NeT PR - table_export'!$A:$A,$B31, 'NeT PR - table_export'!$E:$E,"No", 'NeT PR - table_export'!$F:$F,"Yes")</f>
        <v>3</v>
      </c>
      <c r="M31" s="131">
        <f>COUNTIFS('NeT PR - table_export'!$A:$A,$B31, 'NeT PR - table_export'!$E:$E,"No", 'NeT PR - table_export'!$F:$F,"Yes",'NeT PR - table_export'!$J:$J,"Yes")</f>
        <v>1</v>
      </c>
      <c r="N31" s="17">
        <f t="shared" si="2"/>
        <v>981</v>
      </c>
      <c r="O31" s="8">
        <f>SUMIFS('NeT PR - table_export'!$H:$H,'NeT PR - table_export'!$A:$A,$B31, 'NeT PR - table_export'!$E:$E,"Yes")</f>
        <v>38</v>
      </c>
      <c r="P31" s="51">
        <f>SUMIFS('NeT PR - table_export'!$H:$H,'NeT PR - table_export'!$A:$A,$B31, 'NeT PR - table_export'!$E:$E,"No")</f>
        <v>943</v>
      </c>
      <c r="Q31" s="130">
        <f t="shared" si="3"/>
        <v>72</v>
      </c>
      <c r="R31" s="8">
        <f>SUMIFS('NeT PR - table_export'!$H:$H,'NeT PR - table_export'!$A:$A,$B31, 'NeT PR - table_export'!$E:$E,"Yes", 'NeT PR - table_export'!$F:$F,"Yes")</f>
        <v>38</v>
      </c>
      <c r="S31" s="8">
        <f>SUMIFS('NeT PR - table_export'!$H:$H,'NeT PR - table_export'!$A:$A,$B31, 'NeT PR - table_export'!$E:$E,"Yes", 'NeT PR - table_export'!$F:$F,"Yes",'NeT PR - table_export'!$J:$J,"Yes")</f>
        <v>38</v>
      </c>
      <c r="T31" s="8">
        <f>SUMIFS('NeT PR - table_export'!$H:$H,'NeT PR - table_export'!$A:$A,$B31, 'NeT PR - table_export'!$E:$E,"No", 'NeT PR - table_export'!$F:$F,"Yes")</f>
        <v>34</v>
      </c>
      <c r="U31" s="51">
        <f>SUMIFS('NeT PR - table_export'!$H:$H,'NeT PR - table_export'!$A:$A,$B31, 'NeT PR - table_export'!$E:$E,"No", 'NeT PR - table_export'!$F:$F,"Yes",'NeT PR - table_export'!$J:$J,"Yes")</f>
        <v>20</v>
      </c>
    </row>
    <row r="32" spans="2:21" x14ac:dyDescent="0.35">
      <c r="B32" s="101" t="s">
        <v>79</v>
      </c>
      <c r="C32" s="99" t="s">
        <v>543</v>
      </c>
      <c r="D32" s="114">
        <v>1</v>
      </c>
      <c r="E32" s="127">
        <f t="shared" si="0"/>
        <v>7</v>
      </c>
      <c r="F32" s="128">
        <f>COUNTIFS('NeT PR - table_export'!$A:$A,$B32, 'NeT PR - table_export'!$E:$E,"Yes")</f>
        <v>1</v>
      </c>
      <c r="G32" s="129">
        <f>COUNTIFS('NeT PR - table_export'!$A:$A,$B32, 'NeT PR - table_export'!$E:$E,"No")</f>
        <v>6</v>
      </c>
      <c r="H32" s="171" t="str">
        <f>IF(COUNTIFS('NeT PR - table_export'!$A:$A,$B32,'NeT PR - table_export'!$F:$F,"Yes",'NeT PR - table_export'!$G:$G,"Yes")&gt;0,"Yes","No")</f>
        <v>Yes</v>
      </c>
      <c r="I32" s="130">
        <f t="shared" si="1"/>
        <v>6</v>
      </c>
      <c r="J32" s="8">
        <f>COUNTIFS('NeT PR - table_export'!$A:$A,$B32, 'NeT PR - table_export'!$E:$E,"Yes", 'NeT PR - table_export'!$F:$F,"Yes")</f>
        <v>1</v>
      </c>
      <c r="K32" s="8">
        <f>COUNTIFS('NeT PR - table_export'!$A:$A,$B32, 'NeT PR - table_export'!$E:$E,"Yes", 'NeT PR - table_export'!$F:$F,"Yes",'NeT PR - table_export'!$J:$J,"Yes")</f>
        <v>1</v>
      </c>
      <c r="L32" s="8">
        <f>COUNTIFS('NeT PR - table_export'!$A:$A,$B32, 'NeT PR - table_export'!$E:$E,"No", 'NeT PR - table_export'!$F:$F,"Yes")</f>
        <v>5</v>
      </c>
      <c r="M32" s="131">
        <f>COUNTIFS('NeT PR - table_export'!$A:$A,$B32, 'NeT PR - table_export'!$E:$E,"No", 'NeT PR - table_export'!$F:$F,"Yes",'NeT PR - table_export'!$J:$J,"Yes")</f>
        <v>2</v>
      </c>
      <c r="N32" s="17">
        <f t="shared" si="2"/>
        <v>234</v>
      </c>
      <c r="O32" s="8">
        <f>SUMIFS('NeT PR - table_export'!$H:$H,'NeT PR - table_export'!$A:$A,$B32, 'NeT PR - table_export'!$E:$E,"Yes")</f>
        <v>6</v>
      </c>
      <c r="P32" s="51">
        <f>SUMIFS('NeT PR - table_export'!$H:$H,'NeT PR - table_export'!$A:$A,$B32, 'NeT PR - table_export'!$E:$E,"No")</f>
        <v>228</v>
      </c>
      <c r="Q32" s="130">
        <f t="shared" si="3"/>
        <v>234</v>
      </c>
      <c r="R32" s="8">
        <f>SUMIFS('NeT PR - table_export'!$H:$H,'NeT PR - table_export'!$A:$A,$B32, 'NeT PR - table_export'!$E:$E,"Yes", 'NeT PR - table_export'!$F:$F,"Yes")</f>
        <v>6</v>
      </c>
      <c r="S32" s="8">
        <f>SUMIFS('NeT PR - table_export'!$H:$H,'NeT PR - table_export'!$A:$A,$B32, 'NeT PR - table_export'!$E:$E,"Yes", 'NeT PR - table_export'!$F:$F,"Yes",'NeT PR - table_export'!$J:$J,"Yes")</f>
        <v>6</v>
      </c>
      <c r="T32" s="8">
        <f>SUMIFS('NeT PR - table_export'!$H:$H,'NeT PR - table_export'!$A:$A,$B32, 'NeT PR - table_export'!$E:$E,"No", 'NeT PR - table_export'!$F:$F,"Yes")</f>
        <v>228</v>
      </c>
      <c r="U32" s="51">
        <f>SUMIFS('NeT PR - table_export'!$H:$H,'NeT PR - table_export'!$A:$A,$B32, 'NeT PR - table_export'!$E:$E,"No", 'NeT PR - table_export'!$F:$F,"Yes",'NeT PR - table_export'!$J:$J,"Yes")</f>
        <v>171</v>
      </c>
    </row>
    <row r="33" spans="2:21" x14ac:dyDescent="0.35">
      <c r="B33" s="101" t="s">
        <v>214</v>
      </c>
      <c r="C33" s="99" t="s">
        <v>1829</v>
      </c>
      <c r="D33" s="114">
        <v>5</v>
      </c>
      <c r="E33" s="127">
        <f t="shared" si="0"/>
        <v>7</v>
      </c>
      <c r="F33" s="128">
        <f>COUNTIFS('NeT PR - table_export'!$A:$A,$B33, 'NeT PR - table_export'!$E:$E,"Yes")</f>
        <v>0</v>
      </c>
      <c r="G33" s="129">
        <f>COUNTIFS('NeT PR - table_export'!$A:$A,$B33, 'NeT PR - table_export'!$E:$E,"No")</f>
        <v>7</v>
      </c>
      <c r="H33" s="171" t="str">
        <f>IF(COUNTIFS('NeT PR - table_export'!$A:$A,$B33,'NeT PR - table_export'!$F:$F,"Yes",'NeT PR - table_export'!$G:$G,"Yes")&gt;0,"Yes","No")</f>
        <v>No</v>
      </c>
      <c r="I33" s="130">
        <f t="shared" si="1"/>
        <v>0</v>
      </c>
      <c r="J33" s="8">
        <f>COUNTIFS('NeT PR - table_export'!$A:$A,$B33, 'NeT PR - table_export'!$E:$E,"Yes", 'NeT PR - table_export'!$F:$F,"Yes")</f>
        <v>0</v>
      </c>
      <c r="K33" s="8">
        <f>COUNTIFS('NeT PR - table_export'!$A:$A,$B33, 'NeT PR - table_export'!$E:$E,"Yes", 'NeT PR - table_export'!$F:$F,"Yes",'NeT PR - table_export'!$J:$J,"Yes")</f>
        <v>0</v>
      </c>
      <c r="L33" s="8">
        <f>COUNTIFS('NeT PR - table_export'!$A:$A,$B33, 'NeT PR - table_export'!$E:$E,"No", 'NeT PR - table_export'!$F:$F,"Yes")</f>
        <v>0</v>
      </c>
      <c r="M33" s="131">
        <f>COUNTIFS('NeT PR - table_export'!$A:$A,$B33, 'NeT PR - table_export'!$E:$E,"No", 'NeT PR - table_export'!$F:$F,"Yes",'NeT PR - table_export'!$J:$J,"Yes")</f>
        <v>0</v>
      </c>
      <c r="N33" s="17">
        <f t="shared" si="2"/>
        <v>992</v>
      </c>
      <c r="O33" s="8">
        <f>SUMIFS('NeT PR - table_export'!$H:$H,'NeT PR - table_export'!$A:$A,$B33, 'NeT PR - table_export'!$E:$E,"Yes")</f>
        <v>0</v>
      </c>
      <c r="P33" s="51">
        <f>SUMIFS('NeT PR - table_export'!$H:$H,'NeT PR - table_export'!$A:$A,$B33, 'NeT PR - table_export'!$E:$E,"No")</f>
        <v>992</v>
      </c>
      <c r="Q33" s="130">
        <f t="shared" si="3"/>
        <v>0</v>
      </c>
      <c r="R33" s="8">
        <f>SUMIFS('NeT PR - table_export'!$H:$H,'NeT PR - table_export'!$A:$A,$B33, 'NeT PR - table_export'!$E:$E,"Yes", 'NeT PR - table_export'!$F:$F,"Yes")</f>
        <v>0</v>
      </c>
      <c r="S33" s="8">
        <f>SUMIFS('NeT PR - table_export'!$H:$H,'NeT PR - table_export'!$A:$A,$B33, 'NeT PR - table_export'!$E:$E,"Yes", 'NeT PR - table_export'!$F:$F,"Yes",'NeT PR - table_export'!$J:$J,"Yes")</f>
        <v>0</v>
      </c>
      <c r="T33" s="8">
        <f>SUMIFS('NeT PR - table_export'!$H:$H,'NeT PR - table_export'!$A:$A,$B33, 'NeT PR - table_export'!$E:$E,"No", 'NeT PR - table_export'!$F:$F,"Yes")</f>
        <v>0</v>
      </c>
      <c r="U33" s="51">
        <f>SUMIFS('NeT PR - table_export'!$H:$H,'NeT PR - table_export'!$A:$A,$B33, 'NeT PR - table_export'!$E:$E,"No", 'NeT PR - table_export'!$F:$F,"Yes",'NeT PR - table_export'!$J:$J,"Yes")</f>
        <v>0</v>
      </c>
    </row>
    <row r="34" spans="2:21" x14ac:dyDescent="0.35">
      <c r="B34" s="101" t="s">
        <v>219</v>
      </c>
      <c r="C34" s="99" t="s">
        <v>582</v>
      </c>
      <c r="D34" s="114">
        <v>5</v>
      </c>
      <c r="E34" s="127">
        <f t="shared" si="0"/>
        <v>7</v>
      </c>
      <c r="F34" s="128">
        <f>COUNTIFS('NeT PR - table_export'!$A:$A,$B34, 'NeT PR - table_export'!$E:$E,"Yes")</f>
        <v>1</v>
      </c>
      <c r="G34" s="129">
        <f>COUNTIFS('NeT PR - table_export'!$A:$A,$B34, 'NeT PR - table_export'!$E:$E,"No")</f>
        <v>6</v>
      </c>
      <c r="H34" s="171" t="str">
        <f>IF(COUNTIFS('NeT PR - table_export'!$A:$A,$B34,'NeT PR - table_export'!$F:$F,"Yes",'NeT PR - table_export'!$G:$G,"Yes")&gt;0,"Yes","No")</f>
        <v>No</v>
      </c>
      <c r="I34" s="130">
        <f t="shared" si="1"/>
        <v>1</v>
      </c>
      <c r="J34" s="8">
        <f>COUNTIFS('NeT PR - table_export'!$A:$A,$B34, 'NeT PR - table_export'!$E:$E,"Yes", 'NeT PR - table_export'!$F:$F,"Yes")</f>
        <v>1</v>
      </c>
      <c r="K34" s="8">
        <f>COUNTIFS('NeT PR - table_export'!$A:$A,$B34, 'NeT PR - table_export'!$E:$E,"Yes", 'NeT PR - table_export'!$F:$F,"Yes",'NeT PR - table_export'!$J:$J,"Yes")</f>
        <v>1</v>
      </c>
      <c r="L34" s="8">
        <f>COUNTIFS('NeT PR - table_export'!$A:$A,$B34, 'NeT PR - table_export'!$E:$E,"No", 'NeT PR - table_export'!$F:$F,"Yes")</f>
        <v>0</v>
      </c>
      <c r="M34" s="131">
        <f>COUNTIFS('NeT PR - table_export'!$A:$A,$B34, 'NeT PR - table_export'!$E:$E,"No", 'NeT PR - table_export'!$F:$F,"Yes",'NeT PR - table_export'!$J:$J,"Yes")</f>
        <v>0</v>
      </c>
      <c r="N34" s="17">
        <f t="shared" si="2"/>
        <v>1304</v>
      </c>
      <c r="O34" s="8">
        <f>SUMIFS('NeT PR - table_export'!$H:$H,'NeT PR - table_export'!$A:$A,$B34, 'NeT PR - table_export'!$E:$E,"Yes")</f>
        <v>56</v>
      </c>
      <c r="P34" s="51">
        <f>SUMIFS('NeT PR - table_export'!$H:$H,'NeT PR - table_export'!$A:$A,$B34, 'NeT PR - table_export'!$E:$E,"No")</f>
        <v>1248</v>
      </c>
      <c r="Q34" s="130">
        <f t="shared" si="3"/>
        <v>56</v>
      </c>
      <c r="R34" s="8">
        <f>SUMIFS('NeT PR - table_export'!$H:$H,'NeT PR - table_export'!$A:$A,$B34, 'NeT PR - table_export'!$E:$E,"Yes", 'NeT PR - table_export'!$F:$F,"Yes")</f>
        <v>56</v>
      </c>
      <c r="S34" s="8">
        <f>SUMIFS('NeT PR - table_export'!$H:$H,'NeT PR - table_export'!$A:$A,$B34, 'NeT PR - table_export'!$E:$E,"Yes", 'NeT PR - table_export'!$F:$F,"Yes",'NeT PR - table_export'!$J:$J,"Yes")</f>
        <v>56</v>
      </c>
      <c r="T34" s="8">
        <f>SUMIFS('NeT PR - table_export'!$H:$H,'NeT PR - table_export'!$A:$A,$B34, 'NeT PR - table_export'!$E:$E,"No", 'NeT PR - table_export'!$F:$F,"Yes")</f>
        <v>0</v>
      </c>
      <c r="U34" s="51">
        <f>SUMIFS('NeT PR - table_export'!$H:$H,'NeT PR - table_export'!$A:$A,$B34, 'NeT PR - table_export'!$E:$E,"No", 'NeT PR - table_export'!$F:$F,"Yes",'NeT PR - table_export'!$J:$J,"Yes")</f>
        <v>0</v>
      </c>
    </row>
    <row r="35" spans="2:21" x14ac:dyDescent="0.35">
      <c r="B35" s="101" t="s">
        <v>583</v>
      </c>
      <c r="C35" s="99" t="s">
        <v>584</v>
      </c>
      <c r="D35" s="114">
        <v>7</v>
      </c>
      <c r="E35" s="127">
        <f t="shared" si="0"/>
        <v>7</v>
      </c>
      <c r="F35" s="128">
        <f>COUNTIFS('NeT PR - table_export'!$A:$A,$B35, 'NeT PR - table_export'!$E:$E,"Yes")</f>
        <v>1</v>
      </c>
      <c r="G35" s="129">
        <f>COUNTIFS('NeT PR - table_export'!$A:$A,$B35, 'NeT PR - table_export'!$E:$E,"No")</f>
        <v>6</v>
      </c>
      <c r="H35" s="171" t="str">
        <f>IF(COUNTIFS('NeT PR - table_export'!$A:$A,$B35,'NeT PR - table_export'!$F:$F,"Yes",'NeT PR - table_export'!$G:$G,"Yes")&gt;0,"Yes","No")</f>
        <v>No</v>
      </c>
      <c r="I35" s="130">
        <f t="shared" si="1"/>
        <v>1</v>
      </c>
      <c r="J35" s="8">
        <f>COUNTIFS('NeT PR - table_export'!$A:$A,$B35, 'NeT PR - table_export'!$E:$E,"Yes", 'NeT PR - table_export'!$F:$F,"Yes")</f>
        <v>1</v>
      </c>
      <c r="K35" s="8">
        <f>COUNTIFS('NeT PR - table_export'!$A:$A,$B35, 'NeT PR - table_export'!$E:$E,"Yes", 'NeT PR - table_export'!$F:$F,"Yes",'NeT PR - table_export'!$J:$J,"Yes")</f>
        <v>1</v>
      </c>
      <c r="L35" s="8">
        <f>COUNTIFS('NeT PR - table_export'!$A:$A,$B35, 'NeT PR - table_export'!$E:$E,"No", 'NeT PR - table_export'!$F:$F,"Yes")</f>
        <v>0</v>
      </c>
      <c r="M35" s="131">
        <f>COUNTIFS('NeT PR - table_export'!$A:$A,$B35, 'NeT PR - table_export'!$E:$E,"No", 'NeT PR - table_export'!$F:$F,"Yes",'NeT PR - table_export'!$J:$J,"Yes")</f>
        <v>0</v>
      </c>
      <c r="N35" s="17">
        <f t="shared" si="2"/>
        <v>1136</v>
      </c>
      <c r="O35" s="8">
        <f>SUMIFS('NeT PR - table_export'!$H:$H,'NeT PR - table_export'!$A:$A,$B35, 'NeT PR - table_export'!$E:$E,"Yes")</f>
        <v>91</v>
      </c>
      <c r="P35" s="51">
        <f>SUMIFS('NeT PR - table_export'!$H:$H,'NeT PR - table_export'!$A:$A,$B35, 'NeT PR - table_export'!$E:$E,"No")</f>
        <v>1045</v>
      </c>
      <c r="Q35" s="130">
        <f t="shared" si="3"/>
        <v>91</v>
      </c>
      <c r="R35" s="8">
        <f>SUMIFS('NeT PR - table_export'!$H:$H,'NeT PR - table_export'!$A:$A,$B35, 'NeT PR - table_export'!$E:$E,"Yes", 'NeT PR - table_export'!$F:$F,"Yes")</f>
        <v>91</v>
      </c>
      <c r="S35" s="8">
        <f>SUMIFS('NeT PR - table_export'!$H:$H,'NeT PR - table_export'!$A:$A,$B35, 'NeT PR - table_export'!$E:$E,"Yes", 'NeT PR - table_export'!$F:$F,"Yes",'NeT PR - table_export'!$J:$J,"Yes")</f>
        <v>91</v>
      </c>
      <c r="T35" s="8">
        <f>SUMIFS('NeT PR - table_export'!$H:$H,'NeT PR - table_export'!$A:$A,$B35, 'NeT PR - table_export'!$E:$E,"No", 'NeT PR - table_export'!$F:$F,"Yes")</f>
        <v>0</v>
      </c>
      <c r="U35" s="51">
        <f>SUMIFS('NeT PR - table_export'!$H:$H,'NeT PR - table_export'!$A:$A,$B35, 'NeT PR - table_export'!$E:$E,"No", 'NeT PR - table_export'!$F:$F,"Yes",'NeT PR - table_export'!$J:$J,"Yes")</f>
        <v>0</v>
      </c>
    </row>
    <row r="36" spans="2:21" x14ac:dyDescent="0.35">
      <c r="B36" s="101" t="s">
        <v>222</v>
      </c>
      <c r="C36" s="99" t="s">
        <v>585</v>
      </c>
      <c r="D36" s="114">
        <v>9</v>
      </c>
      <c r="E36" s="127">
        <f t="shared" si="0"/>
        <v>7</v>
      </c>
      <c r="F36" s="128">
        <f>COUNTIFS('NeT PR - table_export'!$A:$A,$B36, 'NeT PR - table_export'!$E:$E,"Yes")</f>
        <v>7</v>
      </c>
      <c r="G36" s="129">
        <f>COUNTIFS('NeT PR - table_export'!$A:$A,$B36, 'NeT PR - table_export'!$E:$E,"No")</f>
        <v>0</v>
      </c>
      <c r="H36" s="171" t="str">
        <f>IF(COUNTIFS('NeT PR - table_export'!$A:$A,$B36,'NeT PR - table_export'!$F:$F,"Yes",'NeT PR - table_export'!$G:$G,"Yes")&gt;0,"Yes","No")</f>
        <v>No</v>
      </c>
      <c r="I36" s="130">
        <f t="shared" si="1"/>
        <v>3</v>
      </c>
      <c r="J36" s="8">
        <f>COUNTIFS('NeT PR - table_export'!$A:$A,$B36, 'NeT PR - table_export'!$E:$E,"Yes", 'NeT PR - table_export'!$F:$F,"Yes")</f>
        <v>3</v>
      </c>
      <c r="K36" s="8">
        <f>COUNTIFS('NeT PR - table_export'!$A:$A,$B36, 'NeT PR - table_export'!$E:$E,"Yes", 'NeT PR - table_export'!$F:$F,"Yes",'NeT PR - table_export'!$J:$J,"Yes")</f>
        <v>2</v>
      </c>
      <c r="L36" s="8">
        <f>COUNTIFS('NeT PR - table_export'!$A:$A,$B36, 'NeT PR - table_export'!$E:$E,"No", 'NeT PR - table_export'!$F:$F,"Yes")</f>
        <v>0</v>
      </c>
      <c r="M36" s="131">
        <f>COUNTIFS('NeT PR - table_export'!$A:$A,$B36, 'NeT PR - table_export'!$E:$E,"No", 'NeT PR - table_export'!$F:$F,"Yes",'NeT PR - table_export'!$J:$J,"Yes")</f>
        <v>0</v>
      </c>
      <c r="N36" s="17">
        <f t="shared" si="2"/>
        <v>5</v>
      </c>
      <c r="O36" s="8">
        <f>SUMIFS('NeT PR - table_export'!$H:$H,'NeT PR - table_export'!$A:$A,$B36, 'NeT PR - table_export'!$E:$E,"Yes")</f>
        <v>5</v>
      </c>
      <c r="P36" s="51">
        <f>SUMIFS('NeT PR - table_export'!$H:$H,'NeT PR - table_export'!$A:$A,$B36, 'NeT PR - table_export'!$E:$E,"No")</f>
        <v>0</v>
      </c>
      <c r="Q36" s="130">
        <f t="shared" si="3"/>
        <v>5</v>
      </c>
      <c r="R36" s="8">
        <f>SUMIFS('NeT PR - table_export'!$H:$H,'NeT PR - table_export'!$A:$A,$B36, 'NeT PR - table_export'!$E:$E,"Yes", 'NeT PR - table_export'!$F:$F,"Yes")</f>
        <v>5</v>
      </c>
      <c r="S36" s="8">
        <f>SUMIFS('NeT PR - table_export'!$H:$H,'NeT PR - table_export'!$A:$A,$B36, 'NeT PR - table_export'!$E:$E,"Yes", 'NeT PR - table_export'!$F:$F,"Yes",'NeT PR - table_export'!$J:$J,"Yes")</f>
        <v>4</v>
      </c>
      <c r="T36" s="8">
        <f>SUMIFS('NeT PR - table_export'!$H:$H,'NeT PR - table_export'!$A:$A,$B36, 'NeT PR - table_export'!$E:$E,"No", 'NeT PR - table_export'!$F:$F,"Yes")</f>
        <v>0</v>
      </c>
      <c r="U36" s="51">
        <f>SUMIFS('NeT PR - table_export'!$H:$H,'NeT PR - table_export'!$A:$A,$B36, 'NeT PR - table_export'!$E:$E,"No", 'NeT PR - table_export'!$F:$F,"Yes",'NeT PR - table_export'!$J:$J,"Yes")</f>
        <v>0</v>
      </c>
    </row>
    <row r="37" spans="2:21" x14ac:dyDescent="0.35">
      <c r="B37" s="101" t="s">
        <v>226</v>
      </c>
      <c r="C37" s="99" t="s">
        <v>544</v>
      </c>
      <c r="D37" s="114">
        <v>4</v>
      </c>
      <c r="E37" s="127">
        <f t="shared" si="0"/>
        <v>7</v>
      </c>
      <c r="F37" s="128">
        <f>COUNTIFS('NeT PR - table_export'!$A:$A,$B37, 'NeT PR - table_export'!$E:$E,"Yes")</f>
        <v>1</v>
      </c>
      <c r="G37" s="129">
        <f>COUNTIFS('NeT PR - table_export'!$A:$A,$B37, 'NeT PR - table_export'!$E:$E,"No")</f>
        <v>6</v>
      </c>
      <c r="H37" s="171" t="str">
        <f>IF(COUNTIFS('NeT PR - table_export'!$A:$A,$B37,'NeT PR - table_export'!$F:$F,"Yes",'NeT PR - table_export'!$G:$G,"Yes")&gt;0,"Yes","No")</f>
        <v>Yes</v>
      </c>
      <c r="I37" s="130">
        <f t="shared" si="1"/>
        <v>5</v>
      </c>
      <c r="J37" s="8">
        <f>COUNTIFS('NeT PR - table_export'!$A:$A,$B37, 'NeT PR - table_export'!$E:$E,"Yes", 'NeT PR - table_export'!$F:$F,"Yes")</f>
        <v>1</v>
      </c>
      <c r="K37" s="8">
        <f>COUNTIFS('NeT PR - table_export'!$A:$A,$B37, 'NeT PR - table_export'!$E:$E,"Yes", 'NeT PR - table_export'!$F:$F,"Yes",'NeT PR - table_export'!$J:$J,"Yes")</f>
        <v>1</v>
      </c>
      <c r="L37" s="8">
        <f>COUNTIFS('NeT PR - table_export'!$A:$A,$B37, 'NeT PR - table_export'!$E:$E,"No", 'NeT PR - table_export'!$F:$F,"Yes")</f>
        <v>4</v>
      </c>
      <c r="M37" s="131">
        <f>COUNTIFS('NeT PR - table_export'!$A:$A,$B37, 'NeT PR - table_export'!$E:$E,"No", 'NeT PR - table_export'!$F:$F,"Yes",'NeT PR - table_export'!$J:$J,"Yes")</f>
        <v>1</v>
      </c>
      <c r="N37" s="17">
        <f t="shared" si="2"/>
        <v>638</v>
      </c>
      <c r="O37" s="8">
        <f>SUMIFS('NeT PR - table_export'!$H:$H,'NeT PR - table_export'!$A:$A,$B37, 'NeT PR - table_export'!$E:$E,"Yes")</f>
        <v>12</v>
      </c>
      <c r="P37" s="51">
        <f>SUMIFS('NeT PR - table_export'!$H:$H,'NeT PR - table_export'!$A:$A,$B37, 'NeT PR - table_export'!$E:$E,"No")</f>
        <v>626</v>
      </c>
      <c r="Q37" s="130">
        <f t="shared" si="3"/>
        <v>638</v>
      </c>
      <c r="R37" s="8">
        <f>SUMIFS('NeT PR - table_export'!$H:$H,'NeT PR - table_export'!$A:$A,$B37, 'NeT PR - table_export'!$E:$E,"Yes", 'NeT PR - table_export'!$F:$F,"Yes")</f>
        <v>12</v>
      </c>
      <c r="S37" s="8">
        <f>SUMIFS('NeT PR - table_export'!$H:$H,'NeT PR - table_export'!$A:$A,$B37, 'NeT PR - table_export'!$E:$E,"Yes", 'NeT PR - table_export'!$F:$F,"Yes",'NeT PR - table_export'!$J:$J,"Yes")</f>
        <v>12</v>
      </c>
      <c r="T37" s="8">
        <f>SUMIFS('NeT PR - table_export'!$H:$H,'NeT PR - table_export'!$A:$A,$B37, 'NeT PR - table_export'!$E:$E,"No", 'NeT PR - table_export'!$F:$F,"Yes")</f>
        <v>626</v>
      </c>
      <c r="U37" s="51">
        <f>SUMIFS('NeT PR - table_export'!$H:$H,'NeT PR - table_export'!$A:$A,$B37, 'NeT PR - table_export'!$E:$E,"No", 'NeT PR - table_export'!$F:$F,"Yes",'NeT PR - table_export'!$J:$J,"Yes")</f>
        <v>346</v>
      </c>
    </row>
    <row r="38" spans="2:21" x14ac:dyDescent="0.35">
      <c r="B38" s="101" t="s">
        <v>258</v>
      </c>
      <c r="C38" s="99" t="s">
        <v>586</v>
      </c>
      <c r="D38" s="114">
        <v>8</v>
      </c>
      <c r="E38" s="127">
        <f t="shared" si="0"/>
        <v>7</v>
      </c>
      <c r="F38" s="128">
        <f>COUNTIFS('NeT PR - table_export'!$A:$A,$B38, 'NeT PR - table_export'!$E:$E,"Yes")</f>
        <v>3</v>
      </c>
      <c r="G38" s="129">
        <f>COUNTIFS('NeT PR - table_export'!$A:$A,$B38, 'NeT PR - table_export'!$E:$E,"No")</f>
        <v>4</v>
      </c>
      <c r="H38" s="171" t="str">
        <f>IF(COUNTIFS('NeT PR - table_export'!$A:$A,$B38,'NeT PR - table_export'!$F:$F,"Yes",'NeT PR - table_export'!$G:$G,"Yes")&gt;0,"Yes","No")</f>
        <v>No</v>
      </c>
      <c r="I38" s="130">
        <f t="shared" si="1"/>
        <v>3</v>
      </c>
      <c r="J38" s="8">
        <f>COUNTIFS('NeT PR - table_export'!$A:$A,$B38, 'NeT PR - table_export'!$E:$E,"Yes", 'NeT PR - table_export'!$F:$F,"Yes")</f>
        <v>3</v>
      </c>
      <c r="K38" s="8">
        <f>COUNTIFS('NeT PR - table_export'!$A:$A,$B38, 'NeT PR - table_export'!$E:$E,"Yes", 'NeT PR - table_export'!$F:$F,"Yes",'NeT PR - table_export'!$J:$J,"Yes")</f>
        <v>2</v>
      </c>
      <c r="L38" s="8">
        <f>COUNTIFS('NeT PR - table_export'!$A:$A,$B38, 'NeT PR - table_export'!$E:$E,"No", 'NeT PR - table_export'!$F:$F,"Yes")</f>
        <v>0</v>
      </c>
      <c r="M38" s="131">
        <f>COUNTIFS('NeT PR - table_export'!$A:$A,$B38, 'NeT PR - table_export'!$E:$E,"No", 'NeT PR - table_export'!$F:$F,"Yes",'NeT PR - table_export'!$J:$J,"Yes")</f>
        <v>0</v>
      </c>
      <c r="N38" s="17">
        <f t="shared" si="2"/>
        <v>314</v>
      </c>
      <c r="O38" s="8">
        <f>SUMIFS('NeT PR - table_export'!$H:$H,'NeT PR - table_export'!$A:$A,$B38, 'NeT PR - table_export'!$E:$E,"Yes")</f>
        <v>21</v>
      </c>
      <c r="P38" s="51">
        <f>SUMIFS('NeT PR - table_export'!$H:$H,'NeT PR - table_export'!$A:$A,$B38, 'NeT PR - table_export'!$E:$E,"No")</f>
        <v>293</v>
      </c>
      <c r="Q38" s="130">
        <f t="shared" si="3"/>
        <v>21</v>
      </c>
      <c r="R38" s="8">
        <f>SUMIFS('NeT PR - table_export'!$H:$H,'NeT PR - table_export'!$A:$A,$B38, 'NeT PR - table_export'!$E:$E,"Yes", 'NeT PR - table_export'!$F:$F,"Yes")</f>
        <v>21</v>
      </c>
      <c r="S38" s="8">
        <f>SUMIFS('NeT PR - table_export'!$H:$H,'NeT PR - table_export'!$A:$A,$B38, 'NeT PR - table_export'!$E:$E,"Yes", 'NeT PR - table_export'!$F:$F,"Yes",'NeT PR - table_export'!$J:$J,"Yes")</f>
        <v>17</v>
      </c>
      <c r="T38" s="8">
        <f>SUMIFS('NeT PR - table_export'!$H:$H,'NeT PR - table_export'!$A:$A,$B38, 'NeT PR - table_export'!$E:$E,"No", 'NeT PR - table_export'!$F:$F,"Yes")</f>
        <v>0</v>
      </c>
      <c r="U38" s="51">
        <f>SUMIFS('NeT PR - table_export'!$H:$H,'NeT PR - table_export'!$A:$A,$B38, 'NeT PR - table_export'!$E:$E,"No", 'NeT PR - table_export'!$F:$F,"Yes",'NeT PR - table_export'!$J:$J,"Yes")</f>
        <v>0</v>
      </c>
    </row>
    <row r="39" spans="2:21" x14ac:dyDescent="0.35">
      <c r="B39" s="101" t="s">
        <v>262</v>
      </c>
      <c r="C39" s="99" t="s">
        <v>587</v>
      </c>
      <c r="D39" s="114">
        <v>9</v>
      </c>
      <c r="E39" s="127">
        <f t="shared" si="0"/>
        <v>7</v>
      </c>
      <c r="F39" s="128">
        <f>COUNTIFS('NeT PR - table_export'!$A:$A,$B39, 'NeT PR - table_export'!$E:$E,"Yes")</f>
        <v>7</v>
      </c>
      <c r="G39" s="129">
        <f>COUNTIFS('NeT PR - table_export'!$A:$A,$B39, 'NeT PR - table_export'!$E:$E,"No")</f>
        <v>0</v>
      </c>
      <c r="H39" s="171" t="str">
        <f>IF(COUNTIFS('NeT PR - table_export'!$A:$A,$B39,'NeT PR - table_export'!$F:$F,"Yes",'NeT PR - table_export'!$G:$G,"Yes")&gt;0,"Yes","No")</f>
        <v>No</v>
      </c>
      <c r="I39" s="130">
        <f t="shared" si="1"/>
        <v>1</v>
      </c>
      <c r="J39" s="8">
        <f>COUNTIFS('NeT PR - table_export'!$A:$A,$B39, 'NeT PR - table_export'!$E:$E,"Yes", 'NeT PR - table_export'!$F:$F,"Yes")</f>
        <v>1</v>
      </c>
      <c r="K39" s="8">
        <f>COUNTIFS('NeT PR - table_export'!$A:$A,$B39, 'NeT PR - table_export'!$E:$E,"Yes", 'NeT PR - table_export'!$F:$F,"Yes",'NeT PR - table_export'!$J:$J,"Yes")</f>
        <v>1</v>
      </c>
      <c r="L39" s="8">
        <f>COUNTIFS('NeT PR - table_export'!$A:$A,$B39, 'NeT PR - table_export'!$E:$E,"No", 'NeT PR - table_export'!$F:$F,"Yes")</f>
        <v>0</v>
      </c>
      <c r="M39" s="131">
        <f>COUNTIFS('NeT PR - table_export'!$A:$A,$B39, 'NeT PR - table_export'!$E:$E,"No", 'NeT PR - table_export'!$F:$F,"Yes",'NeT PR - table_export'!$J:$J,"Yes")</f>
        <v>0</v>
      </c>
      <c r="N39" s="17">
        <f t="shared" si="2"/>
        <v>0</v>
      </c>
      <c r="O39" s="8">
        <f>SUMIFS('NeT PR - table_export'!$H:$H,'NeT PR - table_export'!$A:$A,$B39, 'NeT PR - table_export'!$E:$E,"Yes")</f>
        <v>0</v>
      </c>
      <c r="P39" s="51">
        <f>SUMIFS('NeT PR - table_export'!$H:$H,'NeT PR - table_export'!$A:$A,$B39, 'NeT PR - table_export'!$E:$E,"No")</f>
        <v>0</v>
      </c>
      <c r="Q39" s="130">
        <f t="shared" si="3"/>
        <v>0</v>
      </c>
      <c r="R39" s="8">
        <f>SUMIFS('NeT PR - table_export'!$H:$H,'NeT PR - table_export'!$A:$A,$B39, 'NeT PR - table_export'!$E:$E,"Yes", 'NeT PR - table_export'!$F:$F,"Yes")</f>
        <v>0</v>
      </c>
      <c r="S39" s="8">
        <f>SUMIFS('NeT PR - table_export'!$H:$H,'NeT PR - table_export'!$A:$A,$B39, 'NeT PR - table_export'!$E:$E,"Yes", 'NeT PR - table_export'!$F:$F,"Yes",'NeT PR - table_export'!$J:$J,"Yes")</f>
        <v>0</v>
      </c>
      <c r="T39" s="8">
        <f>SUMIFS('NeT PR - table_export'!$H:$H,'NeT PR - table_export'!$A:$A,$B39, 'NeT PR - table_export'!$E:$E,"No", 'NeT PR - table_export'!$F:$F,"Yes")</f>
        <v>0</v>
      </c>
      <c r="U39" s="51">
        <f>SUMIFS('NeT PR - table_export'!$H:$H,'NeT PR - table_export'!$A:$A,$B39, 'NeT PR - table_export'!$E:$E,"No", 'NeT PR - table_export'!$F:$F,"Yes",'NeT PR - table_export'!$J:$J,"Yes")</f>
        <v>0</v>
      </c>
    </row>
    <row r="40" spans="2:21" x14ac:dyDescent="0.35">
      <c r="B40" s="101" t="s">
        <v>266</v>
      </c>
      <c r="C40" s="99" t="s">
        <v>588</v>
      </c>
      <c r="D40" s="114">
        <v>4</v>
      </c>
      <c r="E40" s="127">
        <f t="shared" si="0"/>
        <v>7</v>
      </c>
      <c r="F40" s="128">
        <f>COUNTIFS('NeT PR - table_export'!$A:$A,$B40, 'NeT PR - table_export'!$E:$E,"Yes")</f>
        <v>1</v>
      </c>
      <c r="G40" s="129">
        <f>COUNTIFS('NeT PR - table_export'!$A:$A,$B40, 'NeT PR - table_export'!$E:$E,"No")</f>
        <v>6</v>
      </c>
      <c r="H40" s="171" t="str">
        <f>IF(COUNTIFS('NeT PR - table_export'!$A:$A,$B40,'NeT PR - table_export'!$F:$F,"Yes",'NeT PR - table_export'!$G:$G,"Yes")&gt;0,"Yes","No")</f>
        <v>No</v>
      </c>
      <c r="I40" s="130">
        <f t="shared" si="1"/>
        <v>1</v>
      </c>
      <c r="J40" s="8">
        <f>COUNTIFS('NeT PR - table_export'!$A:$A,$B40, 'NeT PR - table_export'!$E:$E,"Yes", 'NeT PR - table_export'!$F:$F,"Yes")</f>
        <v>1</v>
      </c>
      <c r="K40" s="8">
        <f>COUNTIFS('NeT PR - table_export'!$A:$A,$B40, 'NeT PR - table_export'!$E:$E,"Yes", 'NeT PR - table_export'!$F:$F,"Yes",'NeT PR - table_export'!$J:$J,"Yes")</f>
        <v>1</v>
      </c>
      <c r="L40" s="8">
        <f>COUNTIFS('NeT PR - table_export'!$A:$A,$B40, 'NeT PR - table_export'!$E:$E,"No", 'NeT PR - table_export'!$F:$F,"Yes")</f>
        <v>0</v>
      </c>
      <c r="M40" s="131">
        <f>COUNTIFS('NeT PR - table_export'!$A:$A,$B40, 'NeT PR - table_export'!$E:$E,"No", 'NeT PR - table_export'!$F:$F,"Yes",'NeT PR - table_export'!$J:$J,"Yes")</f>
        <v>0</v>
      </c>
      <c r="N40" s="17">
        <f t="shared" si="2"/>
        <v>629</v>
      </c>
      <c r="O40" s="8">
        <f>SUMIFS('NeT PR - table_export'!$H:$H,'NeT PR - table_export'!$A:$A,$B40, 'NeT PR - table_export'!$E:$E,"Yes")</f>
        <v>102</v>
      </c>
      <c r="P40" s="51">
        <f>SUMIFS('NeT PR - table_export'!$H:$H,'NeT PR - table_export'!$A:$A,$B40, 'NeT PR - table_export'!$E:$E,"No")</f>
        <v>527</v>
      </c>
      <c r="Q40" s="130">
        <f t="shared" si="3"/>
        <v>102</v>
      </c>
      <c r="R40" s="8">
        <f>SUMIFS('NeT PR - table_export'!$H:$H,'NeT PR - table_export'!$A:$A,$B40, 'NeT PR - table_export'!$E:$E,"Yes", 'NeT PR - table_export'!$F:$F,"Yes")</f>
        <v>102</v>
      </c>
      <c r="S40" s="8">
        <f>SUMIFS('NeT PR - table_export'!$H:$H,'NeT PR - table_export'!$A:$A,$B40, 'NeT PR - table_export'!$E:$E,"Yes", 'NeT PR - table_export'!$F:$F,"Yes",'NeT PR - table_export'!$J:$J,"Yes")</f>
        <v>102</v>
      </c>
      <c r="T40" s="8">
        <f>SUMIFS('NeT PR - table_export'!$H:$H,'NeT PR - table_export'!$A:$A,$B40, 'NeT PR - table_export'!$E:$E,"No", 'NeT PR - table_export'!$F:$F,"Yes")</f>
        <v>0</v>
      </c>
      <c r="U40" s="51">
        <f>SUMIFS('NeT PR - table_export'!$H:$H,'NeT PR - table_export'!$A:$A,$B40, 'NeT PR - table_export'!$E:$E,"No", 'NeT PR - table_export'!$F:$F,"Yes",'NeT PR - table_export'!$J:$J,"Yes")</f>
        <v>0</v>
      </c>
    </row>
    <row r="41" spans="2:21" x14ac:dyDescent="0.35">
      <c r="B41" s="101" t="s">
        <v>271</v>
      </c>
      <c r="C41" s="99" t="s">
        <v>589</v>
      </c>
      <c r="D41" s="114">
        <v>8</v>
      </c>
      <c r="E41" s="127">
        <f t="shared" si="0"/>
        <v>7</v>
      </c>
      <c r="F41" s="128">
        <f>COUNTIFS('NeT PR - table_export'!$A:$A,$B41, 'NeT PR - table_export'!$E:$E,"Yes")</f>
        <v>1</v>
      </c>
      <c r="G41" s="129">
        <f>COUNTIFS('NeT PR - table_export'!$A:$A,$B41, 'NeT PR - table_export'!$E:$E,"No")</f>
        <v>6</v>
      </c>
      <c r="H41" s="171" t="str">
        <f>IF(COUNTIFS('NeT PR - table_export'!$A:$A,$B41,'NeT PR - table_export'!$F:$F,"Yes",'NeT PR - table_export'!$G:$G,"Yes")&gt;0,"Yes","No")</f>
        <v>No</v>
      </c>
      <c r="I41" s="130">
        <f t="shared" si="1"/>
        <v>1</v>
      </c>
      <c r="J41" s="8">
        <f>COUNTIFS('NeT PR - table_export'!$A:$A,$B41, 'NeT PR - table_export'!$E:$E,"Yes", 'NeT PR - table_export'!$F:$F,"Yes")</f>
        <v>1</v>
      </c>
      <c r="K41" s="8">
        <f>COUNTIFS('NeT PR - table_export'!$A:$A,$B41, 'NeT PR - table_export'!$E:$E,"Yes", 'NeT PR - table_export'!$F:$F,"Yes",'NeT PR - table_export'!$J:$J,"Yes")</f>
        <v>1</v>
      </c>
      <c r="L41" s="8">
        <f>COUNTIFS('NeT PR - table_export'!$A:$A,$B41, 'NeT PR - table_export'!$E:$E,"No", 'NeT PR - table_export'!$F:$F,"Yes")</f>
        <v>0</v>
      </c>
      <c r="M41" s="131">
        <f>COUNTIFS('NeT PR - table_export'!$A:$A,$B41, 'NeT PR - table_export'!$E:$E,"No", 'NeT PR - table_export'!$F:$F,"Yes",'NeT PR - table_export'!$J:$J,"Yes")</f>
        <v>0</v>
      </c>
      <c r="N41" s="17">
        <f t="shared" si="2"/>
        <v>499</v>
      </c>
      <c r="O41" s="8">
        <f>SUMIFS('NeT PR - table_export'!$H:$H,'NeT PR - table_export'!$A:$A,$B41, 'NeT PR - table_export'!$E:$E,"Yes")</f>
        <v>5</v>
      </c>
      <c r="P41" s="51">
        <f>SUMIFS('NeT PR - table_export'!$H:$H,'NeT PR - table_export'!$A:$A,$B41, 'NeT PR - table_export'!$E:$E,"No")</f>
        <v>494</v>
      </c>
      <c r="Q41" s="130">
        <f t="shared" si="3"/>
        <v>5</v>
      </c>
      <c r="R41" s="8">
        <f>SUMIFS('NeT PR - table_export'!$H:$H,'NeT PR - table_export'!$A:$A,$B41, 'NeT PR - table_export'!$E:$E,"Yes", 'NeT PR - table_export'!$F:$F,"Yes")</f>
        <v>5</v>
      </c>
      <c r="S41" s="8">
        <f>SUMIFS('NeT PR - table_export'!$H:$H,'NeT PR - table_export'!$A:$A,$B41, 'NeT PR - table_export'!$E:$E,"Yes", 'NeT PR - table_export'!$F:$F,"Yes",'NeT PR - table_export'!$J:$J,"Yes")</f>
        <v>5</v>
      </c>
      <c r="T41" s="8">
        <f>SUMIFS('NeT PR - table_export'!$H:$H,'NeT PR - table_export'!$A:$A,$B41, 'NeT PR - table_export'!$E:$E,"No", 'NeT PR - table_export'!$F:$F,"Yes")</f>
        <v>0</v>
      </c>
      <c r="U41" s="51">
        <f>SUMIFS('NeT PR - table_export'!$H:$H,'NeT PR - table_export'!$A:$A,$B41, 'NeT PR - table_export'!$E:$E,"No", 'NeT PR - table_export'!$F:$F,"Yes",'NeT PR - table_export'!$J:$J,"Yes")</f>
        <v>0</v>
      </c>
    </row>
    <row r="42" spans="2:21" x14ac:dyDescent="0.35">
      <c r="B42" s="101" t="s">
        <v>275</v>
      </c>
      <c r="C42" s="99" t="s">
        <v>545</v>
      </c>
      <c r="D42" s="114">
        <v>7</v>
      </c>
      <c r="E42" s="127">
        <f t="shared" si="0"/>
        <v>7</v>
      </c>
      <c r="F42" s="128">
        <f>COUNTIFS('NeT PR - table_export'!$A:$A,$B42, 'NeT PR - table_export'!$E:$E,"Yes")</f>
        <v>1</v>
      </c>
      <c r="G42" s="129">
        <f>COUNTIFS('NeT PR - table_export'!$A:$A,$B42, 'NeT PR - table_export'!$E:$E,"No")</f>
        <v>6</v>
      </c>
      <c r="H42" s="171" t="str">
        <f>IF(COUNTIFS('NeT PR - table_export'!$A:$A,$B42,'NeT PR - table_export'!$F:$F,"Yes",'NeT PR - table_export'!$G:$G,"Yes")&gt;0,"Yes","No")</f>
        <v>Yes</v>
      </c>
      <c r="I42" s="130">
        <f t="shared" si="1"/>
        <v>6</v>
      </c>
      <c r="J42" s="8">
        <f>COUNTIFS('NeT PR - table_export'!$A:$A,$B42, 'NeT PR - table_export'!$E:$E,"Yes", 'NeT PR - table_export'!$F:$F,"Yes")</f>
        <v>1</v>
      </c>
      <c r="K42" s="8">
        <f>COUNTIFS('NeT PR - table_export'!$A:$A,$B42, 'NeT PR - table_export'!$E:$E,"Yes", 'NeT PR - table_export'!$F:$F,"Yes",'NeT PR - table_export'!$J:$J,"Yes")</f>
        <v>1</v>
      </c>
      <c r="L42" s="8">
        <f>COUNTIFS('NeT PR - table_export'!$A:$A,$B42, 'NeT PR - table_export'!$E:$E,"No", 'NeT PR - table_export'!$F:$F,"Yes")</f>
        <v>5</v>
      </c>
      <c r="M42" s="131">
        <f>COUNTIFS('NeT PR - table_export'!$A:$A,$B42, 'NeT PR - table_export'!$E:$E,"No", 'NeT PR - table_export'!$F:$F,"Yes",'NeT PR - table_export'!$J:$J,"Yes")</f>
        <v>1</v>
      </c>
      <c r="N42" s="17">
        <f t="shared" si="2"/>
        <v>862</v>
      </c>
      <c r="O42" s="8">
        <f>SUMIFS('NeT PR - table_export'!$H:$H,'NeT PR - table_export'!$A:$A,$B42, 'NeT PR - table_export'!$E:$E,"Yes")</f>
        <v>25</v>
      </c>
      <c r="P42" s="51">
        <f>SUMIFS('NeT PR - table_export'!$H:$H,'NeT PR - table_export'!$A:$A,$B42, 'NeT PR - table_export'!$E:$E,"No")</f>
        <v>837</v>
      </c>
      <c r="Q42" s="130">
        <f t="shared" si="3"/>
        <v>862</v>
      </c>
      <c r="R42" s="8">
        <f>SUMIFS('NeT PR - table_export'!$H:$H,'NeT PR - table_export'!$A:$A,$B42, 'NeT PR - table_export'!$E:$E,"Yes", 'NeT PR - table_export'!$F:$F,"Yes")</f>
        <v>25</v>
      </c>
      <c r="S42" s="8">
        <f>SUMIFS('NeT PR - table_export'!$H:$H,'NeT PR - table_export'!$A:$A,$B42, 'NeT PR - table_export'!$E:$E,"Yes", 'NeT PR - table_export'!$F:$F,"Yes",'NeT PR - table_export'!$J:$J,"Yes")</f>
        <v>25</v>
      </c>
      <c r="T42" s="8">
        <f>SUMIFS('NeT PR - table_export'!$H:$H,'NeT PR - table_export'!$A:$A,$B42, 'NeT PR - table_export'!$E:$E,"No", 'NeT PR - table_export'!$F:$F,"Yes")</f>
        <v>837</v>
      </c>
      <c r="U42" s="51">
        <f>SUMIFS('NeT PR - table_export'!$H:$H,'NeT PR - table_export'!$A:$A,$B42, 'NeT PR - table_export'!$E:$E,"No", 'NeT PR - table_export'!$F:$F,"Yes",'NeT PR - table_export'!$J:$J,"Yes")</f>
        <v>246</v>
      </c>
    </row>
    <row r="43" spans="2:21" x14ac:dyDescent="0.35">
      <c r="B43" s="101" t="s">
        <v>297</v>
      </c>
      <c r="C43" s="99" t="s">
        <v>590</v>
      </c>
      <c r="D43" s="114">
        <v>1</v>
      </c>
      <c r="E43" s="127">
        <f t="shared" si="0"/>
        <v>7</v>
      </c>
      <c r="F43" s="128">
        <f>COUNTIFS('NeT PR - table_export'!$A:$A,$B43, 'NeT PR - table_export'!$E:$E,"Yes")</f>
        <v>7</v>
      </c>
      <c r="G43" s="129">
        <f>COUNTIFS('NeT PR - table_export'!$A:$A,$B43, 'NeT PR - table_export'!$E:$E,"No")</f>
        <v>0</v>
      </c>
      <c r="H43" s="171" t="str">
        <f>IF(COUNTIFS('NeT PR - table_export'!$A:$A,$B43,'NeT PR - table_export'!$F:$F,"Yes",'NeT PR - table_export'!$G:$G,"Yes")&gt;0,"Yes","No")</f>
        <v>No</v>
      </c>
      <c r="I43" s="130">
        <f t="shared" si="1"/>
        <v>7</v>
      </c>
      <c r="J43" s="8">
        <f>COUNTIFS('NeT PR - table_export'!$A:$A,$B43, 'NeT PR - table_export'!$E:$E,"Yes", 'NeT PR - table_export'!$F:$F,"Yes")</f>
        <v>7</v>
      </c>
      <c r="K43" s="8">
        <f>COUNTIFS('NeT PR - table_export'!$A:$A,$B43, 'NeT PR - table_export'!$E:$E,"Yes", 'NeT PR - table_export'!$F:$F,"Yes",'NeT PR - table_export'!$J:$J,"Yes")</f>
        <v>3</v>
      </c>
      <c r="L43" s="8">
        <f>COUNTIFS('NeT PR - table_export'!$A:$A,$B43, 'NeT PR - table_export'!$E:$E,"No", 'NeT PR - table_export'!$F:$F,"Yes")</f>
        <v>0</v>
      </c>
      <c r="M43" s="131">
        <f>COUNTIFS('NeT PR - table_export'!$A:$A,$B43, 'NeT PR - table_export'!$E:$E,"No", 'NeT PR - table_export'!$F:$F,"Yes",'NeT PR - table_export'!$J:$J,"Yes")</f>
        <v>0</v>
      </c>
      <c r="N43" s="17">
        <f t="shared" si="2"/>
        <v>219</v>
      </c>
      <c r="O43" s="8">
        <f>SUMIFS('NeT PR - table_export'!$H:$H,'NeT PR - table_export'!$A:$A,$B43, 'NeT PR - table_export'!$E:$E,"Yes")</f>
        <v>219</v>
      </c>
      <c r="P43" s="51">
        <f>SUMIFS('NeT PR - table_export'!$H:$H,'NeT PR - table_export'!$A:$A,$B43, 'NeT PR - table_export'!$E:$E,"No")</f>
        <v>0</v>
      </c>
      <c r="Q43" s="130">
        <f t="shared" si="3"/>
        <v>219</v>
      </c>
      <c r="R43" s="8">
        <f>SUMIFS('NeT PR - table_export'!$H:$H,'NeT PR - table_export'!$A:$A,$B43, 'NeT PR - table_export'!$E:$E,"Yes", 'NeT PR - table_export'!$F:$F,"Yes")</f>
        <v>219</v>
      </c>
      <c r="S43" s="8">
        <f>SUMIFS('NeT PR - table_export'!$H:$H,'NeT PR - table_export'!$A:$A,$B43, 'NeT PR - table_export'!$E:$E,"Yes", 'NeT PR - table_export'!$F:$F,"Yes",'NeT PR - table_export'!$J:$J,"Yes")</f>
        <v>141</v>
      </c>
      <c r="T43" s="8">
        <f>SUMIFS('NeT PR - table_export'!$H:$H,'NeT PR - table_export'!$A:$A,$B43, 'NeT PR - table_export'!$E:$E,"No", 'NeT PR - table_export'!$F:$F,"Yes")</f>
        <v>0</v>
      </c>
      <c r="U43" s="51">
        <f>SUMIFS('NeT PR - table_export'!$H:$H,'NeT PR - table_export'!$A:$A,$B43, 'NeT PR - table_export'!$E:$E,"No", 'NeT PR - table_export'!$F:$F,"Yes",'NeT PR - table_export'!$J:$J,"Yes")</f>
        <v>0</v>
      </c>
    </row>
    <row r="44" spans="2:21" x14ac:dyDescent="0.35">
      <c r="B44" s="101" t="s">
        <v>591</v>
      </c>
      <c r="C44" s="99" t="s">
        <v>592</v>
      </c>
      <c r="D44" s="114">
        <v>2</v>
      </c>
      <c r="E44" s="127">
        <f t="shared" si="0"/>
        <v>7</v>
      </c>
      <c r="F44" s="128">
        <f>COUNTIFS('NeT PR - table_export'!$A:$A,$B44, 'NeT PR - table_export'!$E:$E,"Yes")</f>
        <v>2</v>
      </c>
      <c r="G44" s="129">
        <f>COUNTIFS('NeT PR - table_export'!$A:$A,$B44, 'NeT PR - table_export'!$E:$E,"No")</f>
        <v>5</v>
      </c>
      <c r="H44" s="171" t="str">
        <f>IF(COUNTIFS('NeT PR - table_export'!$A:$A,$B44,'NeT PR - table_export'!$F:$F,"Yes",'NeT PR - table_export'!$G:$G,"Yes")&gt;0,"Yes","No")</f>
        <v>Yes</v>
      </c>
      <c r="I44" s="130">
        <f t="shared" si="1"/>
        <v>2</v>
      </c>
      <c r="J44" s="8">
        <f>COUNTIFS('NeT PR - table_export'!$A:$A,$B44, 'NeT PR - table_export'!$E:$E,"Yes", 'NeT PR - table_export'!$F:$F,"Yes")</f>
        <v>1</v>
      </c>
      <c r="K44" s="8">
        <f>COUNTIFS('NeT PR - table_export'!$A:$A,$B44, 'NeT PR - table_export'!$E:$E,"Yes", 'NeT PR - table_export'!$F:$F,"Yes",'NeT PR - table_export'!$J:$J,"Yes")</f>
        <v>1</v>
      </c>
      <c r="L44" s="8">
        <f>COUNTIFS('NeT PR - table_export'!$A:$A,$B44, 'NeT PR - table_export'!$E:$E,"No", 'NeT PR - table_export'!$F:$F,"Yes")</f>
        <v>1</v>
      </c>
      <c r="M44" s="131">
        <f>COUNTIFS('NeT PR - table_export'!$A:$A,$B44, 'NeT PR - table_export'!$E:$E,"No", 'NeT PR - table_export'!$F:$F,"Yes",'NeT PR - table_export'!$J:$J,"Yes")</f>
        <v>0</v>
      </c>
      <c r="N44" s="17">
        <f t="shared" si="2"/>
        <v>1035</v>
      </c>
      <c r="O44" s="8">
        <f>SUMIFS('NeT PR - table_export'!$H:$H,'NeT PR - table_export'!$A:$A,$B44, 'NeT PR - table_export'!$E:$E,"Yes")</f>
        <v>279</v>
      </c>
      <c r="P44" s="51">
        <f>SUMIFS('NeT PR - table_export'!$H:$H,'NeT PR - table_export'!$A:$A,$B44, 'NeT PR - table_export'!$E:$E,"No")</f>
        <v>756</v>
      </c>
      <c r="Q44" s="130">
        <f t="shared" si="3"/>
        <v>69</v>
      </c>
      <c r="R44" s="8">
        <f>SUMIFS('NeT PR - table_export'!$H:$H,'NeT PR - table_export'!$A:$A,$B44, 'NeT PR - table_export'!$E:$E,"Yes", 'NeT PR - table_export'!$F:$F,"Yes")</f>
        <v>67</v>
      </c>
      <c r="S44" s="8">
        <f>SUMIFS('NeT PR - table_export'!$H:$H,'NeT PR - table_export'!$A:$A,$B44, 'NeT PR - table_export'!$E:$E,"Yes", 'NeT PR - table_export'!$F:$F,"Yes",'NeT PR - table_export'!$J:$J,"Yes")</f>
        <v>67</v>
      </c>
      <c r="T44" s="8">
        <f>SUMIFS('NeT PR - table_export'!$H:$H,'NeT PR - table_export'!$A:$A,$B44, 'NeT PR - table_export'!$E:$E,"No", 'NeT PR - table_export'!$F:$F,"Yes")</f>
        <v>2</v>
      </c>
      <c r="U44" s="51">
        <f>SUMIFS('NeT PR - table_export'!$H:$H,'NeT PR - table_export'!$A:$A,$B44, 'NeT PR - table_export'!$E:$E,"No", 'NeT PR - table_export'!$F:$F,"Yes",'NeT PR - table_export'!$J:$J,"Yes")</f>
        <v>0</v>
      </c>
    </row>
    <row r="45" spans="2:21" x14ac:dyDescent="0.35">
      <c r="B45" s="101" t="s">
        <v>314</v>
      </c>
      <c r="C45" s="99" t="s">
        <v>593</v>
      </c>
      <c r="D45" s="114">
        <v>6</v>
      </c>
      <c r="E45" s="127">
        <f t="shared" si="0"/>
        <v>7</v>
      </c>
      <c r="F45" s="128">
        <f>COUNTIFS('NeT PR - table_export'!$A:$A,$B45, 'NeT PR - table_export'!$E:$E,"Yes")</f>
        <v>7</v>
      </c>
      <c r="G45" s="129">
        <f>COUNTIFS('NeT PR - table_export'!$A:$A,$B45, 'NeT PR - table_export'!$E:$E,"No")</f>
        <v>0</v>
      </c>
      <c r="H45" s="171" t="str">
        <f>IF(COUNTIFS('NeT PR - table_export'!$A:$A,$B45,'NeT PR - table_export'!$F:$F,"Yes",'NeT PR - table_export'!$G:$G,"Yes")&gt;0,"Yes","No")</f>
        <v>No</v>
      </c>
      <c r="I45" s="130">
        <f t="shared" si="1"/>
        <v>6</v>
      </c>
      <c r="J45" s="8">
        <f>COUNTIFS('NeT PR - table_export'!$A:$A,$B45, 'NeT PR - table_export'!$E:$E,"Yes", 'NeT PR - table_export'!$F:$F,"Yes")</f>
        <v>6</v>
      </c>
      <c r="K45" s="8">
        <f>COUNTIFS('NeT PR - table_export'!$A:$A,$B45, 'NeT PR - table_export'!$E:$E,"Yes", 'NeT PR - table_export'!$F:$F,"Yes",'NeT PR - table_export'!$J:$J,"Yes")</f>
        <v>3</v>
      </c>
      <c r="L45" s="8">
        <f>COUNTIFS('NeT PR - table_export'!$A:$A,$B45, 'NeT PR - table_export'!$E:$E,"No", 'NeT PR - table_export'!$F:$F,"Yes")</f>
        <v>0</v>
      </c>
      <c r="M45" s="131">
        <f>COUNTIFS('NeT PR - table_export'!$A:$A,$B45, 'NeT PR - table_export'!$E:$E,"No", 'NeT PR - table_export'!$F:$F,"Yes",'NeT PR - table_export'!$J:$J,"Yes")</f>
        <v>0</v>
      </c>
      <c r="N45" s="17">
        <f t="shared" si="2"/>
        <v>182</v>
      </c>
      <c r="O45" s="8">
        <f>SUMIFS('NeT PR - table_export'!$H:$H,'NeT PR - table_export'!$A:$A,$B45, 'NeT PR - table_export'!$E:$E,"Yes")</f>
        <v>182</v>
      </c>
      <c r="P45" s="51">
        <f>SUMIFS('NeT PR - table_export'!$H:$H,'NeT PR - table_export'!$A:$A,$B45, 'NeT PR - table_export'!$E:$E,"No")</f>
        <v>0</v>
      </c>
      <c r="Q45" s="130">
        <f t="shared" si="3"/>
        <v>182</v>
      </c>
      <c r="R45" s="8">
        <f>SUMIFS('NeT PR - table_export'!$H:$H,'NeT PR - table_export'!$A:$A,$B45, 'NeT PR - table_export'!$E:$E,"Yes", 'NeT PR - table_export'!$F:$F,"Yes")</f>
        <v>182</v>
      </c>
      <c r="S45" s="8">
        <f>SUMIFS('NeT PR - table_export'!$H:$H,'NeT PR - table_export'!$A:$A,$B45, 'NeT PR - table_export'!$E:$E,"Yes", 'NeT PR - table_export'!$F:$F,"Yes",'NeT PR - table_export'!$J:$J,"Yes")</f>
        <v>85</v>
      </c>
      <c r="T45" s="8">
        <f>SUMIFS('NeT PR - table_export'!$H:$H,'NeT PR - table_export'!$A:$A,$B45, 'NeT PR - table_export'!$E:$E,"No", 'NeT PR - table_export'!$F:$F,"Yes")</f>
        <v>0</v>
      </c>
      <c r="U45" s="51">
        <f>SUMIFS('NeT PR - table_export'!$H:$H,'NeT PR - table_export'!$A:$A,$B45, 'NeT PR - table_export'!$E:$E,"No", 'NeT PR - table_export'!$F:$F,"Yes",'NeT PR - table_export'!$J:$J,"Yes")</f>
        <v>0</v>
      </c>
    </row>
    <row r="46" spans="2:21" x14ac:dyDescent="0.35">
      <c r="B46" s="101" t="s">
        <v>594</v>
      </c>
      <c r="C46" s="99" t="s">
        <v>595</v>
      </c>
      <c r="D46" s="114">
        <v>9</v>
      </c>
      <c r="E46" s="127">
        <f t="shared" si="0"/>
        <v>7</v>
      </c>
      <c r="F46" s="128">
        <f>COUNTIFS('NeT PR - table_export'!$A:$A,$B46, 'NeT PR - table_export'!$E:$E,"Yes")</f>
        <v>7</v>
      </c>
      <c r="G46" s="129">
        <f>COUNTIFS('NeT PR - table_export'!$A:$A,$B46, 'NeT PR - table_export'!$E:$E,"No")</f>
        <v>0</v>
      </c>
      <c r="H46" s="171" t="str">
        <f>IF(COUNTIFS('NeT PR - table_export'!$A:$A,$B46,'NeT PR - table_export'!$F:$F,"Yes",'NeT PR - table_export'!$G:$G,"Yes")&gt;0,"Yes","No")</f>
        <v>No</v>
      </c>
      <c r="I46" s="130">
        <f t="shared" si="1"/>
        <v>3</v>
      </c>
      <c r="J46" s="8">
        <f>COUNTIFS('NeT PR - table_export'!$A:$A,$B46, 'NeT PR - table_export'!$E:$E,"Yes", 'NeT PR - table_export'!$F:$F,"Yes")</f>
        <v>3</v>
      </c>
      <c r="K46" s="8">
        <f>COUNTIFS('NeT PR - table_export'!$A:$A,$B46, 'NeT PR - table_export'!$E:$E,"Yes", 'NeT PR - table_export'!$F:$F,"Yes",'NeT PR - table_export'!$J:$J,"Yes")</f>
        <v>2</v>
      </c>
      <c r="L46" s="8">
        <f>COUNTIFS('NeT PR - table_export'!$A:$A,$B46, 'NeT PR - table_export'!$E:$E,"No", 'NeT PR - table_export'!$F:$F,"Yes")</f>
        <v>0</v>
      </c>
      <c r="M46" s="131">
        <f>COUNTIFS('NeT PR - table_export'!$A:$A,$B46, 'NeT PR - table_export'!$E:$E,"No", 'NeT PR - table_export'!$F:$F,"Yes",'NeT PR - table_export'!$J:$J,"Yes")</f>
        <v>0</v>
      </c>
      <c r="N46" s="17">
        <f t="shared" si="2"/>
        <v>19</v>
      </c>
      <c r="O46" s="8">
        <f>SUMIFS('NeT PR - table_export'!$H:$H,'NeT PR - table_export'!$A:$A,$B46, 'NeT PR - table_export'!$E:$E,"Yes")</f>
        <v>19</v>
      </c>
      <c r="P46" s="51">
        <f>SUMIFS('NeT PR - table_export'!$H:$H,'NeT PR - table_export'!$A:$A,$B46, 'NeT PR - table_export'!$E:$E,"No")</f>
        <v>0</v>
      </c>
      <c r="Q46" s="130">
        <f t="shared" si="3"/>
        <v>19</v>
      </c>
      <c r="R46" s="8">
        <f>SUMIFS('NeT PR - table_export'!$H:$H,'NeT PR - table_export'!$A:$A,$B46, 'NeT PR - table_export'!$E:$E,"Yes", 'NeT PR - table_export'!$F:$F,"Yes")</f>
        <v>19</v>
      </c>
      <c r="S46" s="8">
        <f>SUMIFS('NeT PR - table_export'!$H:$H,'NeT PR - table_export'!$A:$A,$B46, 'NeT PR - table_export'!$E:$E,"Yes", 'NeT PR - table_export'!$F:$F,"Yes",'NeT PR - table_export'!$J:$J,"Yes")</f>
        <v>18</v>
      </c>
      <c r="T46" s="8">
        <f>SUMIFS('NeT PR - table_export'!$H:$H,'NeT PR - table_export'!$A:$A,$B46, 'NeT PR - table_export'!$E:$E,"No", 'NeT PR - table_export'!$F:$F,"Yes")</f>
        <v>0</v>
      </c>
      <c r="U46" s="51">
        <f>SUMIFS('NeT PR - table_export'!$H:$H,'NeT PR - table_export'!$A:$A,$B46, 'NeT PR - table_export'!$E:$E,"No", 'NeT PR - table_export'!$F:$F,"Yes",'NeT PR - table_export'!$J:$J,"Yes")</f>
        <v>0</v>
      </c>
    </row>
    <row r="47" spans="2:21" x14ac:dyDescent="0.35">
      <c r="B47" s="101" t="s">
        <v>319</v>
      </c>
      <c r="C47" s="99" t="s">
        <v>596</v>
      </c>
      <c r="D47" s="114">
        <v>9</v>
      </c>
      <c r="E47" s="127">
        <f t="shared" si="0"/>
        <v>7</v>
      </c>
      <c r="F47" s="128">
        <f>COUNTIFS('NeT PR - table_export'!$A:$A,$B47, 'NeT PR - table_export'!$E:$E,"Yes")</f>
        <v>3</v>
      </c>
      <c r="G47" s="129">
        <f>COUNTIFS('NeT PR - table_export'!$A:$A,$B47, 'NeT PR - table_export'!$E:$E,"No")</f>
        <v>4</v>
      </c>
      <c r="H47" s="171" t="str">
        <f>IF(COUNTIFS('NeT PR - table_export'!$A:$A,$B47,'NeT PR - table_export'!$F:$F,"Yes",'NeT PR - table_export'!$G:$G,"Yes")&gt;0,"Yes","No")</f>
        <v>No</v>
      </c>
      <c r="I47" s="130">
        <f t="shared" si="1"/>
        <v>3</v>
      </c>
      <c r="J47" s="8">
        <f>COUNTIFS('NeT PR - table_export'!$A:$A,$B47, 'NeT PR - table_export'!$E:$E,"Yes", 'NeT PR - table_export'!$F:$F,"Yes")</f>
        <v>3</v>
      </c>
      <c r="K47" s="8">
        <f>COUNTIFS('NeT PR - table_export'!$A:$A,$B47, 'NeT PR - table_export'!$E:$E,"Yes", 'NeT PR - table_export'!$F:$F,"Yes",'NeT PR - table_export'!$J:$J,"Yes")</f>
        <v>2</v>
      </c>
      <c r="L47" s="8">
        <f>COUNTIFS('NeT PR - table_export'!$A:$A,$B47, 'NeT PR - table_export'!$E:$E,"No", 'NeT PR - table_export'!$F:$F,"Yes")</f>
        <v>0</v>
      </c>
      <c r="M47" s="131">
        <f>COUNTIFS('NeT PR - table_export'!$A:$A,$B47, 'NeT PR - table_export'!$E:$E,"No", 'NeT PR - table_export'!$F:$F,"Yes",'NeT PR - table_export'!$J:$J,"Yes")</f>
        <v>0</v>
      </c>
      <c r="N47" s="17">
        <f t="shared" si="2"/>
        <v>66</v>
      </c>
      <c r="O47" s="8">
        <f>SUMIFS('NeT PR - table_export'!$H:$H,'NeT PR - table_export'!$A:$A,$B47, 'NeT PR - table_export'!$E:$E,"Yes")</f>
        <v>28</v>
      </c>
      <c r="P47" s="51">
        <f>SUMIFS('NeT PR - table_export'!$H:$H,'NeT PR - table_export'!$A:$A,$B47, 'NeT PR - table_export'!$E:$E,"No")</f>
        <v>38</v>
      </c>
      <c r="Q47" s="130">
        <f t="shared" si="3"/>
        <v>28</v>
      </c>
      <c r="R47" s="8">
        <f>SUMIFS('NeT PR - table_export'!$H:$H,'NeT PR - table_export'!$A:$A,$B47, 'NeT PR - table_export'!$E:$E,"Yes", 'NeT PR - table_export'!$F:$F,"Yes")</f>
        <v>28</v>
      </c>
      <c r="S47" s="8">
        <f>SUMIFS('NeT PR - table_export'!$H:$H,'NeT PR - table_export'!$A:$A,$B47, 'NeT PR - table_export'!$E:$E,"Yes", 'NeT PR - table_export'!$F:$F,"Yes",'NeT PR - table_export'!$J:$J,"Yes")</f>
        <v>20</v>
      </c>
      <c r="T47" s="8">
        <f>SUMIFS('NeT PR - table_export'!$H:$H,'NeT PR - table_export'!$A:$A,$B47, 'NeT PR - table_export'!$E:$E,"No", 'NeT PR - table_export'!$F:$F,"Yes")</f>
        <v>0</v>
      </c>
      <c r="U47" s="51">
        <f>SUMIFS('NeT PR - table_export'!$H:$H,'NeT PR - table_export'!$A:$A,$B47, 'NeT PR - table_export'!$E:$E,"No", 'NeT PR - table_export'!$F:$F,"Yes",'NeT PR - table_export'!$J:$J,"Yes")</f>
        <v>0</v>
      </c>
    </row>
    <row r="48" spans="2:21" x14ac:dyDescent="0.35">
      <c r="B48" s="101" t="s">
        <v>322</v>
      </c>
      <c r="C48" s="99" t="s">
        <v>597</v>
      </c>
      <c r="D48" s="114">
        <v>2</v>
      </c>
      <c r="E48" s="127">
        <f t="shared" si="0"/>
        <v>7</v>
      </c>
      <c r="F48" s="128">
        <f>COUNTIFS('NeT PR - table_export'!$A:$A,$B48, 'NeT PR - table_export'!$E:$E,"Yes")</f>
        <v>3</v>
      </c>
      <c r="G48" s="129">
        <f>COUNTIFS('NeT PR - table_export'!$A:$A,$B48, 'NeT PR - table_export'!$E:$E,"No")</f>
        <v>4</v>
      </c>
      <c r="H48" s="171" t="str">
        <f>IF(COUNTIFS('NeT PR - table_export'!$A:$A,$B48,'NeT PR - table_export'!$F:$F,"Yes",'NeT PR - table_export'!$G:$G,"Yes")&gt;0,"Yes","No")</f>
        <v>No</v>
      </c>
      <c r="I48" s="130">
        <f t="shared" si="1"/>
        <v>3</v>
      </c>
      <c r="J48" s="8">
        <f>COUNTIFS('NeT PR - table_export'!$A:$A,$B48, 'NeT PR - table_export'!$E:$E,"Yes", 'NeT PR - table_export'!$F:$F,"Yes")</f>
        <v>3</v>
      </c>
      <c r="K48" s="8">
        <f>COUNTIFS('NeT PR - table_export'!$A:$A,$B48, 'NeT PR - table_export'!$E:$E,"Yes", 'NeT PR - table_export'!$F:$F,"Yes",'NeT PR - table_export'!$J:$J,"Yes")</f>
        <v>2</v>
      </c>
      <c r="L48" s="8">
        <f>COUNTIFS('NeT PR - table_export'!$A:$A,$B48, 'NeT PR - table_export'!$E:$E,"No", 'NeT PR - table_export'!$F:$F,"Yes")</f>
        <v>0</v>
      </c>
      <c r="M48" s="131">
        <f>COUNTIFS('NeT PR - table_export'!$A:$A,$B48, 'NeT PR - table_export'!$E:$E,"No", 'NeT PR - table_export'!$F:$F,"Yes",'NeT PR - table_export'!$J:$J,"Yes")</f>
        <v>0</v>
      </c>
      <c r="N48" s="17">
        <f t="shared" si="2"/>
        <v>1347</v>
      </c>
      <c r="O48" s="8">
        <f>SUMIFS('NeT PR - table_export'!$H:$H,'NeT PR - table_export'!$A:$A,$B48, 'NeT PR - table_export'!$E:$E,"Yes")</f>
        <v>223</v>
      </c>
      <c r="P48" s="51">
        <f>SUMIFS('NeT PR - table_export'!$H:$H,'NeT PR - table_export'!$A:$A,$B48, 'NeT PR - table_export'!$E:$E,"No")</f>
        <v>1124</v>
      </c>
      <c r="Q48" s="130">
        <f t="shared" si="3"/>
        <v>223</v>
      </c>
      <c r="R48" s="8">
        <f>SUMIFS('NeT PR - table_export'!$H:$H,'NeT PR - table_export'!$A:$A,$B48, 'NeT PR - table_export'!$E:$E,"Yes", 'NeT PR - table_export'!$F:$F,"Yes")</f>
        <v>223</v>
      </c>
      <c r="S48" s="8">
        <f>SUMIFS('NeT PR - table_export'!$H:$H,'NeT PR - table_export'!$A:$A,$B48, 'NeT PR - table_export'!$E:$E,"Yes", 'NeT PR - table_export'!$F:$F,"Yes",'NeT PR - table_export'!$J:$J,"Yes")</f>
        <v>177</v>
      </c>
      <c r="T48" s="8">
        <f>SUMIFS('NeT PR - table_export'!$H:$H,'NeT PR - table_export'!$A:$A,$B48, 'NeT PR - table_export'!$E:$E,"No", 'NeT PR - table_export'!$F:$F,"Yes")</f>
        <v>0</v>
      </c>
      <c r="U48" s="51">
        <f>SUMIFS('NeT PR - table_export'!$H:$H,'NeT PR - table_export'!$A:$A,$B48, 'NeT PR - table_export'!$E:$E,"No", 'NeT PR - table_export'!$F:$F,"Yes",'NeT PR - table_export'!$J:$J,"Yes")</f>
        <v>0</v>
      </c>
    </row>
    <row r="49" spans="2:21" x14ac:dyDescent="0.35">
      <c r="B49" s="101" t="s">
        <v>1469</v>
      </c>
      <c r="C49" s="99" t="s">
        <v>1830</v>
      </c>
      <c r="D49" s="114">
        <v>5</v>
      </c>
      <c r="E49" s="127">
        <f t="shared" si="0"/>
        <v>7</v>
      </c>
      <c r="F49" s="128">
        <f>COUNTIFS('NeT PR - table_export'!$A:$A,$B49, 'NeT PR - table_export'!$E:$E,"Yes")</f>
        <v>0</v>
      </c>
      <c r="G49" s="129">
        <f>COUNTIFS('NeT PR - table_export'!$A:$A,$B49, 'NeT PR - table_export'!$E:$E,"No")</f>
        <v>7</v>
      </c>
      <c r="H49" s="171" t="str">
        <f>IF(COUNTIFS('NeT PR - table_export'!$A:$A,$B49,'NeT PR - table_export'!$F:$F,"Yes",'NeT PR - table_export'!$G:$G,"Yes")&gt;0,"Yes","No")</f>
        <v>No</v>
      </c>
      <c r="I49" s="130">
        <f t="shared" si="1"/>
        <v>0</v>
      </c>
      <c r="J49" s="8">
        <f>COUNTIFS('NeT PR - table_export'!$A:$A,$B49, 'NeT PR - table_export'!$E:$E,"Yes", 'NeT PR - table_export'!$F:$F,"Yes")</f>
        <v>0</v>
      </c>
      <c r="K49" s="8">
        <f>COUNTIFS('NeT PR - table_export'!$A:$A,$B49, 'NeT PR - table_export'!$E:$E,"Yes", 'NeT PR - table_export'!$F:$F,"Yes",'NeT PR - table_export'!$J:$J,"Yes")</f>
        <v>0</v>
      </c>
      <c r="L49" s="8">
        <f>COUNTIFS('NeT PR - table_export'!$A:$A,$B49, 'NeT PR - table_export'!$E:$E,"No", 'NeT PR - table_export'!$F:$F,"Yes")</f>
        <v>0</v>
      </c>
      <c r="M49" s="131">
        <f>COUNTIFS('NeT PR - table_export'!$A:$A,$B49, 'NeT PR - table_export'!$E:$E,"No", 'NeT PR - table_export'!$F:$F,"Yes",'NeT PR - table_export'!$J:$J,"Yes")</f>
        <v>0</v>
      </c>
      <c r="N49" s="17">
        <f t="shared" si="2"/>
        <v>1941</v>
      </c>
      <c r="O49" s="8">
        <f>SUMIFS('NeT PR - table_export'!$H:$H,'NeT PR - table_export'!$A:$A,$B49, 'NeT PR - table_export'!$E:$E,"Yes")</f>
        <v>0</v>
      </c>
      <c r="P49" s="51">
        <f>SUMIFS('NeT PR - table_export'!$H:$H,'NeT PR - table_export'!$A:$A,$B49, 'NeT PR - table_export'!$E:$E,"No")</f>
        <v>1941</v>
      </c>
      <c r="Q49" s="130">
        <f t="shared" si="3"/>
        <v>0</v>
      </c>
      <c r="R49" s="8">
        <f>SUMIFS('NeT PR - table_export'!$H:$H,'NeT PR - table_export'!$A:$A,$B49, 'NeT PR - table_export'!$E:$E,"Yes", 'NeT PR - table_export'!$F:$F,"Yes")</f>
        <v>0</v>
      </c>
      <c r="S49" s="8">
        <f>SUMIFS('NeT PR - table_export'!$H:$H,'NeT PR - table_export'!$A:$A,$B49, 'NeT PR - table_export'!$E:$E,"Yes", 'NeT PR - table_export'!$F:$F,"Yes",'NeT PR - table_export'!$J:$J,"Yes")</f>
        <v>0</v>
      </c>
      <c r="T49" s="8">
        <f>SUMIFS('NeT PR - table_export'!$H:$H,'NeT PR - table_export'!$A:$A,$B49, 'NeT PR - table_export'!$E:$E,"No", 'NeT PR - table_export'!$F:$F,"Yes")</f>
        <v>0</v>
      </c>
      <c r="U49" s="51">
        <f>SUMIFS('NeT PR - table_export'!$H:$H,'NeT PR - table_export'!$A:$A,$B49, 'NeT PR - table_export'!$E:$E,"No", 'NeT PR - table_export'!$F:$F,"Yes",'NeT PR - table_export'!$J:$J,"Yes")</f>
        <v>0</v>
      </c>
    </row>
    <row r="50" spans="2:21" x14ac:dyDescent="0.35">
      <c r="B50" s="101" t="s">
        <v>325</v>
      </c>
      <c r="C50" s="100" t="s">
        <v>1831</v>
      </c>
      <c r="D50" s="114">
        <v>6</v>
      </c>
      <c r="E50" s="127">
        <f t="shared" si="0"/>
        <v>7</v>
      </c>
      <c r="F50" s="128">
        <f>COUNTIFS('NeT PR - table_export'!$A:$A,$B50, 'NeT PR - table_export'!$E:$E,"Yes")</f>
        <v>0</v>
      </c>
      <c r="G50" s="129">
        <f>COUNTIFS('NeT PR - table_export'!$A:$A,$B50, 'NeT PR - table_export'!$E:$E,"No")</f>
        <v>7</v>
      </c>
      <c r="H50" s="171" t="str">
        <f>IF(COUNTIFS('NeT PR - table_export'!$A:$A,$B50,'NeT PR - table_export'!$F:$F,"Yes",'NeT PR - table_export'!$G:$G,"Yes")&gt;0,"Yes","No")</f>
        <v>No</v>
      </c>
      <c r="I50" s="130">
        <f t="shared" si="1"/>
        <v>0</v>
      </c>
      <c r="J50" s="8">
        <f>COUNTIFS('NeT PR - table_export'!$A:$A,$B50, 'NeT PR - table_export'!$E:$E,"Yes", 'NeT PR - table_export'!$F:$F,"Yes")</f>
        <v>0</v>
      </c>
      <c r="K50" s="8">
        <f>COUNTIFS('NeT PR - table_export'!$A:$A,$B50, 'NeT PR - table_export'!$E:$E,"Yes", 'NeT PR - table_export'!$F:$F,"Yes",'NeT PR - table_export'!$J:$J,"Yes")</f>
        <v>0</v>
      </c>
      <c r="L50" s="8">
        <f>COUNTIFS('NeT PR - table_export'!$A:$A,$B50, 'NeT PR - table_export'!$E:$E,"No", 'NeT PR - table_export'!$F:$F,"Yes")</f>
        <v>0</v>
      </c>
      <c r="M50" s="131">
        <f>COUNTIFS('NeT PR - table_export'!$A:$A,$B50, 'NeT PR - table_export'!$E:$E,"No", 'NeT PR - table_export'!$F:$F,"Yes",'NeT PR - table_export'!$J:$J,"Yes")</f>
        <v>0</v>
      </c>
      <c r="N50" s="17">
        <f t="shared" si="2"/>
        <v>1995</v>
      </c>
      <c r="O50" s="8">
        <f>SUMIFS('NeT PR - table_export'!$H:$H,'NeT PR - table_export'!$A:$A,$B50, 'NeT PR - table_export'!$E:$E,"Yes")</f>
        <v>0</v>
      </c>
      <c r="P50" s="51">
        <f>SUMIFS('NeT PR - table_export'!$H:$H,'NeT PR - table_export'!$A:$A,$B50, 'NeT PR - table_export'!$E:$E,"No")</f>
        <v>1995</v>
      </c>
      <c r="Q50" s="130">
        <f t="shared" si="3"/>
        <v>0</v>
      </c>
      <c r="R50" s="8">
        <f>SUMIFS('NeT PR - table_export'!$H:$H,'NeT PR - table_export'!$A:$A,$B50, 'NeT PR - table_export'!$E:$E,"Yes", 'NeT PR - table_export'!$F:$F,"Yes")</f>
        <v>0</v>
      </c>
      <c r="S50" s="8">
        <f>SUMIFS('NeT PR - table_export'!$H:$H,'NeT PR - table_export'!$A:$A,$B50, 'NeT PR - table_export'!$E:$E,"Yes", 'NeT PR - table_export'!$F:$F,"Yes",'NeT PR - table_export'!$J:$J,"Yes")</f>
        <v>0</v>
      </c>
      <c r="T50" s="8">
        <f>SUMIFS('NeT PR - table_export'!$H:$H,'NeT PR - table_export'!$A:$A,$B50, 'NeT PR - table_export'!$E:$E,"No", 'NeT PR - table_export'!$F:$F,"Yes")</f>
        <v>0</v>
      </c>
      <c r="U50" s="51">
        <f>SUMIFS('NeT PR - table_export'!$H:$H,'NeT PR - table_export'!$A:$A,$B50, 'NeT PR - table_export'!$E:$E,"No", 'NeT PR - table_export'!$F:$F,"Yes",'NeT PR - table_export'!$J:$J,"Yes")</f>
        <v>0</v>
      </c>
    </row>
    <row r="51" spans="2:21" x14ac:dyDescent="0.35">
      <c r="B51" s="101" t="s">
        <v>326</v>
      </c>
      <c r="C51" s="99" t="s">
        <v>598</v>
      </c>
      <c r="D51" s="114">
        <v>10</v>
      </c>
      <c r="E51" s="127">
        <f t="shared" si="0"/>
        <v>7</v>
      </c>
      <c r="F51" s="128">
        <f>COUNTIFS('NeT PR - table_export'!$A:$A,$B51, 'NeT PR - table_export'!$E:$E,"Yes")</f>
        <v>1</v>
      </c>
      <c r="G51" s="129">
        <f>COUNTIFS('NeT PR - table_export'!$A:$A,$B51, 'NeT PR - table_export'!$E:$E,"No")</f>
        <v>6</v>
      </c>
      <c r="H51" s="171" t="str">
        <f>IF(COUNTIFS('NeT PR - table_export'!$A:$A,$B51,'NeT PR - table_export'!$F:$F,"Yes",'NeT PR - table_export'!$G:$G,"Yes")&gt;0,"Yes","No")</f>
        <v>No</v>
      </c>
      <c r="I51" s="130">
        <f t="shared" si="1"/>
        <v>1</v>
      </c>
      <c r="J51" s="8">
        <f>COUNTIFS('NeT PR - table_export'!$A:$A,$B51, 'NeT PR - table_export'!$E:$E,"Yes", 'NeT PR - table_export'!$F:$F,"Yes")</f>
        <v>1</v>
      </c>
      <c r="K51" s="8">
        <f>COUNTIFS('NeT PR - table_export'!$A:$A,$B51, 'NeT PR - table_export'!$E:$E,"Yes", 'NeT PR - table_export'!$F:$F,"Yes",'NeT PR - table_export'!$J:$J,"Yes")</f>
        <v>1</v>
      </c>
      <c r="L51" s="8">
        <f>COUNTIFS('NeT PR - table_export'!$A:$A,$B51, 'NeT PR - table_export'!$E:$E,"No", 'NeT PR - table_export'!$F:$F,"Yes")</f>
        <v>0</v>
      </c>
      <c r="M51" s="131">
        <f>COUNTIFS('NeT PR - table_export'!$A:$A,$B51, 'NeT PR - table_export'!$E:$E,"No", 'NeT PR - table_export'!$F:$F,"Yes",'NeT PR - table_export'!$J:$J,"Yes")</f>
        <v>0</v>
      </c>
      <c r="N51" s="17">
        <f t="shared" si="2"/>
        <v>660</v>
      </c>
      <c r="O51" s="8">
        <f>SUMIFS('NeT PR - table_export'!$H:$H,'NeT PR - table_export'!$A:$A,$B51, 'NeT PR - table_export'!$E:$E,"Yes")</f>
        <v>37</v>
      </c>
      <c r="P51" s="51">
        <f>SUMIFS('NeT PR - table_export'!$H:$H,'NeT PR - table_export'!$A:$A,$B51, 'NeT PR - table_export'!$E:$E,"No")</f>
        <v>623</v>
      </c>
      <c r="Q51" s="130">
        <f t="shared" si="3"/>
        <v>37</v>
      </c>
      <c r="R51" s="8">
        <f>SUMIFS('NeT PR - table_export'!$H:$H,'NeT PR - table_export'!$A:$A,$B51, 'NeT PR - table_export'!$E:$E,"Yes", 'NeT PR - table_export'!$F:$F,"Yes")</f>
        <v>37</v>
      </c>
      <c r="S51" s="8">
        <f>SUMIFS('NeT PR - table_export'!$H:$H,'NeT PR - table_export'!$A:$A,$B51, 'NeT PR - table_export'!$E:$E,"Yes", 'NeT PR - table_export'!$F:$F,"Yes",'NeT PR - table_export'!$J:$J,"Yes")</f>
        <v>37</v>
      </c>
      <c r="T51" s="8">
        <f>SUMIFS('NeT PR - table_export'!$H:$H,'NeT PR - table_export'!$A:$A,$B51, 'NeT PR - table_export'!$E:$E,"No", 'NeT PR - table_export'!$F:$F,"Yes")</f>
        <v>0</v>
      </c>
      <c r="U51" s="51">
        <f>SUMIFS('NeT PR - table_export'!$H:$H,'NeT PR - table_export'!$A:$A,$B51, 'NeT PR - table_export'!$E:$E,"No", 'NeT PR - table_export'!$F:$F,"Yes",'NeT PR - table_export'!$J:$J,"Yes")</f>
        <v>0</v>
      </c>
    </row>
    <row r="52" spans="2:21" x14ac:dyDescent="0.35">
      <c r="B52" s="101" t="s">
        <v>599</v>
      </c>
      <c r="C52" s="99" t="s">
        <v>600</v>
      </c>
      <c r="D52" s="114">
        <v>3</v>
      </c>
      <c r="E52" s="127">
        <f t="shared" si="0"/>
        <v>7</v>
      </c>
      <c r="F52" s="128">
        <f>COUNTIFS('NeT PR - table_export'!$A:$A,$B52, 'NeT PR - table_export'!$E:$E,"Yes")</f>
        <v>3</v>
      </c>
      <c r="G52" s="129">
        <f>COUNTIFS('NeT PR - table_export'!$A:$A,$B52, 'NeT PR - table_export'!$E:$E,"No")</f>
        <v>4</v>
      </c>
      <c r="H52" s="171" t="str">
        <f>IF(COUNTIFS('NeT PR - table_export'!$A:$A,$B52,'NeT PR - table_export'!$F:$F,"Yes",'NeT PR - table_export'!$G:$G,"Yes")&gt;0,"Yes","No")</f>
        <v>No</v>
      </c>
      <c r="I52" s="130">
        <f t="shared" si="1"/>
        <v>3</v>
      </c>
      <c r="J52" s="8">
        <f>COUNTIFS('NeT PR - table_export'!$A:$A,$B52, 'NeT PR - table_export'!$E:$E,"Yes", 'NeT PR - table_export'!$F:$F,"Yes")</f>
        <v>3</v>
      </c>
      <c r="K52" s="8">
        <f>COUNTIFS('NeT PR - table_export'!$A:$A,$B52, 'NeT PR - table_export'!$E:$E,"Yes", 'NeT PR - table_export'!$F:$F,"Yes",'NeT PR - table_export'!$J:$J,"Yes")</f>
        <v>2</v>
      </c>
      <c r="L52" s="8">
        <f>COUNTIFS('NeT PR - table_export'!$A:$A,$B52, 'NeT PR - table_export'!$E:$E,"No", 'NeT PR - table_export'!$F:$F,"Yes")</f>
        <v>0</v>
      </c>
      <c r="M52" s="131">
        <f>COUNTIFS('NeT PR - table_export'!$A:$A,$B52, 'NeT PR - table_export'!$E:$E,"No", 'NeT PR - table_export'!$F:$F,"Yes",'NeT PR - table_export'!$J:$J,"Yes")</f>
        <v>0</v>
      </c>
      <c r="N52" s="17">
        <f t="shared" si="2"/>
        <v>1682</v>
      </c>
      <c r="O52" s="8">
        <f>SUMIFS('NeT PR - table_export'!$H:$H,'NeT PR - table_export'!$A:$A,$B52, 'NeT PR - table_export'!$E:$E,"Yes")</f>
        <v>302</v>
      </c>
      <c r="P52" s="51">
        <f>SUMIFS('NeT PR - table_export'!$H:$H,'NeT PR - table_export'!$A:$A,$B52, 'NeT PR - table_export'!$E:$E,"No")</f>
        <v>1380</v>
      </c>
      <c r="Q52" s="130">
        <f t="shared" si="3"/>
        <v>302</v>
      </c>
      <c r="R52" s="8">
        <f>SUMIFS('NeT PR - table_export'!$H:$H,'NeT PR - table_export'!$A:$A,$B52, 'NeT PR - table_export'!$E:$E,"Yes", 'NeT PR - table_export'!$F:$F,"Yes")</f>
        <v>302</v>
      </c>
      <c r="S52" s="8">
        <f>SUMIFS('NeT PR - table_export'!$H:$H,'NeT PR - table_export'!$A:$A,$B52, 'NeT PR - table_export'!$E:$E,"Yes", 'NeT PR - table_export'!$F:$F,"Yes",'NeT PR - table_export'!$J:$J,"Yes")</f>
        <v>252</v>
      </c>
      <c r="T52" s="8">
        <f>SUMIFS('NeT PR - table_export'!$H:$H,'NeT PR - table_export'!$A:$A,$B52, 'NeT PR - table_export'!$E:$E,"No", 'NeT PR - table_export'!$F:$F,"Yes")</f>
        <v>0</v>
      </c>
      <c r="U52" s="51">
        <f>SUMIFS('NeT PR - table_export'!$H:$H,'NeT PR - table_export'!$A:$A,$B52, 'NeT PR - table_export'!$E:$E,"No", 'NeT PR - table_export'!$F:$F,"Yes",'NeT PR - table_export'!$J:$J,"Yes")</f>
        <v>0</v>
      </c>
    </row>
    <row r="53" spans="2:21" x14ac:dyDescent="0.35">
      <c r="B53" s="101" t="s">
        <v>330</v>
      </c>
      <c r="C53" s="99" t="s">
        <v>601</v>
      </c>
      <c r="D53" s="114">
        <v>2</v>
      </c>
      <c r="E53" s="127">
        <f t="shared" si="0"/>
        <v>7</v>
      </c>
      <c r="F53" s="128">
        <f>COUNTIFS('NeT PR - table_export'!$A:$A,$B53, 'NeT PR - table_export'!$E:$E,"Yes")</f>
        <v>7</v>
      </c>
      <c r="G53" s="129">
        <f>COUNTIFS('NeT PR - table_export'!$A:$A,$B53, 'NeT PR - table_export'!$E:$E,"No")</f>
        <v>0</v>
      </c>
      <c r="H53" s="171" t="str">
        <f>IF(COUNTIFS('NeT PR - table_export'!$A:$A,$B53,'NeT PR - table_export'!$F:$F,"Yes",'NeT PR - table_export'!$G:$G,"Yes")&gt;0,"Yes","No")</f>
        <v>No</v>
      </c>
      <c r="I53" s="130">
        <f t="shared" si="1"/>
        <v>4</v>
      </c>
      <c r="J53" s="8">
        <f>COUNTIFS('NeT PR - table_export'!$A:$A,$B53, 'NeT PR - table_export'!$E:$E,"Yes", 'NeT PR - table_export'!$F:$F,"Yes")</f>
        <v>4</v>
      </c>
      <c r="K53" s="8">
        <f>COUNTIFS('NeT PR - table_export'!$A:$A,$B53, 'NeT PR - table_export'!$E:$E,"Yes", 'NeT PR - table_export'!$F:$F,"Yes",'NeT PR - table_export'!$J:$J,"Yes")</f>
        <v>3</v>
      </c>
      <c r="L53" s="8">
        <f>COUNTIFS('NeT PR - table_export'!$A:$A,$B53, 'NeT PR - table_export'!$E:$E,"No", 'NeT PR - table_export'!$F:$F,"Yes")</f>
        <v>0</v>
      </c>
      <c r="M53" s="131">
        <f>COUNTIFS('NeT PR - table_export'!$A:$A,$B53, 'NeT PR - table_export'!$E:$E,"No", 'NeT PR - table_export'!$F:$F,"Yes",'NeT PR - table_export'!$J:$J,"Yes")</f>
        <v>0</v>
      </c>
      <c r="N53" s="17">
        <f t="shared" si="2"/>
        <v>205</v>
      </c>
      <c r="O53" s="8">
        <f>SUMIFS('NeT PR - table_export'!$H:$H,'NeT PR - table_export'!$A:$A,$B53, 'NeT PR - table_export'!$E:$E,"Yes")</f>
        <v>205</v>
      </c>
      <c r="P53" s="51">
        <f>SUMIFS('NeT PR - table_export'!$H:$H,'NeT PR - table_export'!$A:$A,$B53, 'NeT PR - table_export'!$E:$E,"No")</f>
        <v>0</v>
      </c>
      <c r="Q53" s="130">
        <f t="shared" si="3"/>
        <v>205</v>
      </c>
      <c r="R53" s="8">
        <f>SUMIFS('NeT PR - table_export'!$H:$H,'NeT PR - table_export'!$A:$A,$B53, 'NeT PR - table_export'!$E:$E,"Yes", 'NeT PR - table_export'!$F:$F,"Yes")</f>
        <v>205</v>
      </c>
      <c r="S53" s="8">
        <f>SUMIFS('NeT PR - table_export'!$H:$H,'NeT PR - table_export'!$A:$A,$B53, 'NeT PR - table_export'!$E:$E,"Yes", 'NeT PR - table_export'!$F:$F,"Yes",'NeT PR - table_export'!$J:$J,"Yes")</f>
        <v>116</v>
      </c>
      <c r="T53" s="8">
        <f>SUMIFS('NeT PR - table_export'!$H:$H,'NeT PR - table_export'!$A:$A,$B53, 'NeT PR - table_export'!$E:$E,"No", 'NeT PR - table_export'!$F:$F,"Yes")</f>
        <v>0</v>
      </c>
      <c r="U53" s="51">
        <f>SUMIFS('NeT PR - table_export'!$H:$H,'NeT PR - table_export'!$A:$A,$B53, 'NeT PR - table_export'!$E:$E,"No", 'NeT PR - table_export'!$F:$F,"Yes",'NeT PR - table_export'!$J:$J,"Yes")</f>
        <v>0</v>
      </c>
    </row>
    <row r="54" spans="2:21" x14ac:dyDescent="0.35">
      <c r="B54" s="101" t="s">
        <v>336</v>
      </c>
      <c r="C54" s="99" t="s">
        <v>546</v>
      </c>
      <c r="D54" s="114">
        <v>1</v>
      </c>
      <c r="E54" s="127">
        <f t="shared" si="0"/>
        <v>7</v>
      </c>
      <c r="F54" s="128">
        <f>COUNTIFS('NeT PR - table_export'!$A:$A,$B54, 'NeT PR - table_export'!$E:$E,"Yes")</f>
        <v>1</v>
      </c>
      <c r="G54" s="129">
        <f>COUNTIFS('NeT PR - table_export'!$A:$A,$B54, 'NeT PR - table_export'!$E:$E,"No")</f>
        <v>6</v>
      </c>
      <c r="H54" s="171" t="str">
        <f>IF(COUNTIFS('NeT PR - table_export'!$A:$A,$B54,'NeT PR - table_export'!$F:$F,"Yes",'NeT PR - table_export'!$G:$G,"Yes")&gt;0,"Yes","No")</f>
        <v>Yes</v>
      </c>
      <c r="I54" s="130">
        <f t="shared" si="1"/>
        <v>5</v>
      </c>
      <c r="J54" s="8">
        <f>COUNTIFS('NeT PR - table_export'!$A:$A,$B54, 'NeT PR - table_export'!$E:$E,"Yes", 'NeT PR - table_export'!$F:$F,"Yes")</f>
        <v>1</v>
      </c>
      <c r="K54" s="8">
        <f>COUNTIFS('NeT PR - table_export'!$A:$A,$B54, 'NeT PR - table_export'!$E:$E,"Yes", 'NeT PR - table_export'!$F:$F,"Yes",'NeT PR - table_export'!$J:$J,"Yes")</f>
        <v>1</v>
      </c>
      <c r="L54" s="8">
        <f>COUNTIFS('NeT PR - table_export'!$A:$A,$B54, 'NeT PR - table_export'!$E:$E,"No", 'NeT PR - table_export'!$F:$F,"Yes")</f>
        <v>4</v>
      </c>
      <c r="M54" s="131">
        <f>COUNTIFS('NeT PR - table_export'!$A:$A,$B54, 'NeT PR - table_export'!$E:$E,"No", 'NeT PR - table_export'!$F:$F,"Yes",'NeT PR - table_export'!$J:$J,"Yes")</f>
        <v>2</v>
      </c>
      <c r="N54" s="17">
        <f t="shared" si="2"/>
        <v>128</v>
      </c>
      <c r="O54" s="8">
        <f>SUMIFS('NeT PR - table_export'!$H:$H,'NeT PR - table_export'!$A:$A,$B54, 'NeT PR - table_export'!$E:$E,"Yes")</f>
        <v>16</v>
      </c>
      <c r="P54" s="51">
        <f>SUMIFS('NeT PR - table_export'!$H:$H,'NeT PR - table_export'!$A:$A,$B54, 'NeT PR - table_export'!$E:$E,"No")</f>
        <v>112</v>
      </c>
      <c r="Q54" s="130">
        <f t="shared" si="3"/>
        <v>128</v>
      </c>
      <c r="R54" s="8">
        <f>SUMIFS('NeT PR - table_export'!$H:$H,'NeT PR - table_export'!$A:$A,$B54, 'NeT PR - table_export'!$E:$E,"Yes", 'NeT PR - table_export'!$F:$F,"Yes")</f>
        <v>16</v>
      </c>
      <c r="S54" s="8">
        <f>SUMIFS('NeT PR - table_export'!$H:$H,'NeT PR - table_export'!$A:$A,$B54, 'NeT PR - table_export'!$E:$E,"Yes", 'NeT PR - table_export'!$F:$F,"Yes",'NeT PR - table_export'!$J:$J,"Yes")</f>
        <v>16</v>
      </c>
      <c r="T54" s="8">
        <f>SUMIFS('NeT PR - table_export'!$H:$H,'NeT PR - table_export'!$A:$A,$B54, 'NeT PR - table_export'!$E:$E,"No", 'NeT PR - table_export'!$F:$F,"Yes")</f>
        <v>112</v>
      </c>
      <c r="U54" s="51">
        <f>SUMIFS('NeT PR - table_export'!$H:$H,'NeT PR - table_export'!$A:$A,$B54, 'NeT PR - table_export'!$E:$E,"No", 'NeT PR - table_export'!$F:$F,"Yes",'NeT PR - table_export'!$J:$J,"Yes")</f>
        <v>71</v>
      </c>
    </row>
    <row r="55" spans="2:21" x14ac:dyDescent="0.35">
      <c r="B55" s="101" t="s">
        <v>602</v>
      </c>
      <c r="C55" s="99" t="s">
        <v>603</v>
      </c>
      <c r="D55" s="114">
        <v>4</v>
      </c>
      <c r="E55" s="127">
        <f t="shared" si="0"/>
        <v>7</v>
      </c>
      <c r="F55" s="128">
        <f>COUNTIFS('NeT PR - table_export'!$A:$A,$B55, 'NeT PR - table_export'!$E:$E,"Yes")</f>
        <v>1</v>
      </c>
      <c r="G55" s="129">
        <f>COUNTIFS('NeT PR - table_export'!$A:$A,$B55, 'NeT PR - table_export'!$E:$E,"No")</f>
        <v>6</v>
      </c>
      <c r="H55" s="171" t="str">
        <f>IF(COUNTIFS('NeT PR - table_export'!$A:$A,$B55,'NeT PR - table_export'!$F:$F,"Yes",'NeT PR - table_export'!$G:$G,"Yes")&gt;0,"Yes","No")</f>
        <v>No</v>
      </c>
      <c r="I55" s="130">
        <f t="shared" si="1"/>
        <v>1</v>
      </c>
      <c r="J55" s="8">
        <f>COUNTIFS('NeT PR - table_export'!$A:$A,$B55, 'NeT PR - table_export'!$E:$E,"Yes", 'NeT PR - table_export'!$F:$F,"Yes")</f>
        <v>1</v>
      </c>
      <c r="K55" s="8">
        <f>COUNTIFS('NeT PR - table_export'!$A:$A,$B55, 'NeT PR - table_export'!$E:$E,"Yes", 'NeT PR - table_export'!$F:$F,"Yes",'NeT PR - table_export'!$J:$J,"Yes")</f>
        <v>1</v>
      </c>
      <c r="L55" s="8">
        <f>COUNTIFS('NeT PR - table_export'!$A:$A,$B55, 'NeT PR - table_export'!$E:$E,"No", 'NeT PR - table_export'!$F:$F,"Yes")</f>
        <v>0</v>
      </c>
      <c r="M55" s="131">
        <f>COUNTIFS('NeT PR - table_export'!$A:$A,$B55, 'NeT PR - table_export'!$E:$E,"No", 'NeT PR - table_export'!$F:$F,"Yes",'NeT PR - table_export'!$J:$J,"Yes")</f>
        <v>0</v>
      </c>
      <c r="N55" s="17">
        <f t="shared" si="2"/>
        <v>208</v>
      </c>
      <c r="O55" s="8">
        <f>SUMIFS('NeT PR - table_export'!$H:$H,'NeT PR - table_export'!$A:$A,$B55, 'NeT PR - table_export'!$E:$E,"Yes")</f>
        <v>39</v>
      </c>
      <c r="P55" s="51">
        <f>SUMIFS('NeT PR - table_export'!$H:$H,'NeT PR - table_export'!$A:$A,$B55, 'NeT PR - table_export'!$E:$E,"No")</f>
        <v>169</v>
      </c>
      <c r="Q55" s="130">
        <f t="shared" si="3"/>
        <v>39</v>
      </c>
      <c r="R55" s="8">
        <f>SUMIFS('NeT PR - table_export'!$H:$H,'NeT PR - table_export'!$A:$A,$B55, 'NeT PR - table_export'!$E:$E,"Yes", 'NeT PR - table_export'!$F:$F,"Yes")</f>
        <v>39</v>
      </c>
      <c r="S55" s="8">
        <f>SUMIFS('NeT PR - table_export'!$H:$H,'NeT PR - table_export'!$A:$A,$B55, 'NeT PR - table_export'!$E:$E,"Yes", 'NeT PR - table_export'!$F:$F,"Yes",'NeT PR - table_export'!$J:$J,"Yes")</f>
        <v>39</v>
      </c>
      <c r="T55" s="8">
        <f>SUMIFS('NeT PR - table_export'!$H:$H,'NeT PR - table_export'!$A:$A,$B55, 'NeT PR - table_export'!$E:$E,"No", 'NeT PR - table_export'!$F:$F,"Yes")</f>
        <v>0</v>
      </c>
      <c r="U55" s="51">
        <f>SUMIFS('NeT PR - table_export'!$H:$H,'NeT PR - table_export'!$A:$A,$B55, 'NeT PR - table_export'!$E:$E,"No", 'NeT PR - table_export'!$F:$F,"Yes",'NeT PR - table_export'!$J:$J,"Yes")</f>
        <v>0</v>
      </c>
    </row>
    <row r="56" spans="2:21" x14ac:dyDescent="0.35">
      <c r="B56" s="101" t="s">
        <v>348</v>
      </c>
      <c r="C56" s="99" t="s">
        <v>547</v>
      </c>
      <c r="D56" s="114">
        <v>8</v>
      </c>
      <c r="E56" s="127">
        <f t="shared" si="0"/>
        <v>7</v>
      </c>
      <c r="F56" s="128">
        <f>COUNTIFS('NeT PR - table_export'!$A:$A,$B56, 'NeT PR - table_export'!$E:$E,"Yes")</f>
        <v>0</v>
      </c>
      <c r="G56" s="129">
        <f>COUNTIFS('NeT PR - table_export'!$A:$A,$B56, 'NeT PR - table_export'!$E:$E,"No")</f>
        <v>7</v>
      </c>
      <c r="H56" s="171" t="str">
        <f>IF(COUNTIFS('NeT PR - table_export'!$A:$A,$B56,'NeT PR - table_export'!$F:$F,"Yes",'NeT PR - table_export'!$G:$G,"Yes")&gt;0,"Yes","No")</f>
        <v>Yes</v>
      </c>
      <c r="I56" s="130">
        <f t="shared" si="1"/>
        <v>5</v>
      </c>
      <c r="J56" s="8">
        <f>COUNTIFS('NeT PR - table_export'!$A:$A,$B56, 'NeT PR - table_export'!$E:$E,"Yes", 'NeT PR - table_export'!$F:$F,"Yes")</f>
        <v>0</v>
      </c>
      <c r="K56" s="8">
        <f>COUNTIFS('NeT PR - table_export'!$A:$A,$B56, 'NeT PR - table_export'!$E:$E,"Yes", 'NeT PR - table_export'!$F:$F,"Yes",'NeT PR - table_export'!$J:$J,"Yes")</f>
        <v>0</v>
      </c>
      <c r="L56" s="8">
        <f>COUNTIFS('NeT PR - table_export'!$A:$A,$B56, 'NeT PR - table_export'!$E:$E,"No", 'NeT PR - table_export'!$F:$F,"Yes")</f>
        <v>5</v>
      </c>
      <c r="M56" s="131">
        <f>COUNTIFS('NeT PR - table_export'!$A:$A,$B56, 'NeT PR - table_export'!$E:$E,"No", 'NeT PR - table_export'!$F:$F,"Yes",'NeT PR - table_export'!$J:$J,"Yes")</f>
        <v>3</v>
      </c>
      <c r="N56" s="17">
        <f t="shared" si="2"/>
        <v>855</v>
      </c>
      <c r="O56" s="8">
        <f>SUMIFS('NeT PR - table_export'!$H:$H,'NeT PR - table_export'!$A:$A,$B56, 'NeT PR - table_export'!$E:$E,"Yes")</f>
        <v>0</v>
      </c>
      <c r="P56" s="51">
        <f>SUMIFS('NeT PR - table_export'!$H:$H,'NeT PR - table_export'!$A:$A,$B56, 'NeT PR - table_export'!$E:$E,"No")</f>
        <v>855</v>
      </c>
      <c r="Q56" s="130">
        <f t="shared" si="3"/>
        <v>819</v>
      </c>
      <c r="R56" s="8">
        <f>SUMIFS('NeT PR - table_export'!$H:$H,'NeT PR - table_export'!$A:$A,$B56, 'NeT PR - table_export'!$E:$E,"Yes", 'NeT PR - table_export'!$F:$F,"Yes")</f>
        <v>0</v>
      </c>
      <c r="S56" s="8">
        <f>SUMIFS('NeT PR - table_export'!$H:$H,'NeT PR - table_export'!$A:$A,$B56, 'NeT PR - table_export'!$E:$E,"Yes", 'NeT PR - table_export'!$F:$F,"Yes",'NeT PR - table_export'!$J:$J,"Yes")</f>
        <v>0</v>
      </c>
      <c r="T56" s="8">
        <f>SUMIFS('NeT PR - table_export'!$H:$H,'NeT PR - table_export'!$A:$A,$B56, 'NeT PR - table_export'!$E:$E,"No", 'NeT PR - table_export'!$F:$F,"Yes")</f>
        <v>819</v>
      </c>
      <c r="U56" s="51">
        <f>SUMIFS('NeT PR - table_export'!$H:$H,'NeT PR - table_export'!$A:$A,$B56, 'NeT PR - table_export'!$E:$E,"No", 'NeT PR - table_export'!$F:$F,"Yes",'NeT PR - table_export'!$J:$J,"Yes")</f>
        <v>352</v>
      </c>
    </row>
    <row r="57" spans="2:21" x14ac:dyDescent="0.35">
      <c r="B57" s="101" t="s">
        <v>604</v>
      </c>
      <c r="C57" s="99" t="s">
        <v>605</v>
      </c>
      <c r="D57" s="114">
        <v>2</v>
      </c>
      <c r="E57" s="127">
        <f t="shared" si="0"/>
        <v>7</v>
      </c>
      <c r="F57" s="128">
        <f>COUNTIFS('NeT PR - table_export'!$A:$A,$B57, 'NeT PR - table_export'!$E:$E,"Yes")</f>
        <v>7</v>
      </c>
      <c r="G57" s="129">
        <f>COUNTIFS('NeT PR - table_export'!$A:$A,$B57, 'NeT PR - table_export'!$E:$E,"No")</f>
        <v>0</v>
      </c>
      <c r="H57" s="171" t="str">
        <f>IF(COUNTIFS('NeT PR - table_export'!$A:$A,$B57,'NeT PR - table_export'!$F:$F,"Yes",'NeT PR - table_export'!$G:$G,"Yes")&gt;0,"Yes","No")</f>
        <v>No</v>
      </c>
      <c r="I57" s="130">
        <f t="shared" si="1"/>
        <v>2</v>
      </c>
      <c r="J57" s="8">
        <f>COUNTIFS('NeT PR - table_export'!$A:$A,$B57, 'NeT PR - table_export'!$E:$E,"Yes", 'NeT PR - table_export'!$F:$F,"Yes")</f>
        <v>2</v>
      </c>
      <c r="K57" s="8">
        <f>COUNTIFS('NeT PR - table_export'!$A:$A,$B57, 'NeT PR - table_export'!$E:$E,"Yes", 'NeT PR - table_export'!$F:$F,"Yes",'NeT PR - table_export'!$J:$J,"Yes")</f>
        <v>2</v>
      </c>
      <c r="L57" s="8">
        <f>COUNTIFS('NeT PR - table_export'!$A:$A,$B57, 'NeT PR - table_export'!$E:$E,"No", 'NeT PR - table_export'!$F:$F,"Yes")</f>
        <v>0</v>
      </c>
      <c r="M57" s="131">
        <f>COUNTIFS('NeT PR - table_export'!$A:$A,$B57, 'NeT PR - table_export'!$E:$E,"No", 'NeT PR - table_export'!$F:$F,"Yes",'NeT PR - table_export'!$J:$J,"Yes")</f>
        <v>0</v>
      </c>
      <c r="N57" s="17">
        <f t="shared" si="2"/>
        <v>1</v>
      </c>
      <c r="O57" s="8">
        <f>SUMIFS('NeT PR - table_export'!$H:$H,'NeT PR - table_export'!$A:$A,$B57, 'NeT PR - table_export'!$E:$E,"Yes")</f>
        <v>1</v>
      </c>
      <c r="P57" s="51">
        <f>SUMIFS('NeT PR - table_export'!$H:$H,'NeT PR - table_export'!$A:$A,$B57, 'NeT PR - table_export'!$E:$E,"No")</f>
        <v>0</v>
      </c>
      <c r="Q57" s="130">
        <f t="shared" si="3"/>
        <v>1</v>
      </c>
      <c r="R57" s="8">
        <f>SUMIFS('NeT PR - table_export'!$H:$H,'NeT PR - table_export'!$A:$A,$B57, 'NeT PR - table_export'!$E:$E,"Yes", 'NeT PR - table_export'!$F:$F,"Yes")</f>
        <v>1</v>
      </c>
      <c r="S57" s="8">
        <f>SUMIFS('NeT PR - table_export'!$H:$H,'NeT PR - table_export'!$A:$A,$B57, 'NeT PR - table_export'!$E:$E,"Yes", 'NeT PR - table_export'!$F:$F,"Yes",'NeT PR - table_export'!$J:$J,"Yes")</f>
        <v>1</v>
      </c>
      <c r="T57" s="8">
        <f>SUMIFS('NeT PR - table_export'!$H:$H,'NeT PR - table_export'!$A:$A,$B57, 'NeT PR - table_export'!$E:$E,"No", 'NeT PR - table_export'!$F:$F,"Yes")</f>
        <v>0</v>
      </c>
      <c r="U57" s="51">
        <f>SUMIFS('NeT PR - table_export'!$H:$H,'NeT PR - table_export'!$A:$A,$B57, 'NeT PR - table_export'!$E:$E,"No", 'NeT PR - table_export'!$F:$F,"Yes",'NeT PR - table_export'!$J:$J,"Yes")</f>
        <v>0</v>
      </c>
    </row>
    <row r="58" spans="2:21" x14ac:dyDescent="0.35">
      <c r="B58" s="101" t="s">
        <v>606</v>
      </c>
      <c r="C58" s="99" t="s">
        <v>607</v>
      </c>
      <c r="D58" s="114">
        <v>4</v>
      </c>
      <c r="E58" s="127">
        <f t="shared" si="0"/>
        <v>7</v>
      </c>
      <c r="F58" s="128">
        <f>COUNTIFS('NeT PR - table_export'!$A:$A,$B58, 'NeT PR - table_export'!$E:$E,"Yes")</f>
        <v>1</v>
      </c>
      <c r="G58" s="129">
        <f>COUNTIFS('NeT PR - table_export'!$A:$A,$B58, 'NeT PR - table_export'!$E:$E,"No")</f>
        <v>6</v>
      </c>
      <c r="H58" s="171" t="str">
        <f>IF(COUNTIFS('NeT PR - table_export'!$A:$A,$B58,'NeT PR - table_export'!$F:$F,"Yes",'NeT PR - table_export'!$G:$G,"Yes")&gt;0,"Yes","No")</f>
        <v>No</v>
      </c>
      <c r="I58" s="130">
        <f t="shared" si="1"/>
        <v>1</v>
      </c>
      <c r="J58" s="8">
        <f>COUNTIFS('NeT PR - table_export'!$A:$A,$B58, 'NeT PR - table_export'!$E:$E,"Yes", 'NeT PR - table_export'!$F:$F,"Yes")</f>
        <v>1</v>
      </c>
      <c r="K58" s="8">
        <f>COUNTIFS('NeT PR - table_export'!$A:$A,$B58, 'NeT PR - table_export'!$E:$E,"Yes", 'NeT PR - table_export'!$F:$F,"Yes",'NeT PR - table_export'!$J:$J,"Yes")</f>
        <v>1</v>
      </c>
      <c r="L58" s="8">
        <f>COUNTIFS('NeT PR - table_export'!$A:$A,$B58, 'NeT PR - table_export'!$E:$E,"No", 'NeT PR - table_export'!$F:$F,"Yes")</f>
        <v>0</v>
      </c>
      <c r="M58" s="131">
        <f>COUNTIFS('NeT PR - table_export'!$A:$A,$B58, 'NeT PR - table_export'!$E:$E,"No", 'NeT PR - table_export'!$F:$F,"Yes",'NeT PR - table_export'!$J:$J,"Yes")</f>
        <v>0</v>
      </c>
      <c r="N58" s="17">
        <f t="shared" si="2"/>
        <v>524</v>
      </c>
      <c r="O58" s="8">
        <f>SUMIFS('NeT PR - table_export'!$H:$H,'NeT PR - table_export'!$A:$A,$B58, 'NeT PR - table_export'!$E:$E,"Yes")</f>
        <v>48</v>
      </c>
      <c r="P58" s="51">
        <f>SUMIFS('NeT PR - table_export'!$H:$H,'NeT PR - table_export'!$A:$A,$B58, 'NeT PR - table_export'!$E:$E,"No")</f>
        <v>476</v>
      </c>
      <c r="Q58" s="130">
        <f t="shared" si="3"/>
        <v>48</v>
      </c>
      <c r="R58" s="8">
        <f>SUMIFS('NeT PR - table_export'!$H:$H,'NeT PR - table_export'!$A:$A,$B58, 'NeT PR - table_export'!$E:$E,"Yes", 'NeT PR - table_export'!$F:$F,"Yes")</f>
        <v>48</v>
      </c>
      <c r="S58" s="8">
        <f>SUMIFS('NeT PR - table_export'!$H:$H,'NeT PR - table_export'!$A:$A,$B58, 'NeT PR - table_export'!$E:$E,"Yes", 'NeT PR - table_export'!$F:$F,"Yes",'NeT PR - table_export'!$J:$J,"Yes")</f>
        <v>48</v>
      </c>
      <c r="T58" s="8">
        <f>SUMIFS('NeT PR - table_export'!$H:$H,'NeT PR - table_export'!$A:$A,$B58, 'NeT PR - table_export'!$E:$E,"No", 'NeT PR - table_export'!$F:$F,"Yes")</f>
        <v>0</v>
      </c>
      <c r="U58" s="51">
        <f>SUMIFS('NeT PR - table_export'!$H:$H,'NeT PR - table_export'!$A:$A,$B58, 'NeT PR - table_export'!$E:$E,"No", 'NeT PR - table_export'!$F:$F,"Yes",'NeT PR - table_export'!$J:$J,"Yes")</f>
        <v>0</v>
      </c>
    </row>
    <row r="59" spans="2:21" x14ac:dyDescent="0.35">
      <c r="B59" s="101" t="s">
        <v>368</v>
      </c>
      <c r="C59" s="99" t="s">
        <v>549</v>
      </c>
      <c r="D59" s="114">
        <v>6</v>
      </c>
      <c r="E59" s="127">
        <f t="shared" si="0"/>
        <v>7</v>
      </c>
      <c r="F59" s="128">
        <f>COUNTIFS('NeT PR - table_export'!$A:$A,$B59, 'NeT PR - table_export'!$E:$E,"Yes")</f>
        <v>0</v>
      </c>
      <c r="G59" s="129">
        <f>COUNTIFS('NeT PR - table_export'!$A:$A,$B59, 'NeT PR - table_export'!$E:$E,"No")</f>
        <v>7</v>
      </c>
      <c r="H59" s="171" t="str">
        <f>IF(COUNTIFS('NeT PR - table_export'!$A:$A,$B59,'NeT PR - table_export'!$F:$F,"Yes",'NeT PR - table_export'!$G:$G,"Yes")&gt;0,"Yes","No")</f>
        <v>Yes</v>
      </c>
      <c r="I59" s="130">
        <f t="shared" si="1"/>
        <v>6</v>
      </c>
      <c r="J59" s="8">
        <f>COUNTIFS('NeT PR - table_export'!$A:$A,$B59, 'NeT PR - table_export'!$E:$E,"Yes", 'NeT PR - table_export'!$F:$F,"Yes")</f>
        <v>0</v>
      </c>
      <c r="K59" s="8">
        <f>COUNTIFS('NeT PR - table_export'!$A:$A,$B59, 'NeT PR - table_export'!$E:$E,"Yes", 'NeT PR - table_export'!$F:$F,"Yes",'NeT PR - table_export'!$J:$J,"Yes")</f>
        <v>0</v>
      </c>
      <c r="L59" s="8">
        <f>COUNTIFS('NeT PR - table_export'!$A:$A,$B59, 'NeT PR - table_export'!$E:$E,"No", 'NeT PR - table_export'!$F:$F,"Yes")</f>
        <v>6</v>
      </c>
      <c r="M59" s="131">
        <f>COUNTIFS('NeT PR - table_export'!$A:$A,$B59, 'NeT PR - table_export'!$E:$E,"No", 'NeT PR - table_export'!$F:$F,"Yes",'NeT PR - table_export'!$J:$J,"Yes")</f>
        <v>4</v>
      </c>
      <c r="N59" s="17">
        <f t="shared" si="2"/>
        <v>6584</v>
      </c>
      <c r="O59" s="8">
        <f>SUMIFS('NeT PR - table_export'!$H:$H,'NeT PR - table_export'!$A:$A,$B59, 'NeT PR - table_export'!$E:$E,"Yes")</f>
        <v>0</v>
      </c>
      <c r="P59" s="51">
        <f>SUMIFS('NeT PR - table_export'!$H:$H,'NeT PR - table_export'!$A:$A,$B59, 'NeT PR - table_export'!$E:$E,"No")</f>
        <v>6584</v>
      </c>
      <c r="Q59" s="130">
        <f t="shared" si="3"/>
        <v>6584</v>
      </c>
      <c r="R59" s="8">
        <f>SUMIFS('NeT PR - table_export'!$H:$H,'NeT PR - table_export'!$A:$A,$B59, 'NeT PR - table_export'!$E:$E,"Yes", 'NeT PR - table_export'!$F:$F,"Yes")</f>
        <v>0</v>
      </c>
      <c r="S59" s="8">
        <f>SUMIFS('NeT PR - table_export'!$H:$H,'NeT PR - table_export'!$A:$A,$B59, 'NeT PR - table_export'!$E:$E,"Yes", 'NeT PR - table_export'!$F:$F,"Yes",'NeT PR - table_export'!$J:$J,"Yes")</f>
        <v>0</v>
      </c>
      <c r="T59" s="8">
        <f>SUMIFS('NeT PR - table_export'!$H:$H,'NeT PR - table_export'!$A:$A,$B59, 'NeT PR - table_export'!$E:$E,"No", 'NeT PR - table_export'!$F:$F,"Yes")</f>
        <v>6584</v>
      </c>
      <c r="U59" s="51">
        <f>SUMIFS('NeT PR - table_export'!$H:$H,'NeT PR - table_export'!$A:$A,$B59, 'NeT PR - table_export'!$E:$E,"No", 'NeT PR - table_export'!$F:$F,"Yes",'NeT PR - table_export'!$J:$J,"Yes")</f>
        <v>5947</v>
      </c>
    </row>
    <row r="60" spans="2:21" x14ac:dyDescent="0.35">
      <c r="B60" s="101" t="s">
        <v>370</v>
      </c>
      <c r="C60" s="99" t="s">
        <v>550</v>
      </c>
      <c r="D60" s="114">
        <v>8</v>
      </c>
      <c r="E60" s="127">
        <f t="shared" si="0"/>
        <v>7</v>
      </c>
      <c r="F60" s="128">
        <f>COUNTIFS('NeT PR - table_export'!$A:$A,$B60, 'NeT PR - table_export'!$E:$E,"Yes")</f>
        <v>0</v>
      </c>
      <c r="G60" s="129">
        <f>COUNTIFS('NeT PR - table_export'!$A:$A,$B60, 'NeT PR - table_export'!$E:$E,"No")</f>
        <v>7</v>
      </c>
      <c r="H60" s="171" t="str">
        <f>IF(COUNTIFS('NeT PR - table_export'!$A:$A,$B60,'NeT PR - table_export'!$F:$F,"Yes",'NeT PR - table_export'!$G:$G,"Yes")&gt;0,"Yes","No")</f>
        <v>Yes</v>
      </c>
      <c r="I60" s="130">
        <f t="shared" si="1"/>
        <v>6</v>
      </c>
      <c r="J60" s="8">
        <f>COUNTIFS('NeT PR - table_export'!$A:$A,$B60, 'NeT PR - table_export'!$E:$E,"Yes", 'NeT PR - table_export'!$F:$F,"Yes")</f>
        <v>0</v>
      </c>
      <c r="K60" s="8">
        <f>COUNTIFS('NeT PR - table_export'!$A:$A,$B60, 'NeT PR - table_export'!$E:$E,"Yes", 'NeT PR - table_export'!$F:$F,"Yes",'NeT PR - table_export'!$J:$J,"Yes")</f>
        <v>0</v>
      </c>
      <c r="L60" s="8">
        <f>COUNTIFS('NeT PR - table_export'!$A:$A,$B60, 'NeT PR - table_export'!$E:$E,"No", 'NeT PR - table_export'!$F:$F,"Yes")</f>
        <v>6</v>
      </c>
      <c r="M60" s="131">
        <f>COUNTIFS('NeT PR - table_export'!$A:$A,$B60, 'NeT PR - table_export'!$E:$E,"No", 'NeT PR - table_export'!$F:$F,"Yes",'NeT PR - table_export'!$J:$J,"Yes")</f>
        <v>4</v>
      </c>
      <c r="N60" s="17">
        <f t="shared" si="2"/>
        <v>234</v>
      </c>
      <c r="O60" s="8">
        <f>SUMIFS('NeT PR - table_export'!$H:$H,'NeT PR - table_export'!$A:$A,$B60, 'NeT PR - table_export'!$E:$E,"Yes")</f>
        <v>0</v>
      </c>
      <c r="P60" s="51">
        <f>SUMIFS('NeT PR - table_export'!$H:$H,'NeT PR - table_export'!$A:$A,$B60, 'NeT PR - table_export'!$E:$E,"No")</f>
        <v>234</v>
      </c>
      <c r="Q60" s="130">
        <f t="shared" si="3"/>
        <v>234</v>
      </c>
      <c r="R60" s="8">
        <f>SUMIFS('NeT PR - table_export'!$H:$H,'NeT PR - table_export'!$A:$A,$B60, 'NeT PR - table_export'!$E:$E,"Yes", 'NeT PR - table_export'!$F:$F,"Yes")</f>
        <v>0</v>
      </c>
      <c r="S60" s="8">
        <f>SUMIFS('NeT PR - table_export'!$H:$H,'NeT PR - table_export'!$A:$A,$B60, 'NeT PR - table_export'!$E:$E,"Yes", 'NeT PR - table_export'!$F:$F,"Yes",'NeT PR - table_export'!$J:$J,"Yes")</f>
        <v>0</v>
      </c>
      <c r="T60" s="8">
        <f>SUMIFS('NeT PR - table_export'!$H:$H,'NeT PR - table_export'!$A:$A,$B60, 'NeT PR - table_export'!$E:$E,"No", 'NeT PR - table_export'!$F:$F,"Yes")</f>
        <v>234</v>
      </c>
      <c r="U60" s="51">
        <f>SUMIFS('NeT PR - table_export'!$H:$H,'NeT PR - table_export'!$A:$A,$B60, 'NeT PR - table_export'!$E:$E,"No", 'NeT PR - table_export'!$F:$F,"Yes",'NeT PR - table_export'!$J:$J,"Yes")</f>
        <v>227</v>
      </c>
    </row>
    <row r="61" spans="2:21" x14ac:dyDescent="0.35">
      <c r="B61" s="101" t="s">
        <v>393</v>
      </c>
      <c r="C61" s="99" t="s">
        <v>608</v>
      </c>
      <c r="D61" s="114">
        <v>3</v>
      </c>
      <c r="E61" s="127">
        <f t="shared" si="0"/>
        <v>7</v>
      </c>
      <c r="F61" s="128">
        <f>COUNTIFS('NeT PR - table_export'!$A:$A,$B61, 'NeT PR - table_export'!$E:$E,"Yes")</f>
        <v>1</v>
      </c>
      <c r="G61" s="129">
        <f>COUNTIFS('NeT PR - table_export'!$A:$A,$B61, 'NeT PR - table_export'!$E:$E,"No")</f>
        <v>6</v>
      </c>
      <c r="H61" s="171" t="str">
        <f>IF(COUNTIFS('NeT PR - table_export'!$A:$A,$B61,'NeT PR - table_export'!$F:$F,"Yes",'NeT PR - table_export'!$G:$G,"Yes")&gt;0,"Yes","No")</f>
        <v>No</v>
      </c>
      <c r="I61" s="130">
        <f t="shared" si="1"/>
        <v>1</v>
      </c>
      <c r="J61" s="8">
        <f>COUNTIFS('NeT PR - table_export'!$A:$A,$B61, 'NeT PR - table_export'!$E:$E,"Yes", 'NeT PR - table_export'!$F:$F,"Yes")</f>
        <v>1</v>
      </c>
      <c r="K61" s="8">
        <f>COUNTIFS('NeT PR - table_export'!$A:$A,$B61, 'NeT PR - table_export'!$E:$E,"Yes", 'NeT PR - table_export'!$F:$F,"Yes",'NeT PR - table_export'!$J:$J,"Yes")</f>
        <v>1</v>
      </c>
      <c r="L61" s="8">
        <f>COUNTIFS('NeT PR - table_export'!$A:$A,$B61, 'NeT PR - table_export'!$E:$E,"No", 'NeT PR - table_export'!$F:$F,"Yes")</f>
        <v>0</v>
      </c>
      <c r="M61" s="131">
        <f>COUNTIFS('NeT PR - table_export'!$A:$A,$B61, 'NeT PR - table_export'!$E:$E,"No", 'NeT PR - table_export'!$F:$F,"Yes",'NeT PR - table_export'!$J:$J,"Yes")</f>
        <v>0</v>
      </c>
      <c r="N61" s="17">
        <f t="shared" si="2"/>
        <v>416</v>
      </c>
      <c r="O61" s="8">
        <f>SUMIFS('NeT PR - table_export'!$H:$H,'NeT PR - table_export'!$A:$A,$B61, 'NeT PR - table_export'!$E:$E,"Yes")</f>
        <v>53</v>
      </c>
      <c r="P61" s="51">
        <f>SUMIFS('NeT PR - table_export'!$H:$H,'NeT PR - table_export'!$A:$A,$B61, 'NeT PR - table_export'!$E:$E,"No")</f>
        <v>363</v>
      </c>
      <c r="Q61" s="130">
        <f t="shared" si="3"/>
        <v>53</v>
      </c>
      <c r="R61" s="8">
        <f>SUMIFS('NeT PR - table_export'!$H:$H,'NeT PR - table_export'!$A:$A,$B61, 'NeT PR - table_export'!$E:$E,"Yes", 'NeT PR - table_export'!$F:$F,"Yes")</f>
        <v>53</v>
      </c>
      <c r="S61" s="8">
        <f>SUMIFS('NeT PR - table_export'!$H:$H,'NeT PR - table_export'!$A:$A,$B61, 'NeT PR - table_export'!$E:$E,"Yes", 'NeT PR - table_export'!$F:$F,"Yes",'NeT PR - table_export'!$J:$J,"Yes")</f>
        <v>53</v>
      </c>
      <c r="T61" s="8">
        <f>SUMIFS('NeT PR - table_export'!$H:$H,'NeT PR - table_export'!$A:$A,$B61, 'NeT PR - table_export'!$E:$E,"No", 'NeT PR - table_export'!$F:$F,"Yes")</f>
        <v>0</v>
      </c>
      <c r="U61" s="51">
        <f>SUMIFS('NeT PR - table_export'!$H:$H,'NeT PR - table_export'!$A:$A,$B61, 'NeT PR - table_export'!$E:$E,"No", 'NeT PR - table_export'!$F:$F,"Yes",'NeT PR - table_export'!$J:$J,"Yes")</f>
        <v>0</v>
      </c>
    </row>
    <row r="62" spans="2:21" x14ac:dyDescent="0.35">
      <c r="B62" s="101" t="s">
        <v>395</v>
      </c>
      <c r="C62" s="99" t="s">
        <v>551</v>
      </c>
      <c r="D62" s="114">
        <v>2</v>
      </c>
      <c r="E62" s="127">
        <f t="shared" si="0"/>
        <v>7</v>
      </c>
      <c r="F62" s="128">
        <f>COUNTIFS('NeT PR - table_export'!$A:$A,$B62, 'NeT PR - table_export'!$E:$E,"Yes")</f>
        <v>3</v>
      </c>
      <c r="G62" s="129">
        <f>COUNTIFS('NeT PR - table_export'!$A:$A,$B62, 'NeT PR - table_export'!$E:$E,"No")</f>
        <v>4</v>
      </c>
      <c r="H62" s="171" t="str">
        <f>IF(COUNTIFS('NeT PR - table_export'!$A:$A,$B62,'NeT PR - table_export'!$F:$F,"Yes",'NeT PR - table_export'!$G:$G,"Yes")&gt;0,"Yes","No")</f>
        <v>Yes</v>
      </c>
      <c r="I62" s="130">
        <f t="shared" si="1"/>
        <v>3</v>
      </c>
      <c r="J62" s="8">
        <f>COUNTIFS('NeT PR - table_export'!$A:$A,$B62, 'NeT PR - table_export'!$E:$E,"Yes", 'NeT PR - table_export'!$F:$F,"Yes")</f>
        <v>1</v>
      </c>
      <c r="K62" s="8">
        <f>COUNTIFS('NeT PR - table_export'!$A:$A,$B62, 'NeT PR - table_export'!$E:$E,"Yes", 'NeT PR - table_export'!$F:$F,"Yes",'NeT PR - table_export'!$J:$J,"Yes")</f>
        <v>1</v>
      </c>
      <c r="L62" s="8">
        <f>COUNTIFS('NeT PR - table_export'!$A:$A,$B62, 'NeT PR - table_export'!$E:$E,"No", 'NeT PR - table_export'!$F:$F,"Yes")</f>
        <v>2</v>
      </c>
      <c r="M62" s="131">
        <f>COUNTIFS('NeT PR - table_export'!$A:$A,$B62, 'NeT PR - table_export'!$E:$E,"No", 'NeT PR - table_export'!$F:$F,"Yes",'NeT PR - table_export'!$J:$J,"Yes")</f>
        <v>1</v>
      </c>
      <c r="N62" s="17">
        <f t="shared" si="2"/>
        <v>13</v>
      </c>
      <c r="O62" s="8">
        <f>SUMIFS('NeT PR - table_export'!$H:$H,'NeT PR - table_export'!$A:$A,$B62, 'NeT PR - table_export'!$E:$E,"Yes")</f>
        <v>2</v>
      </c>
      <c r="P62" s="51">
        <f>SUMIFS('NeT PR - table_export'!$H:$H,'NeT PR - table_export'!$A:$A,$B62, 'NeT PR - table_export'!$E:$E,"No")</f>
        <v>11</v>
      </c>
      <c r="Q62" s="130">
        <f t="shared" si="3"/>
        <v>13</v>
      </c>
      <c r="R62" s="8">
        <f>SUMIFS('NeT PR - table_export'!$H:$H,'NeT PR - table_export'!$A:$A,$B62, 'NeT PR - table_export'!$E:$E,"Yes", 'NeT PR - table_export'!$F:$F,"Yes")</f>
        <v>2</v>
      </c>
      <c r="S62" s="8">
        <f>SUMIFS('NeT PR - table_export'!$H:$H,'NeT PR - table_export'!$A:$A,$B62, 'NeT PR - table_export'!$E:$E,"Yes", 'NeT PR - table_export'!$F:$F,"Yes",'NeT PR - table_export'!$J:$J,"Yes")</f>
        <v>2</v>
      </c>
      <c r="T62" s="8">
        <f>SUMIFS('NeT PR - table_export'!$H:$H,'NeT PR - table_export'!$A:$A,$B62, 'NeT PR - table_export'!$E:$E,"No", 'NeT PR - table_export'!$F:$F,"Yes")</f>
        <v>11</v>
      </c>
      <c r="U62" s="51">
        <f>SUMIFS('NeT PR - table_export'!$H:$H,'NeT PR - table_export'!$A:$A,$B62, 'NeT PR - table_export'!$E:$E,"No", 'NeT PR - table_export'!$F:$F,"Yes",'NeT PR - table_export'!$J:$J,"Yes")</f>
        <v>8</v>
      </c>
    </row>
    <row r="63" spans="2:21" x14ac:dyDescent="0.35">
      <c r="B63" s="101" t="s">
        <v>402</v>
      </c>
      <c r="C63" s="99" t="s">
        <v>609</v>
      </c>
      <c r="D63" s="114">
        <v>1</v>
      </c>
      <c r="E63" s="127">
        <f t="shared" si="0"/>
        <v>7</v>
      </c>
      <c r="F63" s="128">
        <f>COUNTIFS('NeT PR - table_export'!$A:$A,$B63, 'NeT PR - table_export'!$E:$E,"Yes")</f>
        <v>1</v>
      </c>
      <c r="G63" s="129">
        <f>COUNTIFS('NeT PR - table_export'!$A:$A,$B63, 'NeT PR - table_export'!$E:$E,"No")</f>
        <v>6</v>
      </c>
      <c r="H63" s="171" t="str">
        <f>IF(COUNTIFS('NeT PR - table_export'!$A:$A,$B63,'NeT PR - table_export'!$F:$F,"Yes",'NeT PR - table_export'!$G:$G,"Yes")&gt;0,"Yes","No")</f>
        <v>No</v>
      </c>
      <c r="I63" s="130">
        <f t="shared" si="1"/>
        <v>1</v>
      </c>
      <c r="J63" s="8">
        <f>COUNTIFS('NeT PR - table_export'!$A:$A,$B63, 'NeT PR - table_export'!$E:$E,"Yes", 'NeT PR - table_export'!$F:$F,"Yes")</f>
        <v>1</v>
      </c>
      <c r="K63" s="8">
        <f>COUNTIFS('NeT PR - table_export'!$A:$A,$B63, 'NeT PR - table_export'!$E:$E,"Yes", 'NeT PR - table_export'!$F:$F,"Yes",'NeT PR - table_export'!$J:$J,"Yes")</f>
        <v>1</v>
      </c>
      <c r="L63" s="8">
        <f>COUNTIFS('NeT PR - table_export'!$A:$A,$B63, 'NeT PR - table_export'!$E:$E,"No", 'NeT PR - table_export'!$F:$F,"Yes")</f>
        <v>0</v>
      </c>
      <c r="M63" s="131">
        <f>COUNTIFS('NeT PR - table_export'!$A:$A,$B63, 'NeT PR - table_export'!$E:$E,"No", 'NeT PR - table_export'!$F:$F,"Yes",'NeT PR - table_export'!$J:$J,"Yes")</f>
        <v>0</v>
      </c>
      <c r="N63" s="17">
        <f t="shared" si="2"/>
        <v>147</v>
      </c>
      <c r="O63" s="8">
        <f>SUMIFS('NeT PR - table_export'!$H:$H,'NeT PR - table_export'!$A:$A,$B63, 'NeT PR - table_export'!$E:$E,"Yes")</f>
        <v>6</v>
      </c>
      <c r="P63" s="51">
        <f>SUMIFS('NeT PR - table_export'!$H:$H,'NeT PR - table_export'!$A:$A,$B63, 'NeT PR - table_export'!$E:$E,"No")</f>
        <v>141</v>
      </c>
      <c r="Q63" s="130">
        <f t="shared" si="3"/>
        <v>6</v>
      </c>
      <c r="R63" s="8">
        <f>SUMIFS('NeT PR - table_export'!$H:$H,'NeT PR - table_export'!$A:$A,$B63, 'NeT PR - table_export'!$E:$E,"Yes", 'NeT PR - table_export'!$F:$F,"Yes")</f>
        <v>6</v>
      </c>
      <c r="S63" s="8">
        <f>SUMIFS('NeT PR - table_export'!$H:$H,'NeT PR - table_export'!$A:$A,$B63, 'NeT PR - table_export'!$E:$E,"Yes", 'NeT PR - table_export'!$F:$F,"Yes",'NeT PR - table_export'!$J:$J,"Yes")</f>
        <v>6</v>
      </c>
      <c r="T63" s="8">
        <f>SUMIFS('NeT PR - table_export'!$H:$H,'NeT PR - table_export'!$A:$A,$B63, 'NeT PR - table_export'!$E:$E,"No", 'NeT PR - table_export'!$F:$F,"Yes")</f>
        <v>0</v>
      </c>
      <c r="U63" s="51">
        <f>SUMIFS('NeT PR - table_export'!$H:$H,'NeT PR - table_export'!$A:$A,$B63, 'NeT PR - table_export'!$E:$E,"No", 'NeT PR - table_export'!$F:$F,"Yes",'NeT PR - table_export'!$J:$J,"Yes")</f>
        <v>0</v>
      </c>
    </row>
    <row r="64" spans="2:21" x14ac:dyDescent="0.35">
      <c r="B64" s="101" t="s">
        <v>406</v>
      </c>
      <c r="C64" s="99" t="s">
        <v>610</v>
      </c>
      <c r="D64" s="114">
        <v>10</v>
      </c>
      <c r="E64" s="127">
        <f t="shared" si="0"/>
        <v>7</v>
      </c>
      <c r="F64" s="128">
        <f>COUNTIFS('NeT PR - table_export'!$A:$A,$B64, 'NeT PR - table_export'!$E:$E,"Yes")</f>
        <v>1</v>
      </c>
      <c r="G64" s="129">
        <f>COUNTIFS('NeT PR - table_export'!$A:$A,$B64, 'NeT PR - table_export'!$E:$E,"No")</f>
        <v>6</v>
      </c>
      <c r="H64" s="171" t="str">
        <f>IF(COUNTIFS('NeT PR - table_export'!$A:$A,$B64,'NeT PR - table_export'!$F:$F,"Yes",'NeT PR - table_export'!$G:$G,"Yes")&gt;0,"Yes","No")</f>
        <v>No</v>
      </c>
      <c r="I64" s="130">
        <f t="shared" si="1"/>
        <v>1</v>
      </c>
      <c r="J64" s="8">
        <f>COUNTIFS('NeT PR - table_export'!$A:$A,$B64, 'NeT PR - table_export'!$E:$E,"Yes", 'NeT PR - table_export'!$F:$F,"Yes")</f>
        <v>1</v>
      </c>
      <c r="K64" s="8">
        <f>COUNTIFS('NeT PR - table_export'!$A:$A,$B64, 'NeT PR - table_export'!$E:$E,"Yes", 'NeT PR - table_export'!$F:$F,"Yes",'NeT PR - table_export'!$J:$J,"Yes")</f>
        <v>1</v>
      </c>
      <c r="L64" s="8">
        <f>COUNTIFS('NeT PR - table_export'!$A:$A,$B64, 'NeT PR - table_export'!$E:$E,"No", 'NeT PR - table_export'!$F:$F,"Yes")</f>
        <v>0</v>
      </c>
      <c r="M64" s="131">
        <f>COUNTIFS('NeT PR - table_export'!$A:$A,$B64, 'NeT PR - table_export'!$E:$E,"No", 'NeT PR - table_export'!$F:$F,"Yes",'NeT PR - table_export'!$J:$J,"Yes")</f>
        <v>0</v>
      </c>
      <c r="N64" s="17">
        <f t="shared" si="2"/>
        <v>792</v>
      </c>
      <c r="O64" s="8">
        <f>SUMIFS('NeT PR - table_export'!$H:$H,'NeT PR - table_export'!$A:$A,$B64, 'NeT PR - table_export'!$E:$E,"Yes")</f>
        <v>70</v>
      </c>
      <c r="P64" s="51">
        <f>SUMIFS('NeT PR - table_export'!$H:$H,'NeT PR - table_export'!$A:$A,$B64, 'NeT PR - table_export'!$E:$E,"No")</f>
        <v>722</v>
      </c>
      <c r="Q64" s="130">
        <f t="shared" si="3"/>
        <v>70</v>
      </c>
      <c r="R64" s="8">
        <f>SUMIFS('NeT PR - table_export'!$H:$H,'NeT PR - table_export'!$A:$A,$B64, 'NeT PR - table_export'!$E:$E,"Yes", 'NeT PR - table_export'!$F:$F,"Yes")</f>
        <v>70</v>
      </c>
      <c r="S64" s="8">
        <f>SUMIFS('NeT PR - table_export'!$H:$H,'NeT PR - table_export'!$A:$A,$B64, 'NeT PR - table_export'!$E:$E,"Yes", 'NeT PR - table_export'!$F:$F,"Yes",'NeT PR - table_export'!$J:$J,"Yes")</f>
        <v>70</v>
      </c>
      <c r="T64" s="8">
        <f>SUMIFS('NeT PR - table_export'!$H:$H,'NeT PR - table_export'!$A:$A,$B64, 'NeT PR - table_export'!$E:$E,"No", 'NeT PR - table_export'!$F:$F,"Yes")</f>
        <v>0</v>
      </c>
      <c r="U64" s="51">
        <f>SUMIFS('NeT PR - table_export'!$H:$H,'NeT PR - table_export'!$A:$A,$B64, 'NeT PR - table_export'!$E:$E,"No", 'NeT PR - table_export'!$F:$F,"Yes",'NeT PR - table_export'!$J:$J,"Yes")</f>
        <v>0</v>
      </c>
    </row>
    <row r="65" spans="2:21" x14ac:dyDescent="0.35">
      <c r="B65" s="101" t="s">
        <v>412</v>
      </c>
      <c r="C65" s="99" t="s">
        <v>1832</v>
      </c>
      <c r="D65" s="114">
        <v>5</v>
      </c>
      <c r="E65" s="127">
        <f t="shared" si="0"/>
        <v>7</v>
      </c>
      <c r="F65" s="128">
        <f>COUNTIFS('NeT PR - table_export'!$A:$A,$B65, 'NeT PR - table_export'!$E:$E,"Yes")</f>
        <v>0</v>
      </c>
      <c r="G65" s="129">
        <f>COUNTIFS('NeT PR - table_export'!$A:$A,$B65, 'NeT PR - table_export'!$E:$E,"No")</f>
        <v>7</v>
      </c>
      <c r="H65" s="171" t="str">
        <f>IF(COUNTIFS('NeT PR - table_export'!$A:$A,$B65,'NeT PR - table_export'!$F:$F,"Yes",'NeT PR - table_export'!$G:$G,"Yes")&gt;0,"Yes","No")</f>
        <v>No</v>
      </c>
      <c r="I65" s="130">
        <f t="shared" si="1"/>
        <v>0</v>
      </c>
      <c r="J65" s="8">
        <f>COUNTIFS('NeT PR - table_export'!$A:$A,$B65, 'NeT PR - table_export'!$E:$E,"Yes", 'NeT PR - table_export'!$F:$F,"Yes")</f>
        <v>0</v>
      </c>
      <c r="K65" s="8">
        <f>COUNTIFS('NeT PR - table_export'!$A:$A,$B65, 'NeT PR - table_export'!$E:$E,"Yes", 'NeT PR - table_export'!$F:$F,"Yes",'NeT PR - table_export'!$J:$J,"Yes")</f>
        <v>0</v>
      </c>
      <c r="L65" s="8">
        <f>COUNTIFS('NeT PR - table_export'!$A:$A,$B65, 'NeT PR - table_export'!$E:$E,"No", 'NeT PR - table_export'!$F:$F,"Yes")</f>
        <v>0</v>
      </c>
      <c r="M65" s="131">
        <f>COUNTIFS('NeT PR - table_export'!$A:$A,$B65, 'NeT PR - table_export'!$E:$E,"No", 'NeT PR - table_export'!$F:$F,"Yes",'NeT PR - table_export'!$J:$J,"Yes")</f>
        <v>0</v>
      </c>
      <c r="N65" s="17">
        <f t="shared" si="2"/>
        <v>1925</v>
      </c>
      <c r="O65" s="8">
        <f>SUMIFS('NeT PR - table_export'!$H:$H,'NeT PR - table_export'!$A:$A,$B65, 'NeT PR - table_export'!$E:$E,"Yes")</f>
        <v>0</v>
      </c>
      <c r="P65" s="51">
        <f>SUMIFS('NeT PR - table_export'!$H:$H,'NeT PR - table_export'!$A:$A,$B65, 'NeT PR - table_export'!$E:$E,"No")</f>
        <v>1925</v>
      </c>
      <c r="Q65" s="130">
        <f t="shared" si="3"/>
        <v>0</v>
      </c>
      <c r="R65" s="8">
        <f>SUMIFS('NeT PR - table_export'!$H:$H,'NeT PR - table_export'!$A:$A,$B65, 'NeT PR - table_export'!$E:$E,"Yes", 'NeT PR - table_export'!$F:$F,"Yes")</f>
        <v>0</v>
      </c>
      <c r="S65" s="8">
        <f>SUMIFS('NeT PR - table_export'!$H:$H,'NeT PR - table_export'!$A:$A,$B65, 'NeT PR - table_export'!$E:$E,"Yes", 'NeT PR - table_export'!$F:$F,"Yes",'NeT PR - table_export'!$J:$J,"Yes")</f>
        <v>0</v>
      </c>
      <c r="T65" s="8">
        <f>SUMIFS('NeT PR - table_export'!$H:$H,'NeT PR - table_export'!$A:$A,$B65, 'NeT PR - table_export'!$E:$E,"No", 'NeT PR - table_export'!$F:$F,"Yes")</f>
        <v>0</v>
      </c>
      <c r="U65" s="51">
        <f>SUMIFS('NeT PR - table_export'!$H:$H,'NeT PR - table_export'!$A:$A,$B65, 'NeT PR - table_export'!$E:$E,"No", 'NeT PR - table_export'!$F:$F,"Yes",'NeT PR - table_export'!$J:$J,"Yes")</f>
        <v>0</v>
      </c>
    </row>
    <row r="66" spans="2:21" x14ac:dyDescent="0.35">
      <c r="B66" s="101" t="s">
        <v>611</v>
      </c>
      <c r="C66" s="99" t="s">
        <v>612</v>
      </c>
      <c r="D66" s="114">
        <v>3</v>
      </c>
      <c r="E66" s="127">
        <f t="shared" si="0"/>
        <v>7</v>
      </c>
      <c r="F66" s="128">
        <f>COUNTIFS('NeT PR - table_export'!$A:$A,$B66, 'NeT PR - table_export'!$E:$E,"Yes")</f>
        <v>1</v>
      </c>
      <c r="G66" s="129">
        <f>COUNTIFS('NeT PR - table_export'!$A:$A,$B66, 'NeT PR - table_export'!$E:$E,"No")</f>
        <v>6</v>
      </c>
      <c r="H66" s="171" t="str">
        <f>IF(COUNTIFS('NeT PR - table_export'!$A:$A,$B66,'NeT PR - table_export'!$F:$F,"Yes",'NeT PR - table_export'!$G:$G,"Yes")&gt;0,"Yes","No")</f>
        <v>No</v>
      </c>
      <c r="I66" s="130">
        <f t="shared" si="1"/>
        <v>1</v>
      </c>
      <c r="J66" s="8">
        <f>COUNTIFS('NeT PR - table_export'!$A:$A,$B66, 'NeT PR - table_export'!$E:$E,"Yes", 'NeT PR - table_export'!$F:$F,"Yes")</f>
        <v>1</v>
      </c>
      <c r="K66" s="8">
        <f>COUNTIFS('NeT PR - table_export'!$A:$A,$B66, 'NeT PR - table_export'!$E:$E,"Yes", 'NeT PR - table_export'!$F:$F,"Yes",'NeT PR - table_export'!$J:$J,"Yes")</f>
        <v>1</v>
      </c>
      <c r="L66" s="8">
        <f>COUNTIFS('NeT PR - table_export'!$A:$A,$B66, 'NeT PR - table_export'!$E:$E,"No", 'NeT PR - table_export'!$F:$F,"Yes")</f>
        <v>0</v>
      </c>
      <c r="M66" s="131">
        <f>COUNTIFS('NeT PR - table_export'!$A:$A,$B66, 'NeT PR - table_export'!$E:$E,"No", 'NeT PR - table_export'!$F:$F,"Yes",'NeT PR - table_export'!$J:$J,"Yes")</f>
        <v>0</v>
      </c>
      <c r="N66" s="17">
        <f t="shared" si="2"/>
        <v>1212</v>
      </c>
      <c r="O66" s="8">
        <f>SUMIFS('NeT PR - table_export'!$H:$H,'NeT PR - table_export'!$A:$A,$B66, 'NeT PR - table_export'!$E:$E,"Yes")</f>
        <v>20</v>
      </c>
      <c r="P66" s="51">
        <f>SUMIFS('NeT PR - table_export'!$H:$H,'NeT PR - table_export'!$A:$A,$B66, 'NeT PR - table_export'!$E:$E,"No")</f>
        <v>1192</v>
      </c>
      <c r="Q66" s="130">
        <f t="shared" si="3"/>
        <v>20</v>
      </c>
      <c r="R66" s="8">
        <f>SUMIFS('NeT PR - table_export'!$H:$H,'NeT PR - table_export'!$A:$A,$B66, 'NeT PR - table_export'!$E:$E,"Yes", 'NeT PR - table_export'!$F:$F,"Yes")</f>
        <v>20</v>
      </c>
      <c r="S66" s="8">
        <f>SUMIFS('NeT PR - table_export'!$H:$H,'NeT PR - table_export'!$A:$A,$B66, 'NeT PR - table_export'!$E:$E,"Yes", 'NeT PR - table_export'!$F:$F,"Yes",'NeT PR - table_export'!$J:$J,"Yes")</f>
        <v>20</v>
      </c>
      <c r="T66" s="8">
        <f>SUMIFS('NeT PR - table_export'!$H:$H,'NeT PR - table_export'!$A:$A,$B66, 'NeT PR - table_export'!$E:$E,"No", 'NeT PR - table_export'!$F:$F,"Yes")</f>
        <v>0</v>
      </c>
      <c r="U66" s="51">
        <f>SUMIFS('NeT PR - table_export'!$H:$H,'NeT PR - table_export'!$A:$A,$B66, 'NeT PR - table_export'!$E:$E,"No", 'NeT PR - table_export'!$F:$F,"Yes",'NeT PR - table_export'!$J:$J,"Yes")</f>
        <v>0</v>
      </c>
    </row>
    <row r="67" spans="2:21" ht="15" thickBot="1" x14ac:dyDescent="0.4">
      <c r="B67" s="102" t="s">
        <v>415</v>
      </c>
      <c r="C67" s="103" t="s">
        <v>613</v>
      </c>
      <c r="D67" s="115">
        <v>8</v>
      </c>
      <c r="E67" s="132">
        <f t="shared" si="0"/>
        <v>7</v>
      </c>
      <c r="F67" s="133">
        <f>COUNTIFS('NeT PR - table_export'!$A:$A,$B67, 'NeT PR - table_export'!$E:$E,"Yes")</f>
        <v>3</v>
      </c>
      <c r="G67" s="134">
        <f>COUNTIFS('NeT PR - table_export'!$A:$A,$B67, 'NeT PR - table_export'!$E:$E,"No")</f>
        <v>4</v>
      </c>
      <c r="H67" s="172" t="str">
        <f>IF(COUNTIFS('NeT PR - table_export'!$A:$A,$B67,'NeT PR - table_export'!$F:$F,"Yes",'NeT PR - table_export'!$G:$G,"Yes")&gt;0,"Yes","No")</f>
        <v>No</v>
      </c>
      <c r="I67" s="135">
        <f t="shared" si="1"/>
        <v>3</v>
      </c>
      <c r="J67" s="36">
        <f>COUNTIFS('NeT PR - table_export'!$A:$A,$B67, 'NeT PR - table_export'!$E:$E,"Yes", 'NeT PR - table_export'!$F:$F,"Yes")</f>
        <v>3</v>
      </c>
      <c r="K67" s="36">
        <f>COUNTIFS('NeT PR - table_export'!$A:$A,$B67, 'NeT PR - table_export'!$E:$E,"Yes", 'NeT PR - table_export'!$F:$F,"Yes",'NeT PR - table_export'!$J:$J,"Yes")</f>
        <v>2</v>
      </c>
      <c r="L67" s="36">
        <f>COUNTIFS('NeT PR - table_export'!$A:$A,$B67, 'NeT PR - table_export'!$E:$E,"No", 'NeT PR - table_export'!$F:$F,"Yes")</f>
        <v>0</v>
      </c>
      <c r="M67" s="136">
        <f>COUNTIFS('NeT PR - table_export'!$A:$A,$B67, 'NeT PR - table_export'!$E:$E,"No", 'NeT PR - table_export'!$F:$F,"Yes",'NeT PR - table_export'!$J:$J,"Yes")</f>
        <v>0</v>
      </c>
      <c r="N67" s="22">
        <f t="shared" si="2"/>
        <v>142</v>
      </c>
      <c r="O67" s="36">
        <f>SUMIFS('NeT PR - table_export'!$H:$H,'NeT PR - table_export'!$A:$A,$B67, 'NeT PR - table_export'!$E:$E,"Yes")</f>
        <v>16</v>
      </c>
      <c r="P67" s="52">
        <f>SUMIFS('NeT PR - table_export'!$H:$H,'NeT PR - table_export'!$A:$A,$B67, 'NeT PR - table_export'!$E:$E,"No")</f>
        <v>126</v>
      </c>
      <c r="Q67" s="135">
        <f t="shared" si="3"/>
        <v>16</v>
      </c>
      <c r="R67" s="36">
        <f>SUMIFS('NeT PR - table_export'!$H:$H,'NeT PR - table_export'!$A:$A,$B67, 'NeT PR - table_export'!$E:$E,"Yes", 'NeT PR - table_export'!$F:$F,"Yes")</f>
        <v>16</v>
      </c>
      <c r="S67" s="36">
        <f>SUMIFS('NeT PR - table_export'!$H:$H,'NeT PR - table_export'!$A:$A,$B67, 'NeT PR - table_export'!$E:$E,"Yes", 'NeT PR - table_export'!$F:$F,"Yes",'NeT PR - table_export'!$J:$J,"Yes")</f>
        <v>15</v>
      </c>
      <c r="T67" s="36">
        <f>SUMIFS('NeT PR - table_export'!$H:$H,'NeT PR - table_export'!$A:$A,$B67, 'NeT PR - table_export'!$E:$E,"No", 'NeT PR - table_export'!$F:$F,"Yes")</f>
        <v>0</v>
      </c>
      <c r="U67" s="52">
        <f>SUMIFS('NeT PR - table_export'!$H:$H,'NeT PR - table_export'!$A:$A,$B67, 'NeT PR - table_export'!$E:$E,"No", 'NeT PR - table_export'!$F:$F,"Yes",'NeT PR - table_export'!$J:$J,"Yes")</f>
        <v>0</v>
      </c>
    </row>
    <row r="69" spans="2:21" x14ac:dyDescent="0.35">
      <c r="D69" s="23" t="s">
        <v>420</v>
      </c>
      <c r="E69" s="4">
        <f>SUM(E6:E67)</f>
        <v>413</v>
      </c>
      <c r="F69" s="4">
        <f>SUM(F6:F67)</f>
        <v>139</v>
      </c>
      <c r="G69" s="4">
        <f>SUM(G6:G67)</f>
        <v>274</v>
      </c>
      <c r="H69" s="164">
        <f>COUNTIF(H6:H67,"Yes")</f>
        <v>17</v>
      </c>
      <c r="I69" s="4">
        <f t="shared" ref="I69:U69" si="4">SUM(I6:I67)</f>
        <v>160</v>
      </c>
      <c r="J69" s="4">
        <f t="shared" si="4"/>
        <v>102</v>
      </c>
      <c r="K69" s="4">
        <f t="shared" si="4"/>
        <v>75</v>
      </c>
      <c r="L69" s="4">
        <f t="shared" si="4"/>
        <v>58</v>
      </c>
      <c r="M69" s="4">
        <f t="shared" si="4"/>
        <v>25</v>
      </c>
      <c r="N69" s="4">
        <f t="shared" si="4"/>
        <v>42470</v>
      </c>
      <c r="O69" s="4">
        <f t="shared" si="4"/>
        <v>4275</v>
      </c>
      <c r="P69" s="4">
        <f t="shared" si="4"/>
        <v>38195</v>
      </c>
      <c r="Q69" s="4">
        <f t="shared" si="4"/>
        <v>16661</v>
      </c>
      <c r="R69" s="4">
        <f t="shared" si="4"/>
        <v>4063</v>
      </c>
      <c r="S69" s="4">
        <f t="shared" si="4"/>
        <v>3054</v>
      </c>
      <c r="T69" s="4">
        <f t="shared" si="4"/>
        <v>12598</v>
      </c>
      <c r="U69" s="4">
        <f t="shared" si="4"/>
        <v>9445</v>
      </c>
    </row>
    <row r="70" spans="2:21" x14ac:dyDescent="0.35">
      <c r="N70" s="4"/>
    </row>
    <row r="72" spans="2:21" x14ac:dyDescent="0.35">
      <c r="I72" s="4"/>
    </row>
    <row r="73" spans="2:21" x14ac:dyDescent="0.35">
      <c r="B73" s="97" t="s">
        <v>2046</v>
      </c>
      <c r="D73" s="97"/>
    </row>
    <row r="74" spans="2:21" ht="43.5" x14ac:dyDescent="0.35">
      <c r="B74" s="138" t="s">
        <v>1852</v>
      </c>
      <c r="C74" s="138" t="s">
        <v>1853</v>
      </c>
      <c r="D74" s="138" t="s">
        <v>1872</v>
      </c>
      <c r="E74" s="138" t="s">
        <v>2079</v>
      </c>
      <c r="F74" s="138" t="s">
        <v>2078</v>
      </c>
    </row>
    <row r="75" spans="2:21" x14ac:dyDescent="0.35">
      <c r="B75" s="7" t="s">
        <v>38</v>
      </c>
      <c r="C75" s="99" t="s">
        <v>1827</v>
      </c>
      <c r="D75" s="8">
        <f>COUNTIFS('NeT PR - table_export'!$A:$A,$B75, 'NeT PR - table_export'!$E:$E,"No", 'NeT PR - table_export'!$F:$F,"Yes")</f>
        <v>1</v>
      </c>
      <c r="E75" s="8">
        <f>COUNTIFS('NeT PR - table_export'!$A:$A,$B75, 'NeT PR - table_export'!$E:$E,"No", 'NeT PR - table_export'!$F:$F,"Yes",'NeT PR - table_export'!$J:$J,"Yes")</f>
        <v>1</v>
      </c>
      <c r="F75" s="8">
        <f t="shared" ref="F75" si="5">D75-E75</f>
        <v>0</v>
      </c>
    </row>
    <row r="76" spans="2:21" x14ac:dyDescent="0.35">
      <c r="B76" s="7" t="s">
        <v>53</v>
      </c>
      <c r="C76" s="99" t="s">
        <v>532</v>
      </c>
      <c r="D76" s="8">
        <f>COUNTIFS('NeT PR - table_export'!$A:$A,$B76, 'NeT PR - table_export'!$E:$E,"No", 'NeT PR - table_export'!$F:$F,"Yes")</f>
        <v>3</v>
      </c>
      <c r="E76" s="8">
        <f>COUNTIFS('NeT PR - table_export'!$A:$A,$B76, 'NeT PR - table_export'!$E:$E,"No", 'NeT PR - table_export'!$F:$F,"Yes",'NeT PR - table_export'!$J:$J,"Yes")</f>
        <v>0</v>
      </c>
      <c r="F76" s="8">
        <f t="shared" ref="F76:F91" si="6">D76-E76</f>
        <v>3</v>
      </c>
    </row>
    <row r="77" spans="2:21" x14ac:dyDescent="0.35">
      <c r="B77" s="7" t="s">
        <v>78</v>
      </c>
      <c r="C77" s="99" t="s">
        <v>568</v>
      </c>
      <c r="D77" s="8">
        <f>COUNTIFS('NeT PR - table_export'!$A:$A,$B77, 'NeT PR - table_export'!$E:$E,"No", 'NeT PR - table_export'!$F:$F,"Yes")</f>
        <v>1</v>
      </c>
      <c r="E77" s="8">
        <f>COUNTIFS('NeT PR - table_export'!$A:$A,$B77, 'NeT PR - table_export'!$E:$E,"No", 'NeT PR - table_export'!$F:$F,"Yes",'NeT PR - table_export'!$J:$J,"Yes")</f>
        <v>1</v>
      </c>
      <c r="F77" s="8">
        <f t="shared" si="6"/>
        <v>0</v>
      </c>
    </row>
    <row r="78" spans="2:21" x14ac:dyDescent="0.35">
      <c r="B78" s="7" t="s">
        <v>119</v>
      </c>
      <c r="C78" s="99" t="s">
        <v>536</v>
      </c>
      <c r="D78" s="8">
        <f>COUNTIFS('NeT PR - table_export'!$A:$A,$B78, 'NeT PR - table_export'!$E:$E,"No", 'NeT PR - table_export'!$F:$F,"Yes")</f>
        <v>3</v>
      </c>
      <c r="E78" s="8">
        <f>COUNTIFS('NeT PR - table_export'!$A:$A,$B78, 'NeT PR - table_export'!$E:$E,"No", 'NeT PR - table_export'!$F:$F,"Yes",'NeT PR - table_export'!$J:$J,"Yes")</f>
        <v>1</v>
      </c>
      <c r="F78" s="8">
        <f t="shared" si="6"/>
        <v>2</v>
      </c>
    </row>
    <row r="79" spans="2:21" x14ac:dyDescent="0.35">
      <c r="B79" s="7" t="s">
        <v>577</v>
      </c>
      <c r="C79" s="99" t="s">
        <v>578</v>
      </c>
      <c r="D79" s="8">
        <f>COUNTIFS('NeT PR - table_export'!$A:$A,$B79, 'NeT PR - table_export'!$E:$E,"No", 'NeT PR - table_export'!$F:$F,"Yes")</f>
        <v>1</v>
      </c>
      <c r="E79" s="8">
        <f>COUNTIFS('NeT PR - table_export'!$A:$A,$B79, 'NeT PR - table_export'!$E:$E,"No", 'NeT PR - table_export'!$F:$F,"Yes",'NeT PR - table_export'!$J:$J,"Yes")</f>
        <v>1</v>
      </c>
      <c r="F79" s="8">
        <f t="shared" si="6"/>
        <v>0</v>
      </c>
    </row>
    <row r="80" spans="2:21" x14ac:dyDescent="0.35">
      <c r="B80" s="7" t="s">
        <v>538</v>
      </c>
      <c r="C80" s="99" t="s">
        <v>539</v>
      </c>
      <c r="D80" s="8">
        <f>COUNTIFS('NeT PR - table_export'!$A:$A,$B80, 'NeT PR - table_export'!$E:$E,"No", 'NeT PR - table_export'!$F:$F,"Yes")</f>
        <v>2</v>
      </c>
      <c r="E80" s="8">
        <f>COUNTIFS('NeT PR - table_export'!$A:$A,$B80, 'NeT PR - table_export'!$E:$E,"No", 'NeT PR - table_export'!$F:$F,"Yes",'NeT PR - table_export'!$J:$J,"Yes")</f>
        <v>0</v>
      </c>
      <c r="F80" s="8">
        <f t="shared" si="6"/>
        <v>2</v>
      </c>
    </row>
    <row r="81" spans="2:6" x14ac:dyDescent="0.35">
      <c r="B81" s="7" t="s">
        <v>165</v>
      </c>
      <c r="C81" s="99" t="s">
        <v>580</v>
      </c>
      <c r="D81" s="8">
        <f>COUNTIFS('NeT PR - table_export'!$A:$A,$B81, 'NeT PR - table_export'!$E:$E,"No", 'NeT PR - table_export'!$F:$F,"Yes")</f>
        <v>6</v>
      </c>
      <c r="E81" s="8">
        <f>COUNTIFS('NeT PR - table_export'!$A:$A,$B81, 'NeT PR - table_export'!$E:$E,"No", 'NeT PR - table_export'!$F:$F,"Yes",'NeT PR - table_export'!$J:$J,"Yes")</f>
        <v>2</v>
      </c>
      <c r="F81" s="8">
        <f t="shared" si="6"/>
        <v>4</v>
      </c>
    </row>
    <row r="82" spans="2:6" x14ac:dyDescent="0.35">
      <c r="B82" s="7" t="s">
        <v>79</v>
      </c>
      <c r="C82" s="99" t="s">
        <v>543</v>
      </c>
      <c r="D82" s="8">
        <f>COUNTIFS('NeT PR - table_export'!$A:$A,$B82, 'NeT PR - table_export'!$E:$E,"No", 'NeT PR - table_export'!$F:$F,"Yes")</f>
        <v>5</v>
      </c>
      <c r="E82" s="8">
        <f>COUNTIFS('NeT PR - table_export'!$A:$A,$B82, 'NeT PR - table_export'!$E:$E,"No", 'NeT PR - table_export'!$F:$F,"Yes",'NeT PR - table_export'!$J:$J,"Yes")</f>
        <v>2</v>
      </c>
      <c r="F82" s="8">
        <f t="shared" si="6"/>
        <v>3</v>
      </c>
    </row>
    <row r="83" spans="2:6" x14ac:dyDescent="0.35">
      <c r="B83" s="7" t="s">
        <v>186</v>
      </c>
      <c r="C83" s="99" t="s">
        <v>540</v>
      </c>
      <c r="D83" s="8">
        <f>COUNTIFS('NeT PR - table_export'!$A:$A,$B83, 'NeT PR - table_export'!$E:$E,"No", 'NeT PR - table_export'!$F:$F,"Yes")</f>
        <v>3</v>
      </c>
      <c r="E83" s="8">
        <f>COUNTIFS('NeT PR - table_export'!$A:$A,$B83, 'NeT PR - table_export'!$E:$E,"No", 'NeT PR - table_export'!$F:$F,"Yes",'NeT PR - table_export'!$J:$J,"Yes")</f>
        <v>1</v>
      </c>
      <c r="F83" s="8">
        <f t="shared" si="6"/>
        <v>2</v>
      </c>
    </row>
    <row r="84" spans="2:6" x14ac:dyDescent="0.35">
      <c r="B84" s="7" t="s">
        <v>226</v>
      </c>
      <c r="C84" s="99" t="s">
        <v>544</v>
      </c>
      <c r="D84" s="8">
        <f>COUNTIFS('NeT PR - table_export'!$A:$A,$B84, 'NeT PR - table_export'!$E:$E,"No", 'NeT PR - table_export'!$F:$F,"Yes")</f>
        <v>4</v>
      </c>
      <c r="E84" s="8">
        <f>COUNTIFS('NeT PR - table_export'!$A:$A,$B84, 'NeT PR - table_export'!$E:$E,"No", 'NeT PR - table_export'!$F:$F,"Yes",'NeT PR - table_export'!$J:$J,"Yes")</f>
        <v>1</v>
      </c>
      <c r="F84" s="8">
        <f t="shared" si="6"/>
        <v>3</v>
      </c>
    </row>
    <row r="85" spans="2:6" x14ac:dyDescent="0.35">
      <c r="B85" s="7" t="s">
        <v>275</v>
      </c>
      <c r="C85" s="99" t="s">
        <v>545</v>
      </c>
      <c r="D85" s="8">
        <f>COUNTIFS('NeT PR - table_export'!$A:$A,$B85, 'NeT PR - table_export'!$E:$E,"No", 'NeT PR - table_export'!$F:$F,"Yes")</f>
        <v>5</v>
      </c>
      <c r="E85" s="8">
        <f>COUNTIFS('NeT PR - table_export'!$A:$A,$B85, 'NeT PR - table_export'!$E:$E,"No", 'NeT PR - table_export'!$F:$F,"Yes",'NeT PR - table_export'!$J:$J,"Yes")</f>
        <v>1</v>
      </c>
      <c r="F85" s="8">
        <f t="shared" si="6"/>
        <v>4</v>
      </c>
    </row>
    <row r="86" spans="2:6" x14ac:dyDescent="0.35">
      <c r="B86" s="7" t="s">
        <v>591</v>
      </c>
      <c r="C86" s="99" t="s">
        <v>592</v>
      </c>
      <c r="D86" s="8">
        <f>COUNTIFS('NeT PR - table_export'!$A:$A,$B86, 'NeT PR - table_export'!$E:$E,"No", 'NeT PR - table_export'!$F:$F,"Yes")</f>
        <v>1</v>
      </c>
      <c r="E86" s="8">
        <f>COUNTIFS('NeT PR - table_export'!$A:$A,$B86, 'NeT PR - table_export'!$E:$E,"No", 'NeT PR - table_export'!$F:$F,"Yes",'NeT PR - table_export'!$J:$J,"Yes")</f>
        <v>0</v>
      </c>
      <c r="F86" s="8">
        <f t="shared" si="6"/>
        <v>1</v>
      </c>
    </row>
    <row r="87" spans="2:6" x14ac:dyDescent="0.35">
      <c r="B87" s="7" t="s">
        <v>336</v>
      </c>
      <c r="C87" s="99" t="s">
        <v>546</v>
      </c>
      <c r="D87" s="8">
        <f>COUNTIFS('NeT PR - table_export'!$A:$A,$B87, 'NeT PR - table_export'!$E:$E,"No", 'NeT PR - table_export'!$F:$F,"Yes")</f>
        <v>4</v>
      </c>
      <c r="E87" s="8">
        <f>COUNTIFS('NeT PR - table_export'!$A:$A,$B87, 'NeT PR - table_export'!$E:$E,"No", 'NeT PR - table_export'!$F:$F,"Yes",'NeT PR - table_export'!$J:$J,"Yes")</f>
        <v>2</v>
      </c>
      <c r="F87" s="8">
        <f t="shared" si="6"/>
        <v>2</v>
      </c>
    </row>
    <row r="88" spans="2:6" x14ac:dyDescent="0.35">
      <c r="B88" s="7" t="s">
        <v>348</v>
      </c>
      <c r="C88" s="99" t="s">
        <v>547</v>
      </c>
      <c r="D88" s="8">
        <f>COUNTIFS('NeT PR - table_export'!$A:$A,$B88, 'NeT PR - table_export'!$E:$E,"No", 'NeT PR - table_export'!$F:$F,"Yes")</f>
        <v>5</v>
      </c>
      <c r="E88" s="8">
        <f>COUNTIFS('NeT PR - table_export'!$A:$A,$B88, 'NeT PR - table_export'!$E:$E,"No", 'NeT PR - table_export'!$F:$F,"Yes",'NeT PR - table_export'!$J:$J,"Yes")</f>
        <v>3</v>
      </c>
      <c r="F88" s="8">
        <f t="shared" si="6"/>
        <v>2</v>
      </c>
    </row>
    <row r="89" spans="2:6" x14ac:dyDescent="0.35">
      <c r="B89" s="7" t="s">
        <v>368</v>
      </c>
      <c r="C89" s="99" t="s">
        <v>549</v>
      </c>
      <c r="D89" s="8">
        <f>COUNTIFS('NeT PR - table_export'!$A:$A,$B89, 'NeT PR - table_export'!$E:$E,"No", 'NeT PR - table_export'!$F:$F,"Yes")</f>
        <v>6</v>
      </c>
      <c r="E89" s="8">
        <f>COUNTIFS('NeT PR - table_export'!$A:$A,$B89, 'NeT PR - table_export'!$E:$E,"No", 'NeT PR - table_export'!$F:$F,"Yes",'NeT PR - table_export'!$J:$J,"Yes")</f>
        <v>4</v>
      </c>
      <c r="F89" s="8">
        <f t="shared" si="6"/>
        <v>2</v>
      </c>
    </row>
    <row r="90" spans="2:6" x14ac:dyDescent="0.35">
      <c r="B90" s="7" t="s">
        <v>370</v>
      </c>
      <c r="C90" s="99" t="s">
        <v>550</v>
      </c>
      <c r="D90" s="8">
        <f>COUNTIFS('NeT PR - table_export'!$A:$A,$B90, 'NeT PR - table_export'!$E:$E,"No", 'NeT PR - table_export'!$F:$F,"Yes")</f>
        <v>6</v>
      </c>
      <c r="E90" s="8">
        <f>COUNTIFS('NeT PR - table_export'!$A:$A,$B90, 'NeT PR - table_export'!$E:$E,"No", 'NeT PR - table_export'!$F:$F,"Yes",'NeT PR - table_export'!$J:$J,"Yes")</f>
        <v>4</v>
      </c>
      <c r="F90" s="8">
        <f t="shared" si="6"/>
        <v>2</v>
      </c>
    </row>
    <row r="91" spans="2:6" x14ac:dyDescent="0.35">
      <c r="B91" s="7" t="s">
        <v>395</v>
      </c>
      <c r="C91" s="99" t="s">
        <v>551</v>
      </c>
      <c r="D91" s="8">
        <f>COUNTIFS('NeT PR - table_export'!$A:$A,$B91, 'NeT PR - table_export'!$E:$E,"No", 'NeT PR - table_export'!$F:$F,"Yes")</f>
        <v>2</v>
      </c>
      <c r="E91" s="8">
        <f>COUNTIFS('NeT PR - table_export'!$A:$A,$B91, 'NeT PR - table_export'!$E:$E,"No", 'NeT PR - table_export'!$F:$F,"Yes",'NeT PR - table_export'!$J:$J,"Yes")</f>
        <v>1</v>
      </c>
      <c r="F91" s="8">
        <f t="shared" si="6"/>
        <v>1</v>
      </c>
    </row>
    <row r="92" spans="2:6" x14ac:dyDescent="0.35">
      <c r="C92" s="5" t="s">
        <v>420</v>
      </c>
      <c r="D92" s="4">
        <f>SUM(D75:D91)</f>
        <v>58</v>
      </c>
      <c r="E92" s="4">
        <f>SUM(E75:E91)</f>
        <v>25</v>
      </c>
      <c r="F92" s="4">
        <f>D92-E92</f>
        <v>33</v>
      </c>
    </row>
    <row r="94" spans="2:6" x14ac:dyDescent="0.35">
      <c r="B94" s="97" t="s">
        <v>2047</v>
      </c>
      <c r="D94" s="97"/>
    </row>
    <row r="95" spans="2:6" ht="58" x14ac:dyDescent="0.35">
      <c r="B95" s="138" t="s">
        <v>1852</v>
      </c>
      <c r="C95" s="138" t="s">
        <v>1853</v>
      </c>
      <c r="D95" s="138" t="s">
        <v>1879</v>
      </c>
      <c r="E95" s="138" t="s">
        <v>2080</v>
      </c>
      <c r="F95" s="138" t="s">
        <v>2081</v>
      </c>
    </row>
    <row r="96" spans="2:6" x14ac:dyDescent="0.35">
      <c r="B96" s="7" t="s">
        <v>38</v>
      </c>
      <c r="C96" s="99" t="s">
        <v>1827</v>
      </c>
      <c r="D96" s="8">
        <f>SUMIFS('NeT PR - table_export'!$H:$H,'NeT PR - table_export'!$A:$A,$B96, 'NeT PR - table_export'!$E:$E,"No", 'NeT PR - table_export'!$F:$F,"Yes")</f>
        <v>72</v>
      </c>
      <c r="E96" s="8">
        <f>SUMIFS('NeT PR - table_export'!$H:$H,'NeT PR - table_export'!$A:$A,$B96, 'NeT PR - table_export'!$E:$E,"No", 'NeT PR - table_export'!$F:$F,"Yes",'NeT PR - table_export'!$J:$J,"Yes")</f>
        <v>72</v>
      </c>
      <c r="F96" s="8">
        <f t="shared" ref="F96" si="7">D96-E96</f>
        <v>0</v>
      </c>
    </row>
    <row r="97" spans="2:6" x14ac:dyDescent="0.35">
      <c r="B97" s="7" t="s">
        <v>53</v>
      </c>
      <c r="C97" s="99" t="s">
        <v>532</v>
      </c>
      <c r="D97" s="8">
        <f>SUMIFS('NeT PR - table_export'!$H:$H,'NeT PR - table_export'!$A:$A,$B97, 'NeT PR - table_export'!$E:$E,"No", 'NeT PR - table_export'!$F:$F,"Yes")</f>
        <v>325</v>
      </c>
      <c r="E97" s="8">
        <f>SUMIFS('NeT PR - table_export'!$H:$H,'NeT PR - table_export'!$A:$A,$B97, 'NeT PR - table_export'!$E:$E,"No", 'NeT PR - table_export'!$F:$F,"Yes",'NeT PR - table_export'!$J:$J,"Yes")</f>
        <v>0</v>
      </c>
      <c r="F97" s="8">
        <f t="shared" ref="F97:F112" si="8">D97-E97</f>
        <v>325</v>
      </c>
    </row>
    <row r="98" spans="2:6" x14ac:dyDescent="0.35">
      <c r="B98" s="7" t="s">
        <v>78</v>
      </c>
      <c r="C98" s="99" t="s">
        <v>568</v>
      </c>
      <c r="D98" s="8">
        <f>SUMIFS('NeT PR - table_export'!$H:$H,'NeT PR - table_export'!$A:$A,$B98, 'NeT PR - table_export'!$E:$E,"No", 'NeT PR - table_export'!$F:$F,"Yes")</f>
        <v>3</v>
      </c>
      <c r="E98" s="8">
        <f>SUMIFS('NeT PR - table_export'!$H:$H,'NeT PR - table_export'!$A:$A,$B98, 'NeT PR - table_export'!$E:$E,"No", 'NeT PR - table_export'!$F:$F,"Yes",'NeT PR - table_export'!$J:$J,"Yes")</f>
        <v>3</v>
      </c>
      <c r="F98" s="8">
        <f t="shared" si="8"/>
        <v>0</v>
      </c>
    </row>
    <row r="99" spans="2:6" x14ac:dyDescent="0.35">
      <c r="B99" s="7" t="s">
        <v>119</v>
      </c>
      <c r="C99" s="99" t="s">
        <v>536</v>
      </c>
      <c r="D99" s="8">
        <f>SUMIFS('NeT PR - table_export'!$H:$H,'NeT PR - table_export'!$A:$A,$B99, 'NeT PR - table_export'!$E:$E,"No", 'NeT PR - table_export'!$F:$F,"Yes")</f>
        <v>1397</v>
      </c>
      <c r="E99" s="8">
        <f>SUMIFS('NeT PR - table_export'!$H:$H,'NeT PR - table_export'!$A:$A,$B99, 'NeT PR - table_export'!$E:$E,"No", 'NeT PR - table_export'!$F:$F,"Yes",'NeT PR - table_export'!$J:$J,"Yes")</f>
        <v>889</v>
      </c>
      <c r="F99" s="8">
        <f t="shared" si="8"/>
        <v>508</v>
      </c>
    </row>
    <row r="100" spans="2:6" x14ac:dyDescent="0.35">
      <c r="B100" s="7" t="s">
        <v>577</v>
      </c>
      <c r="C100" s="99" t="s">
        <v>578</v>
      </c>
      <c r="D100" s="8">
        <f>SUMIFS('NeT PR - table_export'!$H:$H,'NeT PR - table_export'!$A:$A,$B100, 'NeT PR - table_export'!$E:$E,"No", 'NeT PR - table_export'!$F:$F,"Yes")</f>
        <v>764</v>
      </c>
      <c r="E100" s="8">
        <f>SUMIFS('NeT PR - table_export'!$H:$H,'NeT PR - table_export'!$A:$A,$B100, 'NeT PR - table_export'!$E:$E,"No", 'NeT PR - table_export'!$F:$F,"Yes",'NeT PR - table_export'!$J:$J,"Yes")</f>
        <v>764</v>
      </c>
      <c r="F100" s="8">
        <f t="shared" si="8"/>
        <v>0</v>
      </c>
    </row>
    <row r="101" spans="2:6" x14ac:dyDescent="0.35">
      <c r="B101" s="7" t="s">
        <v>538</v>
      </c>
      <c r="C101" s="99" t="s">
        <v>539</v>
      </c>
      <c r="D101" s="8">
        <f>SUMIFS('NeT PR - table_export'!$H:$H,'NeT PR - table_export'!$A:$A,$B101, 'NeT PR - table_export'!$E:$E,"No", 'NeT PR - table_export'!$F:$F,"Yes")</f>
        <v>133</v>
      </c>
      <c r="E101" s="8">
        <f>SUMIFS('NeT PR - table_export'!$H:$H,'NeT PR - table_export'!$A:$A,$B101, 'NeT PR - table_export'!$E:$E,"No", 'NeT PR - table_export'!$F:$F,"Yes",'NeT PR - table_export'!$J:$J,"Yes")</f>
        <v>0</v>
      </c>
      <c r="F101" s="8">
        <f t="shared" si="8"/>
        <v>133</v>
      </c>
    </row>
    <row r="102" spans="2:6" x14ac:dyDescent="0.35">
      <c r="B102" s="7" t="s">
        <v>165</v>
      </c>
      <c r="C102" s="99" t="s">
        <v>580</v>
      </c>
      <c r="D102" s="8">
        <f>SUMIFS('NeT PR - table_export'!$H:$H,'NeT PR - table_export'!$A:$A,$B102, 'NeT PR - table_export'!$E:$E,"No", 'NeT PR - table_export'!$F:$F,"Yes")</f>
        <v>417</v>
      </c>
      <c r="E102" s="8">
        <f>SUMIFS('NeT PR - table_export'!$H:$H,'NeT PR - table_export'!$A:$A,$B102, 'NeT PR - table_export'!$E:$E,"No", 'NeT PR - table_export'!$F:$F,"Yes",'NeT PR - table_export'!$J:$J,"Yes")</f>
        <v>329</v>
      </c>
      <c r="F102" s="8">
        <f t="shared" si="8"/>
        <v>88</v>
      </c>
    </row>
    <row r="103" spans="2:6" x14ac:dyDescent="0.35">
      <c r="B103" s="7" t="s">
        <v>79</v>
      </c>
      <c r="C103" s="99" t="s">
        <v>543</v>
      </c>
      <c r="D103" s="8">
        <f>SUMIFS('NeT PR - table_export'!$H:$H,'NeT PR - table_export'!$A:$A,$B103, 'NeT PR - table_export'!$E:$E,"No", 'NeT PR - table_export'!$F:$F,"Yes")</f>
        <v>228</v>
      </c>
      <c r="E103" s="8">
        <f>SUMIFS('NeT PR - table_export'!$H:$H,'NeT PR - table_export'!$A:$A,$B103, 'NeT PR - table_export'!$E:$E,"No", 'NeT PR - table_export'!$F:$F,"Yes",'NeT PR - table_export'!$J:$J,"Yes")</f>
        <v>171</v>
      </c>
      <c r="F103" s="8">
        <f t="shared" si="8"/>
        <v>57</v>
      </c>
    </row>
    <row r="104" spans="2:6" x14ac:dyDescent="0.35">
      <c r="B104" s="7" t="s">
        <v>186</v>
      </c>
      <c r="C104" s="99" t="s">
        <v>540</v>
      </c>
      <c r="D104" s="8">
        <f>SUMIFS('NeT PR - table_export'!$H:$H,'NeT PR - table_export'!$A:$A,$B104, 'NeT PR - table_export'!$E:$E,"No", 'NeT PR - table_export'!$F:$F,"Yes")</f>
        <v>34</v>
      </c>
      <c r="E104" s="8">
        <f>SUMIFS('NeT PR - table_export'!$H:$H,'NeT PR - table_export'!$A:$A,$B104, 'NeT PR - table_export'!$E:$E,"No", 'NeT PR - table_export'!$F:$F,"Yes",'NeT PR - table_export'!$J:$J,"Yes")</f>
        <v>20</v>
      </c>
      <c r="F104" s="8">
        <f t="shared" si="8"/>
        <v>14</v>
      </c>
    </row>
    <row r="105" spans="2:6" x14ac:dyDescent="0.35">
      <c r="B105" s="7" t="s">
        <v>226</v>
      </c>
      <c r="C105" s="99" t="s">
        <v>544</v>
      </c>
      <c r="D105" s="8">
        <f>SUMIFS('NeT PR - table_export'!$H:$H,'NeT PR - table_export'!$A:$A,$B105, 'NeT PR - table_export'!$E:$E,"No", 'NeT PR - table_export'!$F:$F,"Yes")</f>
        <v>626</v>
      </c>
      <c r="E105" s="8">
        <f>SUMIFS('NeT PR - table_export'!$H:$H,'NeT PR - table_export'!$A:$A,$B105, 'NeT PR - table_export'!$E:$E,"No", 'NeT PR - table_export'!$F:$F,"Yes",'NeT PR - table_export'!$J:$J,"Yes")</f>
        <v>346</v>
      </c>
      <c r="F105" s="8">
        <f t="shared" si="8"/>
        <v>280</v>
      </c>
    </row>
    <row r="106" spans="2:6" x14ac:dyDescent="0.35">
      <c r="B106" s="7" t="s">
        <v>275</v>
      </c>
      <c r="C106" s="99" t="s">
        <v>545</v>
      </c>
      <c r="D106" s="8">
        <f>SUMIFS('NeT PR - table_export'!$H:$H,'NeT PR - table_export'!$A:$A,$B106, 'NeT PR - table_export'!$E:$E,"No", 'NeT PR - table_export'!$F:$F,"Yes")</f>
        <v>837</v>
      </c>
      <c r="E106" s="8">
        <f>SUMIFS('NeT PR - table_export'!$H:$H,'NeT PR - table_export'!$A:$A,$B106, 'NeT PR - table_export'!$E:$E,"No", 'NeT PR - table_export'!$F:$F,"Yes",'NeT PR - table_export'!$J:$J,"Yes")</f>
        <v>246</v>
      </c>
      <c r="F106" s="8">
        <f t="shared" si="8"/>
        <v>591</v>
      </c>
    </row>
    <row r="107" spans="2:6" x14ac:dyDescent="0.35">
      <c r="B107" s="7" t="s">
        <v>591</v>
      </c>
      <c r="C107" s="99" t="s">
        <v>592</v>
      </c>
      <c r="D107" s="8">
        <f>SUMIFS('NeT PR - table_export'!$H:$H,'NeT PR - table_export'!$A:$A,$B107, 'NeT PR - table_export'!$E:$E,"No", 'NeT PR - table_export'!$F:$F,"Yes")</f>
        <v>2</v>
      </c>
      <c r="E107" s="8">
        <f>SUMIFS('NeT PR - table_export'!$H:$H,'NeT PR - table_export'!$A:$A,$B107, 'NeT PR - table_export'!$E:$E,"No", 'NeT PR - table_export'!$F:$F,"Yes",'NeT PR - table_export'!$J:$J,"Yes")</f>
        <v>0</v>
      </c>
      <c r="F107" s="8">
        <f t="shared" si="8"/>
        <v>2</v>
      </c>
    </row>
    <row r="108" spans="2:6" x14ac:dyDescent="0.35">
      <c r="B108" s="7" t="s">
        <v>336</v>
      </c>
      <c r="C108" s="99" t="s">
        <v>546</v>
      </c>
      <c r="D108" s="8">
        <f>SUMIFS('NeT PR - table_export'!$H:$H,'NeT PR - table_export'!$A:$A,$B108, 'NeT PR - table_export'!$E:$E,"No", 'NeT PR - table_export'!$F:$F,"Yes")</f>
        <v>112</v>
      </c>
      <c r="E108" s="8">
        <f>SUMIFS('NeT PR - table_export'!$H:$H,'NeT PR - table_export'!$A:$A,$B108, 'NeT PR - table_export'!$E:$E,"No", 'NeT PR - table_export'!$F:$F,"Yes",'NeT PR - table_export'!$J:$J,"Yes")</f>
        <v>71</v>
      </c>
      <c r="F108" s="8">
        <f t="shared" si="8"/>
        <v>41</v>
      </c>
    </row>
    <row r="109" spans="2:6" x14ac:dyDescent="0.35">
      <c r="B109" s="7" t="s">
        <v>348</v>
      </c>
      <c r="C109" s="99" t="s">
        <v>547</v>
      </c>
      <c r="D109" s="8">
        <f>SUMIFS('NeT PR - table_export'!$H:$H,'NeT PR - table_export'!$A:$A,$B109, 'NeT PR - table_export'!$E:$E,"No", 'NeT PR - table_export'!$F:$F,"Yes")</f>
        <v>819</v>
      </c>
      <c r="E109" s="8">
        <f>SUMIFS('NeT PR - table_export'!$H:$H,'NeT PR - table_export'!$A:$A,$B109, 'NeT PR - table_export'!$E:$E,"No", 'NeT PR - table_export'!$F:$F,"Yes",'NeT PR - table_export'!$J:$J,"Yes")</f>
        <v>352</v>
      </c>
      <c r="F109" s="8">
        <f t="shared" si="8"/>
        <v>467</v>
      </c>
    </row>
    <row r="110" spans="2:6" x14ac:dyDescent="0.35">
      <c r="B110" s="7" t="s">
        <v>368</v>
      </c>
      <c r="C110" s="99" t="s">
        <v>549</v>
      </c>
      <c r="D110" s="8">
        <f>SUMIFS('NeT PR - table_export'!$H:$H,'NeT PR - table_export'!$A:$A,$B110, 'NeT PR - table_export'!$E:$E,"No", 'NeT PR - table_export'!$F:$F,"Yes")</f>
        <v>6584</v>
      </c>
      <c r="E110" s="8">
        <f>SUMIFS('NeT PR - table_export'!$H:$H,'NeT PR - table_export'!$A:$A,$B110, 'NeT PR - table_export'!$E:$E,"No", 'NeT PR - table_export'!$F:$F,"Yes",'NeT PR - table_export'!$J:$J,"Yes")</f>
        <v>5947</v>
      </c>
      <c r="F110" s="8">
        <f t="shared" si="8"/>
        <v>637</v>
      </c>
    </row>
    <row r="111" spans="2:6" x14ac:dyDescent="0.35">
      <c r="B111" s="7" t="s">
        <v>370</v>
      </c>
      <c r="C111" s="99" t="s">
        <v>550</v>
      </c>
      <c r="D111" s="8">
        <f>SUMIFS('NeT PR - table_export'!$H:$H,'NeT PR - table_export'!$A:$A,$B111, 'NeT PR - table_export'!$E:$E,"No", 'NeT PR - table_export'!$F:$F,"Yes")</f>
        <v>234</v>
      </c>
      <c r="E111" s="8">
        <f>SUMIFS('NeT PR - table_export'!$H:$H,'NeT PR - table_export'!$A:$A,$B111, 'NeT PR - table_export'!$E:$E,"No", 'NeT PR - table_export'!$F:$F,"Yes",'NeT PR - table_export'!$J:$J,"Yes")</f>
        <v>227</v>
      </c>
      <c r="F111" s="8">
        <f t="shared" si="8"/>
        <v>7</v>
      </c>
    </row>
    <row r="112" spans="2:6" x14ac:dyDescent="0.35">
      <c r="B112" s="7" t="s">
        <v>395</v>
      </c>
      <c r="C112" s="99" t="s">
        <v>551</v>
      </c>
      <c r="D112" s="8">
        <f>SUMIFS('NeT PR - table_export'!$H:$H,'NeT PR - table_export'!$A:$A,$B112, 'NeT PR - table_export'!$E:$E,"No", 'NeT PR - table_export'!$F:$F,"Yes")</f>
        <v>11</v>
      </c>
      <c r="E112" s="8">
        <f>SUMIFS('NeT PR - table_export'!$H:$H,'NeT PR - table_export'!$A:$A,$B112, 'NeT PR - table_export'!$E:$E,"No", 'NeT PR - table_export'!$F:$F,"Yes",'NeT PR - table_export'!$J:$J,"Yes")</f>
        <v>8</v>
      </c>
      <c r="F112" s="8">
        <f t="shared" si="8"/>
        <v>3</v>
      </c>
    </row>
    <row r="113" spans="2:6" x14ac:dyDescent="0.35">
      <c r="C113" s="5" t="s">
        <v>420</v>
      </c>
      <c r="D113" s="4">
        <f>SUM(D96:D112)</f>
        <v>12598</v>
      </c>
      <c r="E113" s="4">
        <f>SUM(E96:E112)</f>
        <v>9445</v>
      </c>
      <c r="F113" s="4">
        <f>SUM(F96:F112)</f>
        <v>3153</v>
      </c>
    </row>
    <row r="114" spans="2:6" x14ac:dyDescent="0.35">
      <c r="D114" s="4"/>
    </row>
    <row r="115" spans="2:6" x14ac:dyDescent="0.35">
      <c r="C115" s="23" t="s">
        <v>2065</v>
      </c>
      <c r="D115" s="3" t="str">
        <f>IF(COUNTA(C75:C91)=H69,"Yes","No")</f>
        <v>Yes</v>
      </c>
    </row>
    <row r="117" spans="2:6" x14ac:dyDescent="0.35">
      <c r="B117" s="97" t="s">
        <v>2718</v>
      </c>
    </row>
    <row r="118" spans="2:6" ht="43.5" x14ac:dyDescent="0.35">
      <c r="B118" s="138" t="s">
        <v>2160</v>
      </c>
      <c r="C118" s="138" t="s">
        <v>2069</v>
      </c>
      <c r="D118" s="138" t="s">
        <v>1871</v>
      </c>
      <c r="E118" s="138" t="s">
        <v>2082</v>
      </c>
      <c r="F118" s="138" t="s">
        <v>2083</v>
      </c>
    </row>
    <row r="119" spans="2:6" x14ac:dyDescent="0.35">
      <c r="B119" s="99">
        <v>1</v>
      </c>
      <c r="C119" s="99" t="s">
        <v>2150</v>
      </c>
      <c r="D119" s="8">
        <f>COUNTIFS('NeT PR - table_export'!$C:$C,$B119, 'NeT PR - table_export'!$E:$E,"Yes", 'NeT PR - table_export'!$F:$F,"Yes")</f>
        <v>17</v>
      </c>
      <c r="E119" s="8">
        <f>COUNTIFS('NeT PR - table_export'!$C:$C,$B119, 'NeT PR - table_export'!$E:$E,"Yes", 'NeT PR - table_export'!$F:$F,"Yes", 'NeT PR - table_export'!$J:$J,"Yes")</f>
        <v>10</v>
      </c>
      <c r="F119" s="8">
        <f>D119-E119</f>
        <v>7</v>
      </c>
    </row>
    <row r="120" spans="2:6" x14ac:dyDescent="0.35">
      <c r="B120" s="99">
        <f>B119+1</f>
        <v>2</v>
      </c>
      <c r="C120" s="99" t="s">
        <v>2151</v>
      </c>
      <c r="D120" s="8">
        <f>COUNTIFS('NeT PR - table_export'!$C:$C,$B120, 'NeT PR - table_export'!$E:$E,"Yes", 'NeT PR - table_export'!$F:$F,"Yes")</f>
        <v>11</v>
      </c>
      <c r="E120" s="8">
        <f>COUNTIFS('NeT PR - table_export'!$C:$C,$B120, 'NeT PR - table_export'!$E:$E,"Yes", 'NeT PR - table_export'!$F:$F,"Yes", 'NeT PR - table_export'!$J:$J,"Yes")</f>
        <v>9</v>
      </c>
      <c r="F120" s="8">
        <f t="shared" ref="F120:F128" si="9">D120-E120</f>
        <v>2</v>
      </c>
    </row>
    <row r="121" spans="2:6" x14ac:dyDescent="0.35">
      <c r="B121" s="99">
        <f t="shared" ref="B121:B128" si="10">B120+1</f>
        <v>3</v>
      </c>
      <c r="C121" s="99" t="s">
        <v>2152</v>
      </c>
      <c r="D121" s="8">
        <f>COUNTIFS('NeT PR - table_export'!$C:$C,$B121, 'NeT PR - table_export'!$E:$E,"Yes", 'NeT PR - table_export'!$F:$F,"Yes")</f>
        <v>14</v>
      </c>
      <c r="E121" s="8">
        <f>COUNTIFS('NeT PR - table_export'!$C:$C,$B121, 'NeT PR - table_export'!$E:$E,"Yes", 'NeT PR - table_export'!$F:$F,"Yes", 'NeT PR - table_export'!$J:$J,"Yes")</f>
        <v>10</v>
      </c>
      <c r="F121" s="8">
        <f t="shared" si="9"/>
        <v>4</v>
      </c>
    </row>
    <row r="122" spans="2:6" x14ac:dyDescent="0.35">
      <c r="B122" s="99">
        <f t="shared" si="10"/>
        <v>4</v>
      </c>
      <c r="C122" s="99" t="s">
        <v>2153</v>
      </c>
      <c r="D122" s="8">
        <f>COUNTIFS('NeT PR - table_export'!$C:$C,$B122, 'NeT PR - table_export'!$E:$E,"Yes", 'NeT PR - table_export'!$F:$F,"Yes")</f>
        <v>8</v>
      </c>
      <c r="E122" s="8">
        <f>COUNTIFS('NeT PR - table_export'!$C:$C,$B122, 'NeT PR - table_export'!$E:$E,"Yes", 'NeT PR - table_export'!$F:$F,"Yes", 'NeT PR - table_export'!$J:$J,"Yes")</f>
        <v>8</v>
      </c>
      <c r="F122" s="8">
        <f t="shared" si="9"/>
        <v>0</v>
      </c>
    </row>
    <row r="123" spans="2:6" x14ac:dyDescent="0.35">
      <c r="B123" s="99">
        <f t="shared" si="10"/>
        <v>5</v>
      </c>
      <c r="C123" s="99" t="s">
        <v>2154</v>
      </c>
      <c r="D123" s="8">
        <f>COUNTIFS('NeT PR - table_export'!$C:$C,$B123, 'NeT PR - table_export'!$E:$E,"Yes", 'NeT PR - table_export'!$F:$F,"Yes")</f>
        <v>7</v>
      </c>
      <c r="E123" s="8">
        <f>COUNTIFS('NeT PR - table_export'!$C:$C,$B123, 'NeT PR - table_export'!$E:$E,"Yes", 'NeT PR - table_export'!$F:$F,"Yes", 'NeT PR - table_export'!$J:$J,"Yes")</f>
        <v>5</v>
      </c>
      <c r="F123" s="8">
        <f t="shared" si="9"/>
        <v>2</v>
      </c>
    </row>
    <row r="124" spans="2:6" x14ac:dyDescent="0.35">
      <c r="B124" s="99">
        <f t="shared" si="10"/>
        <v>6</v>
      </c>
      <c r="C124" s="99" t="s">
        <v>2155</v>
      </c>
      <c r="D124" s="8">
        <f>COUNTIFS('NeT PR - table_export'!$C:$C,$B124, 'NeT PR - table_export'!$E:$E,"Yes", 'NeT PR - table_export'!$F:$F,"Yes")</f>
        <v>8</v>
      </c>
      <c r="E124" s="8">
        <f>COUNTIFS('NeT PR - table_export'!$C:$C,$B124, 'NeT PR - table_export'!$E:$E,"Yes", 'NeT PR - table_export'!$F:$F,"Yes", 'NeT PR - table_export'!$J:$J,"Yes")</f>
        <v>5</v>
      </c>
      <c r="F124" s="8">
        <f t="shared" si="9"/>
        <v>3</v>
      </c>
    </row>
    <row r="125" spans="2:6" x14ac:dyDescent="0.35">
      <c r="B125" s="99">
        <f t="shared" si="10"/>
        <v>7</v>
      </c>
      <c r="C125" s="99" t="s">
        <v>2156</v>
      </c>
      <c r="D125" s="8">
        <f>COUNTIFS('NeT PR - table_export'!$C:$C,$B125, 'NeT PR - table_export'!$E:$E,"Yes", 'NeT PR - table_export'!$F:$F,"Yes")</f>
        <v>6</v>
      </c>
      <c r="E125" s="8">
        <f>COUNTIFS('NeT PR - table_export'!$C:$C,$B125, 'NeT PR - table_export'!$E:$E,"Yes", 'NeT PR - table_export'!$F:$F,"Yes", 'NeT PR - table_export'!$J:$J,"Yes")</f>
        <v>5</v>
      </c>
      <c r="F125" s="8">
        <f t="shared" si="9"/>
        <v>1</v>
      </c>
    </row>
    <row r="126" spans="2:6" x14ac:dyDescent="0.35">
      <c r="B126" s="99">
        <f t="shared" si="10"/>
        <v>8</v>
      </c>
      <c r="C126" s="99" t="s">
        <v>2157</v>
      </c>
      <c r="D126" s="8">
        <f>COUNTIFS('NeT PR - table_export'!$C:$C,$B126, 'NeT PR - table_export'!$E:$E,"Yes", 'NeT PR - table_export'!$F:$F,"Yes")</f>
        <v>10</v>
      </c>
      <c r="E126" s="8">
        <f>COUNTIFS('NeT PR - table_export'!$C:$C,$B126, 'NeT PR - table_export'!$E:$E,"Yes", 'NeT PR - table_export'!$F:$F,"Yes", 'NeT PR - table_export'!$J:$J,"Yes")</f>
        <v>7</v>
      </c>
      <c r="F126" s="8">
        <f t="shared" si="9"/>
        <v>3</v>
      </c>
    </row>
    <row r="127" spans="2:6" x14ac:dyDescent="0.35">
      <c r="B127" s="99">
        <f t="shared" si="10"/>
        <v>9</v>
      </c>
      <c r="C127" s="99" t="s">
        <v>2158</v>
      </c>
      <c r="D127" s="8">
        <f>COUNTIFS('NeT PR - table_export'!$C:$C,$B127, 'NeT PR - table_export'!$E:$E,"Yes", 'NeT PR - table_export'!$F:$F,"Yes")</f>
        <v>18</v>
      </c>
      <c r="E127" s="8">
        <f>COUNTIFS('NeT PR - table_export'!$C:$C,$B127, 'NeT PR - table_export'!$E:$E,"Yes", 'NeT PR - table_export'!$F:$F,"Yes", 'NeT PR - table_export'!$J:$J,"Yes")</f>
        <v>13</v>
      </c>
      <c r="F127" s="8">
        <f t="shared" si="9"/>
        <v>5</v>
      </c>
    </row>
    <row r="128" spans="2:6" x14ac:dyDescent="0.35">
      <c r="B128" s="99">
        <f t="shared" si="10"/>
        <v>10</v>
      </c>
      <c r="C128" s="99" t="s">
        <v>2159</v>
      </c>
      <c r="D128" s="8">
        <f>COUNTIFS('NeT PR - table_export'!$C:$C,$B128, 'NeT PR - table_export'!$E:$E,"Yes", 'NeT PR - table_export'!$F:$F,"Yes")</f>
        <v>3</v>
      </c>
      <c r="E128" s="8">
        <f>COUNTIFS('NeT PR - table_export'!$C:$C,$B128, 'NeT PR - table_export'!$E:$E,"Yes", 'NeT PR - table_export'!$F:$F,"Yes", 'NeT PR - table_export'!$J:$J,"Yes")</f>
        <v>3</v>
      </c>
      <c r="F128" s="8">
        <f t="shared" si="9"/>
        <v>0</v>
      </c>
    </row>
    <row r="129" spans="2:6" x14ac:dyDescent="0.35">
      <c r="C129" s="5" t="s">
        <v>420</v>
      </c>
      <c r="D129" s="4">
        <f>SUM(D119:D128)</f>
        <v>102</v>
      </c>
      <c r="E129" s="4">
        <f>SUM(E119:E128)</f>
        <v>75</v>
      </c>
      <c r="F129" s="4">
        <f>D129-E129</f>
        <v>27</v>
      </c>
    </row>
    <row r="131" spans="2:6" x14ac:dyDescent="0.35">
      <c r="B131" s="97" t="s">
        <v>2084</v>
      </c>
    </row>
    <row r="132" spans="2:6" ht="58" x14ac:dyDescent="0.35">
      <c r="B132" s="138" t="s">
        <v>2160</v>
      </c>
      <c r="C132" s="138" t="s">
        <v>2069</v>
      </c>
      <c r="D132" s="138" t="s">
        <v>2085</v>
      </c>
      <c r="E132" s="138" t="s">
        <v>2086</v>
      </c>
      <c r="F132" s="138" t="s">
        <v>2087</v>
      </c>
    </row>
    <row r="133" spans="2:6" x14ac:dyDescent="0.35">
      <c r="B133" s="99">
        <v>1</v>
      </c>
      <c r="C133" s="99" t="s">
        <v>2150</v>
      </c>
      <c r="D133" s="8">
        <f>SUMIFS('NeT PR - table_export'!$H:$H,'NeT PR - table_export'!$C:$C,$B133, 'NeT PR - table_export'!$E:$E,"Yes", 'NeT PR - table_export'!$F:$F,"Yes")</f>
        <v>885</v>
      </c>
      <c r="E133" s="8">
        <f>SUMIFS('NeT PR - table_export'!$H:$H,'NeT PR - table_export'!$C:$C,$B133, 'NeT PR - table_export'!$E:$E,"Yes", 'NeT PR - table_export'!$F:$F,"Yes", 'NeT PR - table_export'!$J:$J,"Yes")</f>
        <v>511</v>
      </c>
      <c r="F133" s="8">
        <f>D133-E133</f>
        <v>374</v>
      </c>
    </row>
    <row r="134" spans="2:6" x14ac:dyDescent="0.35">
      <c r="B134" s="99">
        <f>B133+1</f>
        <v>2</v>
      </c>
      <c r="C134" s="99" t="s">
        <v>2151</v>
      </c>
      <c r="D134" s="8">
        <f>SUMIFS('NeT PR - table_export'!$H:$H,'NeT PR - table_export'!$C:$C,$B134, 'NeT PR - table_export'!$E:$E,"Yes", 'NeT PR - table_export'!$F:$F,"Yes")</f>
        <v>498</v>
      </c>
      <c r="E134" s="8">
        <f>SUMIFS('NeT PR - table_export'!$H:$H,'NeT PR - table_export'!$C:$C,$B134, 'NeT PR - table_export'!$E:$E,"Yes", 'NeT PR - table_export'!$F:$F,"Yes", 'NeT PR - table_export'!$J:$J,"Yes")</f>
        <v>363</v>
      </c>
      <c r="F134" s="8">
        <f t="shared" ref="F134:F142" si="11">D134-E134</f>
        <v>135</v>
      </c>
    </row>
    <row r="135" spans="2:6" x14ac:dyDescent="0.35">
      <c r="B135" s="99">
        <f t="shared" ref="B135:B142" si="12">B134+1</f>
        <v>3</v>
      </c>
      <c r="C135" s="99" t="s">
        <v>2152</v>
      </c>
      <c r="D135" s="8">
        <f>SUMIFS('NeT PR - table_export'!$H:$H,'NeT PR - table_export'!$C:$C,$B135, 'NeT PR - table_export'!$E:$E,"Yes", 'NeT PR - table_export'!$F:$F,"Yes")</f>
        <v>430</v>
      </c>
      <c r="E135" s="8">
        <f>SUMIFS('NeT PR - table_export'!$H:$H,'NeT PR - table_export'!$C:$C,$B135, 'NeT PR - table_export'!$E:$E,"Yes", 'NeT PR - table_export'!$F:$F,"Yes", 'NeT PR - table_export'!$J:$J,"Yes")</f>
        <v>377</v>
      </c>
      <c r="F135" s="8">
        <f t="shared" si="11"/>
        <v>53</v>
      </c>
    </row>
    <row r="136" spans="2:6" x14ac:dyDescent="0.35">
      <c r="B136" s="99">
        <f t="shared" si="12"/>
        <v>4</v>
      </c>
      <c r="C136" s="99" t="s">
        <v>2153</v>
      </c>
      <c r="D136" s="8">
        <f>SUMIFS('NeT PR - table_export'!$H:$H,'NeT PR - table_export'!$C:$C,$B136, 'NeT PR - table_export'!$E:$E,"Yes", 'NeT PR - table_export'!$F:$F,"Yes")</f>
        <v>479</v>
      </c>
      <c r="E136" s="8">
        <f>SUMIFS('NeT PR - table_export'!$H:$H,'NeT PR - table_export'!$C:$C,$B136, 'NeT PR - table_export'!$E:$E,"Yes", 'NeT PR - table_export'!$F:$F,"Yes", 'NeT PR - table_export'!$J:$J,"Yes")</f>
        <v>479</v>
      </c>
      <c r="F136" s="8">
        <f t="shared" si="11"/>
        <v>0</v>
      </c>
    </row>
    <row r="137" spans="2:6" x14ac:dyDescent="0.35">
      <c r="B137" s="99">
        <f t="shared" si="12"/>
        <v>5</v>
      </c>
      <c r="C137" s="99" t="s">
        <v>2154</v>
      </c>
      <c r="D137" s="8">
        <f>SUMIFS('NeT PR - table_export'!$H:$H,'NeT PR - table_export'!$C:$C,$B137, 'NeT PR - table_export'!$E:$E,"Yes", 'NeT PR - table_export'!$F:$F,"Yes")</f>
        <v>656</v>
      </c>
      <c r="E137" s="8">
        <f>SUMIFS('NeT PR - table_export'!$H:$H,'NeT PR - table_export'!$C:$C,$B137, 'NeT PR - table_export'!$E:$E,"Yes", 'NeT PR - table_export'!$F:$F,"Yes", 'NeT PR - table_export'!$J:$J,"Yes")</f>
        <v>391</v>
      </c>
      <c r="F137" s="8">
        <f t="shared" si="11"/>
        <v>265</v>
      </c>
    </row>
    <row r="138" spans="2:6" x14ac:dyDescent="0.35">
      <c r="B138" s="99">
        <f t="shared" si="12"/>
        <v>6</v>
      </c>
      <c r="C138" s="99" t="s">
        <v>2155</v>
      </c>
      <c r="D138" s="8">
        <f>SUMIFS('NeT PR - table_export'!$H:$H,'NeT PR - table_export'!$C:$C,$B138, 'NeT PR - table_export'!$E:$E,"Yes", 'NeT PR - table_export'!$F:$F,"Yes")</f>
        <v>249</v>
      </c>
      <c r="E138" s="8">
        <f>SUMIFS('NeT PR - table_export'!$H:$H,'NeT PR - table_export'!$C:$C,$B138, 'NeT PR - table_export'!$E:$E,"Yes", 'NeT PR - table_export'!$F:$F,"Yes", 'NeT PR - table_export'!$J:$J,"Yes")</f>
        <v>152</v>
      </c>
      <c r="F138" s="8">
        <f t="shared" si="11"/>
        <v>97</v>
      </c>
    </row>
    <row r="139" spans="2:6" x14ac:dyDescent="0.35">
      <c r="B139" s="99">
        <f t="shared" si="12"/>
        <v>7</v>
      </c>
      <c r="C139" s="99" t="s">
        <v>2156</v>
      </c>
      <c r="D139" s="8">
        <f>SUMIFS('NeT PR - table_export'!$H:$H,'NeT PR - table_export'!$C:$C,$B139, 'NeT PR - table_export'!$E:$E,"Yes", 'NeT PR - table_export'!$F:$F,"Yes")</f>
        <v>317</v>
      </c>
      <c r="E139" s="8">
        <f>SUMIFS('NeT PR - table_export'!$H:$H,'NeT PR - table_export'!$C:$C,$B139, 'NeT PR - table_export'!$E:$E,"Yes", 'NeT PR - table_export'!$F:$F,"Yes", 'NeT PR - table_export'!$J:$J,"Yes")</f>
        <v>257</v>
      </c>
      <c r="F139" s="8">
        <f t="shared" si="11"/>
        <v>60</v>
      </c>
    </row>
    <row r="140" spans="2:6" x14ac:dyDescent="0.35">
      <c r="B140" s="99">
        <f t="shared" si="12"/>
        <v>8</v>
      </c>
      <c r="C140" s="99" t="s">
        <v>2157</v>
      </c>
      <c r="D140" s="8">
        <f>SUMIFS('NeT PR - table_export'!$H:$H,'NeT PR - table_export'!$C:$C,$B140, 'NeT PR - table_export'!$E:$E,"Yes", 'NeT PR - table_export'!$F:$F,"Yes")</f>
        <v>153</v>
      </c>
      <c r="E140" s="8">
        <f>SUMIFS('NeT PR - table_export'!$H:$H,'NeT PR - table_export'!$C:$C,$B140, 'NeT PR - table_export'!$E:$E,"Yes", 'NeT PR - table_export'!$F:$F,"Yes", 'NeT PR - table_export'!$J:$J,"Yes")</f>
        <v>141</v>
      </c>
      <c r="F140" s="8">
        <f t="shared" si="11"/>
        <v>12</v>
      </c>
    </row>
    <row r="141" spans="2:6" x14ac:dyDescent="0.35">
      <c r="B141" s="99">
        <f t="shared" si="12"/>
        <v>9</v>
      </c>
      <c r="C141" s="99" t="s">
        <v>2158</v>
      </c>
      <c r="D141" s="8">
        <f>SUMIFS('NeT PR - table_export'!$H:$H,'NeT PR - table_export'!$C:$C,$B141, 'NeT PR - table_export'!$E:$E,"Yes", 'NeT PR - table_export'!$F:$F,"Yes")</f>
        <v>286</v>
      </c>
      <c r="E141" s="8">
        <f>SUMIFS('NeT PR - table_export'!$H:$H,'NeT PR - table_export'!$C:$C,$B141, 'NeT PR - table_export'!$E:$E,"Yes", 'NeT PR - table_export'!$F:$F,"Yes", 'NeT PR - table_export'!$J:$J,"Yes")</f>
        <v>273</v>
      </c>
      <c r="F141" s="8">
        <f t="shared" si="11"/>
        <v>13</v>
      </c>
    </row>
    <row r="142" spans="2:6" x14ac:dyDescent="0.35">
      <c r="B142" s="99">
        <f t="shared" si="12"/>
        <v>10</v>
      </c>
      <c r="C142" s="99" t="s">
        <v>2159</v>
      </c>
      <c r="D142" s="8">
        <f>SUMIFS('NeT PR - table_export'!$H:$H,'NeT PR - table_export'!$C:$C,$B142, 'NeT PR - table_export'!$E:$E,"Yes", 'NeT PR - table_export'!$F:$F,"Yes")</f>
        <v>110</v>
      </c>
      <c r="E142" s="8">
        <f>SUMIFS('NeT PR - table_export'!$H:$H,'NeT PR - table_export'!$C:$C,$B142, 'NeT PR - table_export'!$E:$E,"Yes", 'NeT PR - table_export'!$F:$F,"Yes", 'NeT PR - table_export'!$J:$J,"Yes")</f>
        <v>110</v>
      </c>
      <c r="F142" s="8">
        <f t="shared" si="11"/>
        <v>0</v>
      </c>
    </row>
    <row r="143" spans="2:6" x14ac:dyDescent="0.35">
      <c r="C143" s="5" t="s">
        <v>420</v>
      </c>
      <c r="D143" s="4">
        <f>SUM(D133:D142)</f>
        <v>4063</v>
      </c>
      <c r="E143" s="4">
        <f>SUM(E133:E142)</f>
        <v>3054</v>
      </c>
      <c r="F143" s="4">
        <f>D143-E143</f>
        <v>1009</v>
      </c>
    </row>
    <row r="145" spans="3:12" ht="15" thickBot="1" x14ac:dyDescent="0.4"/>
    <row r="146" spans="3:12" ht="58.5" thickBot="1" x14ac:dyDescent="0.4">
      <c r="C146" s="165" t="s">
        <v>2163</v>
      </c>
      <c r="D146" s="104" t="s">
        <v>2172</v>
      </c>
      <c r="E146" s="105" t="s">
        <v>2173</v>
      </c>
      <c r="F146" s="107" t="s">
        <v>2174</v>
      </c>
      <c r="G146" s="104" t="s">
        <v>2175</v>
      </c>
      <c r="H146" s="107" t="s">
        <v>2176</v>
      </c>
      <c r="I146" s="104" t="s">
        <v>2177</v>
      </c>
      <c r="J146" s="107" t="s">
        <v>2178</v>
      </c>
      <c r="K146" s="108" t="s">
        <v>2183</v>
      </c>
      <c r="L146" s="107" t="s">
        <v>2184</v>
      </c>
    </row>
    <row r="147" spans="3:12" x14ac:dyDescent="0.35">
      <c r="C147" s="195" t="s">
        <v>2164</v>
      </c>
      <c r="D147" s="180">
        <f>D129</f>
        <v>102</v>
      </c>
      <c r="E147" s="121">
        <f>D143</f>
        <v>4063</v>
      </c>
      <c r="F147" s="126">
        <f>'NeT Roadmap'!P30</f>
        <v>7</v>
      </c>
      <c r="G147" s="180">
        <f>E129</f>
        <v>75</v>
      </c>
      <c r="H147" s="126">
        <f>F129</f>
        <v>27</v>
      </c>
      <c r="I147" s="180">
        <f>E143</f>
        <v>3054</v>
      </c>
      <c r="J147" s="126">
        <f>F143</f>
        <v>1009</v>
      </c>
      <c r="K147" s="120">
        <f>'NeT Roadmap'!Q30</f>
        <v>3</v>
      </c>
      <c r="L147" s="126">
        <f>F147-K147</f>
        <v>4</v>
      </c>
    </row>
    <row r="148" spans="3:12" ht="15" thickBot="1" x14ac:dyDescent="0.4">
      <c r="C148" s="196" t="s">
        <v>529</v>
      </c>
      <c r="D148" s="22">
        <f>D92</f>
        <v>58</v>
      </c>
      <c r="E148" s="36">
        <f>D113</f>
        <v>12598</v>
      </c>
      <c r="F148" s="52">
        <f>'NeT Roadmap'!R30</f>
        <v>58</v>
      </c>
      <c r="G148" s="22">
        <f>E92</f>
        <v>25</v>
      </c>
      <c r="H148" s="52">
        <f>F92</f>
        <v>33</v>
      </c>
      <c r="I148" s="22">
        <f>E113</f>
        <v>9445</v>
      </c>
      <c r="J148" s="52">
        <f>F113</f>
        <v>3153</v>
      </c>
      <c r="K148" s="135">
        <f>'NeT Roadmap'!S30</f>
        <v>25</v>
      </c>
      <c r="L148" s="52">
        <f>F148-K148</f>
        <v>33</v>
      </c>
    </row>
    <row r="149" spans="3:12" x14ac:dyDescent="0.35">
      <c r="C149" s="197" t="s">
        <v>420</v>
      </c>
      <c r="D149" s="94">
        <f>SUM(D147:D148)</f>
        <v>160</v>
      </c>
      <c r="E149" s="94">
        <f t="shared" ref="E149:L149" si="13">SUM(E147:E148)</f>
        <v>16661</v>
      </c>
      <c r="F149" s="94">
        <f t="shared" si="13"/>
        <v>65</v>
      </c>
      <c r="G149" s="94">
        <f t="shared" si="13"/>
        <v>100</v>
      </c>
      <c r="H149" s="94">
        <f t="shared" si="13"/>
        <v>60</v>
      </c>
      <c r="I149" s="94">
        <f t="shared" si="13"/>
        <v>12499</v>
      </c>
      <c r="J149" s="94">
        <f t="shared" si="13"/>
        <v>4162</v>
      </c>
      <c r="K149" s="94">
        <f t="shared" si="13"/>
        <v>28</v>
      </c>
      <c r="L149" s="94">
        <f t="shared" si="13"/>
        <v>37</v>
      </c>
    </row>
    <row r="150" spans="3:12" ht="15" thickBot="1" x14ac:dyDescent="0.4"/>
    <row r="151" spans="3:12" ht="58.5" thickBot="1" x14ac:dyDescent="0.4">
      <c r="C151" s="165" t="s">
        <v>2163</v>
      </c>
      <c r="D151" s="104" t="s">
        <v>2175</v>
      </c>
      <c r="E151" s="107" t="s">
        <v>2176</v>
      </c>
    </row>
    <row r="152" spans="3:12" x14ac:dyDescent="0.35">
      <c r="C152" s="195" t="s">
        <v>2164</v>
      </c>
      <c r="D152" s="180">
        <f>G147</f>
        <v>75</v>
      </c>
      <c r="E152" s="126">
        <f t="shared" ref="E152:E153" si="14">H147</f>
        <v>27</v>
      </c>
    </row>
    <row r="153" spans="3:12" ht="15" thickBot="1" x14ac:dyDescent="0.4">
      <c r="C153" s="196" t="s">
        <v>529</v>
      </c>
      <c r="D153" s="22">
        <f t="shared" ref="D153" si="15">G148</f>
        <v>25</v>
      </c>
      <c r="E153" s="52">
        <f t="shared" si="14"/>
        <v>33</v>
      </c>
    </row>
    <row r="154" spans="3:12" x14ac:dyDescent="0.35">
      <c r="C154" s="197" t="s">
        <v>420</v>
      </c>
      <c r="D154" s="4">
        <f>SUM(D152:D153)</f>
        <v>100</v>
      </c>
      <c r="E154" s="4">
        <f>SUM(E152:E153)</f>
        <v>60</v>
      </c>
    </row>
    <row r="155" spans="3:12" ht="15" thickBot="1" x14ac:dyDescent="0.4"/>
    <row r="156" spans="3:12" ht="73" thickBot="1" x14ac:dyDescent="0.4">
      <c r="C156" s="165" t="s">
        <v>2163</v>
      </c>
      <c r="D156" s="104" t="s">
        <v>2177</v>
      </c>
      <c r="E156" s="107" t="s">
        <v>2178</v>
      </c>
    </row>
    <row r="157" spans="3:12" x14ac:dyDescent="0.35">
      <c r="C157" s="195" t="s">
        <v>2164</v>
      </c>
      <c r="D157" s="180">
        <f>I147</f>
        <v>3054</v>
      </c>
      <c r="E157" s="126">
        <f t="shared" ref="E157:E158" si="16">J147</f>
        <v>1009</v>
      </c>
    </row>
    <row r="158" spans="3:12" ht="15" thickBot="1" x14ac:dyDescent="0.4">
      <c r="C158" s="196" t="s">
        <v>529</v>
      </c>
      <c r="D158" s="22">
        <f t="shared" ref="D158" si="17">I148</f>
        <v>9445</v>
      </c>
      <c r="E158" s="52">
        <f t="shared" si="16"/>
        <v>3153</v>
      </c>
    </row>
    <row r="159" spans="3:12" x14ac:dyDescent="0.35">
      <c r="C159" s="197" t="s">
        <v>420</v>
      </c>
      <c r="D159" s="4">
        <f>SUM(D157:D158)</f>
        <v>12499</v>
      </c>
      <c r="E159" s="4">
        <f>SUM(E157:E158)</f>
        <v>4162</v>
      </c>
    </row>
    <row r="160" spans="3:12" ht="15" thickBot="1" x14ac:dyDescent="0.4"/>
    <row r="161" spans="3:5" ht="102" thickBot="1" x14ac:dyDescent="0.4">
      <c r="C161" s="160" t="s">
        <v>2163</v>
      </c>
      <c r="D161" s="108" t="s">
        <v>2179</v>
      </c>
      <c r="E161" s="107" t="s">
        <v>2180</v>
      </c>
    </row>
    <row r="162" spans="3:5" x14ac:dyDescent="0.35">
      <c r="C162" s="195" t="s">
        <v>2164</v>
      </c>
      <c r="D162" s="180">
        <f>K147</f>
        <v>3</v>
      </c>
      <c r="E162" s="126">
        <f t="shared" ref="E162:E163" si="18">L147</f>
        <v>4</v>
      </c>
    </row>
    <row r="163" spans="3:5" ht="15" thickBot="1" x14ac:dyDescent="0.4">
      <c r="C163" s="196" t="s">
        <v>529</v>
      </c>
      <c r="D163" s="22">
        <f t="shared" ref="D163" si="19">K148</f>
        <v>25</v>
      </c>
      <c r="E163" s="52">
        <f t="shared" si="18"/>
        <v>33</v>
      </c>
    </row>
    <row r="164" spans="3:5" x14ac:dyDescent="0.35">
      <c r="C164" s="197" t="s">
        <v>420</v>
      </c>
      <c r="D164" s="4">
        <f>SUM(D162:D163)</f>
        <v>28</v>
      </c>
      <c r="E164" s="4">
        <f>SUM(E162:E163)</f>
        <v>37</v>
      </c>
    </row>
  </sheetData>
  <conditionalFormatting sqref="D115">
    <cfRule type="containsText" dxfId="20" priority="1" operator="containsText" text="Yes">
      <formula>NOT(ISERROR(SEARCH("Yes",D115)))</formula>
    </cfRule>
    <cfRule type="containsText" dxfId="19" priority="2" operator="containsText" text="No">
      <formula>NOT(ISERROR(SEARCH("No",D115)))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43B0-E766-47E8-A443-BFA34003567D}">
  <dimension ref="B1:K149"/>
  <sheetViews>
    <sheetView zoomScale="85" zoomScaleNormal="85" workbookViewId="0"/>
  </sheetViews>
  <sheetFormatPr defaultRowHeight="14.5" x14ac:dyDescent="0.35"/>
  <cols>
    <col min="1" max="1" width="3.81640625" customWidth="1"/>
    <col min="2" max="2" width="18" style="3" bestFit="1" customWidth="1"/>
    <col min="3" max="3" width="18.1796875" style="3" customWidth="1"/>
    <col min="4" max="4" width="19.54296875" style="3" customWidth="1"/>
    <col min="5" max="5" width="24.81640625" style="3" customWidth="1"/>
    <col min="6" max="6" width="25.26953125" style="3" customWidth="1"/>
    <col min="7" max="7" width="23.54296875" style="3" customWidth="1"/>
    <col min="8" max="8" width="24.7265625" customWidth="1"/>
    <col min="9" max="9" width="29.7265625" customWidth="1"/>
    <col min="10" max="10" width="34.453125" customWidth="1"/>
    <col min="11" max="11" width="32.81640625" customWidth="1"/>
  </cols>
  <sheetData>
    <row r="1" spans="2:3" x14ac:dyDescent="0.35">
      <c r="B1" s="236" t="s">
        <v>1892</v>
      </c>
    </row>
    <row r="2" spans="2:3" x14ac:dyDescent="0.35">
      <c r="B2" s="6" t="s">
        <v>462</v>
      </c>
      <c r="C2" s="193">
        <f>'NeT Roadmap'!$C$3</f>
        <v>45688</v>
      </c>
    </row>
    <row r="89" spans="2:11" x14ac:dyDescent="0.35">
      <c r="B89" s="97" t="s">
        <v>2714</v>
      </c>
    </row>
    <row r="90" spans="2:11" ht="15" thickBot="1" x14ac:dyDescent="0.4"/>
    <row r="91" spans="2:11" ht="72.5" x14ac:dyDescent="0.35">
      <c r="B91" s="10" t="s">
        <v>447</v>
      </c>
      <c r="C91" s="37" t="s">
        <v>448</v>
      </c>
      <c r="D91" s="10" t="s">
        <v>1883</v>
      </c>
      <c r="E91" s="12" t="s">
        <v>1884</v>
      </c>
      <c r="F91" s="12" t="s">
        <v>1882</v>
      </c>
      <c r="G91" s="11" t="s">
        <v>1885</v>
      </c>
      <c r="H91" s="10" t="s">
        <v>1886</v>
      </c>
      <c r="I91" s="12" t="s">
        <v>1887</v>
      </c>
      <c r="J91" s="12" t="s">
        <v>1888</v>
      </c>
      <c r="K91" s="11" t="s">
        <v>1889</v>
      </c>
    </row>
    <row r="92" spans="2:11" x14ac:dyDescent="0.35">
      <c r="B92" s="13" t="s">
        <v>25</v>
      </c>
      <c r="C92" s="38">
        <f>COUNTIF('NeT GP Contacts'!$B$5:$B$26,$B92)</f>
        <v>3</v>
      </c>
      <c r="D92" s="13">
        <f>COUNTIFS('NeT GP - table_export'!$O:$O,$B92,'NeT GP - table_export'!$W:$W,"Yes")</f>
        <v>129</v>
      </c>
      <c r="E92" s="7">
        <f>COUNTIFS('NeT GP - table_export'!$O:$O,$B92,'NeT GP - table_export'!$W:$W,"No")</f>
        <v>0</v>
      </c>
      <c r="F92" s="15">
        <f>D92/SUM(D92,E92)</f>
        <v>1</v>
      </c>
      <c r="G92" s="16">
        <f>E92/SUM(D92,E92)</f>
        <v>0</v>
      </c>
      <c r="H92" s="17">
        <f>SUMIFS('NeT GP - table_export'!$J:$J,'NeT GP - table_export'!$O:$O,$B92,'NeT GP - table_export'!$W:$W,"Yes")</f>
        <v>31321</v>
      </c>
      <c r="I92" s="8">
        <f>SUMIFS('NeT GP - table_export'!$J:$J,'NeT GP - table_export'!$O:$O,$B92,'NeT GP - table_export'!$W:$W,"No")</f>
        <v>0</v>
      </c>
      <c r="J92" s="15">
        <f>H92/SUM(H92,I92)</f>
        <v>1</v>
      </c>
      <c r="K92" s="16">
        <f>I92/SUM(H92,I92)</f>
        <v>0</v>
      </c>
    </row>
    <row r="93" spans="2:11" x14ac:dyDescent="0.35">
      <c r="B93" s="13" t="s">
        <v>49</v>
      </c>
      <c r="C93" s="38">
        <f>COUNTIF('NeT GP Contacts'!$B$5:$B$26,$B93)</f>
        <v>4</v>
      </c>
      <c r="D93" s="13">
        <f>COUNTIFS('NeT GP - table_export'!$O:$O,$B93,'NeT GP - table_export'!$W:$W,"Yes")</f>
        <v>41</v>
      </c>
      <c r="E93" s="7">
        <f>COUNTIFS('NeT GP - table_export'!$O:$O,$B93,'NeT GP - table_export'!$W:$W,"No")</f>
        <v>0</v>
      </c>
      <c r="F93" s="15">
        <f t="shared" ref="F93:F98" si="0">D93/SUM(D93,E93)</f>
        <v>1</v>
      </c>
      <c r="G93" s="16">
        <f t="shared" ref="G93:G98" si="1">E93/SUM(D93,E93)</f>
        <v>0</v>
      </c>
      <c r="H93" s="17">
        <f>SUMIFS('NeT GP - table_export'!$J:$J,'NeT GP - table_export'!$O:$O,$B93,'NeT GP - table_export'!$W:$W,"Yes")</f>
        <v>2449</v>
      </c>
      <c r="I93" s="8">
        <f>SUMIFS('NeT GP - table_export'!$J:$J,'NeT GP - table_export'!$O:$O,$B93,'NeT GP - table_export'!$W:$W,"No")</f>
        <v>0</v>
      </c>
      <c r="J93" s="15">
        <f t="shared" ref="J93:J98" si="2">H93/SUM(H93,I93)</f>
        <v>1</v>
      </c>
      <c r="K93" s="16">
        <f t="shared" ref="K93:K98" si="3">I93/SUM(H93,I93)</f>
        <v>0</v>
      </c>
    </row>
    <row r="94" spans="2:11" x14ac:dyDescent="0.35">
      <c r="B94" s="13" t="s">
        <v>17</v>
      </c>
      <c r="C94" s="38">
        <f>COUNTIF('NeT GP Contacts'!$B$5:$B$26,$B94)</f>
        <v>4</v>
      </c>
      <c r="D94" s="13">
        <f>COUNTIFS('NeT GP - table_export'!$O:$O,$B94,'NeT GP - table_export'!$W:$W,"Yes")</f>
        <v>41</v>
      </c>
      <c r="E94" s="7">
        <f>COUNTIFS('NeT GP - table_export'!$O:$O,$B94,'NeT GP - table_export'!$W:$W,"No")</f>
        <v>0</v>
      </c>
      <c r="F94" s="15">
        <f t="shared" si="0"/>
        <v>1</v>
      </c>
      <c r="G94" s="16">
        <f t="shared" si="1"/>
        <v>0</v>
      </c>
      <c r="H94" s="17">
        <f>SUMIFS('NeT GP - table_export'!$J:$J,'NeT GP - table_export'!$O:$O,$B94,'NeT GP - table_export'!$W:$W,"Yes")</f>
        <v>2376</v>
      </c>
      <c r="I94" s="8">
        <f>SUMIFS('NeT GP - table_export'!$J:$J,'NeT GP - table_export'!$O:$O,$B94,'NeT GP - table_export'!$W:$W,"No")</f>
        <v>0</v>
      </c>
      <c r="J94" s="15">
        <f t="shared" si="2"/>
        <v>1</v>
      </c>
      <c r="K94" s="16">
        <f t="shared" si="3"/>
        <v>0</v>
      </c>
    </row>
    <row r="95" spans="2:11" x14ac:dyDescent="0.35">
      <c r="B95" s="13" t="s">
        <v>21</v>
      </c>
      <c r="C95" s="38">
        <f>COUNTIF('NeT GP Contacts'!$B$5:$B$26,$B95)</f>
        <v>3</v>
      </c>
      <c r="D95" s="13">
        <f>COUNTIFS('NeT GP - table_export'!$O:$O,$B95,'NeT GP - table_export'!$W:$W,"Yes")</f>
        <v>56</v>
      </c>
      <c r="E95" s="7">
        <f>COUNTIFS('NeT GP - table_export'!$O:$O,$B95,'NeT GP - table_export'!$W:$W,"No")</f>
        <v>0</v>
      </c>
      <c r="F95" s="15">
        <f t="shared" si="0"/>
        <v>1</v>
      </c>
      <c r="G95" s="16">
        <f t="shared" si="1"/>
        <v>0</v>
      </c>
      <c r="H95" s="17">
        <f>SUMIFS('NeT GP - table_export'!$J:$J,'NeT GP - table_export'!$O:$O,$B95,'NeT GP - table_export'!$W:$W,"Yes")</f>
        <v>3029</v>
      </c>
      <c r="I95" s="8">
        <f>SUMIFS('NeT GP - table_export'!$J:$J,'NeT GP - table_export'!$O:$O,$B95,'NeT GP - table_export'!$W:$W,"No")</f>
        <v>0</v>
      </c>
      <c r="J95" s="15">
        <f t="shared" si="2"/>
        <v>1</v>
      </c>
      <c r="K95" s="16">
        <f t="shared" si="3"/>
        <v>0</v>
      </c>
    </row>
    <row r="96" spans="2:11" x14ac:dyDescent="0.35">
      <c r="B96" s="13" t="s">
        <v>8</v>
      </c>
      <c r="C96" s="38">
        <f>COUNTIF('NeT GP Contacts'!$B$5:$B$26,$B96)</f>
        <v>3</v>
      </c>
      <c r="D96" s="13">
        <f>COUNTIFS('NeT GP - table_export'!$O:$O,$B96,'NeT GP - table_export'!$W:$W,"Yes")</f>
        <v>13</v>
      </c>
      <c r="E96" s="7">
        <f>COUNTIFS('NeT GP - table_export'!$O:$O,$B96,'NeT GP - table_export'!$W:$W,"No")</f>
        <v>0</v>
      </c>
      <c r="F96" s="15">
        <f t="shared" si="0"/>
        <v>1</v>
      </c>
      <c r="G96" s="16">
        <f t="shared" si="1"/>
        <v>0</v>
      </c>
      <c r="H96" s="17">
        <f>SUMIFS('NeT GP - table_export'!$J:$J,'NeT GP - table_export'!$O:$O,$B96,'NeT GP - table_export'!$W:$W,"Yes")</f>
        <v>10974</v>
      </c>
      <c r="I96" s="8">
        <f>SUMIFS('NeT GP - table_export'!$J:$J,'NeT GP - table_export'!$O:$O,$B96,'NeT GP - table_export'!$W:$W,"No")</f>
        <v>0</v>
      </c>
      <c r="J96" s="15">
        <f t="shared" si="2"/>
        <v>1</v>
      </c>
      <c r="K96" s="16">
        <f t="shared" si="3"/>
        <v>0</v>
      </c>
    </row>
    <row r="97" spans="2:11" x14ac:dyDescent="0.35">
      <c r="B97" s="13" t="s">
        <v>56</v>
      </c>
      <c r="C97" s="38">
        <f>COUNTIF('NeT GP Contacts'!$B$5:$B$26,$B97)</f>
        <v>2</v>
      </c>
      <c r="D97" s="13">
        <f>COUNTIFS('NeT GP - table_export'!$O:$O,$B97,'NeT GP - table_export'!$W:$W,"Yes")</f>
        <v>9</v>
      </c>
      <c r="E97" s="7">
        <f>COUNTIFS('NeT GP - table_export'!$O:$O,$B97,'NeT GP - table_export'!$W:$W,"No")</f>
        <v>0</v>
      </c>
      <c r="F97" s="15">
        <f t="shared" si="0"/>
        <v>1</v>
      </c>
      <c r="G97" s="16">
        <f t="shared" si="1"/>
        <v>0</v>
      </c>
      <c r="H97" s="17">
        <f>SUMIFS('NeT GP - table_export'!$J:$J,'NeT GP - table_export'!$O:$O,$B97,'NeT GP - table_export'!$W:$W,"Yes")</f>
        <v>4857</v>
      </c>
      <c r="I97" s="8">
        <f>SUMIFS('NeT GP - table_export'!$J:$J,'NeT GP - table_export'!$O:$O,$B97,'NeT GP - table_export'!$W:$W,"No")</f>
        <v>0</v>
      </c>
      <c r="J97" s="15">
        <f t="shared" si="2"/>
        <v>1</v>
      </c>
      <c r="K97" s="16">
        <f t="shared" si="3"/>
        <v>0</v>
      </c>
    </row>
    <row r="98" spans="2:11" ht="15" thickBot="1" x14ac:dyDescent="0.4">
      <c r="B98" s="18" t="s">
        <v>147</v>
      </c>
      <c r="C98" s="39">
        <f>COUNTIF('NeT GP Contacts'!$B$5:$B$26,$B98)</f>
        <v>3</v>
      </c>
      <c r="D98" s="18">
        <f>COUNTIFS('NeT GP - table_export'!$O:$O,$B98,'NeT GP - table_export'!$W:$W,"Yes")</f>
        <v>2</v>
      </c>
      <c r="E98" s="35">
        <f>COUNTIFS('NeT GP - table_export'!$O:$O,$B98,'NeT GP - table_export'!$W:$W,"No")</f>
        <v>0</v>
      </c>
      <c r="F98" s="20">
        <f t="shared" si="0"/>
        <v>1</v>
      </c>
      <c r="G98" s="21">
        <f t="shared" si="1"/>
        <v>0</v>
      </c>
      <c r="H98" s="22">
        <f>SUMIFS('NeT GP - table_export'!$J:$J,'NeT GP - table_export'!$O:$O,$B98,'NeT GP - table_export'!$W:$W,"Yes")</f>
        <v>39</v>
      </c>
      <c r="I98" s="36">
        <f>SUMIFS('NeT GP - table_export'!$J:$J,'NeT GP - table_export'!$O:$O,$B98,'NeT GP - table_export'!$W:$W,"No")</f>
        <v>0</v>
      </c>
      <c r="J98" s="20">
        <f t="shared" si="2"/>
        <v>1</v>
      </c>
      <c r="K98" s="21">
        <f t="shared" si="3"/>
        <v>0</v>
      </c>
    </row>
    <row r="99" spans="2:11" x14ac:dyDescent="0.35">
      <c r="H99" s="3"/>
      <c r="I99" s="3"/>
    </row>
    <row r="100" spans="2:11" x14ac:dyDescent="0.35">
      <c r="B100" s="23" t="s">
        <v>420</v>
      </c>
      <c r="C100" s="24">
        <f>SUM(C92:C98)</f>
        <v>22</v>
      </c>
      <c r="D100" s="24">
        <f>SUM(D92:D98)</f>
        <v>291</v>
      </c>
      <c r="E100" s="24">
        <f>SUM(E92:E98)</f>
        <v>0</v>
      </c>
      <c r="F100" s="24"/>
      <c r="G100" s="25"/>
      <c r="H100" s="27">
        <f>SUM(H92:H98)</f>
        <v>55045</v>
      </c>
      <c r="I100" s="27">
        <f>SUM(I92:I98)</f>
        <v>0</v>
      </c>
    </row>
    <row r="101" spans="2:11" x14ac:dyDescent="0.35">
      <c r="B101" s="23"/>
      <c r="C101" s="24"/>
      <c r="D101" s="24"/>
      <c r="E101" s="24"/>
      <c r="F101" s="24"/>
      <c r="G101" s="25"/>
      <c r="H101" s="27"/>
      <c r="I101" s="27"/>
    </row>
    <row r="102" spans="2:11" x14ac:dyDescent="0.35">
      <c r="B102" s="97" t="s">
        <v>2715</v>
      </c>
      <c r="C102" s="24"/>
      <c r="D102" s="24"/>
      <c r="E102" s="24"/>
      <c r="F102" s="24"/>
      <c r="G102" s="25"/>
      <c r="H102" s="27"/>
      <c r="I102" s="27"/>
    </row>
    <row r="103" spans="2:11" ht="15" thickBot="1" x14ac:dyDescent="0.4"/>
    <row r="104" spans="2:11" s="1" customFormat="1" ht="43.5" x14ac:dyDescent="0.35">
      <c r="B104" s="10" t="s">
        <v>447</v>
      </c>
      <c r="C104" s="11" t="s">
        <v>448</v>
      </c>
      <c r="D104" s="10" t="s">
        <v>449</v>
      </c>
      <c r="E104" s="12" t="s">
        <v>450</v>
      </c>
      <c r="F104" s="11" t="s">
        <v>451</v>
      </c>
      <c r="G104" s="10" t="s">
        <v>452</v>
      </c>
      <c r="H104" s="12" t="s">
        <v>453</v>
      </c>
      <c r="I104" s="11" t="s">
        <v>454</v>
      </c>
    </row>
    <row r="105" spans="2:11" x14ac:dyDescent="0.35">
      <c r="B105" s="13" t="s">
        <v>25</v>
      </c>
      <c r="C105" s="14">
        <f>COUNTIF('NeT GP Contacts'!$B$5:$B$26,$B105)</f>
        <v>3</v>
      </c>
      <c r="D105" s="13">
        <f>COUNTIF('NeT GP - table_export'!$O:$O,$B105)</f>
        <v>129</v>
      </c>
      <c r="E105" s="15">
        <f t="shared" ref="E105:E111" si="4">D105/$D$113</f>
        <v>0.44329896907216493</v>
      </c>
      <c r="F105" s="16">
        <f>E105</f>
        <v>0.44329896907216493</v>
      </c>
      <c r="G105" s="17">
        <f>SUMIF('NeT GP - table_export'!$O:$O,$B105,'NeT GP - table_export'!$J:$J)</f>
        <v>31321</v>
      </c>
      <c r="H105" s="15">
        <f t="shared" ref="H105:H111" si="5">G105/$G$113</f>
        <v>0.56900717594695249</v>
      </c>
      <c r="I105" s="16">
        <f>H105</f>
        <v>0.56900717594695249</v>
      </c>
    </row>
    <row r="106" spans="2:11" x14ac:dyDescent="0.35">
      <c r="B106" s="13" t="s">
        <v>49</v>
      </c>
      <c r="C106" s="14">
        <f>COUNTIF('NeT GP Contacts'!$B$5:$B$26,$B106)</f>
        <v>4</v>
      </c>
      <c r="D106" s="13">
        <f>COUNTIF('NeT GP - table_export'!$O:$O,$B106)</f>
        <v>41</v>
      </c>
      <c r="E106" s="15">
        <f t="shared" si="4"/>
        <v>0.14089347079037801</v>
      </c>
      <c r="F106" s="16">
        <f>SUM($E$105:E106)</f>
        <v>0.58419243986254288</v>
      </c>
      <c r="G106" s="17">
        <f>SUMIF('NeT GP - table_export'!$O:$O,$B106,'NeT GP - table_export'!$J:$J)</f>
        <v>2449</v>
      </c>
      <c r="H106" s="15">
        <f t="shared" si="5"/>
        <v>4.449087110545917E-2</v>
      </c>
      <c r="I106" s="16">
        <f>SUM($H$105:H106)</f>
        <v>0.61349804705241162</v>
      </c>
    </row>
    <row r="107" spans="2:11" x14ac:dyDescent="0.35">
      <c r="B107" s="13" t="s">
        <v>17</v>
      </c>
      <c r="C107" s="14">
        <f>COUNTIF('NeT GP Contacts'!$B$5:$B$26,$B107)</f>
        <v>4</v>
      </c>
      <c r="D107" s="13">
        <f>COUNTIF('NeT GP - table_export'!$O:$O,$B107)</f>
        <v>41</v>
      </c>
      <c r="E107" s="15">
        <f t="shared" si="4"/>
        <v>0.14089347079037801</v>
      </c>
      <c r="F107" s="16">
        <f>SUM($E$105:E107)</f>
        <v>0.72508591065292083</v>
      </c>
      <c r="G107" s="17">
        <f>SUMIF('NeT GP - table_export'!$O:$O,$B107,'NeT GP - table_export'!$J:$J)</f>
        <v>2376</v>
      </c>
      <c r="H107" s="15">
        <f t="shared" si="5"/>
        <v>4.3164683440821146E-2</v>
      </c>
      <c r="I107" s="16">
        <f>SUM($H$105:H107)</f>
        <v>0.65666273049323276</v>
      </c>
    </row>
    <row r="108" spans="2:11" x14ac:dyDescent="0.35">
      <c r="B108" s="13" t="s">
        <v>21</v>
      </c>
      <c r="C108" s="14">
        <f>COUNTIF('NeT GP Contacts'!$B$5:$B$26,$B108)</f>
        <v>3</v>
      </c>
      <c r="D108" s="13">
        <f>COUNTIF('NeT GP - table_export'!$O:$O,$B108)</f>
        <v>56</v>
      </c>
      <c r="E108" s="15">
        <f t="shared" si="4"/>
        <v>0.19243986254295534</v>
      </c>
      <c r="F108" s="16">
        <f>SUM($E$105:E108)</f>
        <v>0.91752577319587614</v>
      </c>
      <c r="G108" s="17">
        <f>SUMIF('NeT GP - table_export'!$O:$O,$B108,'NeT GP - table_export'!$J:$J)</f>
        <v>3029</v>
      </c>
      <c r="H108" s="15">
        <f t="shared" si="5"/>
        <v>5.502770460532292E-2</v>
      </c>
      <c r="I108" s="16">
        <f>SUM($H$105:H108)</f>
        <v>0.71169043509855567</v>
      </c>
    </row>
    <row r="109" spans="2:11" x14ac:dyDescent="0.35">
      <c r="B109" s="13" t="s">
        <v>8</v>
      </c>
      <c r="C109" s="14">
        <f>COUNTIF('NeT GP Contacts'!$B$5:$B$26,$B109)</f>
        <v>3</v>
      </c>
      <c r="D109" s="13">
        <f>COUNTIF('NeT GP - table_export'!$O:$O,$B109)</f>
        <v>13</v>
      </c>
      <c r="E109" s="15">
        <f t="shared" si="4"/>
        <v>4.4673539518900345E-2</v>
      </c>
      <c r="F109" s="16">
        <f>SUM($E$105:E109)</f>
        <v>0.96219931271477643</v>
      </c>
      <c r="G109" s="17">
        <f>SUMIF('NeT GP - table_export'!$O:$O,$B109,'NeT GP - table_export'!$J:$J)</f>
        <v>10974</v>
      </c>
      <c r="H109" s="15">
        <f t="shared" si="5"/>
        <v>0.19936415659914616</v>
      </c>
      <c r="I109" s="16">
        <f>SUM($H$105:H109)</f>
        <v>0.91105459169770187</v>
      </c>
    </row>
    <row r="110" spans="2:11" x14ac:dyDescent="0.35">
      <c r="B110" s="13" t="s">
        <v>56</v>
      </c>
      <c r="C110" s="14">
        <f>COUNTIF('NeT GP Contacts'!$B$5:$B$26,$B110)</f>
        <v>2</v>
      </c>
      <c r="D110" s="13">
        <f>COUNTIF('NeT GP - table_export'!$O:$O,$B110)</f>
        <v>9</v>
      </c>
      <c r="E110" s="15">
        <f t="shared" si="4"/>
        <v>3.0927835051546393E-2</v>
      </c>
      <c r="F110" s="16">
        <f>SUM($E$105:E110)</f>
        <v>0.99312714776632283</v>
      </c>
      <c r="G110" s="17">
        <f>SUMIF('NeT GP - table_export'!$O:$O,$B110,'NeT GP - table_export'!$J:$J)</f>
        <v>4857</v>
      </c>
      <c r="H110" s="15">
        <f t="shared" si="5"/>
        <v>8.8236897084203833E-2</v>
      </c>
      <c r="I110" s="16">
        <f>SUM($H$105:H110)</f>
        <v>0.99929148878190566</v>
      </c>
    </row>
    <row r="111" spans="2:11" ht="15" thickBot="1" x14ac:dyDescent="0.4">
      <c r="B111" s="18" t="s">
        <v>147</v>
      </c>
      <c r="C111" s="19">
        <f>COUNTIF('NeT GP Contacts'!$B$5:$B$26,$B111)</f>
        <v>3</v>
      </c>
      <c r="D111" s="18">
        <f>COUNTIF('NeT GP - table_export'!$O:$O,$B111)</f>
        <v>2</v>
      </c>
      <c r="E111" s="20">
        <f t="shared" si="4"/>
        <v>6.8728522336769758E-3</v>
      </c>
      <c r="F111" s="21">
        <f>SUM($E$105:E111)</f>
        <v>0.99999999999999978</v>
      </c>
      <c r="G111" s="22">
        <f>SUMIF('NeT GP - table_export'!$O:$O,$B111,'NeT GP - table_export'!$J:$J)</f>
        <v>39</v>
      </c>
      <c r="H111" s="20">
        <f t="shared" si="5"/>
        <v>7.0851121809428644E-4</v>
      </c>
      <c r="I111" s="21">
        <f>SUM($H$105:H111)</f>
        <v>0.99999999999999989</v>
      </c>
    </row>
    <row r="112" spans="2:11" x14ac:dyDescent="0.35">
      <c r="H112" s="3"/>
      <c r="I112" s="3"/>
    </row>
    <row r="113" spans="2:11" x14ac:dyDescent="0.35">
      <c r="B113" s="23" t="s">
        <v>420</v>
      </c>
      <c r="C113" s="24">
        <f>SUM(C105:C111)</f>
        <v>22</v>
      </c>
      <c r="D113" s="24">
        <f>SUM(D105:D111)</f>
        <v>291</v>
      </c>
      <c r="E113" s="24"/>
      <c r="F113" s="24"/>
      <c r="G113" s="25">
        <f>SUM(G105:G111)</f>
        <v>55045</v>
      </c>
      <c r="H113" s="24"/>
      <c r="I113" s="24"/>
    </row>
    <row r="115" spans="2:11" x14ac:dyDescent="0.35">
      <c r="B115" s="226" t="s">
        <v>2716</v>
      </c>
    </row>
    <row r="116" spans="2:11" ht="15" thickBot="1" x14ac:dyDescent="0.4"/>
    <row r="117" spans="2:11" ht="43.5" x14ac:dyDescent="0.35">
      <c r="B117" s="10" t="s">
        <v>447</v>
      </c>
      <c r="C117" s="37" t="s">
        <v>448</v>
      </c>
      <c r="D117" s="10" t="s">
        <v>455</v>
      </c>
      <c r="E117" s="12" t="s">
        <v>456</v>
      </c>
      <c r="F117" s="12" t="s">
        <v>459</v>
      </c>
      <c r="G117" s="11" t="s">
        <v>460</v>
      </c>
      <c r="H117" s="10" t="s">
        <v>457</v>
      </c>
      <c r="I117" s="12" t="s">
        <v>458</v>
      </c>
      <c r="J117" s="12" t="s">
        <v>461</v>
      </c>
      <c r="K117" s="11" t="s">
        <v>461</v>
      </c>
    </row>
    <row r="118" spans="2:11" x14ac:dyDescent="0.35">
      <c r="B118" s="13" t="s">
        <v>25</v>
      </c>
      <c r="C118" s="38">
        <f>COUNTIF('NeT GP Contacts'!$B$5:$B$26,$B118)</f>
        <v>3</v>
      </c>
      <c r="D118" s="13">
        <f>COUNTIFS('NeT GP - table_export'!$O:$O,$B118,'NeT GP - table_export'!$AA:$AA,"Yes")</f>
        <v>114</v>
      </c>
      <c r="E118" s="7">
        <f>COUNTIFS('NeT GP - table_export'!$O:$O,$B118,'NeT GP - table_export'!$AA:$AA,"No")+COUNTIFS('NeT GP - table_export'!$O:$O,$B118,'NeT GP - table_export'!$AA:$AA,"Pending")+COUNTIFS('NeT GP - table_export'!$O:$O,$B118,'NeT GP - table_export'!$AA:$AA,"Hold")</f>
        <v>15</v>
      </c>
      <c r="F118" s="15">
        <f>D118/$D$113</f>
        <v>0.39175257731958762</v>
      </c>
      <c r="G118" s="16">
        <f>E118/$D$113</f>
        <v>5.1546391752577317E-2</v>
      </c>
      <c r="H118" s="17">
        <f>SUMIFS('NeT GP - table_export'!$J:$J,'NeT GP - table_export'!$O:$O,$B118,'NeT GP - table_export'!$AA:$AA,"Yes")</f>
        <v>21255</v>
      </c>
      <c r="I118" s="8">
        <f>SUMIFS('NeT GP - table_export'!$J:$J,'NeT GP - table_export'!$O:$O,$B118,'NeT GP - table_export'!$AA:$AA,"No")+SUMIFS('NeT GP - table_export'!$J:$J,'NeT GP - table_export'!$O:$O,$B118,'NeT GP - table_export'!$AA:$AA,"Pending")+SUMIFS('NeT GP - table_export'!$J:$J,'NeT GP - table_export'!$O:$O,$B118,'NeT GP - table_export'!$AA:$AA,"Hold")</f>
        <v>10066</v>
      </c>
      <c r="J118" s="15">
        <f>H118/$G$113</f>
        <v>0.38613861386138615</v>
      </c>
      <c r="K118" s="16">
        <f>I118/$G$113</f>
        <v>0.18286856208556634</v>
      </c>
    </row>
    <row r="119" spans="2:11" x14ac:dyDescent="0.35">
      <c r="B119" s="13" t="s">
        <v>49</v>
      </c>
      <c r="C119" s="38">
        <f>COUNTIF('NeT GP Contacts'!$B$5:$B$26,$B119)</f>
        <v>4</v>
      </c>
      <c r="D119" s="13">
        <f>COUNTIFS('NeT GP - table_export'!$O:$O,$B119,'NeT GP - table_export'!$AA:$AA,"Yes")</f>
        <v>5</v>
      </c>
      <c r="E119" s="7">
        <f>COUNTIFS('NeT GP - table_export'!$O:$O,$B119,'NeT GP - table_export'!$AA:$AA,"No")+COUNTIFS('NeT GP - table_export'!$O:$O,$B119,'NeT GP - table_export'!$AA:$AA,"Pending")+COUNTIFS('NeT GP - table_export'!$O:$O,$B119,'NeT GP - table_export'!$AA:$AA,"Hold")</f>
        <v>36</v>
      </c>
      <c r="F119" s="15">
        <f t="shared" ref="F119:F124" si="6">D119/$D$113</f>
        <v>1.7182130584192441E-2</v>
      </c>
      <c r="G119" s="16">
        <f t="shared" ref="G119:G124" si="7">E119/$D$113</f>
        <v>0.12371134020618557</v>
      </c>
      <c r="H119" s="17">
        <f>SUMIFS('NeT GP - table_export'!$J:$J,'NeT GP - table_export'!$O:$O,$B119,'NeT GP - table_export'!$AA:$AA,"Yes")</f>
        <v>152</v>
      </c>
      <c r="I119" s="8">
        <f>SUMIFS('NeT GP - table_export'!$J:$J,'NeT GP - table_export'!$O:$O,$B119,'NeT GP - table_export'!$AA:$AA,"No")+SUMIFS('NeT GP - table_export'!$J:$J,'NeT GP - table_export'!$O:$O,$B119,'NeT GP - table_export'!$AA:$AA,"Pending")+SUMIFS('NeT GP - table_export'!$J:$J,'NeT GP - table_export'!$O:$O,$B119,'NeT GP - table_export'!$AA:$AA,"Hold")</f>
        <v>2297</v>
      </c>
      <c r="J119" s="15">
        <f t="shared" ref="J119:J124" si="8">H119/$G$113</f>
        <v>2.7613770551367062E-3</v>
      </c>
      <c r="K119" s="16">
        <f t="shared" ref="K119:K124" si="9">I119/$G$113</f>
        <v>4.172949405032246E-2</v>
      </c>
    </row>
    <row r="120" spans="2:11" x14ac:dyDescent="0.35">
      <c r="B120" s="13" t="s">
        <v>17</v>
      </c>
      <c r="C120" s="38">
        <f>COUNTIF('NeT GP Contacts'!$B$5:$B$26,$B120)</f>
        <v>4</v>
      </c>
      <c r="D120" s="13">
        <f>COUNTIFS('NeT GP - table_export'!$O:$O,$B120,'NeT GP - table_export'!$AA:$AA,"Yes")</f>
        <v>3</v>
      </c>
      <c r="E120" s="7">
        <f>COUNTIFS('NeT GP - table_export'!$O:$O,$B120,'NeT GP - table_export'!$AA:$AA,"No")+COUNTIFS('NeT GP - table_export'!$O:$O,$B120,'NeT GP - table_export'!$AA:$AA,"Pending")+COUNTIFS('NeT GP - table_export'!$O:$O,$B120,'NeT GP - table_export'!$AA:$AA,"Hold")</f>
        <v>38</v>
      </c>
      <c r="F120" s="15">
        <f t="shared" si="6"/>
        <v>1.0309278350515464E-2</v>
      </c>
      <c r="G120" s="16">
        <f t="shared" si="7"/>
        <v>0.13058419243986255</v>
      </c>
      <c r="H120" s="17">
        <f>SUMIFS('NeT GP - table_export'!$J:$J,'NeT GP - table_export'!$O:$O,$B120,'NeT GP - table_export'!$AA:$AA,"Yes")</f>
        <v>609</v>
      </c>
      <c r="I120" s="8">
        <f>SUMIFS('NeT GP - table_export'!$J:$J,'NeT GP - table_export'!$O:$O,$B120,'NeT GP - table_export'!$AA:$AA,"No")+SUMIFS('NeT GP - table_export'!$J:$J,'NeT GP - table_export'!$O:$O,$B120,'NeT GP - table_export'!$AA:$AA,"Pending")+SUMIFS('NeT GP - table_export'!$J:$J,'NeT GP - table_export'!$O:$O,$B120,'NeT GP - table_export'!$AA:$AA,"Hold")</f>
        <v>1767</v>
      </c>
      <c r="J120" s="15">
        <f t="shared" si="8"/>
        <v>1.1063675174856935E-2</v>
      </c>
      <c r="K120" s="16">
        <f t="shared" si="9"/>
        <v>3.2101008265964209E-2</v>
      </c>
    </row>
    <row r="121" spans="2:11" x14ac:dyDescent="0.35">
      <c r="B121" s="13" t="s">
        <v>21</v>
      </c>
      <c r="C121" s="38">
        <f>COUNTIF('NeT GP Contacts'!$B$5:$B$26,$B121)</f>
        <v>3</v>
      </c>
      <c r="D121" s="13">
        <f>COUNTIFS('NeT GP - table_export'!$O:$O,$B121,'NeT GP - table_export'!$AA:$AA,"Yes")</f>
        <v>45</v>
      </c>
      <c r="E121" s="7">
        <f>COUNTIFS('NeT GP - table_export'!$O:$O,$B121,'NeT GP - table_export'!$AA:$AA,"No")+COUNTIFS('NeT GP - table_export'!$O:$O,$B121,'NeT GP - table_export'!$AA:$AA,"Pending")+COUNTIFS('NeT GP - table_export'!$O:$O,$B121,'NeT GP - table_export'!$AA:$AA,"Hold")</f>
        <v>11</v>
      </c>
      <c r="F121" s="15">
        <f t="shared" si="6"/>
        <v>0.15463917525773196</v>
      </c>
      <c r="G121" s="16">
        <f t="shared" si="7"/>
        <v>3.7800687285223365E-2</v>
      </c>
      <c r="H121" s="17">
        <f>SUMIFS('NeT GP - table_export'!$J:$J,'NeT GP - table_export'!$O:$O,$B121,'NeT GP - table_export'!$AA:$AA,"Yes")</f>
        <v>793</v>
      </c>
      <c r="I121" s="8">
        <f>SUMIFS('NeT GP - table_export'!$J:$J,'NeT GP - table_export'!$O:$O,$B121,'NeT GP - table_export'!$AA:$AA,"No")+SUMIFS('NeT GP - table_export'!$J:$J,'NeT GP - table_export'!$O:$O,$B121,'NeT GP - table_export'!$AA:$AA,"Pending")+SUMIFS('NeT GP - table_export'!$J:$J,'NeT GP - table_export'!$O:$O,$B121,'NeT GP - table_export'!$AA:$AA,"Hold")</f>
        <v>2236</v>
      </c>
      <c r="J121" s="15">
        <f t="shared" si="8"/>
        <v>1.4406394767917158E-2</v>
      </c>
      <c r="K121" s="16">
        <f t="shared" si="9"/>
        <v>4.0621309837405757E-2</v>
      </c>
    </row>
    <row r="122" spans="2:11" x14ac:dyDescent="0.35">
      <c r="B122" s="13" t="s">
        <v>8</v>
      </c>
      <c r="C122" s="38">
        <f>COUNTIF('NeT GP Contacts'!$B$5:$B$26,$B122)</f>
        <v>3</v>
      </c>
      <c r="D122" s="13">
        <f>COUNTIFS('NeT GP - table_export'!$O:$O,$B122,'NeT GP - table_export'!$AA:$AA,"Yes")</f>
        <v>8</v>
      </c>
      <c r="E122" s="7">
        <f>COUNTIFS('NeT GP - table_export'!$O:$O,$B122,'NeT GP - table_export'!$AA:$AA,"No")+COUNTIFS('NeT GP - table_export'!$O:$O,$B122,'NeT GP - table_export'!$AA:$AA,"Pending")+COUNTIFS('NeT GP - table_export'!$O:$O,$B122,'NeT GP - table_export'!$AA:$AA,"Hold")</f>
        <v>5</v>
      </c>
      <c r="F122" s="15">
        <f t="shared" si="6"/>
        <v>2.7491408934707903E-2</v>
      </c>
      <c r="G122" s="16">
        <f t="shared" si="7"/>
        <v>1.7182130584192441E-2</v>
      </c>
      <c r="H122" s="17">
        <f>SUMIFS('NeT GP - table_export'!$J:$J,'NeT GP - table_export'!$O:$O,$B122,'NeT GP - table_export'!$AA:$AA,"Yes")</f>
        <v>10544</v>
      </c>
      <c r="I122" s="8">
        <f>SUMIFS('NeT GP - table_export'!$J:$J,'NeT GP - table_export'!$O:$O,$B122,'NeT GP - table_export'!$AA:$AA,"No")+SUMIFS('NeT GP - table_export'!$J:$J,'NeT GP - table_export'!$O:$O,$B122,'NeT GP - table_export'!$AA:$AA,"Pending")+SUMIFS('NeT GP - table_export'!$J:$J,'NeT GP - table_export'!$O:$O,$B122,'NeT GP - table_export'!$AA:$AA,"Hold")</f>
        <v>430</v>
      </c>
      <c r="J122" s="15">
        <f t="shared" si="8"/>
        <v>0.19155236624579888</v>
      </c>
      <c r="K122" s="16">
        <f t="shared" si="9"/>
        <v>7.8117903533472611E-3</v>
      </c>
    </row>
    <row r="123" spans="2:11" x14ac:dyDescent="0.35">
      <c r="B123" s="13" t="s">
        <v>56</v>
      </c>
      <c r="C123" s="38">
        <f>COUNTIF('NeT GP Contacts'!$B$5:$B$26,$B123)</f>
        <v>2</v>
      </c>
      <c r="D123" s="13">
        <f>COUNTIFS('NeT GP - table_export'!$O:$O,$B123,'NeT GP - table_export'!$AA:$AA,"Yes")</f>
        <v>0</v>
      </c>
      <c r="E123" s="7">
        <f>COUNTIFS('NeT GP - table_export'!$O:$O,$B123,'NeT GP - table_export'!$AA:$AA,"No")+COUNTIFS('NeT GP - table_export'!$O:$O,$B123,'NeT GP - table_export'!$AA:$AA,"Pending")+COUNTIFS('NeT GP - table_export'!$O:$O,$B123,'NeT GP - table_export'!$AA:$AA,"Hold")</f>
        <v>9</v>
      </c>
      <c r="F123" s="15">
        <f t="shared" si="6"/>
        <v>0</v>
      </c>
      <c r="G123" s="16">
        <f t="shared" si="7"/>
        <v>3.0927835051546393E-2</v>
      </c>
      <c r="H123" s="17">
        <f>SUMIFS('NeT GP - table_export'!$J:$J,'NeT GP - table_export'!$O:$O,$B123,'NeT GP - table_export'!$AA:$AA,"Yes")</f>
        <v>0</v>
      </c>
      <c r="I123" s="8">
        <f>SUMIFS('NeT GP - table_export'!$J:$J,'NeT GP - table_export'!$O:$O,$B123,'NeT GP - table_export'!$AA:$AA,"No")+SUMIFS('NeT GP - table_export'!$J:$J,'NeT GP - table_export'!$O:$O,$B123,'NeT GP - table_export'!$AA:$AA,"Pending")+SUMIFS('NeT GP - table_export'!$J:$J,'NeT GP - table_export'!$O:$O,$B123,'NeT GP - table_export'!$AA:$AA,"Hold")</f>
        <v>4857</v>
      </c>
      <c r="J123" s="15">
        <f t="shared" si="8"/>
        <v>0</v>
      </c>
      <c r="K123" s="16">
        <f t="shared" si="9"/>
        <v>8.8236897084203833E-2</v>
      </c>
    </row>
    <row r="124" spans="2:11" ht="15" thickBot="1" x14ac:dyDescent="0.4">
      <c r="B124" s="18" t="s">
        <v>147</v>
      </c>
      <c r="C124" s="39">
        <f>COUNTIF('NeT GP Contacts'!$B$5:$B$26,$B124)</f>
        <v>3</v>
      </c>
      <c r="D124" s="18">
        <f>COUNTIFS('NeT GP - table_export'!$O:$O,$B124,'NeT GP - table_export'!$AA:$AA,"Yes")</f>
        <v>0</v>
      </c>
      <c r="E124" s="35">
        <f>COUNTIFS('NeT GP - table_export'!$O:$O,$B124,'NeT GP - table_export'!$AA:$AA,"No")+COUNTIFS('NeT GP - table_export'!$O:$O,$B124,'NeT GP - table_export'!$AA:$AA,"Pending")+COUNTIFS('NeT GP - table_export'!$O:$O,$B124,'NeT GP - table_export'!$AA:$AA,"Hold")</f>
        <v>2</v>
      </c>
      <c r="F124" s="20">
        <f t="shared" si="6"/>
        <v>0</v>
      </c>
      <c r="G124" s="21">
        <f t="shared" si="7"/>
        <v>6.8728522336769758E-3</v>
      </c>
      <c r="H124" s="22">
        <f>SUMIFS('NeT GP - table_export'!$J:$J,'NeT GP - table_export'!$O:$O,$B124,'NeT GP - table_export'!$AA:$AA,"Yes")</f>
        <v>0</v>
      </c>
      <c r="I124" s="36">
        <f>SUMIFS('NeT GP - table_export'!$J:$J,'NeT GP - table_export'!$O:$O,$B124,'NeT GP - table_export'!$AA:$AA,"No")+SUMIFS('NeT GP - table_export'!$J:$J,'NeT GP - table_export'!$O:$O,$B124,'NeT GP - table_export'!$AA:$AA,"Pending")+SUMIFS('NeT GP - table_export'!$J:$J,'NeT GP - table_export'!$O:$O,$B124,'NeT GP - table_export'!$AA:$AA,"Hold")</f>
        <v>39</v>
      </c>
      <c r="J124" s="20">
        <f t="shared" si="8"/>
        <v>0</v>
      </c>
      <c r="K124" s="21">
        <f t="shared" si="9"/>
        <v>7.0851121809428644E-4</v>
      </c>
    </row>
    <row r="125" spans="2:11" x14ac:dyDescent="0.35">
      <c r="H125" s="3"/>
      <c r="I125" s="3"/>
    </row>
    <row r="126" spans="2:11" x14ac:dyDescent="0.35">
      <c r="B126" s="23" t="s">
        <v>420</v>
      </c>
      <c r="C126" s="24">
        <f>SUM(C118:C124)</f>
        <v>22</v>
      </c>
      <c r="D126" s="24">
        <f>SUM(D118:D124)</f>
        <v>175</v>
      </c>
      <c r="E126" s="24">
        <f>SUM(E118:E124)</f>
        <v>116</v>
      </c>
      <c r="F126" s="24"/>
      <c r="G126" s="25"/>
      <c r="H126" s="27">
        <f>SUM(H118:H124)</f>
        <v>33353</v>
      </c>
      <c r="I126" s="27">
        <f>SUM(I118:I124)</f>
        <v>21692</v>
      </c>
    </row>
    <row r="127" spans="2:11" ht="15" thickBot="1" x14ac:dyDescent="0.4"/>
    <row r="128" spans="2:11" ht="43.5" x14ac:dyDescent="0.35">
      <c r="B128" s="29" t="s">
        <v>463</v>
      </c>
      <c r="C128" s="29" t="s">
        <v>1850</v>
      </c>
      <c r="D128" s="32" t="s">
        <v>1851</v>
      </c>
      <c r="E128" s="32" t="s">
        <v>2162</v>
      </c>
      <c r="F128"/>
      <c r="G128"/>
    </row>
    <row r="129" spans="2:8" x14ac:dyDescent="0.35">
      <c r="B129" s="30" t="s">
        <v>465</v>
      </c>
      <c r="C129" s="30">
        <f>D126</f>
        <v>175</v>
      </c>
      <c r="D129" s="33">
        <f>H126</f>
        <v>33353</v>
      </c>
      <c r="E129" s="33">
        <f>COUNTIF('NeT GP Proxy Cards'!$G:$G,"Yes")</f>
        <v>25</v>
      </c>
      <c r="F129"/>
      <c r="G129"/>
    </row>
    <row r="130" spans="2:8" ht="15" thickBot="1" x14ac:dyDescent="0.4">
      <c r="B130" s="31" t="s">
        <v>466</v>
      </c>
      <c r="C130" s="31">
        <f>E126</f>
        <v>116</v>
      </c>
      <c r="D130" s="34">
        <f>I126</f>
        <v>21692</v>
      </c>
      <c r="E130" s="34">
        <f>COUNTIF('NeT GP Proxy Cards'!$G:$G,"No")+COUNTIF('NeT GP Proxy Cards'!$G:$G,"Pending")+COUNTIF('NeT GP Proxy Cards'!$G:$G,"Hold")</f>
        <v>69</v>
      </c>
      <c r="F130"/>
      <c r="G130"/>
    </row>
    <row r="131" spans="2:8" x14ac:dyDescent="0.35">
      <c r="F131"/>
      <c r="G131"/>
    </row>
    <row r="132" spans="2:8" x14ac:dyDescent="0.35">
      <c r="B132" s="5" t="s">
        <v>420</v>
      </c>
      <c r="C132" s="3">
        <f>SUM(C129:C130)</f>
        <v>291</v>
      </c>
      <c r="D132" s="4">
        <f>SUM(D129:D130)</f>
        <v>55045</v>
      </c>
      <c r="E132" s="4">
        <f>SUM(E129:E130)</f>
        <v>94</v>
      </c>
      <c r="F132"/>
      <c r="G132"/>
    </row>
    <row r="133" spans="2:8" ht="15" thickBot="1" x14ac:dyDescent="0.4"/>
    <row r="134" spans="2:8" ht="29" x14ac:dyDescent="0.35">
      <c r="B134" s="29" t="s">
        <v>1849</v>
      </c>
      <c r="C134" s="29" t="s">
        <v>1850</v>
      </c>
      <c r="G134" s="29" t="s">
        <v>1849</v>
      </c>
      <c r="H134" s="32" t="s">
        <v>1851</v>
      </c>
    </row>
    <row r="135" spans="2:8" ht="29" x14ac:dyDescent="0.35">
      <c r="B135" s="40" t="s">
        <v>468</v>
      </c>
      <c r="C135" s="30">
        <f>D100</f>
        <v>291</v>
      </c>
      <c r="G135" s="40" t="s">
        <v>468</v>
      </c>
      <c r="H135" s="33">
        <f>H100</f>
        <v>55045</v>
      </c>
    </row>
    <row r="136" spans="2:8" ht="29.5" thickBot="1" x14ac:dyDescent="0.4">
      <c r="B136" s="41" t="s">
        <v>469</v>
      </c>
      <c r="C136" s="31">
        <f>E100</f>
        <v>0</v>
      </c>
      <c r="G136" s="41" t="s">
        <v>469</v>
      </c>
      <c r="H136" s="34">
        <f>I100</f>
        <v>0</v>
      </c>
    </row>
    <row r="138" spans="2:8" x14ac:dyDescent="0.35">
      <c r="B138" s="5" t="s">
        <v>420</v>
      </c>
      <c r="C138" s="3">
        <f>SUM(C135:C136)</f>
        <v>291</v>
      </c>
      <c r="G138" s="5" t="s">
        <v>420</v>
      </c>
      <c r="H138" s="4">
        <f>SUM(H135:H136)</f>
        <v>55045</v>
      </c>
    </row>
    <row r="140" spans="2:8" x14ac:dyDescent="0.35">
      <c r="B140" s="23" t="s">
        <v>2065</v>
      </c>
      <c r="C140" s="3" t="str">
        <f>IF(C138=C132,"Yes","No")</f>
        <v>Yes</v>
      </c>
      <c r="G140" s="23" t="s">
        <v>2065</v>
      </c>
      <c r="H140" s="3" t="str">
        <f>IF(H138=D132,"Yes","No")</f>
        <v>Yes</v>
      </c>
    </row>
    <row r="142" spans="2:8" x14ac:dyDescent="0.35">
      <c r="B142" s="97" t="s">
        <v>1840</v>
      </c>
      <c r="F142" s="97" t="s">
        <v>1841</v>
      </c>
    </row>
    <row r="143" spans="2:8" ht="15" thickBot="1" x14ac:dyDescent="0.4"/>
    <row r="144" spans="2:8" ht="58" x14ac:dyDescent="0.35">
      <c r="B144" s="10" t="s">
        <v>1834</v>
      </c>
      <c r="C144" s="12" t="s">
        <v>1835</v>
      </c>
      <c r="D144" s="11" t="s">
        <v>1836</v>
      </c>
      <c r="F144" s="10" t="s">
        <v>1834</v>
      </c>
      <c r="G144" s="12" t="s">
        <v>1835</v>
      </c>
      <c r="H144" s="11" t="s">
        <v>1836</v>
      </c>
    </row>
    <row r="145" spans="2:8" x14ac:dyDescent="0.35">
      <c r="B145" s="40" t="s">
        <v>529</v>
      </c>
      <c r="C145" s="40">
        <f>COUNTIFS('NeT GP - table_export'!$K:$K,"No",'NeT GP - table_export'!$L:$L, "Yes")</f>
        <v>94</v>
      </c>
      <c r="D145" s="40">
        <f>COUNTIFS('NeT GP - table_export'!$K:$K,"No",'NeT GP - table_export'!$L:$L, "No")</f>
        <v>661</v>
      </c>
      <c r="F145" s="40" t="s">
        <v>529</v>
      </c>
      <c r="G145" s="85">
        <f>SUMIFS('NeT GP - table_export'!$J:$J, 'NeT GP - table_export'!$K:$K,"No",'NeT GP - table_export'!$L:$L, "Yes")</f>
        <v>26592</v>
      </c>
      <c r="H145" s="85">
        <f>SUMIFS('NeT GP - table_export'!$J:$J, 'NeT GP - table_export'!$K:$K,"No",'NeT GP - table_export'!$L:$L, "No")</f>
        <v>381125</v>
      </c>
    </row>
    <row r="146" spans="2:8" x14ac:dyDescent="0.35">
      <c r="B146" s="40" t="s">
        <v>1837</v>
      </c>
      <c r="C146" s="40">
        <f>COUNTIFS('NeT GP - table_export'!$K:$K,"yes",'NeT GP - table_export'!$L:$L, "Yes")</f>
        <v>197</v>
      </c>
      <c r="D146" s="40">
        <f>COUNTIFS('NeT GP - table_export'!$K:$K,"yes",'NeT GP - table_export'!$L:$L, "No")</f>
        <v>3</v>
      </c>
      <c r="F146" s="40" t="s">
        <v>1837</v>
      </c>
      <c r="G146" s="85">
        <f>SUMIFS('NeT GP - table_export'!$J:$J, 'NeT GP - table_export'!$K:$K,"Yes",'NeT GP - table_export'!$L:$L, "Yes")</f>
        <v>28453</v>
      </c>
      <c r="H146" s="85">
        <f>SUMIFS('NeT GP - table_export'!$J:$J, 'NeT GP - table_export'!$K:$K,"Yes",'NeT GP - table_export'!$L:$L, "No")</f>
        <v>0</v>
      </c>
    </row>
    <row r="147" spans="2:8" x14ac:dyDescent="0.35">
      <c r="B147" s="40" t="s">
        <v>1838</v>
      </c>
      <c r="C147" s="40">
        <f>SUM(C145:C146)</f>
        <v>291</v>
      </c>
      <c r="D147" s="40">
        <f>SUM(D145:D146)</f>
        <v>664</v>
      </c>
      <c r="F147" s="40" t="s">
        <v>1838</v>
      </c>
      <c r="G147" s="85">
        <f>SUM(G145:G146)</f>
        <v>55045</v>
      </c>
      <c r="H147" s="85">
        <f>SUM(H145:H146)</f>
        <v>381125</v>
      </c>
    </row>
    <row r="148" spans="2:8" x14ac:dyDescent="0.35">
      <c r="G148" s="4"/>
      <c r="H148" s="4"/>
    </row>
    <row r="149" spans="2:8" ht="29" x14ac:dyDescent="0.35">
      <c r="B149" s="96" t="s">
        <v>1839</v>
      </c>
      <c r="C149" s="3">
        <f>SUM(C147:D147)</f>
        <v>955</v>
      </c>
      <c r="F149" s="96" t="s">
        <v>1842</v>
      </c>
      <c r="G149" s="4">
        <f>SUM(G147:H147)</f>
        <v>436170</v>
      </c>
    </row>
  </sheetData>
  <conditionalFormatting sqref="C140">
    <cfRule type="containsText" dxfId="18" priority="3" operator="containsText" text="Yes">
      <formula>NOT(ISERROR(SEARCH("Yes",C140)))</formula>
    </cfRule>
    <cfRule type="containsText" dxfId="17" priority="4" operator="containsText" text="No">
      <formula>NOT(ISERROR(SEARCH("No",C140)))</formula>
    </cfRule>
  </conditionalFormatting>
  <conditionalFormatting sqref="H140">
    <cfRule type="containsText" dxfId="16" priority="1" operator="containsText" text="Yes">
      <formula>NOT(ISERROR(SEARCH("Yes",H140)))</formula>
    </cfRule>
    <cfRule type="containsText" dxfId="15" priority="2" operator="containsText" text="No">
      <formula>NOT(ISERROR(SEARCH("No",H140)))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66968-E7D7-4066-8943-5A2AC6D486BB}">
  <dimension ref="B1:H107"/>
  <sheetViews>
    <sheetView zoomScale="70" zoomScaleNormal="70" workbookViewId="0"/>
  </sheetViews>
  <sheetFormatPr defaultRowHeight="14.5" x14ac:dyDescent="0.35"/>
  <cols>
    <col min="1" max="1" width="4.54296875" customWidth="1"/>
    <col min="2" max="2" width="51.26953125" style="3" customWidth="1"/>
    <col min="3" max="3" width="26.81640625" style="3" customWidth="1"/>
    <col min="4" max="4" width="23.81640625" style="3" customWidth="1"/>
    <col min="5" max="5" width="51.453125" style="3" customWidth="1"/>
    <col min="6" max="6" width="27.7265625" style="3" customWidth="1"/>
    <col min="7" max="7" width="29.7265625" style="3" customWidth="1"/>
    <col min="8" max="8" width="27.7265625" customWidth="1"/>
    <col min="9" max="9" width="29.7265625" customWidth="1"/>
    <col min="10" max="10" width="34.453125" customWidth="1"/>
    <col min="11" max="11" width="32.81640625" customWidth="1"/>
  </cols>
  <sheetData>
    <row r="1" spans="2:3" x14ac:dyDescent="0.35">
      <c r="B1" s="111" t="s">
        <v>1893</v>
      </c>
    </row>
    <row r="2" spans="2:3" x14ac:dyDescent="0.35">
      <c r="B2" s="6" t="s">
        <v>462</v>
      </c>
      <c r="C2" s="193">
        <f>'NeT Roadmap'!$C$3</f>
        <v>45688</v>
      </c>
    </row>
    <row r="57" spans="2:6" ht="15" thickBot="1" x14ac:dyDescent="0.4"/>
    <row r="58" spans="2:6" ht="36.75" customHeight="1" x14ac:dyDescent="0.35">
      <c r="B58" s="10" t="s">
        <v>530</v>
      </c>
      <c r="C58" s="11" t="s">
        <v>623</v>
      </c>
      <c r="E58" s="10" t="s">
        <v>530</v>
      </c>
      <c r="F58" s="11" t="s">
        <v>624</v>
      </c>
    </row>
    <row r="59" spans="2:6" x14ac:dyDescent="0.35">
      <c r="B59" s="56" t="s">
        <v>548</v>
      </c>
      <c r="C59" s="51">
        <f>'NeT PR Contacts'!D5</f>
        <v>54</v>
      </c>
      <c r="E59" s="56" t="s">
        <v>548</v>
      </c>
      <c r="F59" s="51">
        <f>'NeT PR Contacts'!G5</f>
        <v>4477</v>
      </c>
    </row>
    <row r="60" spans="2:6" x14ac:dyDescent="0.35">
      <c r="B60" s="56" t="s">
        <v>533</v>
      </c>
      <c r="C60" s="51">
        <f>'NeT PR Contacts'!D6</f>
        <v>12</v>
      </c>
      <c r="E60" s="56" t="s">
        <v>533</v>
      </c>
      <c r="F60" s="51">
        <f>'NeT PR Contacts'!G6</f>
        <v>1553</v>
      </c>
    </row>
    <row r="61" spans="2:6" x14ac:dyDescent="0.35">
      <c r="B61" s="56" t="s">
        <v>534</v>
      </c>
      <c r="C61" s="51">
        <f>'NeT PR Contacts'!D7</f>
        <v>19</v>
      </c>
      <c r="E61" s="56" t="s">
        <v>534</v>
      </c>
      <c r="F61" s="51">
        <f>'NeT PR Contacts'!G7</f>
        <v>2040</v>
      </c>
    </row>
    <row r="62" spans="2:6" x14ac:dyDescent="0.35">
      <c r="B62" s="56" t="s">
        <v>542</v>
      </c>
      <c r="C62" s="51">
        <f>'NeT PR Contacts'!D8</f>
        <v>22</v>
      </c>
      <c r="E62" s="56" t="s">
        <v>542</v>
      </c>
      <c r="F62" s="51">
        <f>'NeT PR Contacts'!G8</f>
        <v>556</v>
      </c>
    </row>
    <row r="63" spans="2:6" x14ac:dyDescent="0.35">
      <c r="B63" s="57" t="s">
        <v>535</v>
      </c>
      <c r="C63" s="51">
        <f>'NeT PR Contacts'!D9</f>
        <v>21</v>
      </c>
      <c r="E63" s="57" t="s">
        <v>535</v>
      </c>
      <c r="F63" s="51">
        <f>'NeT PR Contacts'!G9</f>
        <v>1155</v>
      </c>
    </row>
    <row r="64" spans="2:6" x14ac:dyDescent="0.35">
      <c r="B64" s="56" t="s">
        <v>537</v>
      </c>
      <c r="C64" s="51">
        <f>'NeT PR Contacts'!D10</f>
        <v>21</v>
      </c>
      <c r="E64" s="56" t="s">
        <v>537</v>
      </c>
      <c r="F64" s="51">
        <f>'NeT PR Contacts'!G10</f>
        <v>6806</v>
      </c>
    </row>
    <row r="65" spans="2:7" ht="15" thickBot="1" x14ac:dyDescent="0.4">
      <c r="B65" s="58" t="s">
        <v>541</v>
      </c>
      <c r="C65" s="52">
        <f>'NeT PR Contacts'!D11</f>
        <v>11</v>
      </c>
      <c r="E65" s="58" t="s">
        <v>541</v>
      </c>
      <c r="F65" s="52">
        <f>'NeT PR Contacts'!G11</f>
        <v>74</v>
      </c>
    </row>
    <row r="66" spans="2:7" x14ac:dyDescent="0.35">
      <c r="C66" s="4"/>
      <c r="F66" s="4"/>
    </row>
    <row r="67" spans="2:7" x14ac:dyDescent="0.35">
      <c r="B67" s="23" t="s">
        <v>420</v>
      </c>
      <c r="C67" s="4">
        <f>SUM(C59:C65)</f>
        <v>160</v>
      </c>
      <c r="E67" s="23" t="s">
        <v>420</v>
      </c>
      <c r="F67" s="4">
        <f>SUM(F59:F65)</f>
        <v>16661</v>
      </c>
    </row>
    <row r="68" spans="2:7" ht="15" thickBot="1" x14ac:dyDescent="0.4"/>
    <row r="69" spans="2:7" ht="68.25" customHeight="1" x14ac:dyDescent="0.35">
      <c r="B69" s="10" t="s">
        <v>530</v>
      </c>
      <c r="C69" s="12" t="s">
        <v>614</v>
      </c>
      <c r="D69" s="12" t="s">
        <v>615</v>
      </c>
      <c r="E69" s="12" t="s">
        <v>616</v>
      </c>
      <c r="F69" s="11" t="s">
        <v>617</v>
      </c>
      <c r="G69"/>
    </row>
    <row r="70" spans="2:7" x14ac:dyDescent="0.35">
      <c r="B70" s="56" t="s">
        <v>548</v>
      </c>
      <c r="C70" s="8">
        <f>COUNTIFS('NeT PR - table_export'!$D:$D,$B70, 'NeT PR - table_export'!$F:$F,"Yes",'NeT PR - table_export'!$N:$N,"Yes")</f>
        <v>54</v>
      </c>
      <c r="D70" s="8">
        <f>COUNTIFS('NeT PR - table_export'!$D:$D,$B70, 'NeT PR - table_export'!$F:$F,"Yes",'NeT PR - table_export'!$N:$N,"No")</f>
        <v>0</v>
      </c>
      <c r="E70" s="8">
        <f>SUMIFS('NeT PR - table_export'!$H:$H,'NeT PR - table_export'!$D:$D,$B70,'NeT PR - table_export'!$F:$F,"Yes",'NeT PR - table_export'!$N:$N,"Yes")</f>
        <v>4477</v>
      </c>
      <c r="F70" s="62">
        <f>SUMIFS('NeT PR - table_export'!$H:$H,'NeT PR - table_export'!$D:$D,$B70,'NeT PR - table_export'!$F:$F,"Yes",'NeT PR - table_export'!$N:$N,"No")</f>
        <v>0</v>
      </c>
      <c r="G70"/>
    </row>
    <row r="71" spans="2:7" x14ac:dyDescent="0.35">
      <c r="B71" s="56" t="s">
        <v>533</v>
      </c>
      <c r="C71" s="8">
        <f>COUNTIFS('NeT PR - table_export'!$D:$D,$B71, 'NeT PR - table_export'!$F:$F,"Yes",'NeT PR - table_export'!$N:$N,"Yes")</f>
        <v>12</v>
      </c>
      <c r="D71" s="8">
        <f>COUNTIFS('NeT PR - table_export'!$D:$D,$B71, 'NeT PR - table_export'!$F:$F,"Yes",'NeT PR - table_export'!$N:$N,"No")</f>
        <v>0</v>
      </c>
      <c r="E71" s="8">
        <f>SUMIFS('NeT PR - table_export'!$H:$H,'NeT PR - table_export'!$D:$D,$B71,'NeT PR - table_export'!$F:$F,"Yes",'NeT PR - table_export'!$N:$N,"Yes")</f>
        <v>1553</v>
      </c>
      <c r="F71" s="62">
        <f>SUMIFS('NeT PR - table_export'!$H:$H,'NeT PR - table_export'!$D:$D,$B71,'NeT PR - table_export'!$F:$F,"Yes",'NeT PR - table_export'!$N:$N,"No")</f>
        <v>0</v>
      </c>
      <c r="G71"/>
    </row>
    <row r="72" spans="2:7" x14ac:dyDescent="0.35">
      <c r="B72" s="56" t="s">
        <v>534</v>
      </c>
      <c r="C72" s="8">
        <f>COUNTIFS('NeT PR - table_export'!$D:$D,$B72, 'NeT PR - table_export'!$F:$F,"Yes",'NeT PR - table_export'!$N:$N,"Yes")</f>
        <v>19</v>
      </c>
      <c r="D72" s="8">
        <f>COUNTIFS('NeT PR - table_export'!$D:$D,$B72, 'NeT PR - table_export'!$F:$F,"Yes",'NeT PR - table_export'!$N:$N,"No")</f>
        <v>0</v>
      </c>
      <c r="E72" s="8">
        <f>SUMIFS('NeT PR - table_export'!$H:$H,'NeT PR - table_export'!$D:$D,$B72,'NeT PR - table_export'!$F:$F,"Yes",'NeT PR - table_export'!$N:$N,"Yes")</f>
        <v>2040</v>
      </c>
      <c r="F72" s="62">
        <f>SUMIFS('NeT PR - table_export'!$H:$H,'NeT PR - table_export'!$D:$D,$B72,'NeT PR - table_export'!$F:$F,"Yes",'NeT PR - table_export'!$N:$N,"No")</f>
        <v>0</v>
      </c>
      <c r="G72"/>
    </row>
    <row r="73" spans="2:7" x14ac:dyDescent="0.35">
      <c r="B73" s="56" t="s">
        <v>542</v>
      </c>
      <c r="C73" s="8">
        <f>COUNTIFS('NeT PR - table_export'!$D:$D,$B73, 'NeT PR - table_export'!$F:$F,"Yes",'NeT PR - table_export'!$N:$N,"Yes")</f>
        <v>22</v>
      </c>
      <c r="D73" s="8">
        <f>COUNTIFS('NeT PR - table_export'!$D:$D,$B73, 'NeT PR - table_export'!$F:$F,"Yes",'NeT PR - table_export'!$N:$N,"No")</f>
        <v>0</v>
      </c>
      <c r="E73" s="8">
        <f>SUMIFS('NeT PR - table_export'!$H:$H,'NeT PR - table_export'!$D:$D,$B73,'NeT PR - table_export'!$F:$F,"Yes",'NeT PR - table_export'!$N:$N,"Yes")</f>
        <v>556</v>
      </c>
      <c r="F73" s="62">
        <f>SUMIFS('NeT PR - table_export'!$H:$H,'NeT PR - table_export'!$D:$D,$B73,'NeT PR - table_export'!$F:$F,"Yes",'NeT PR - table_export'!$N:$N,"No")</f>
        <v>0</v>
      </c>
      <c r="G73"/>
    </row>
    <row r="74" spans="2:7" x14ac:dyDescent="0.35">
      <c r="B74" s="57" t="s">
        <v>535</v>
      </c>
      <c r="C74" s="8">
        <f>COUNTIFS('NeT PR - table_export'!$D:$D,$B74, 'NeT PR - table_export'!$F:$F,"Yes",'NeT PR - table_export'!$N:$N,"Yes")</f>
        <v>21</v>
      </c>
      <c r="D74" s="8">
        <f>COUNTIFS('NeT PR - table_export'!$D:$D,$B74, 'NeT PR - table_export'!$F:$F,"Yes",'NeT PR - table_export'!$N:$N,"No")</f>
        <v>0</v>
      </c>
      <c r="E74" s="8">
        <f>SUMIFS('NeT PR - table_export'!$H:$H,'NeT PR - table_export'!$D:$D,$B74,'NeT PR - table_export'!$F:$F,"Yes",'NeT PR - table_export'!$N:$N,"Yes")</f>
        <v>1155</v>
      </c>
      <c r="F74" s="62">
        <f>SUMIFS('NeT PR - table_export'!$H:$H,'NeT PR - table_export'!$D:$D,$B74,'NeT PR - table_export'!$F:$F,"Yes",'NeT PR - table_export'!$N:$N,"No")</f>
        <v>0</v>
      </c>
      <c r="G74"/>
    </row>
    <row r="75" spans="2:7" x14ac:dyDescent="0.35">
      <c r="B75" s="56" t="s">
        <v>537</v>
      </c>
      <c r="C75" s="8">
        <f>COUNTIFS('NeT PR - table_export'!$D:$D,$B75, 'NeT PR - table_export'!$F:$F,"Yes",'NeT PR - table_export'!$N:$N,"Yes")</f>
        <v>21</v>
      </c>
      <c r="D75" s="8">
        <f>COUNTIFS('NeT PR - table_export'!$D:$D,$B75, 'NeT PR - table_export'!$F:$F,"Yes",'NeT PR - table_export'!$N:$N,"No")</f>
        <v>0</v>
      </c>
      <c r="E75" s="8">
        <f>SUMIFS('NeT PR - table_export'!$H:$H,'NeT PR - table_export'!$D:$D,$B75,'NeT PR - table_export'!$F:$F,"Yes",'NeT PR - table_export'!$N:$N,"Yes")</f>
        <v>6806</v>
      </c>
      <c r="F75" s="62">
        <f>SUMIFS('NeT PR - table_export'!$H:$H,'NeT PR - table_export'!$D:$D,$B75,'NeT PR - table_export'!$F:$F,"Yes",'NeT PR - table_export'!$N:$N,"No")</f>
        <v>0</v>
      </c>
      <c r="G75"/>
    </row>
    <row r="76" spans="2:7" ht="15" thickBot="1" x14ac:dyDescent="0.4">
      <c r="B76" s="58" t="s">
        <v>541</v>
      </c>
      <c r="C76" s="36">
        <f>COUNTIFS('NeT PR - table_export'!$D:$D,$B76, 'NeT PR - table_export'!$F:$F,"Yes",'NeT PR - table_export'!$N:$N,"Yes")</f>
        <v>11</v>
      </c>
      <c r="D76" s="36">
        <f>COUNTIFS('NeT PR - table_export'!$D:$D,$B76, 'NeT PR - table_export'!$F:$F,"Yes",'NeT PR - table_export'!$N:$N,"No")</f>
        <v>0</v>
      </c>
      <c r="E76" s="36">
        <f>SUMIFS('NeT PR - table_export'!$H:$H,'NeT PR - table_export'!$D:$D,$B76,'NeT PR - table_export'!$F:$F,"Yes",'NeT PR - table_export'!$N:$N,"Yes")</f>
        <v>74</v>
      </c>
      <c r="F76" s="63">
        <f>SUMIFS('NeT PR - table_export'!$H:$H,'NeT PR - table_export'!$D:$D,$B76,'NeT PR - table_export'!$F:$F,"Yes",'NeT PR - table_export'!$N:$N,"No")</f>
        <v>0</v>
      </c>
      <c r="G76"/>
    </row>
    <row r="77" spans="2:7" x14ac:dyDescent="0.35">
      <c r="C77" s="4"/>
      <c r="D77" s="4"/>
      <c r="E77" s="4"/>
      <c r="F77" s="4"/>
      <c r="G77"/>
    </row>
    <row r="78" spans="2:7" x14ac:dyDescent="0.35">
      <c r="B78" s="23" t="s">
        <v>420</v>
      </c>
      <c r="C78" s="4">
        <f>SUM(C70:C76)</f>
        <v>160</v>
      </c>
      <c r="D78" s="4">
        <f>SUM(D70:D76)</f>
        <v>0</v>
      </c>
      <c r="E78" s="4">
        <f>SUM(E70:E76)</f>
        <v>16661</v>
      </c>
      <c r="F78" s="4">
        <f>SUM(F70:F76)</f>
        <v>0</v>
      </c>
      <c r="G78"/>
    </row>
    <row r="79" spans="2:7" ht="15" thickBot="1" x14ac:dyDescent="0.4"/>
    <row r="80" spans="2:7" ht="64" customHeight="1" x14ac:dyDescent="0.35">
      <c r="B80" s="10" t="s">
        <v>530</v>
      </c>
      <c r="C80" s="12" t="s">
        <v>618</v>
      </c>
      <c r="D80" s="12" t="s">
        <v>2704</v>
      </c>
      <c r="E80" s="12" t="s">
        <v>619</v>
      </c>
      <c r="F80" s="11" t="s">
        <v>2705</v>
      </c>
      <c r="G80"/>
    </row>
    <row r="81" spans="2:8" x14ac:dyDescent="0.35">
      <c r="B81" s="56" t="s">
        <v>548</v>
      </c>
      <c r="C81" s="8">
        <f>COUNTIFS('NeT PR - table_export'!$D:$D,$B81,'NeT PR - table_export'!$F:$F,"Yes",'NeT PR - table_export'!$J:$J,"Yes")</f>
        <v>54</v>
      </c>
      <c r="D81" s="8">
        <f>COUNTIFS('NeT PR - table_export'!$D:$D,$B81,'NeT PR - table_export'!$F:$F,"Yes",'NeT PR - table_export'!$J:$J,"No")+COUNTIFS('NeT PR - table_export'!$D:$D,$B81,'NeT PR - table_export'!$F:$F,"Yes",'NeT PR - table_export'!$J:$J,"Pending")+COUNTIFS('NeT PR - table_export'!$D:$D,$B81,'NeT PR - table_export'!$F:$F,"Yes",'NeT PR - table_export'!$J:$J,"Hold")</f>
        <v>0</v>
      </c>
      <c r="E81" s="8">
        <f>SUMIFS('NeT PR - table_export'!$H:$H,'NeT PR - table_export'!$D:$D,$B81,'NeT PR - table_export'!$F:$F,"Yes",'NeT PR - table_export'!$J:$J,"Yes")</f>
        <v>4477</v>
      </c>
      <c r="F81" s="62">
        <f>SUMIFS('NeT PR - table_export'!$H:$H,'NeT PR - table_export'!$D:$D,$B81,'NeT PR - table_export'!$F:$F,"Yes",'NeT PR - table_export'!$J:$J,"No")+SUMIFS('NeT PR - table_export'!$H:$H,'NeT PR - table_export'!$D:$D,$B81,'NeT PR - table_export'!$F:$F,"Yes",'NeT PR - table_export'!$J:$J,"Pending")+SUMIFS('NeT PR - table_export'!$H:$H,'NeT PR - table_export'!$D:$D,$B81,'NeT PR - table_export'!$F:$F,"Yes",'NeT PR - table_export'!$J:$J,"Hold")</f>
        <v>0</v>
      </c>
      <c r="G81"/>
    </row>
    <row r="82" spans="2:8" x14ac:dyDescent="0.35">
      <c r="B82" s="56" t="s">
        <v>533</v>
      </c>
      <c r="C82" s="8">
        <f>COUNTIFS('NeT PR - table_export'!$D:$D,$B82,'NeT PR - table_export'!$F:$F,"Yes",'NeT PR - table_export'!$J:$J,"Yes")</f>
        <v>0</v>
      </c>
      <c r="D82" s="8">
        <f>COUNTIFS('NeT PR - table_export'!$D:$D,$B82,'NeT PR - table_export'!$F:$F,"Yes",'NeT PR - table_export'!$J:$J,"No")+COUNTIFS('NeT PR - table_export'!$D:$D,$B82,'NeT PR - table_export'!$F:$F,"Yes",'NeT PR - table_export'!$J:$J,"Pending")+COUNTIFS('NeT PR - table_export'!$D:$D,$B82,'NeT PR - table_export'!$F:$F,"Yes",'NeT PR - table_export'!$J:$J,"Hold")</f>
        <v>12</v>
      </c>
      <c r="E82" s="8">
        <f>SUMIFS('NeT PR - table_export'!$H:$H,'NeT PR - table_export'!$D:$D,$B82,'NeT PR - table_export'!$F:$F,"Yes",'NeT PR - table_export'!$J:$J,"Yes")</f>
        <v>0</v>
      </c>
      <c r="F82" s="51">
        <f>SUMIFS('NeT PR - table_export'!$H:$H,'NeT PR - table_export'!$D:$D,$B82,'NeT PR - table_export'!$F:$F,"Yes",'NeT PR - table_export'!$J:$J,"No")+SUMIFS('NeT PR - table_export'!$H:$H,'NeT PR - table_export'!$D:$D,$B82,'NeT PR - table_export'!$F:$F,"Yes",'NeT PR - table_export'!$J:$J,"Pending")+SUMIFS('NeT PR - table_export'!$H:$H,'NeT PR - table_export'!$D:$D,$B82,'NeT PR - table_export'!$F:$F,"Yes",'NeT PR - table_export'!$J:$J,"Hold")</f>
        <v>1553</v>
      </c>
      <c r="G82"/>
    </row>
    <row r="83" spans="2:8" x14ac:dyDescent="0.35">
      <c r="B83" s="56" t="s">
        <v>534</v>
      </c>
      <c r="C83" s="8">
        <f>COUNTIFS('NeT PR - table_export'!$D:$D,$B83,'NeT PR - table_export'!$F:$F,"Yes",'NeT PR - table_export'!$J:$J,"Yes")</f>
        <v>3</v>
      </c>
      <c r="D83" s="8">
        <f>COUNTIFS('NeT PR - table_export'!$D:$D,$B83,'NeT PR - table_export'!$F:$F,"Yes",'NeT PR - table_export'!$J:$J,"No")+COUNTIFS('NeT PR - table_export'!$D:$D,$B83,'NeT PR - table_export'!$F:$F,"Yes",'NeT PR - table_export'!$J:$J,"Pending")+COUNTIFS('NeT PR - table_export'!$D:$D,$B83,'NeT PR - table_export'!$F:$F,"Yes",'NeT PR - table_export'!$J:$J,"Hold")</f>
        <v>16</v>
      </c>
      <c r="E83" s="8">
        <f>SUMIFS('NeT PR - table_export'!$H:$H,'NeT PR - table_export'!$D:$D,$B83,'NeT PR - table_export'!$F:$F,"Yes",'NeT PR - table_export'!$J:$J,"Yes")</f>
        <v>660</v>
      </c>
      <c r="F83" s="51">
        <f>SUMIFS('NeT PR - table_export'!$H:$H,'NeT PR - table_export'!$D:$D,$B83,'NeT PR - table_export'!$F:$F,"Yes",'NeT PR - table_export'!$J:$J,"No")+SUMIFS('NeT PR - table_export'!$H:$H,'NeT PR - table_export'!$D:$D,$B83,'NeT PR - table_export'!$F:$F,"Yes",'NeT PR - table_export'!$J:$J,"Pending")+SUMIFS('NeT PR - table_export'!$H:$H,'NeT PR - table_export'!$D:$D,$B83,'NeT PR - table_export'!$F:$F,"Yes",'NeT PR - table_export'!$J:$J,"Hold")</f>
        <v>1380</v>
      </c>
      <c r="G83"/>
    </row>
    <row r="84" spans="2:8" x14ac:dyDescent="0.35">
      <c r="B84" s="56" t="s">
        <v>542</v>
      </c>
      <c r="C84" s="8">
        <f>COUNTIFS('NeT PR - table_export'!$D:$D,$B84,'NeT PR - table_export'!$F:$F,"Yes",'NeT PR - table_export'!$J:$J,"Yes")</f>
        <v>22</v>
      </c>
      <c r="D84" s="8">
        <f>COUNTIFS('NeT PR - table_export'!$D:$D,$B84,'NeT PR - table_export'!$F:$F,"Yes",'NeT PR - table_export'!$J:$J,"No")+COUNTIFS('NeT PR - table_export'!$D:$D,$B84,'NeT PR - table_export'!$F:$F,"Yes",'NeT PR - table_export'!$J:$J,"Pending")+COUNTIFS('NeT PR - table_export'!$D:$D,$B84,'NeT PR - table_export'!$F:$F,"Yes",'NeT PR - table_export'!$J:$J,"Hold")</f>
        <v>0</v>
      </c>
      <c r="E84" s="8">
        <f>SUMIFS('NeT PR - table_export'!$H:$H,'NeT PR - table_export'!$D:$D,$B84,'NeT PR - table_export'!$F:$F,"Yes",'NeT PR - table_export'!$J:$J,"Yes")</f>
        <v>556</v>
      </c>
      <c r="F84" s="51">
        <f>SUMIFS('NeT PR - table_export'!$H:$H,'NeT PR - table_export'!$D:$D,$B84,'NeT PR - table_export'!$F:$F,"Yes",'NeT PR - table_export'!$J:$J,"No")+SUMIFS('NeT PR - table_export'!$H:$H,'NeT PR - table_export'!$D:$D,$B84,'NeT PR - table_export'!$F:$F,"Yes",'NeT PR - table_export'!$J:$J,"Pending")+SUMIFS('NeT PR - table_export'!$H:$H,'NeT PR - table_export'!$D:$D,$B84,'NeT PR - table_export'!$F:$F,"Yes",'NeT PR - table_export'!$J:$J,"Hold")</f>
        <v>0</v>
      </c>
      <c r="G84"/>
    </row>
    <row r="85" spans="2:8" x14ac:dyDescent="0.35">
      <c r="B85" s="57" t="s">
        <v>535</v>
      </c>
      <c r="C85" s="8">
        <f>COUNTIFS('NeT PR - table_export'!$D:$D,$B85,'NeT PR - table_export'!$F:$F,"Yes",'NeT PR - table_export'!$J:$J,"Yes")</f>
        <v>0</v>
      </c>
      <c r="D85" s="8">
        <f>COUNTIFS('NeT PR - table_export'!$D:$D,$B85,'NeT PR - table_export'!$F:$F,"Yes",'NeT PR - table_export'!$J:$J,"No")+COUNTIFS('NeT PR - table_export'!$D:$D,$B85,'NeT PR - table_export'!$F:$F,"Yes",'NeT PR - table_export'!$J:$J,"Pending")+COUNTIFS('NeT PR - table_export'!$D:$D,$B85,'NeT PR - table_export'!$F:$F,"Yes",'NeT PR - table_export'!$J:$J,"Hold")</f>
        <v>21</v>
      </c>
      <c r="E85" s="8">
        <f>SUMIFS('NeT PR - table_export'!$H:$H,'NeT PR - table_export'!$D:$D,$B85,'NeT PR - table_export'!$F:$F,"Yes",'NeT PR - table_export'!$J:$J,"Yes")</f>
        <v>0</v>
      </c>
      <c r="F85" s="51">
        <f>SUMIFS('NeT PR - table_export'!$H:$H,'NeT PR - table_export'!$D:$D,$B85,'NeT PR - table_export'!$F:$F,"Yes",'NeT PR - table_export'!$J:$J,"No")+SUMIFS('NeT PR - table_export'!$H:$H,'NeT PR - table_export'!$D:$D,$B85,'NeT PR - table_export'!$F:$F,"Yes",'NeT PR - table_export'!$J:$J,"Pending")+SUMIFS('NeT PR - table_export'!$H:$H,'NeT PR - table_export'!$D:$D,$B85,'NeT PR - table_export'!$F:$F,"Yes",'NeT PR - table_export'!$J:$J,"Hold")</f>
        <v>1155</v>
      </c>
      <c r="G85"/>
    </row>
    <row r="86" spans="2:8" x14ac:dyDescent="0.35">
      <c r="B86" s="56" t="s">
        <v>537</v>
      </c>
      <c r="C86" s="8">
        <f>COUNTIFS('NeT PR - table_export'!$D:$D,$B86,'NeT PR - table_export'!$F:$F,"Yes",'NeT PR - table_export'!$J:$J,"Yes")</f>
        <v>21</v>
      </c>
      <c r="D86" s="8">
        <f>COUNTIFS('NeT PR - table_export'!$D:$D,$B86,'NeT PR - table_export'!$F:$F,"Yes",'NeT PR - table_export'!$J:$J,"No")+COUNTIFS('NeT PR - table_export'!$D:$D,$B86,'NeT PR - table_export'!$F:$F,"Yes",'NeT PR - table_export'!$J:$J,"Pending")+COUNTIFS('NeT PR - table_export'!$D:$D,$B86,'NeT PR - table_export'!$F:$F,"Yes",'NeT PR - table_export'!$J:$J,"Hold")</f>
        <v>0</v>
      </c>
      <c r="E86" s="8">
        <f>SUMIFS('NeT PR - table_export'!$H:$H,'NeT PR - table_export'!$D:$D,$B86,'NeT PR - table_export'!$F:$F,"Yes",'NeT PR - table_export'!$J:$J,"Yes")</f>
        <v>6806</v>
      </c>
      <c r="F86" s="51">
        <f>SUMIFS('NeT PR - table_export'!$H:$H,'NeT PR - table_export'!$D:$D,$B86,'NeT PR - table_export'!$F:$F,"Yes",'NeT PR - table_export'!$J:$J,"No")+SUMIFS('NeT PR - table_export'!$H:$H,'NeT PR - table_export'!$D:$D,$B86,'NeT PR - table_export'!$F:$F,"Yes",'NeT PR - table_export'!$J:$J,"Pending")+SUMIFS('NeT PR - table_export'!$H:$H,'NeT PR - table_export'!$D:$D,$B86,'NeT PR - table_export'!$F:$F,"Yes",'NeT PR - table_export'!$J:$J,"Hold")</f>
        <v>0</v>
      </c>
      <c r="G86"/>
    </row>
    <row r="87" spans="2:8" ht="15" thickBot="1" x14ac:dyDescent="0.4">
      <c r="B87" s="58" t="s">
        <v>541</v>
      </c>
      <c r="C87" s="36">
        <f>COUNTIFS('NeT PR - table_export'!$D:$D,$B87,'NeT PR - table_export'!$F:$F,"Yes",'NeT PR - table_export'!$J:$J,"Yes")</f>
        <v>0</v>
      </c>
      <c r="D87" s="36">
        <f>COUNTIFS('NeT PR - table_export'!$D:$D,$B87,'NeT PR - table_export'!$F:$F,"Yes",'NeT PR - table_export'!$J:$J,"No")+COUNTIFS('NeT PR - table_export'!$D:$D,$B87,'NeT PR - table_export'!$F:$F,"Yes",'NeT PR - table_export'!$J:$J,"Pending")+COUNTIFS('NeT PR - table_export'!$D:$D,$B87,'NeT PR - table_export'!$F:$F,"Yes",'NeT PR - table_export'!$J:$J,"Hold")</f>
        <v>11</v>
      </c>
      <c r="E87" s="36">
        <f>SUMIFS('NeT PR - table_export'!$H:$H,'NeT PR - table_export'!$D:$D,$B87,'NeT PR - table_export'!$F:$F,"Yes",'NeT PR - table_export'!$J:$J,"Yes")</f>
        <v>0</v>
      </c>
      <c r="F87" s="52">
        <f>SUMIFS('NeT PR - table_export'!$H:$H,'NeT PR - table_export'!$D:$D,$B87,'NeT PR - table_export'!$F:$F,"Yes",'NeT PR - table_export'!$J:$J,"No")+SUMIFS('NeT PR - table_export'!$H:$H,'NeT PR - table_export'!$D:$D,$B87,'NeT PR - table_export'!$F:$F,"Yes",'NeT PR - table_export'!$J:$J,"Pending")+SUMIFS('NeT PR - table_export'!$H:$H,'NeT PR - table_export'!$D:$D,$B87,'NeT PR - table_export'!$F:$F,"Yes",'NeT PR - table_export'!$J:$J,"Hold")</f>
        <v>74</v>
      </c>
      <c r="G87"/>
    </row>
    <row r="88" spans="2:8" x14ac:dyDescent="0.35">
      <c r="C88" s="4"/>
      <c r="D88" s="4"/>
      <c r="E88" s="4"/>
      <c r="F88" s="4"/>
    </row>
    <row r="89" spans="2:8" x14ac:dyDescent="0.35">
      <c r="B89" s="23" t="s">
        <v>420</v>
      </c>
      <c r="C89" s="4">
        <f>SUM(C81:C87)</f>
        <v>100</v>
      </c>
      <c r="D89" s="4">
        <f>SUM(D81:D87)</f>
        <v>60</v>
      </c>
      <c r="E89" s="4">
        <f>SUM(E81:E87)</f>
        <v>12499</v>
      </c>
      <c r="F89" s="4">
        <f>SUM(F81:F87)</f>
        <v>4162</v>
      </c>
      <c r="H89" s="3"/>
    </row>
    <row r="90" spans="2:8" ht="15" thickBot="1" x14ac:dyDescent="0.4"/>
    <row r="91" spans="2:8" ht="29" x14ac:dyDescent="0.35">
      <c r="B91" s="29" t="s">
        <v>463</v>
      </c>
      <c r="C91" s="29" t="s">
        <v>620</v>
      </c>
      <c r="E91" s="29" t="s">
        <v>463</v>
      </c>
      <c r="F91" s="32" t="s">
        <v>621</v>
      </c>
      <c r="G91"/>
    </row>
    <row r="92" spans="2:8" x14ac:dyDescent="0.35">
      <c r="B92" s="30" t="s">
        <v>622</v>
      </c>
      <c r="C92" s="64">
        <f>C89</f>
        <v>100</v>
      </c>
      <c r="E92" s="30" t="s">
        <v>622</v>
      </c>
      <c r="F92" s="59">
        <f>E89</f>
        <v>12499</v>
      </c>
      <c r="G92"/>
    </row>
    <row r="93" spans="2:8" ht="15" thickBot="1" x14ac:dyDescent="0.4">
      <c r="B93" s="31" t="s">
        <v>2706</v>
      </c>
      <c r="C93" s="65">
        <f>D89</f>
        <v>60</v>
      </c>
      <c r="E93" s="31" t="s">
        <v>2706</v>
      </c>
      <c r="F93" s="60">
        <f>F89</f>
        <v>4162</v>
      </c>
      <c r="G93"/>
    </row>
    <row r="94" spans="2:8" x14ac:dyDescent="0.35">
      <c r="F94" s="61"/>
      <c r="G94"/>
    </row>
    <row r="95" spans="2:8" x14ac:dyDescent="0.35">
      <c r="B95" s="5" t="s">
        <v>420</v>
      </c>
      <c r="C95" s="3">
        <f>SUM(C92:C93)</f>
        <v>160</v>
      </c>
      <c r="E95" s="5" t="s">
        <v>420</v>
      </c>
      <c r="F95" s="4">
        <f>SUM(F92:F93)</f>
        <v>16661</v>
      </c>
      <c r="G95"/>
    </row>
    <row r="96" spans="2:8" ht="15" thickBot="1" x14ac:dyDescent="0.4">
      <c r="F96"/>
      <c r="G96"/>
    </row>
    <row r="97" spans="2:7" ht="29" x14ac:dyDescent="0.35">
      <c r="B97" s="29" t="s">
        <v>467</v>
      </c>
      <c r="C97" s="29" t="s">
        <v>620</v>
      </c>
      <c r="E97" s="29" t="s">
        <v>467</v>
      </c>
      <c r="F97" s="32" t="s">
        <v>621</v>
      </c>
      <c r="G97"/>
    </row>
    <row r="98" spans="2:7" x14ac:dyDescent="0.35">
      <c r="B98" s="40" t="s">
        <v>468</v>
      </c>
      <c r="C98" s="64">
        <f>C78</f>
        <v>160</v>
      </c>
      <c r="E98" s="40" t="s">
        <v>468</v>
      </c>
      <c r="F98" s="59">
        <f>E78</f>
        <v>16661</v>
      </c>
      <c r="G98"/>
    </row>
    <row r="99" spans="2:7" ht="15" thickBot="1" x14ac:dyDescent="0.4">
      <c r="B99" s="41" t="s">
        <v>469</v>
      </c>
      <c r="C99" s="65">
        <f>D78</f>
        <v>0</v>
      </c>
      <c r="E99" s="41" t="s">
        <v>469</v>
      </c>
      <c r="F99" s="60">
        <f>F78</f>
        <v>0</v>
      </c>
      <c r="G99"/>
    </row>
    <row r="100" spans="2:7" x14ac:dyDescent="0.35">
      <c r="F100" s="61"/>
      <c r="G100"/>
    </row>
    <row r="101" spans="2:7" x14ac:dyDescent="0.35">
      <c r="B101" s="5" t="s">
        <v>420</v>
      </c>
      <c r="C101" s="3">
        <f>SUM(C98:C99)</f>
        <v>160</v>
      </c>
      <c r="E101" s="5" t="s">
        <v>420</v>
      </c>
      <c r="F101" s="4">
        <f>SUM(F98:F99)</f>
        <v>16661</v>
      </c>
      <c r="G101"/>
    </row>
    <row r="102" spans="2:7" ht="15" thickBot="1" x14ac:dyDescent="0.4"/>
    <row r="103" spans="2:7" ht="58.5" customHeight="1" x14ac:dyDescent="0.35">
      <c r="B103" s="29" t="s">
        <v>463</v>
      </c>
      <c r="C103" s="29" t="s">
        <v>2185</v>
      </c>
      <c r="D103" s="32" t="s">
        <v>2186</v>
      </c>
      <c r="E103" s="32" t="s">
        <v>2187</v>
      </c>
    </row>
    <row r="104" spans="2:7" x14ac:dyDescent="0.35">
      <c r="B104" s="30" t="s">
        <v>465</v>
      </c>
      <c r="C104" s="64">
        <f>C92</f>
        <v>100</v>
      </c>
      <c r="D104" s="33">
        <f>F92</f>
        <v>12499</v>
      </c>
      <c r="E104" s="33">
        <f>'State &amp; Regional NeT PR View'!D164</f>
        <v>28</v>
      </c>
    </row>
    <row r="105" spans="2:7" ht="15" thickBot="1" x14ac:dyDescent="0.4">
      <c r="B105" s="31" t="s">
        <v>466</v>
      </c>
      <c r="C105" s="65">
        <f>C93</f>
        <v>60</v>
      </c>
      <c r="D105" s="34">
        <f>F93</f>
        <v>4162</v>
      </c>
      <c r="E105" s="34">
        <f>'State &amp; Regional NeT PR View'!E164</f>
        <v>37</v>
      </c>
    </row>
    <row r="107" spans="2:7" x14ac:dyDescent="0.35">
      <c r="B107" s="5" t="s">
        <v>420</v>
      </c>
      <c r="C107" s="4">
        <f>SUM(C104:C105)</f>
        <v>160</v>
      </c>
      <c r="D107" s="4">
        <f>SUM(D104:D105)</f>
        <v>16661</v>
      </c>
      <c r="E107" s="4">
        <f>SUM(E104:E105)</f>
        <v>65</v>
      </c>
    </row>
  </sheetData>
  <pageMargins left="0.7" right="0.7" top="0.75" bottom="0.75" header="0.3" footer="0.3"/>
  <pageSetup orientation="portrait" verticalDpi="597"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1"/>
  <sheetViews>
    <sheetView zoomScale="85" zoomScaleNormal="85" workbookViewId="0"/>
  </sheetViews>
  <sheetFormatPr defaultColWidth="9.1796875" defaultRowHeight="14.5" x14ac:dyDescent="0.35"/>
  <cols>
    <col min="1" max="1" width="3.81640625" style="2" customWidth="1"/>
    <col min="2" max="2" width="9.453125" style="3" customWidth="1"/>
    <col min="3" max="3" width="47" style="2" customWidth="1"/>
    <col min="4" max="4" width="58.90625" style="2" bestFit="1" customWidth="1"/>
    <col min="5" max="5" width="11.7265625" style="3" customWidth="1"/>
    <col min="6" max="7" width="9.1796875" style="2"/>
    <col min="8" max="8" width="18.54296875" style="3" customWidth="1"/>
    <col min="9" max="10" width="19.453125" style="3" customWidth="1"/>
    <col min="11" max="11" width="18.453125" style="3" customWidth="1"/>
    <col min="12" max="12" width="19.54296875" style="3" customWidth="1"/>
    <col min="13" max="13" width="16.1796875" style="3" customWidth="1"/>
    <col min="14" max="14" width="18.1796875" style="3" customWidth="1"/>
    <col min="15" max="15" width="19.453125" style="2" customWidth="1"/>
    <col min="16" max="16" width="19.54296875" style="2" customWidth="1"/>
    <col min="17" max="17" width="17.1796875" style="2" customWidth="1"/>
    <col min="18" max="18" width="14.1796875" style="3" customWidth="1"/>
    <col min="19" max="19" width="13.453125" customWidth="1"/>
    <col min="22" max="16384" width="9.1796875" style="2"/>
  </cols>
  <sheetData>
    <row r="1" spans="1:19" x14ac:dyDescent="0.35">
      <c r="A1" s="6" t="s">
        <v>2713</v>
      </c>
    </row>
    <row r="2" spans="1:19" x14ac:dyDescent="0.35">
      <c r="A2" s="6" t="s">
        <v>462</v>
      </c>
      <c r="C2" s="193">
        <f>'NeT Roadmap'!$C$3</f>
        <v>45688</v>
      </c>
      <c r="D2" s="137"/>
    </row>
    <row r="3" spans="1:19" ht="15" thickBot="1" x14ac:dyDescent="0.4"/>
    <row r="4" spans="1:19" ht="72.5" x14ac:dyDescent="0.35">
      <c r="A4" s="43" t="s">
        <v>421</v>
      </c>
      <c r="B4" s="44" t="s">
        <v>419</v>
      </c>
      <c r="C4" s="45" t="s">
        <v>2925</v>
      </c>
      <c r="D4" s="245" t="s">
        <v>3079</v>
      </c>
      <c r="E4" s="48" t="s">
        <v>525</v>
      </c>
      <c r="F4" s="49" t="s">
        <v>523</v>
      </c>
      <c r="G4" s="50" t="s">
        <v>524</v>
      </c>
      <c r="H4" s="48" t="s">
        <v>526</v>
      </c>
      <c r="I4" s="49" t="s">
        <v>527</v>
      </c>
      <c r="J4" s="219" t="s">
        <v>528</v>
      </c>
      <c r="K4" s="48" t="s">
        <v>2262</v>
      </c>
      <c r="L4" s="49" t="s">
        <v>2252</v>
      </c>
      <c r="M4" s="50" t="s">
        <v>2195</v>
      </c>
      <c r="N4" s="220" t="s">
        <v>2250</v>
      </c>
      <c r="O4" s="49" t="s">
        <v>2260</v>
      </c>
      <c r="P4" s="49" t="s">
        <v>520</v>
      </c>
      <c r="Q4" s="49" t="s">
        <v>519</v>
      </c>
      <c r="R4" s="49" t="s">
        <v>518</v>
      </c>
      <c r="S4" s="50" t="s">
        <v>2259</v>
      </c>
    </row>
    <row r="5" spans="1:19" ht="29" x14ac:dyDescent="0.35">
      <c r="A5" s="13">
        <v>1</v>
      </c>
      <c r="B5" s="7" t="s">
        <v>25</v>
      </c>
      <c r="C5" s="66" t="s">
        <v>110</v>
      </c>
      <c r="D5" s="246" t="str" cm="1">
        <f t="array" ref="D5">VLOOKUP(MAX(('ELMS Categories'!$D$5:$M$14=$C5)*ROW('ELMS Categories'!$D$5:$M$14))-4,'ELMS Categories'!$B$5:$C$14,2,FALSE)</f>
        <v>Aquaculture and Seafood Processing</v>
      </c>
      <c r="E5" s="13">
        <f>SUM(F5:G5)</f>
        <v>10</v>
      </c>
      <c r="F5" s="7">
        <f>COUNTIFS('NeT GP - table_export'!$N:$N,$C5, 'NeT GP - table_export'!$K:$K,"Yes",'NeT GP - table_export'!$L:$L,"Yes")</f>
        <v>6</v>
      </c>
      <c r="G5" s="14">
        <f>COUNTIFS('NeT GP - table_export'!$N:$N,$C5, 'NeT GP - table_export'!$K:$K,"No",'NeT GP - table_export'!$L:$L,"Yes")</f>
        <v>4</v>
      </c>
      <c r="H5" s="17">
        <f>SUM(I5:J5)</f>
        <v>170</v>
      </c>
      <c r="I5" s="8">
        <f>SUMIFS('NeT GP - table_export'!$J:$J,'NeT GP - table_export'!$N:$N,$C5,'NeT GP - table_export'!$K:$K,"Yes",'NeT GP - table_export'!$L:$L,"Yes")</f>
        <v>50</v>
      </c>
      <c r="J5" s="131">
        <f>SUMIFS('NeT GP - table_export'!$J:$J,'NeT GP - table_export'!$N:$N,$C5,'NeT GP - table_export'!$K:$K,"No",'NeT GP - table_export'!$L:$L,"Yes")</f>
        <v>120</v>
      </c>
      <c r="K5" s="173" t="s">
        <v>3201</v>
      </c>
      <c r="L5" s="174" t="s">
        <v>2261</v>
      </c>
      <c r="M5" s="148">
        <v>1</v>
      </c>
      <c r="N5" s="238" t="s">
        <v>443</v>
      </c>
      <c r="O5" s="235" t="s">
        <v>6</v>
      </c>
      <c r="P5" s="239">
        <v>43374</v>
      </c>
      <c r="Q5" s="239">
        <v>43434</v>
      </c>
      <c r="R5" s="217">
        <f>Q5-P5</f>
        <v>60</v>
      </c>
      <c r="S5" s="14" t="str">
        <f>IF(LEN(R5)&gt;0,"Complete","Not Complete")</f>
        <v>Complete</v>
      </c>
    </row>
    <row r="6" spans="1:19" ht="29" x14ac:dyDescent="0.35">
      <c r="A6" s="13">
        <f>A5+1</f>
        <v>2</v>
      </c>
      <c r="B6" s="7" t="s">
        <v>25</v>
      </c>
      <c r="C6" s="66" t="s">
        <v>24</v>
      </c>
      <c r="D6" s="246" t="str" cm="1">
        <f t="array" ref="D6">VLOOKUP(MAX(('ELMS Categories'!$D$5:$M$14=$C6)*ROW('ELMS Categories'!$D$5:$M$14))-4,'ELMS Categories'!$B$5:$C$14,2,FALSE)</f>
        <v>Stormwater - Construction</v>
      </c>
      <c r="E6" s="13">
        <f t="shared" ref="E6:E26" si="0">SUM(F6:G6)</f>
        <v>56</v>
      </c>
      <c r="F6" s="7">
        <f>COUNTIFS('NeT GP - table_export'!$N:$N,$C6, 'NeT GP - table_export'!$K:$K,"Yes",'NeT GP - table_export'!$L:$L,"Yes")</f>
        <v>49</v>
      </c>
      <c r="G6" s="14">
        <f>COUNTIFS('NeT GP - table_export'!$N:$N,$C6, 'NeT GP - table_export'!$K:$K,"No",'NeT GP - table_export'!$L:$L,"Yes")</f>
        <v>7</v>
      </c>
      <c r="H6" s="17">
        <f t="shared" ref="H6:H26" si="1">SUM(I6:J6)</f>
        <v>19081</v>
      </c>
      <c r="I6" s="8">
        <f>SUMIFS('NeT GP - table_export'!$J:$J,'NeT GP - table_export'!$N:$N,$C6,'NeT GP - table_export'!$K:$K,"Yes",'NeT GP - table_export'!$L:$L,"Yes")</f>
        <v>10757</v>
      </c>
      <c r="J6" s="131">
        <f>SUMIFS('NeT GP - table_export'!$J:$J,'NeT GP - table_export'!$N:$N,$C6,'NeT GP - table_export'!$K:$K,"No",'NeT GP - table_export'!$L:$L,"Yes")</f>
        <v>8324</v>
      </c>
      <c r="K6" s="173" t="s">
        <v>1905</v>
      </c>
      <c r="L6" s="174" t="s">
        <v>2261</v>
      </c>
      <c r="M6" s="148">
        <v>1</v>
      </c>
      <c r="N6" s="238" t="s">
        <v>443</v>
      </c>
      <c r="O6" s="235" t="s">
        <v>6</v>
      </c>
      <c r="P6" s="239">
        <v>43374</v>
      </c>
      <c r="Q6" s="239">
        <v>43497</v>
      </c>
      <c r="R6" s="217">
        <f t="shared" ref="R6:R26" si="2">Q6-P6</f>
        <v>123</v>
      </c>
      <c r="S6" s="14" t="str">
        <f t="shared" ref="S6:S26" si="3">IF(LEN(R6)&gt;0,"Complete","Not Complete")</f>
        <v>Complete</v>
      </c>
    </row>
    <row r="7" spans="1:19" x14ac:dyDescent="0.35">
      <c r="A7" s="13">
        <f t="shared" ref="A7:A26" si="4">A6+1</f>
        <v>3</v>
      </c>
      <c r="B7" s="7" t="s">
        <v>25</v>
      </c>
      <c r="C7" s="66" t="s">
        <v>28</v>
      </c>
      <c r="D7" s="246" t="str" cm="1">
        <f t="array" ref="D7">VLOOKUP(MAX(('ELMS Categories'!$D$5:$M$14=$C7)*ROW('ELMS Categories'!$D$5:$M$14))-4,'ELMS Categories'!$B$5:$C$14,2,FALSE)</f>
        <v>Stormwater - Industrial</v>
      </c>
      <c r="E7" s="13">
        <f t="shared" si="0"/>
        <v>63</v>
      </c>
      <c r="F7" s="7">
        <f>COUNTIFS('NeT GP - table_export'!$N:$N,$C7, 'NeT GP - table_export'!$K:$K,"Yes",'NeT GP - table_export'!$L:$L,"Yes")</f>
        <v>50</v>
      </c>
      <c r="G7" s="14">
        <f>COUNTIFS('NeT GP - table_export'!$N:$N,$C7, 'NeT GP - table_export'!$K:$K,"No",'NeT GP - table_export'!$L:$L,"Yes")</f>
        <v>13</v>
      </c>
      <c r="H7" s="17">
        <f t="shared" si="1"/>
        <v>12070</v>
      </c>
      <c r="I7" s="8">
        <f>SUMIFS('NeT GP - table_export'!$J:$J,'NeT GP - table_export'!$N:$N,$C7,'NeT GP - table_export'!$K:$K,"Yes",'NeT GP - table_export'!$L:$L,"Yes")</f>
        <v>2292</v>
      </c>
      <c r="J7" s="131">
        <f>SUMIFS('NeT GP - table_export'!$J:$J,'NeT GP - table_export'!$N:$N,$C7,'NeT GP - table_export'!$K:$K,"No",'NeT GP - table_export'!$L:$L,"Yes")</f>
        <v>9778</v>
      </c>
      <c r="K7" s="173" t="s">
        <v>1905</v>
      </c>
      <c r="L7" s="174" t="s">
        <v>2253</v>
      </c>
      <c r="M7" s="148">
        <v>1</v>
      </c>
      <c r="N7" s="238" t="s">
        <v>443</v>
      </c>
      <c r="O7" s="235" t="s">
        <v>6</v>
      </c>
      <c r="P7" s="239">
        <v>43374</v>
      </c>
      <c r="Q7" s="239">
        <v>43553</v>
      </c>
      <c r="R7" s="217">
        <f t="shared" si="2"/>
        <v>179</v>
      </c>
      <c r="S7" s="14" t="str">
        <f t="shared" si="3"/>
        <v>Complete</v>
      </c>
    </row>
    <row r="8" spans="1:19" x14ac:dyDescent="0.35">
      <c r="A8" s="13">
        <f t="shared" si="4"/>
        <v>4</v>
      </c>
      <c r="B8" s="7" t="s">
        <v>49</v>
      </c>
      <c r="C8" s="66" t="s">
        <v>106</v>
      </c>
      <c r="D8" s="246" t="str" cm="1">
        <f t="array" ref="D8">VLOOKUP(MAX(('ELMS Categories'!$D$5:$M$14=$C8)*ROW('ELMS Categories'!$D$5:$M$14))-4,'ELMS Categories'!$B$5:$C$14,2,FALSE)</f>
        <v>Concentrated Animal Feeding Operations (CAFOs)</v>
      </c>
      <c r="E8" s="13">
        <f t="shared" si="0"/>
        <v>10</v>
      </c>
      <c r="F8" s="7">
        <f>COUNTIFS('NeT GP - table_export'!$N:$N,$C8, 'NeT GP - table_export'!$K:$K,"Yes",'NeT GP - table_export'!$L:$L,"Yes")</f>
        <v>2</v>
      </c>
      <c r="G8" s="14">
        <f>COUNTIFS('NeT GP - table_export'!$N:$N,$C8, 'NeT GP - table_export'!$K:$K,"No",'NeT GP - table_export'!$L:$L,"Yes")</f>
        <v>8</v>
      </c>
      <c r="H8" s="17">
        <f t="shared" si="1"/>
        <v>502</v>
      </c>
      <c r="I8" s="8">
        <f>SUMIFS('NeT GP - table_export'!$J:$J,'NeT GP - table_export'!$N:$N,$C8,'NeT GP - table_export'!$K:$K,"Yes",'NeT GP - table_export'!$L:$L,"Yes")</f>
        <v>20</v>
      </c>
      <c r="J8" s="131">
        <f>SUMIFS('NeT GP - table_export'!$J:$J,'NeT GP - table_export'!$N:$N,$C8,'NeT GP - table_export'!$K:$K,"No",'NeT GP - table_export'!$L:$L,"Yes")</f>
        <v>482</v>
      </c>
      <c r="K8" s="173" t="s">
        <v>443</v>
      </c>
      <c r="L8" s="174" t="s">
        <v>2256</v>
      </c>
      <c r="M8" s="148">
        <v>4</v>
      </c>
      <c r="N8" s="238" t="s">
        <v>444</v>
      </c>
      <c r="O8" s="235" t="s">
        <v>6</v>
      </c>
      <c r="P8" s="239">
        <v>43437</v>
      </c>
      <c r="Q8" s="239">
        <v>43602</v>
      </c>
      <c r="R8" s="217">
        <f t="shared" si="2"/>
        <v>165</v>
      </c>
      <c r="S8" s="14" t="str">
        <f t="shared" si="3"/>
        <v>Complete</v>
      </c>
    </row>
    <row r="9" spans="1:19" ht="29" x14ac:dyDescent="0.35">
      <c r="A9" s="13">
        <f t="shared" si="4"/>
        <v>5</v>
      </c>
      <c r="B9" s="7" t="s">
        <v>49</v>
      </c>
      <c r="C9" s="66" t="s">
        <v>48</v>
      </c>
      <c r="D9" s="246" t="str" cm="1">
        <f t="array" ref="D9">VLOOKUP(MAX(('ELMS Categories'!$D$5:$M$14=$C9)*ROW('ELMS Categories'!$D$5:$M$14))-4,'ELMS Categories'!$B$5:$C$14,2,FALSE)</f>
        <v>Domestic Wastewater and Drinking Water Treatment</v>
      </c>
      <c r="E9" s="13">
        <f t="shared" si="0"/>
        <v>17</v>
      </c>
      <c r="F9" s="7">
        <f>COUNTIFS('NeT GP - table_export'!$N:$N,$C9, 'NeT GP - table_export'!$K:$K,"Yes",'NeT GP - table_export'!$L:$L,"Yes")</f>
        <v>9</v>
      </c>
      <c r="G9" s="14">
        <f>COUNTIFS('NeT GP - table_export'!$N:$N,$C9, 'NeT GP - table_export'!$K:$K,"No",'NeT GP - table_export'!$L:$L,"Yes")</f>
        <v>8</v>
      </c>
      <c r="H9" s="17">
        <f t="shared" si="1"/>
        <v>1093</v>
      </c>
      <c r="I9" s="8">
        <f>SUMIFS('NeT GP - table_export'!$J:$J,'NeT GP - table_export'!$N:$N,$C9,'NeT GP - table_export'!$K:$K,"Yes",'NeT GP - table_export'!$L:$L,"Yes")</f>
        <v>259</v>
      </c>
      <c r="J9" s="131">
        <f>SUMIFS('NeT GP - table_export'!$J:$J,'NeT GP - table_export'!$N:$N,$C9,'NeT GP - table_export'!$K:$K,"No",'NeT GP - table_export'!$L:$L,"Yes")</f>
        <v>834</v>
      </c>
      <c r="K9" s="173" t="s">
        <v>3201</v>
      </c>
      <c r="L9" s="174" t="s">
        <v>2261</v>
      </c>
      <c r="M9" s="148">
        <v>3</v>
      </c>
      <c r="N9" s="238" t="s">
        <v>445</v>
      </c>
      <c r="O9" s="235" t="s">
        <v>6</v>
      </c>
      <c r="P9" s="239">
        <v>43802</v>
      </c>
      <c r="Q9" s="239">
        <v>44113</v>
      </c>
      <c r="R9" s="217">
        <f t="shared" si="2"/>
        <v>311</v>
      </c>
      <c r="S9" s="14" t="str">
        <f t="shared" si="3"/>
        <v>Complete</v>
      </c>
    </row>
    <row r="10" spans="1:19" ht="29" x14ac:dyDescent="0.35">
      <c r="A10" s="13">
        <f t="shared" si="4"/>
        <v>6</v>
      </c>
      <c r="B10" s="7" t="s">
        <v>49</v>
      </c>
      <c r="C10" s="66" t="s">
        <v>68</v>
      </c>
      <c r="D10" s="246" t="str" cm="1">
        <f t="array" ref="D10">VLOOKUP(MAX(('ELMS Categories'!$D$5:$M$14=$C10)*ROW('ELMS Categories'!$D$5:$M$14))-4,'ELMS Categories'!$B$5:$C$14,2,FALSE)</f>
        <v>Groundwater Remediation, Dewatering, and Hydrostatic Testing</v>
      </c>
      <c r="E10" s="13">
        <f t="shared" si="0"/>
        <v>11</v>
      </c>
      <c r="F10" s="7">
        <f>COUNTIFS('NeT GP - table_export'!$N:$N,$C10, 'NeT GP - table_export'!$K:$K,"Yes",'NeT GP - table_export'!$L:$L,"Yes")</f>
        <v>5</v>
      </c>
      <c r="G10" s="14">
        <f>COUNTIFS('NeT GP - table_export'!$N:$N,$C10, 'NeT GP - table_export'!$K:$K,"No",'NeT GP - table_export'!$L:$L,"Yes")</f>
        <v>6</v>
      </c>
      <c r="H10" s="17">
        <f t="shared" si="1"/>
        <v>404</v>
      </c>
      <c r="I10" s="8">
        <f>SUMIFS('NeT GP - table_export'!$J:$J,'NeT GP - table_export'!$N:$N,$C10,'NeT GP - table_export'!$K:$K,"Yes",'NeT GP - table_export'!$L:$L,"Yes")</f>
        <v>152</v>
      </c>
      <c r="J10" s="131">
        <f>SUMIFS('NeT GP - table_export'!$J:$J,'NeT GP - table_export'!$N:$N,$C10,'NeT GP - table_export'!$K:$K,"No",'NeT GP - table_export'!$L:$L,"Yes")</f>
        <v>252</v>
      </c>
      <c r="K10" s="173" t="s">
        <v>3201</v>
      </c>
      <c r="L10" s="174" t="s">
        <v>2261</v>
      </c>
      <c r="M10" s="148">
        <v>2</v>
      </c>
      <c r="N10" s="238" t="s">
        <v>443</v>
      </c>
      <c r="O10" s="235" t="s">
        <v>6</v>
      </c>
      <c r="P10" s="239">
        <v>43528</v>
      </c>
      <c r="Q10" s="239">
        <v>43588</v>
      </c>
      <c r="R10" s="217">
        <f t="shared" si="2"/>
        <v>60</v>
      </c>
      <c r="S10" s="14" t="str">
        <f t="shared" si="3"/>
        <v>Complete</v>
      </c>
    </row>
    <row r="11" spans="1:19" ht="29" x14ac:dyDescent="0.35">
      <c r="A11" s="13">
        <f t="shared" si="4"/>
        <v>7</v>
      </c>
      <c r="B11" s="7" t="s">
        <v>49</v>
      </c>
      <c r="C11" s="66" t="s">
        <v>115</v>
      </c>
      <c r="D11" s="246" t="str" cm="1">
        <f t="array" ref="D11">VLOOKUP(MAX(('ELMS Categories'!$D$5:$M$14=$C11)*ROW('ELMS Categories'!$D$5:$M$14))-4,'ELMS Categories'!$B$5:$C$14,2,FALSE)</f>
        <v>Miscellaneous Discharges</v>
      </c>
      <c r="E11" s="13">
        <f t="shared" si="0"/>
        <v>4</v>
      </c>
      <c r="F11" s="7">
        <f>COUNTIFS('NeT GP - table_export'!$N:$N,$C11, 'NeT GP - table_export'!$K:$K,"Yes",'NeT GP - table_export'!$L:$L,"Yes")</f>
        <v>0</v>
      </c>
      <c r="G11" s="14">
        <f>COUNTIFS('NeT GP - table_export'!$N:$N,$C11, 'NeT GP - table_export'!$K:$K,"No",'NeT GP - table_export'!$L:$L,"Yes")</f>
        <v>4</v>
      </c>
      <c r="H11" s="17">
        <f t="shared" si="1"/>
        <v>505</v>
      </c>
      <c r="I11" s="8">
        <f>SUMIFS('NeT GP - table_export'!$J:$J,'NeT GP - table_export'!$N:$N,$C11,'NeT GP - table_export'!$K:$K,"Yes",'NeT GP - table_export'!$L:$L,"Yes")</f>
        <v>0</v>
      </c>
      <c r="J11" s="131">
        <f>SUMIFS('NeT GP - table_export'!$J:$J,'NeT GP - table_export'!$N:$N,$C11,'NeT GP - table_export'!$K:$K,"No",'NeT GP - table_export'!$L:$L,"Yes")</f>
        <v>505</v>
      </c>
      <c r="K11" s="173" t="s">
        <v>443</v>
      </c>
      <c r="L11" s="174" t="s">
        <v>2261</v>
      </c>
      <c r="M11" s="148">
        <v>4</v>
      </c>
      <c r="N11" s="238" t="s">
        <v>445</v>
      </c>
      <c r="O11" s="235" t="s">
        <v>6</v>
      </c>
      <c r="P11" s="239">
        <v>43528</v>
      </c>
      <c r="Q11" s="239">
        <v>43588</v>
      </c>
      <c r="R11" s="217">
        <f t="shared" si="2"/>
        <v>60</v>
      </c>
      <c r="S11" s="14" t="str">
        <f t="shared" si="3"/>
        <v>Complete</v>
      </c>
    </row>
    <row r="12" spans="1:19" ht="29" x14ac:dyDescent="0.35">
      <c r="A12" s="13">
        <f t="shared" si="4"/>
        <v>8</v>
      </c>
      <c r="B12" s="7" t="s">
        <v>17</v>
      </c>
      <c r="C12" s="66" t="s">
        <v>117</v>
      </c>
      <c r="D12" s="246" t="str" cm="1">
        <f t="array" ref="D12">VLOOKUP(MAX(('ELMS Categories'!$D$5:$M$14=$C12)*ROW('ELMS Categories'!$D$5:$M$14))-4,'ELMS Categories'!$B$5:$C$14,2,FALSE)</f>
        <v>Domestic Wastewater and Drinking Water Treatment</v>
      </c>
      <c r="E12" s="13">
        <f t="shared" si="0"/>
        <v>11</v>
      </c>
      <c r="F12" s="7">
        <f>COUNTIFS('NeT GP - table_export'!$N:$N,$C12, 'NeT GP - table_export'!$K:$K,"Yes",'NeT GP - table_export'!$L:$L,"Yes")</f>
        <v>8</v>
      </c>
      <c r="G12" s="14">
        <f>COUNTIFS('NeT GP - table_export'!$N:$N,$C12, 'NeT GP - table_export'!$K:$K,"No",'NeT GP - table_export'!$L:$L,"Yes")</f>
        <v>3</v>
      </c>
      <c r="H12" s="17">
        <f t="shared" si="1"/>
        <v>380</v>
      </c>
      <c r="I12" s="8">
        <f>SUMIFS('NeT GP - table_export'!$J:$J,'NeT GP - table_export'!$N:$N,$C12,'NeT GP - table_export'!$K:$K,"Yes",'NeT GP - table_export'!$L:$L,"Yes")</f>
        <v>77</v>
      </c>
      <c r="J12" s="131">
        <f>SUMIFS('NeT GP - table_export'!$J:$J,'NeT GP - table_export'!$N:$N,$C12,'NeT GP - table_export'!$K:$K,"No",'NeT GP - table_export'!$L:$L,"Yes")</f>
        <v>303</v>
      </c>
      <c r="K12" s="173" t="s">
        <v>3201</v>
      </c>
      <c r="L12" s="174" t="s">
        <v>2261</v>
      </c>
      <c r="M12" s="148">
        <v>3</v>
      </c>
      <c r="N12" s="238" t="s">
        <v>443</v>
      </c>
      <c r="O12" s="235" t="s">
        <v>6</v>
      </c>
      <c r="P12" s="239">
        <v>43591</v>
      </c>
      <c r="Q12" s="239">
        <v>43651</v>
      </c>
      <c r="R12" s="217">
        <f t="shared" si="2"/>
        <v>60</v>
      </c>
      <c r="S12" s="14" t="str">
        <f t="shared" si="3"/>
        <v>Complete</v>
      </c>
    </row>
    <row r="13" spans="1:19" ht="29" x14ac:dyDescent="0.35">
      <c r="A13" s="13">
        <f t="shared" si="4"/>
        <v>9</v>
      </c>
      <c r="B13" s="7" t="s">
        <v>17</v>
      </c>
      <c r="C13" s="66" t="s">
        <v>174</v>
      </c>
      <c r="D13" s="246" t="str" cm="1">
        <f t="array" ref="D13">VLOOKUP(MAX(('ELMS Categories'!$D$5:$M$14=$C13)*ROW('ELMS Categories'!$D$5:$M$14))-4,'ELMS Categories'!$B$5:$C$14,2,FALSE)</f>
        <v>Miscellaneous Discharges</v>
      </c>
      <c r="E13" s="13">
        <f t="shared" si="0"/>
        <v>3</v>
      </c>
      <c r="F13" s="7">
        <f>COUNTIFS('NeT GP - table_export'!$N:$N,$C13, 'NeT GP - table_export'!$K:$K,"Yes",'NeT GP - table_export'!$L:$L,"Yes")</f>
        <v>2</v>
      </c>
      <c r="G13" s="14">
        <f>COUNTIFS('NeT GP - table_export'!$N:$N,$C13, 'NeT GP - table_export'!$K:$K,"No",'NeT GP - table_export'!$L:$L,"Yes")</f>
        <v>1</v>
      </c>
      <c r="H13" s="17">
        <f t="shared" si="1"/>
        <v>42</v>
      </c>
      <c r="I13" s="8">
        <f>SUMIFS('NeT GP - table_export'!$J:$J,'NeT GP - table_export'!$N:$N,$C13,'NeT GP - table_export'!$K:$K,"Yes",'NeT GP - table_export'!$L:$L,"Yes")</f>
        <v>27</v>
      </c>
      <c r="J13" s="131">
        <f>SUMIFS('NeT GP - table_export'!$J:$J,'NeT GP - table_export'!$N:$N,$C13,'NeT GP - table_export'!$K:$K,"No",'NeT GP - table_export'!$L:$L,"Yes")</f>
        <v>15</v>
      </c>
      <c r="K13" s="173" t="s">
        <v>443</v>
      </c>
      <c r="L13" s="174" t="s">
        <v>2261</v>
      </c>
      <c r="M13" s="148">
        <v>4</v>
      </c>
      <c r="N13" s="238" t="s">
        <v>446</v>
      </c>
      <c r="O13" s="235" t="s">
        <v>6</v>
      </c>
      <c r="P13" s="239">
        <v>43591</v>
      </c>
      <c r="Q13" s="239">
        <v>43672</v>
      </c>
      <c r="R13" s="217">
        <f t="shared" si="2"/>
        <v>81</v>
      </c>
      <c r="S13" s="14" t="str">
        <f t="shared" si="3"/>
        <v>Complete</v>
      </c>
    </row>
    <row r="14" spans="1:19" ht="29" x14ac:dyDescent="0.35">
      <c r="A14" s="13">
        <f t="shared" si="4"/>
        <v>10</v>
      </c>
      <c r="B14" s="7" t="s">
        <v>17</v>
      </c>
      <c r="C14" s="66" t="s">
        <v>16</v>
      </c>
      <c r="D14" s="246" t="str" cm="1">
        <f t="array" ref="D14">VLOOKUP(MAX(('ELMS Categories'!$D$5:$M$14=$C14)*ROW('ELMS Categories'!$D$5:$M$14))-4,'ELMS Categories'!$B$5:$C$14,2,FALSE)</f>
        <v>Aquaculture and Seafood Processing</v>
      </c>
      <c r="E14" s="13">
        <f t="shared" si="0"/>
        <v>4</v>
      </c>
      <c r="F14" s="7">
        <f>COUNTIFS('NeT GP - table_export'!$N:$N,$C14, 'NeT GP - table_export'!$K:$K,"Yes",'NeT GP - table_export'!$L:$L,"Yes")</f>
        <v>2</v>
      </c>
      <c r="G14" s="14">
        <f>COUNTIFS('NeT GP - table_export'!$N:$N,$C14, 'NeT GP - table_export'!$K:$K,"No",'NeT GP - table_export'!$L:$L,"Yes")</f>
        <v>2</v>
      </c>
      <c r="H14" s="17">
        <f t="shared" si="1"/>
        <v>113</v>
      </c>
      <c r="I14" s="8">
        <f>SUMIFS('NeT GP - table_export'!$J:$J,'NeT GP - table_export'!$N:$N,$C14,'NeT GP - table_export'!$K:$K,"Yes",'NeT GP - table_export'!$L:$L,"Yes")</f>
        <v>88</v>
      </c>
      <c r="J14" s="131">
        <f>SUMIFS('NeT GP - table_export'!$J:$J,'NeT GP - table_export'!$N:$N,$C14,'NeT GP - table_export'!$K:$K,"No",'NeT GP - table_export'!$L:$L,"Yes")</f>
        <v>25</v>
      </c>
      <c r="K14" s="173" t="s">
        <v>3201</v>
      </c>
      <c r="L14" s="174" t="s">
        <v>2261</v>
      </c>
      <c r="M14" s="148">
        <v>3</v>
      </c>
      <c r="N14" s="238" t="s">
        <v>444</v>
      </c>
      <c r="O14" s="235" t="s">
        <v>6</v>
      </c>
      <c r="P14" s="239">
        <v>43605</v>
      </c>
      <c r="Q14" s="239">
        <v>43665</v>
      </c>
      <c r="R14" s="217">
        <f t="shared" si="2"/>
        <v>60</v>
      </c>
      <c r="S14" s="14" t="str">
        <f t="shared" si="3"/>
        <v>Complete</v>
      </c>
    </row>
    <row r="15" spans="1:19" x14ac:dyDescent="0.35">
      <c r="A15" s="13">
        <f t="shared" si="4"/>
        <v>11</v>
      </c>
      <c r="B15" s="7" t="s">
        <v>17</v>
      </c>
      <c r="C15" s="66" t="s">
        <v>52</v>
      </c>
      <c r="D15" s="246" t="str" cm="1">
        <f t="array" ref="D15">VLOOKUP(MAX(('ELMS Categories'!$D$5:$M$14=$C15)*ROW('ELMS Categories'!$D$5:$M$14))-4,'ELMS Categories'!$B$5:$C$14,2,FALSE)</f>
        <v>Stormwater - MS4</v>
      </c>
      <c r="E15" s="13">
        <f t="shared" si="0"/>
        <v>23</v>
      </c>
      <c r="F15" s="7">
        <f>COUNTIFS('NeT GP - table_export'!$N:$N,$C15, 'NeT GP - table_export'!$K:$K,"Yes",'NeT GP - table_export'!$L:$L,"Yes")</f>
        <v>9</v>
      </c>
      <c r="G15" s="14">
        <f>COUNTIFS('NeT GP - table_export'!$N:$N,$C15, 'NeT GP - table_export'!$K:$K,"No",'NeT GP - table_export'!$L:$L,"Yes")</f>
        <v>14</v>
      </c>
      <c r="H15" s="17">
        <f t="shared" si="1"/>
        <v>1841</v>
      </c>
      <c r="I15" s="8">
        <f>SUMIFS('NeT GP - table_export'!$J:$J,'NeT GP - table_export'!$N:$N,$C15,'NeT GP - table_export'!$K:$K,"Yes",'NeT GP - table_export'!$L:$L,"Yes")</f>
        <v>445</v>
      </c>
      <c r="J15" s="131">
        <f>SUMIFS('NeT GP - table_export'!$J:$J,'NeT GP - table_export'!$N:$N,$C15,'NeT GP - table_export'!$K:$K,"No",'NeT GP - table_export'!$L:$L,"Yes")</f>
        <v>1396</v>
      </c>
      <c r="K15" s="221" t="s">
        <v>3200</v>
      </c>
      <c r="L15" s="174" t="s">
        <v>2256</v>
      </c>
      <c r="M15" s="148">
        <v>2</v>
      </c>
      <c r="N15" s="238" t="s">
        <v>443</v>
      </c>
      <c r="O15" s="235" t="s">
        <v>6</v>
      </c>
      <c r="P15" s="239">
        <v>43591</v>
      </c>
      <c r="Q15" s="239">
        <v>43749</v>
      </c>
      <c r="R15" s="217">
        <f t="shared" si="2"/>
        <v>158</v>
      </c>
      <c r="S15" s="14" t="str">
        <f t="shared" si="3"/>
        <v>Complete</v>
      </c>
    </row>
    <row r="16" spans="1:19" ht="29" x14ac:dyDescent="0.35">
      <c r="A16" s="13">
        <f t="shared" si="4"/>
        <v>12</v>
      </c>
      <c r="B16" s="7" t="s">
        <v>21</v>
      </c>
      <c r="C16" s="66" t="s">
        <v>170</v>
      </c>
      <c r="D16" s="246" t="str" cm="1">
        <f t="array" ref="D16">VLOOKUP(MAX(('ELMS Categories'!$D$5:$M$14=$C16)*ROW('ELMS Categories'!$D$5:$M$14))-4,'ELMS Categories'!$B$5:$C$14,2,FALSE)</f>
        <v>Groundwater Remediation, Dewatering, and Hydrostatic Testing</v>
      </c>
      <c r="E16" s="13">
        <f t="shared" si="0"/>
        <v>2</v>
      </c>
      <c r="F16" s="7">
        <f>COUNTIFS('NeT GP - table_export'!$N:$N,$C16, 'NeT GP - table_export'!$K:$K,"Yes",'NeT GP - table_export'!$L:$L,"Yes")</f>
        <v>0</v>
      </c>
      <c r="G16" s="14">
        <f>COUNTIFS('NeT GP - table_export'!$N:$N,$C16, 'NeT GP - table_export'!$K:$K,"No",'NeT GP - table_export'!$L:$L,"Yes")</f>
        <v>2</v>
      </c>
      <c r="H16" s="17">
        <f t="shared" si="1"/>
        <v>85</v>
      </c>
      <c r="I16" s="8">
        <f>SUMIFS('NeT GP - table_export'!$J:$J,'NeT GP - table_export'!$N:$N,$C16,'NeT GP - table_export'!$K:$K,"Yes",'NeT GP - table_export'!$L:$L,"Yes")</f>
        <v>0</v>
      </c>
      <c r="J16" s="131">
        <f>SUMIFS('NeT GP - table_export'!$J:$J,'NeT GP - table_export'!$N:$N,$C16,'NeT GP - table_export'!$K:$K,"No",'NeT GP - table_export'!$L:$L,"Yes")</f>
        <v>85</v>
      </c>
      <c r="K16" s="173" t="s">
        <v>3201</v>
      </c>
      <c r="L16" s="174" t="s">
        <v>2261</v>
      </c>
      <c r="M16" s="148">
        <v>2</v>
      </c>
      <c r="N16" s="238" t="s">
        <v>443</v>
      </c>
      <c r="O16" s="235" t="s">
        <v>6</v>
      </c>
      <c r="P16" s="239">
        <v>43668</v>
      </c>
      <c r="Q16" s="239">
        <v>43728</v>
      </c>
      <c r="R16" s="217">
        <f t="shared" si="2"/>
        <v>60</v>
      </c>
      <c r="S16" s="14" t="str">
        <f t="shared" si="3"/>
        <v>Complete</v>
      </c>
    </row>
    <row r="17" spans="1:19" ht="29" x14ac:dyDescent="0.35">
      <c r="A17" s="13">
        <f t="shared" si="4"/>
        <v>13</v>
      </c>
      <c r="B17" s="7" t="s">
        <v>21</v>
      </c>
      <c r="C17" s="66" t="s">
        <v>178</v>
      </c>
      <c r="D17" s="246" t="str" cm="1">
        <f t="array" ref="D17">VLOOKUP(MAX(('ELMS Categories'!$D$5:$M$14=$C17)*ROW('ELMS Categories'!$D$5:$M$14))-4,'ELMS Categories'!$B$5:$C$14,2,FALSE)</f>
        <v>Miscellaneous Discharges</v>
      </c>
      <c r="E17" s="13">
        <f t="shared" si="0"/>
        <v>2</v>
      </c>
      <c r="F17" s="7">
        <f>COUNTIFS('NeT GP - table_export'!$N:$N,$C17, 'NeT GP - table_export'!$K:$K,"Yes",'NeT GP - table_export'!$L:$L,"Yes")</f>
        <v>2</v>
      </c>
      <c r="G17" s="14">
        <f>COUNTIFS('NeT GP - table_export'!$N:$N,$C17, 'NeT GP - table_export'!$K:$K,"No",'NeT GP - table_export'!$L:$L,"Yes")</f>
        <v>0</v>
      </c>
      <c r="H17" s="17">
        <f t="shared" si="1"/>
        <v>59</v>
      </c>
      <c r="I17" s="8">
        <f>SUMIFS('NeT GP - table_export'!$J:$J,'NeT GP - table_export'!$N:$N,$C17,'NeT GP - table_export'!$K:$K,"Yes",'NeT GP - table_export'!$L:$L,"Yes")</f>
        <v>59</v>
      </c>
      <c r="J17" s="131">
        <f>SUMIFS('NeT GP - table_export'!$J:$J,'NeT GP - table_export'!$N:$N,$C17,'NeT GP - table_export'!$K:$K,"No",'NeT GP - table_export'!$L:$L,"Yes")</f>
        <v>0</v>
      </c>
      <c r="K17" s="173" t="s">
        <v>443</v>
      </c>
      <c r="L17" s="174" t="s">
        <v>2261</v>
      </c>
      <c r="M17" s="148">
        <v>4</v>
      </c>
      <c r="N17" s="238" t="s">
        <v>443</v>
      </c>
      <c r="O17" s="235" t="s">
        <v>6</v>
      </c>
      <c r="P17" s="239">
        <v>43668</v>
      </c>
      <c r="Q17" s="239">
        <v>43728</v>
      </c>
      <c r="R17" s="217">
        <f t="shared" si="2"/>
        <v>60</v>
      </c>
      <c r="S17" s="14" t="str">
        <f t="shared" si="3"/>
        <v>Complete</v>
      </c>
    </row>
    <row r="18" spans="1:19" ht="29" x14ac:dyDescent="0.35">
      <c r="A18" s="13">
        <f t="shared" si="4"/>
        <v>14</v>
      </c>
      <c r="B18" s="7" t="s">
        <v>21</v>
      </c>
      <c r="C18" s="66" t="s">
        <v>20</v>
      </c>
      <c r="D18" s="246" t="str" cm="1">
        <f t="array" ref="D18">VLOOKUP(MAX(('ELMS Categories'!$D$5:$M$14=$C18)*ROW('ELMS Categories'!$D$5:$M$14))-4,'ELMS Categories'!$B$5:$C$14,2,FALSE)</f>
        <v>Pesticide Application</v>
      </c>
      <c r="E18" s="13">
        <f t="shared" si="0"/>
        <v>52</v>
      </c>
      <c r="F18" s="7">
        <f>COUNTIFS('NeT GP - table_export'!$N:$N,$C18, 'NeT GP - table_export'!$K:$K,"Yes",'NeT GP - table_export'!$L:$L,"Yes")</f>
        <v>41</v>
      </c>
      <c r="G18" s="14">
        <f>COUNTIFS('NeT GP - table_export'!$N:$N,$C18, 'NeT GP - table_export'!$K:$K,"No",'NeT GP - table_export'!$L:$L,"Yes")</f>
        <v>11</v>
      </c>
      <c r="H18" s="17">
        <f t="shared" si="1"/>
        <v>2885</v>
      </c>
      <c r="I18" s="8">
        <f>SUMIFS('NeT GP - table_export'!$J:$J,'NeT GP - table_export'!$N:$N,$C18,'NeT GP - table_export'!$K:$K,"Yes",'NeT GP - table_export'!$L:$L,"Yes")</f>
        <v>151</v>
      </c>
      <c r="J18" s="131">
        <f>SUMIFS('NeT GP - table_export'!$J:$J,'NeT GP - table_export'!$N:$N,$C18,'NeT GP - table_export'!$K:$K,"No",'NeT GP - table_export'!$L:$L,"Yes")</f>
        <v>2734</v>
      </c>
      <c r="K18" s="173" t="s">
        <v>1905</v>
      </c>
      <c r="L18" s="174" t="s">
        <v>2261</v>
      </c>
      <c r="M18" s="148">
        <v>2</v>
      </c>
      <c r="N18" s="238" t="s">
        <v>446</v>
      </c>
      <c r="O18" s="235" t="s">
        <v>6</v>
      </c>
      <c r="P18" s="239">
        <v>43675</v>
      </c>
      <c r="Q18" s="239">
        <v>43756</v>
      </c>
      <c r="R18" s="217">
        <f t="shared" si="2"/>
        <v>81</v>
      </c>
      <c r="S18" s="14" t="str">
        <f t="shared" si="3"/>
        <v>Complete</v>
      </c>
    </row>
    <row r="19" spans="1:19" ht="29" x14ac:dyDescent="0.35">
      <c r="A19" s="13">
        <f t="shared" si="4"/>
        <v>15</v>
      </c>
      <c r="B19" s="7" t="s">
        <v>8</v>
      </c>
      <c r="C19" s="66" t="s">
        <v>138</v>
      </c>
      <c r="D19" s="246" t="str" cm="1">
        <f t="array" ref="D19">VLOOKUP(MAX(('ELMS Categories'!$D$5:$M$14=$C19)*ROW('ELMS Categories'!$D$5:$M$14))-4,'ELMS Categories'!$B$5:$C$14,2,FALSE)</f>
        <v>Groundwater Remediation, Dewatering, and Hydrostatic Testing</v>
      </c>
      <c r="E19" s="13">
        <f t="shared" si="0"/>
        <v>10</v>
      </c>
      <c r="F19" s="7">
        <f>COUNTIFS('NeT GP - table_export'!$N:$N,$C19, 'NeT GP - table_export'!$K:$K,"Yes",'NeT GP - table_export'!$L:$L,"Yes")</f>
        <v>6</v>
      </c>
      <c r="G19" s="14">
        <f>COUNTIFS('NeT GP - table_export'!$N:$N,$C19, 'NeT GP - table_export'!$K:$K,"No",'NeT GP - table_export'!$L:$L,"Yes")</f>
        <v>4</v>
      </c>
      <c r="H19" s="17">
        <f t="shared" si="1"/>
        <v>398</v>
      </c>
      <c r="I19" s="8">
        <f>SUMIFS('NeT GP - table_export'!$J:$J,'NeT GP - table_export'!$N:$N,$C19,'NeT GP - table_export'!$K:$K,"Yes",'NeT GP - table_export'!$L:$L,"Yes")</f>
        <v>23</v>
      </c>
      <c r="J19" s="131">
        <f>SUMIFS('NeT GP - table_export'!$J:$J,'NeT GP - table_export'!$N:$N,$C19,'NeT GP - table_export'!$K:$K,"No",'NeT GP - table_export'!$L:$L,"Yes")</f>
        <v>375</v>
      </c>
      <c r="K19" s="173" t="s">
        <v>3201</v>
      </c>
      <c r="L19" s="174" t="s">
        <v>2261</v>
      </c>
      <c r="M19" s="148">
        <v>2</v>
      </c>
      <c r="N19" s="238" t="s">
        <v>446</v>
      </c>
      <c r="O19" s="235" t="s">
        <v>6</v>
      </c>
      <c r="P19" s="239">
        <v>43759</v>
      </c>
      <c r="Q19" s="239">
        <v>43819</v>
      </c>
      <c r="R19" s="217">
        <f t="shared" si="2"/>
        <v>60</v>
      </c>
      <c r="S19" s="14" t="str">
        <f t="shared" si="3"/>
        <v>Complete</v>
      </c>
    </row>
    <row r="20" spans="1:19" ht="29" x14ac:dyDescent="0.35">
      <c r="A20" s="13">
        <f t="shared" si="4"/>
        <v>16</v>
      </c>
      <c r="B20" s="7" t="s">
        <v>8</v>
      </c>
      <c r="C20" s="66" t="s">
        <v>7</v>
      </c>
      <c r="D20" s="246" t="str" cm="1">
        <f t="array" ref="D20">VLOOKUP(MAX(('ELMS Categories'!$D$5:$M$14=$C20)*ROW('ELMS Categories'!$D$5:$M$14))-4,'ELMS Categories'!$B$5:$C$14,2,FALSE)</f>
        <v>Oil and Gas Extraction</v>
      </c>
      <c r="E20" s="13">
        <f t="shared" si="0"/>
        <v>3</v>
      </c>
      <c r="F20" s="7">
        <f>COUNTIFS('NeT GP - table_export'!$N:$N,$C20, 'NeT GP - table_export'!$K:$K,"Yes",'NeT GP - table_export'!$L:$L,"Yes")</f>
        <v>3</v>
      </c>
      <c r="G20" s="14">
        <f>COUNTIFS('NeT GP - table_export'!$N:$N,$C20, 'NeT GP - table_export'!$K:$K,"No",'NeT GP - table_export'!$L:$L,"Yes")</f>
        <v>0</v>
      </c>
      <c r="H20" s="17">
        <f t="shared" si="1"/>
        <v>10544</v>
      </c>
      <c r="I20" s="8">
        <f>SUMIFS('NeT GP - table_export'!$J:$J,'NeT GP - table_export'!$N:$N,$C20,'NeT GP - table_export'!$K:$K,"Yes",'NeT GP - table_export'!$L:$L,"Yes")</f>
        <v>10544</v>
      </c>
      <c r="J20" s="131">
        <f>SUMIFS('NeT GP - table_export'!$J:$J,'NeT GP - table_export'!$N:$N,$C20,'NeT GP - table_export'!$K:$K,"No",'NeT GP - table_export'!$L:$L,"Yes")</f>
        <v>0</v>
      </c>
      <c r="K20" s="173" t="s">
        <v>1905</v>
      </c>
      <c r="L20" s="174" t="s">
        <v>2261</v>
      </c>
      <c r="M20" s="148">
        <v>1</v>
      </c>
      <c r="N20" s="238" t="s">
        <v>443</v>
      </c>
      <c r="O20" s="235" t="s">
        <v>6</v>
      </c>
      <c r="P20" s="239">
        <v>43752</v>
      </c>
      <c r="Q20" s="239">
        <v>43812</v>
      </c>
      <c r="R20" s="217">
        <f t="shared" si="2"/>
        <v>60</v>
      </c>
      <c r="S20" s="14" t="str">
        <f t="shared" si="3"/>
        <v>Complete</v>
      </c>
    </row>
    <row r="21" spans="1:19" ht="29" x14ac:dyDescent="0.35">
      <c r="A21" s="13">
        <f t="shared" si="4"/>
        <v>17</v>
      </c>
      <c r="B21" s="7" t="s">
        <v>8</v>
      </c>
      <c r="C21" s="66" t="s">
        <v>61</v>
      </c>
      <c r="D21" s="246" t="str" cm="1">
        <f t="array" ref="D21">VLOOKUP(MAX(('ELMS Categories'!$D$5:$M$14=$C21)*ROW('ELMS Categories'!$D$5:$M$14))-4,'ELMS Categories'!$B$5:$C$14,2,FALSE)</f>
        <v>Miscellaneous Discharges</v>
      </c>
      <c r="E21" s="13">
        <f t="shared" si="0"/>
        <v>1</v>
      </c>
      <c r="F21" s="7">
        <f>COUNTIFS('NeT GP - table_export'!$N:$N,$C21, 'NeT GP - table_export'!$K:$K,"Yes",'NeT GP - table_export'!$L:$L,"Yes")</f>
        <v>0</v>
      </c>
      <c r="G21" s="14">
        <f>COUNTIFS('NeT GP - table_export'!$N:$N,$C21, 'NeT GP - table_export'!$K:$K,"No",'NeT GP - table_export'!$L:$L,"Yes")</f>
        <v>1</v>
      </c>
      <c r="H21" s="17">
        <f t="shared" si="1"/>
        <v>525</v>
      </c>
      <c r="I21" s="8">
        <f>SUMIFS('NeT GP - table_export'!$J:$J,'NeT GP - table_export'!$N:$N,$C21,'NeT GP - table_export'!$K:$K,"Yes",'NeT GP - table_export'!$L:$L,"Yes")</f>
        <v>0</v>
      </c>
      <c r="J21" s="131">
        <f>SUMIFS('NeT GP - table_export'!$J:$J,'NeT GP - table_export'!$N:$N,$C21,'NeT GP - table_export'!$K:$K,"No",'NeT GP - table_export'!$L:$L,"Yes")</f>
        <v>525</v>
      </c>
      <c r="K21" s="173" t="s">
        <v>443</v>
      </c>
      <c r="L21" s="174" t="s">
        <v>2261</v>
      </c>
      <c r="M21" s="148">
        <v>4</v>
      </c>
      <c r="N21" s="238" t="s">
        <v>445</v>
      </c>
      <c r="O21" s="235" t="s">
        <v>6</v>
      </c>
      <c r="P21" s="239">
        <v>43752</v>
      </c>
      <c r="Q21" s="239">
        <v>43798</v>
      </c>
      <c r="R21" s="217">
        <f t="shared" si="2"/>
        <v>46</v>
      </c>
      <c r="S21" s="14" t="str">
        <f t="shared" si="3"/>
        <v>Complete</v>
      </c>
    </row>
    <row r="22" spans="1:19" ht="29" x14ac:dyDescent="0.35">
      <c r="A22" s="13">
        <f>A21+1</f>
        <v>18</v>
      </c>
      <c r="B22" s="7" t="s">
        <v>56</v>
      </c>
      <c r="C22" s="66" t="s">
        <v>62</v>
      </c>
      <c r="D22" s="246" t="str" cm="1">
        <f t="array" ref="D22">VLOOKUP(MAX(('ELMS Categories'!$D$5:$M$14=$C22)*ROW('ELMS Categories'!$D$5:$M$14))-4,'ELMS Categories'!$B$5:$C$14,2,FALSE)</f>
        <v>Miscellaneous Discharges</v>
      </c>
      <c r="E22" s="13">
        <f t="shared" si="0"/>
        <v>5</v>
      </c>
      <c r="F22" s="7">
        <f>COUNTIFS('NeT GP - table_export'!$N:$N,$C22, 'NeT GP - table_export'!$K:$K,"Yes",'NeT GP - table_export'!$L:$L,"Yes")</f>
        <v>2</v>
      </c>
      <c r="G22" s="14">
        <f>COUNTIFS('NeT GP - table_export'!$N:$N,$C22, 'NeT GP - table_export'!$K:$K,"No",'NeT GP - table_export'!$L:$L,"Yes")</f>
        <v>3</v>
      </c>
      <c r="H22" s="17">
        <f t="shared" si="1"/>
        <v>3865</v>
      </c>
      <c r="I22" s="8">
        <f>SUMIFS('NeT GP - table_export'!$J:$J,'NeT GP - table_export'!$N:$N,$C22,'NeT GP - table_export'!$K:$K,"Yes",'NeT GP - table_export'!$L:$L,"Yes")</f>
        <v>3505</v>
      </c>
      <c r="J22" s="131">
        <f>SUMIFS('NeT GP - table_export'!$J:$J,'NeT GP - table_export'!$N:$N,$C22,'NeT GP - table_export'!$K:$K,"No",'NeT GP - table_export'!$L:$L,"Yes")</f>
        <v>360</v>
      </c>
      <c r="K22" s="173" t="s">
        <v>443</v>
      </c>
      <c r="L22" s="174" t="s">
        <v>2261</v>
      </c>
      <c r="M22" s="148">
        <v>4</v>
      </c>
      <c r="N22" s="238" t="s">
        <v>443</v>
      </c>
      <c r="O22" s="235" t="s">
        <v>6</v>
      </c>
      <c r="P22" s="239">
        <v>43815</v>
      </c>
      <c r="Q22" s="239">
        <v>43875</v>
      </c>
      <c r="R22" s="217">
        <f t="shared" si="2"/>
        <v>60</v>
      </c>
      <c r="S22" s="14" t="str">
        <f t="shared" si="3"/>
        <v>Complete</v>
      </c>
    </row>
    <row r="23" spans="1:19" ht="29" x14ac:dyDescent="0.35">
      <c r="A23" s="13">
        <f t="shared" si="4"/>
        <v>19</v>
      </c>
      <c r="B23" s="7" t="s">
        <v>56</v>
      </c>
      <c r="C23" s="66" t="s">
        <v>55</v>
      </c>
      <c r="D23" s="246" t="str" cm="1">
        <f t="array" ref="D23">VLOOKUP(MAX(('ELMS Categories'!$D$5:$M$14=$C23)*ROW('ELMS Categories'!$D$5:$M$14))-4,'ELMS Categories'!$B$5:$C$14,2,FALSE)</f>
        <v>Groundwater Remediation, Dewatering, and Hydrostatic Testing</v>
      </c>
      <c r="E23" s="13">
        <f t="shared" si="0"/>
        <v>1</v>
      </c>
      <c r="F23" s="7">
        <f>COUNTIFS('NeT GP - table_export'!$N:$N,$C23, 'NeT GP - table_export'!$K:$K,"Yes",'NeT GP - table_export'!$L:$L,"Yes")</f>
        <v>0</v>
      </c>
      <c r="G23" s="14">
        <f>COUNTIFS('NeT GP - table_export'!$N:$N,$C23, 'NeT GP - table_export'!$K:$K,"No",'NeT GP - table_export'!$L:$L,"Yes")</f>
        <v>1</v>
      </c>
      <c r="H23" s="17">
        <f t="shared" si="1"/>
        <v>245</v>
      </c>
      <c r="I23" s="8">
        <f>SUMIFS('NeT GP - table_export'!$J:$J,'NeT GP - table_export'!$N:$N,$C23,'NeT GP - table_export'!$K:$K,"Yes",'NeT GP - table_export'!$L:$L,"Yes")</f>
        <v>0</v>
      </c>
      <c r="J23" s="131">
        <f>SUMIFS('NeT GP - table_export'!$J:$J,'NeT GP - table_export'!$N:$N,$C23,'NeT GP - table_export'!$K:$K,"No",'NeT GP - table_export'!$L:$L,"Yes")</f>
        <v>245</v>
      </c>
      <c r="K23" s="173" t="s">
        <v>3201</v>
      </c>
      <c r="L23" s="174" t="s">
        <v>2261</v>
      </c>
      <c r="M23" s="148">
        <v>2</v>
      </c>
      <c r="N23" s="238" t="s">
        <v>445</v>
      </c>
      <c r="O23" s="235" t="s">
        <v>6</v>
      </c>
      <c r="P23" s="239">
        <v>43801</v>
      </c>
      <c r="Q23" s="239">
        <v>43847</v>
      </c>
      <c r="R23" s="217">
        <f t="shared" si="2"/>
        <v>46</v>
      </c>
      <c r="S23" s="14" t="str">
        <f t="shared" si="3"/>
        <v>Complete</v>
      </c>
    </row>
    <row r="24" spans="1:19" ht="29" x14ac:dyDescent="0.35">
      <c r="A24" s="13">
        <f t="shared" si="4"/>
        <v>20</v>
      </c>
      <c r="B24" s="7" t="s">
        <v>147</v>
      </c>
      <c r="C24" s="66" t="s">
        <v>351</v>
      </c>
      <c r="D24" s="246" t="str" cm="1">
        <f t="array" ref="D24">VLOOKUP(MAX(('ELMS Categories'!$D$5:$M$14=$C24)*ROW('ELMS Categories'!$D$5:$M$14))-4,'ELMS Categories'!$B$5:$C$14,2,FALSE)</f>
        <v>Miscellaneous Discharges</v>
      </c>
      <c r="E24" s="13">
        <f t="shared" si="0"/>
        <v>1</v>
      </c>
      <c r="F24" s="7">
        <f>COUNTIFS('NeT GP - table_export'!$N:$N,$C24, 'NeT GP - table_export'!$K:$K,"Yes",'NeT GP - table_export'!$L:$L,"Yes")</f>
        <v>1</v>
      </c>
      <c r="G24" s="14">
        <f>COUNTIFS('NeT GP - table_export'!$N:$N,$C24, 'NeT GP - table_export'!$K:$K,"No",'NeT GP - table_export'!$L:$L,"Yes")</f>
        <v>0</v>
      </c>
      <c r="H24" s="17">
        <f t="shared" si="1"/>
        <v>4</v>
      </c>
      <c r="I24" s="8">
        <f>SUMIFS('NeT GP - table_export'!$J:$J,'NeT GP - table_export'!$N:$N,$C24,'NeT GP - table_export'!$K:$K,"Yes",'NeT GP - table_export'!$L:$L,"Yes")</f>
        <v>4</v>
      </c>
      <c r="J24" s="131">
        <f>SUMIFS('NeT GP - table_export'!$J:$J,'NeT GP - table_export'!$N:$N,$C24,'NeT GP - table_export'!$K:$K,"No",'NeT GP - table_export'!$L:$L,"Yes")</f>
        <v>0</v>
      </c>
      <c r="K24" s="173" t="s">
        <v>443</v>
      </c>
      <c r="L24" s="174" t="s">
        <v>2261</v>
      </c>
      <c r="M24" s="148">
        <v>4</v>
      </c>
      <c r="N24" s="240" t="s">
        <v>444</v>
      </c>
      <c r="O24" s="235" t="s">
        <v>6</v>
      </c>
      <c r="P24" s="239">
        <v>43836</v>
      </c>
      <c r="Q24" s="239">
        <v>43868</v>
      </c>
      <c r="R24" s="217">
        <f t="shared" si="2"/>
        <v>32</v>
      </c>
      <c r="S24" s="14" t="str">
        <f t="shared" si="3"/>
        <v>Complete</v>
      </c>
    </row>
    <row r="25" spans="1:19" ht="29" x14ac:dyDescent="0.35">
      <c r="A25" s="13">
        <f t="shared" si="4"/>
        <v>21</v>
      </c>
      <c r="B25" s="7" t="s">
        <v>147</v>
      </c>
      <c r="C25" s="66" t="s">
        <v>146</v>
      </c>
      <c r="D25" s="246" t="str" cm="1">
        <f t="array" ref="D25">VLOOKUP(MAX(('ELMS Categories'!$D$5:$M$14=$C25)*ROW('ELMS Categories'!$D$5:$M$14))-4,'ELMS Categories'!$B$5:$C$14,2,FALSE)</f>
        <v>Domestic Wastewater and Drinking Water Treatment</v>
      </c>
      <c r="E25" s="13">
        <f t="shared" si="0"/>
        <v>1</v>
      </c>
      <c r="F25" s="7">
        <f>COUNTIFS('NeT GP - table_export'!$N:$N,$C25, 'NeT GP - table_export'!$K:$K,"Yes",'NeT GP - table_export'!$L:$L,"Yes")</f>
        <v>0</v>
      </c>
      <c r="G25" s="14">
        <f>COUNTIFS('NeT GP - table_export'!$N:$N,$C25, 'NeT GP - table_export'!$K:$K,"No",'NeT GP - table_export'!$L:$L,"Yes")</f>
        <v>1</v>
      </c>
      <c r="H25" s="17">
        <f t="shared" si="1"/>
        <v>35</v>
      </c>
      <c r="I25" s="8">
        <f>SUMIFS('NeT GP - table_export'!$J:$J,'NeT GP - table_export'!$N:$N,$C25,'NeT GP - table_export'!$K:$K,"Yes",'NeT GP - table_export'!$L:$L,"Yes")</f>
        <v>0</v>
      </c>
      <c r="J25" s="131">
        <f>SUMIFS('NeT GP - table_export'!$J:$J,'NeT GP - table_export'!$N:$N,$C25,'NeT GP - table_export'!$K:$K,"No",'NeT GP - table_export'!$L:$L,"Yes")</f>
        <v>35</v>
      </c>
      <c r="K25" s="173" t="s">
        <v>3201</v>
      </c>
      <c r="L25" s="174" t="s">
        <v>2261</v>
      </c>
      <c r="M25" s="148">
        <v>3</v>
      </c>
      <c r="N25" s="238" t="s">
        <v>443</v>
      </c>
      <c r="O25" s="235" t="s">
        <v>6</v>
      </c>
      <c r="P25" s="239">
        <v>43920</v>
      </c>
      <c r="Q25" s="239">
        <v>43959</v>
      </c>
      <c r="R25" s="217">
        <f t="shared" si="2"/>
        <v>39</v>
      </c>
      <c r="S25" s="14" t="str">
        <f t="shared" si="3"/>
        <v>Complete</v>
      </c>
    </row>
    <row r="26" spans="1:19" ht="29.5" thickBot="1" x14ac:dyDescent="0.4">
      <c r="A26" s="18">
        <f t="shared" si="4"/>
        <v>22</v>
      </c>
      <c r="B26" s="35" t="s">
        <v>147</v>
      </c>
      <c r="C26" s="67" t="s">
        <v>521</v>
      </c>
      <c r="D26" s="247" t="str" cm="1">
        <f t="array" ref="D26">VLOOKUP(MAX(('ELMS Categories'!$D$5:$M$14=$C26)*ROW('ELMS Categories'!$D$5:$M$14))-4,'ELMS Categories'!$B$5:$C$14,2,FALSE)</f>
        <v>Miscellaneous Discharges</v>
      </c>
      <c r="E26" s="18">
        <f t="shared" si="0"/>
        <v>1</v>
      </c>
      <c r="F26" s="35">
        <f>COUNTIFS('NeT GP - table_export'!$N:$N,$C26, 'NeT GP - table_export'!$K:$K,"Yes",'NeT GP - table_export'!$L:$L,"Yes")</f>
        <v>0</v>
      </c>
      <c r="G26" s="19">
        <f>COUNTIFS('NeT GP - table_export'!$N:$N,$C26, 'NeT GP - table_export'!$K:$K,"No",'NeT GP - table_export'!$L:$L,"Yes")</f>
        <v>1</v>
      </c>
      <c r="H26" s="22">
        <f t="shared" si="1"/>
        <v>199</v>
      </c>
      <c r="I26" s="36">
        <f>SUMIFS('NeT GP - table_export'!$J:$J,'NeT GP - table_export'!$N:$N,$C26,'NeT GP - table_export'!$K:$K,"Yes",'NeT GP - table_export'!$L:$L,"Yes")</f>
        <v>0</v>
      </c>
      <c r="J26" s="136">
        <f>SUMIFS('NeT GP - table_export'!$J:$J,'NeT GP - table_export'!$N:$N,$C26,'NeT GP - table_export'!$K:$K,"No",'NeT GP - table_export'!$L:$L,"Yes")</f>
        <v>199</v>
      </c>
      <c r="K26" s="194" t="s">
        <v>443</v>
      </c>
      <c r="L26" s="175" t="s">
        <v>2261</v>
      </c>
      <c r="M26" s="237">
        <v>4</v>
      </c>
      <c r="N26" s="241" t="s">
        <v>443</v>
      </c>
      <c r="O26" s="242" t="s">
        <v>6</v>
      </c>
      <c r="P26" s="243">
        <v>43920</v>
      </c>
      <c r="Q26" s="243">
        <v>43959</v>
      </c>
      <c r="R26" s="218">
        <f t="shared" si="2"/>
        <v>39</v>
      </c>
      <c r="S26" s="19" t="str">
        <f t="shared" si="3"/>
        <v>Complete</v>
      </c>
    </row>
    <row r="27" spans="1:19" x14ac:dyDescent="0.35">
      <c r="H27" s="4"/>
      <c r="I27" s="4"/>
      <c r="J27" s="4"/>
      <c r="S27" s="2"/>
    </row>
    <row r="28" spans="1:19" x14ac:dyDescent="0.35">
      <c r="D28" s="5" t="s">
        <v>420</v>
      </c>
      <c r="E28" s="3">
        <f t="shared" ref="E28:J28" si="5">SUM(E5:E26)</f>
        <v>291</v>
      </c>
      <c r="F28" s="3">
        <f t="shared" si="5"/>
        <v>197</v>
      </c>
      <c r="G28" s="3">
        <f t="shared" si="5"/>
        <v>94</v>
      </c>
      <c r="H28" s="4">
        <f t="shared" si="5"/>
        <v>55045</v>
      </c>
      <c r="I28" s="4">
        <f t="shared" si="5"/>
        <v>28453</v>
      </c>
      <c r="J28" s="4">
        <f t="shared" si="5"/>
        <v>26592</v>
      </c>
      <c r="S28" s="2"/>
    </row>
    <row r="29" spans="1:19" x14ac:dyDescent="0.35">
      <c r="S29" s="2"/>
    </row>
    <row r="30" spans="1:19" x14ac:dyDescent="0.35">
      <c r="A30" s="2" t="s">
        <v>489</v>
      </c>
    </row>
    <row r="31" spans="1:19" x14ac:dyDescent="0.35">
      <c r="C31" s="26"/>
      <c r="D31" s="26"/>
    </row>
  </sheetData>
  <conditionalFormatting sqref="S5:S26">
    <cfRule type="cellIs" dxfId="14" priority="1" operator="equal">
      <formula>"No"</formula>
    </cfRule>
  </conditionalFormatting>
  <pageMargins left="0.7" right="0.7" top="0.75" bottom="0.75" header="0.3" footer="0.3"/>
  <pageSetup orientation="portrait"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C48E-3E3B-49F3-A929-BB5B840C10A1}">
  <dimension ref="A1:O26"/>
  <sheetViews>
    <sheetView zoomScale="70" zoomScaleNormal="70" workbookViewId="0"/>
  </sheetViews>
  <sheetFormatPr defaultColWidth="9.1796875" defaultRowHeight="14.5" x14ac:dyDescent="0.35"/>
  <cols>
    <col min="1" max="1" width="12.7265625" style="2" customWidth="1"/>
    <col min="2" max="2" width="28.54296875" style="3" customWidth="1"/>
    <col min="3" max="3" width="54.1796875" style="2" customWidth="1"/>
    <col min="4" max="4" width="21.7265625" style="3" customWidth="1"/>
    <col min="5" max="5" width="21.7265625" style="2" customWidth="1"/>
    <col min="6" max="6" width="20.81640625" style="2" customWidth="1"/>
    <col min="7" max="7" width="19.7265625" style="3" customWidth="1"/>
    <col min="8" max="8" width="19.453125" style="3" customWidth="1"/>
    <col min="9" max="9" width="20" style="3" customWidth="1"/>
    <col min="10" max="10" width="16.1796875" style="3" customWidth="1"/>
    <col min="11" max="13" width="19" style="3" customWidth="1"/>
    <col min="14" max="14" width="23.453125" style="3" customWidth="1"/>
    <col min="16" max="16384" width="9.1796875" style="2"/>
  </cols>
  <sheetData>
    <row r="1" spans="1:14" x14ac:dyDescent="0.35">
      <c r="A1" s="6" t="s">
        <v>1846</v>
      </c>
    </row>
    <row r="2" spans="1:14" x14ac:dyDescent="0.35">
      <c r="A2" s="6" t="s">
        <v>462</v>
      </c>
      <c r="C2" s="193">
        <f>'NeT Roadmap'!$C$3</f>
        <v>45688</v>
      </c>
    </row>
    <row r="3" spans="1:14" ht="15" thickBot="1" x14ac:dyDescent="0.4"/>
    <row r="4" spans="1:14" ht="65.5" customHeight="1" x14ac:dyDescent="0.35">
      <c r="A4" s="48" t="s">
        <v>554</v>
      </c>
      <c r="B4" s="49" t="s">
        <v>553</v>
      </c>
      <c r="C4" s="50" t="s">
        <v>552</v>
      </c>
      <c r="D4" s="54" t="s">
        <v>557</v>
      </c>
      <c r="E4" s="49" t="s">
        <v>558</v>
      </c>
      <c r="F4" s="50" t="s">
        <v>559</v>
      </c>
      <c r="G4" s="48" t="s">
        <v>1843</v>
      </c>
      <c r="H4" s="49" t="s">
        <v>1844</v>
      </c>
      <c r="I4" s="50" t="s">
        <v>1845</v>
      </c>
      <c r="J4" s="48" t="s">
        <v>2250</v>
      </c>
      <c r="K4" s="49" t="s">
        <v>2251</v>
      </c>
      <c r="L4" s="49" t="s">
        <v>2252</v>
      </c>
      <c r="M4" s="49" t="s">
        <v>2702</v>
      </c>
      <c r="N4" s="49" t="s">
        <v>2195</v>
      </c>
    </row>
    <row r="5" spans="1:14" ht="29" x14ac:dyDescent="0.35">
      <c r="A5" s="13">
        <v>4</v>
      </c>
      <c r="B5" s="9" t="s">
        <v>3218</v>
      </c>
      <c r="C5" s="46" t="s">
        <v>548</v>
      </c>
      <c r="D5" s="42">
        <f>SUM(E5:F5)</f>
        <v>54</v>
      </c>
      <c r="E5" s="7">
        <f>COUNTIFS('NeT PR - table_export'!$D:$D,$C5,'NeT PR - table_export'!$E:$E,"Yes", 'NeT PR - table_export'!$F:$F,"Yes")</f>
        <v>50</v>
      </c>
      <c r="F5" s="14">
        <f>COUNTIFS('NeT PR - table_export'!$D:$D,$C5,'NeT PR - table_export'!$E:$E,"No", 'NeT PR - table_export'!$F:$F,"Yes")</f>
        <v>4</v>
      </c>
      <c r="G5" s="17">
        <f>SUM(H5:I5)</f>
        <v>4477</v>
      </c>
      <c r="H5" s="8">
        <f>SUMIFS('NeT PR - table_export'!$H:$H,'NeT PR - table_export'!$D:$D,$C5,'NeT PR - table_export'!$E:$E,"Yes", 'NeT PR - table_export'!$F:$F,"Yes")</f>
        <v>2220</v>
      </c>
      <c r="I5" s="51">
        <f>SUMIFS('NeT PR - table_export'!$H:$H,'NeT PR - table_export'!$D:$D,$C5,'NeT PR - table_export'!$E:$E,"No", 'NeT PR - table_export'!$F:$F,"Yes")</f>
        <v>2257</v>
      </c>
      <c r="J5" s="173" t="s">
        <v>443</v>
      </c>
      <c r="K5" s="174" t="s">
        <v>443</v>
      </c>
      <c r="L5" s="174" t="s">
        <v>2253</v>
      </c>
      <c r="M5" s="174" t="s">
        <v>2255</v>
      </c>
      <c r="N5" s="140" t="s">
        <v>3217</v>
      </c>
    </row>
    <row r="6" spans="1:14" x14ac:dyDescent="0.35">
      <c r="A6" s="13">
        <f t="shared" ref="A6:A11" si="0">A5+1</f>
        <v>5</v>
      </c>
      <c r="B6" s="7" t="s">
        <v>556</v>
      </c>
      <c r="C6" s="46" t="s">
        <v>533</v>
      </c>
      <c r="D6" s="42">
        <f t="shared" ref="D6:D11" si="1">SUM(E6:F6)</f>
        <v>12</v>
      </c>
      <c r="E6" s="7">
        <f>COUNTIFS('NeT PR - table_export'!$D:$D,$C6,'NeT PR - table_export'!$E:$E,"Yes", 'NeT PR - table_export'!$F:$F,"Yes")</f>
        <v>2</v>
      </c>
      <c r="F6" s="14">
        <f>COUNTIFS('NeT PR - table_export'!$D:$D,$C6,'NeT PR - table_export'!$E:$E,"No", 'NeT PR - table_export'!$F:$F,"Yes")</f>
        <v>10</v>
      </c>
      <c r="G6" s="17">
        <f t="shared" ref="G6:G11" si="2">SUM(H6:I6)</f>
        <v>1553</v>
      </c>
      <c r="H6" s="8">
        <f>SUMIFS('NeT PR - table_export'!$H:$H,'NeT PR - table_export'!$D:$D,$C6,'NeT PR - table_export'!$E:$E,"Yes", 'NeT PR - table_export'!$F:$F,"Yes")</f>
        <v>55</v>
      </c>
      <c r="I6" s="51">
        <f>SUMIFS('NeT PR - table_export'!$H:$H,'NeT PR - table_export'!$D:$D,$C6,'NeT PR - table_export'!$E:$E,"No", 'NeT PR - table_export'!$F:$F,"Yes")</f>
        <v>1498</v>
      </c>
      <c r="J6" s="173" t="s">
        <v>443</v>
      </c>
      <c r="K6" s="174" t="s">
        <v>443</v>
      </c>
      <c r="L6" s="174" t="s">
        <v>2256</v>
      </c>
      <c r="M6" s="174" t="s">
        <v>2703</v>
      </c>
      <c r="N6" s="140">
        <v>4</v>
      </c>
    </row>
    <row r="7" spans="1:14" x14ac:dyDescent="0.35">
      <c r="A7" s="13">
        <f t="shared" si="0"/>
        <v>6</v>
      </c>
      <c r="B7" s="7" t="s">
        <v>556</v>
      </c>
      <c r="C7" s="46" t="s">
        <v>534</v>
      </c>
      <c r="D7" s="42">
        <f t="shared" si="1"/>
        <v>19</v>
      </c>
      <c r="E7" s="7">
        <f>COUNTIFS('NeT PR - table_export'!$D:$D,$C7,'NeT PR - table_export'!$E:$E,"Yes", 'NeT PR - table_export'!$F:$F,"Yes")</f>
        <v>7</v>
      </c>
      <c r="F7" s="14">
        <f>COUNTIFS('NeT PR - table_export'!$D:$D,$C7,'NeT PR - table_export'!$E:$E,"No", 'NeT PR - table_export'!$F:$F,"Yes")</f>
        <v>12</v>
      </c>
      <c r="G7" s="17">
        <f t="shared" si="2"/>
        <v>2040</v>
      </c>
      <c r="H7" s="8">
        <f>SUMIFS('NeT PR - table_export'!$H:$H,'NeT PR - table_export'!$D:$D,$C7,'NeT PR - table_export'!$E:$E,"Yes", 'NeT PR - table_export'!$F:$F,"Yes")</f>
        <v>450</v>
      </c>
      <c r="I7" s="51">
        <f>SUMIFS('NeT PR - table_export'!$H:$H,'NeT PR - table_export'!$D:$D,$C7,'NeT PR - table_export'!$E:$E,"No", 'NeT PR - table_export'!$F:$F,"Yes")</f>
        <v>1590</v>
      </c>
      <c r="J7" s="173" t="s">
        <v>443</v>
      </c>
      <c r="K7" s="174" t="s">
        <v>3200</v>
      </c>
      <c r="L7" s="174" t="s">
        <v>2256</v>
      </c>
      <c r="M7" s="174" t="s">
        <v>2255</v>
      </c>
      <c r="N7" s="174">
        <v>2</v>
      </c>
    </row>
    <row r="8" spans="1:14" x14ac:dyDescent="0.35">
      <c r="A8" s="13">
        <f t="shared" si="0"/>
        <v>7</v>
      </c>
      <c r="B8" s="7" t="s">
        <v>556</v>
      </c>
      <c r="C8" s="46" t="s">
        <v>542</v>
      </c>
      <c r="D8" s="42">
        <f t="shared" si="1"/>
        <v>22</v>
      </c>
      <c r="E8" s="7">
        <f>COUNTIFS('NeT PR - table_export'!$D:$D,$C8,'NeT PR - table_export'!$E:$E,"Yes", 'NeT PR - table_export'!$F:$F,"Yes")</f>
        <v>15</v>
      </c>
      <c r="F8" s="14">
        <f>COUNTIFS('NeT PR - table_export'!$D:$D,$C8,'NeT PR - table_export'!$E:$E,"No", 'NeT PR - table_export'!$F:$F,"Yes")</f>
        <v>7</v>
      </c>
      <c r="G8" s="17">
        <f t="shared" si="2"/>
        <v>556</v>
      </c>
      <c r="H8" s="8">
        <f>SUMIFS('NeT PR - table_export'!$H:$H,'NeT PR - table_export'!$D:$D,$C8,'NeT PR - table_export'!$E:$E,"Yes", 'NeT PR - table_export'!$F:$F,"Yes")</f>
        <v>393</v>
      </c>
      <c r="I8" s="51">
        <f>SUMIFS('NeT PR - table_export'!$H:$H,'NeT PR - table_export'!$D:$D,$C8,'NeT PR - table_export'!$E:$E,"No", 'NeT PR - table_export'!$F:$F,"Yes")</f>
        <v>163</v>
      </c>
      <c r="J8" s="173" t="s">
        <v>445</v>
      </c>
      <c r="K8" s="174" t="s">
        <v>443</v>
      </c>
      <c r="L8" s="174" t="s">
        <v>2256</v>
      </c>
      <c r="M8" s="174" t="s">
        <v>2255</v>
      </c>
      <c r="N8" s="174">
        <v>3</v>
      </c>
    </row>
    <row r="9" spans="1:14" x14ac:dyDescent="0.35">
      <c r="A9" s="13">
        <f t="shared" si="0"/>
        <v>8</v>
      </c>
      <c r="B9" s="7" t="s">
        <v>556</v>
      </c>
      <c r="C9" s="53" t="s">
        <v>535</v>
      </c>
      <c r="D9" s="42">
        <f t="shared" si="1"/>
        <v>21</v>
      </c>
      <c r="E9" s="7">
        <f>COUNTIFS('NeT PR - table_export'!$D:$D,$C9,'NeT PR - table_export'!$E:$E,"Yes", 'NeT PR - table_export'!$F:$F,"Yes")</f>
        <v>13</v>
      </c>
      <c r="F9" s="14">
        <f>COUNTIFS('NeT PR - table_export'!$D:$D,$C9,'NeT PR - table_export'!$E:$E,"No", 'NeT PR - table_export'!$F:$F,"Yes")</f>
        <v>8</v>
      </c>
      <c r="G9" s="17">
        <f t="shared" si="2"/>
        <v>1155</v>
      </c>
      <c r="H9" s="8">
        <f>SUMIFS('NeT PR - table_export'!$H:$H,'NeT PR - table_export'!$D:$D,$C9,'NeT PR - table_export'!$E:$E,"Yes", 'NeT PR - table_export'!$F:$F,"Yes")</f>
        <v>479</v>
      </c>
      <c r="I9" s="51">
        <f>SUMIFS('NeT PR - table_export'!$H:$H,'NeT PR - table_export'!$D:$D,$C9,'NeT PR - table_export'!$E:$E,"No", 'NeT PR - table_export'!$F:$F,"Yes")</f>
        <v>676</v>
      </c>
      <c r="J9" s="173" t="s">
        <v>445</v>
      </c>
      <c r="K9" s="174" t="s">
        <v>443</v>
      </c>
      <c r="L9" s="174" t="s">
        <v>2256</v>
      </c>
      <c r="M9" s="174" t="s">
        <v>2703</v>
      </c>
      <c r="N9" s="174">
        <v>4</v>
      </c>
    </row>
    <row r="10" spans="1:14" x14ac:dyDescent="0.35">
      <c r="A10" s="13">
        <f t="shared" si="0"/>
        <v>9</v>
      </c>
      <c r="B10" s="7" t="s">
        <v>556</v>
      </c>
      <c r="C10" s="46" t="s">
        <v>537</v>
      </c>
      <c r="D10" s="42">
        <f t="shared" si="1"/>
        <v>21</v>
      </c>
      <c r="E10" s="7">
        <f>COUNTIFS('NeT PR - table_export'!$D:$D,$C10,'NeT PR - table_export'!$E:$E,"Yes", 'NeT PR - table_export'!$F:$F,"Yes")</f>
        <v>10</v>
      </c>
      <c r="F10" s="14">
        <f>COUNTIFS('NeT PR - table_export'!$D:$D,$C10,'NeT PR - table_export'!$E:$E,"No", 'NeT PR - table_export'!$F:$F,"Yes")</f>
        <v>11</v>
      </c>
      <c r="G10" s="17">
        <f t="shared" si="2"/>
        <v>6806</v>
      </c>
      <c r="H10" s="8">
        <f>SUMIFS('NeT PR - table_export'!$H:$H,'NeT PR - table_export'!$D:$D,$C10,'NeT PR - table_export'!$E:$E,"Yes", 'NeT PR - table_export'!$F:$F,"Yes")</f>
        <v>441</v>
      </c>
      <c r="I10" s="51">
        <f>SUMIFS('NeT PR - table_export'!$H:$H,'NeT PR - table_export'!$D:$D,$C10,'NeT PR - table_export'!$E:$E,"No", 'NeT PR - table_export'!$F:$F,"Yes")</f>
        <v>6365</v>
      </c>
      <c r="J10" s="173" t="s">
        <v>443</v>
      </c>
      <c r="K10" s="174" t="s">
        <v>443</v>
      </c>
      <c r="L10" s="174" t="s">
        <v>2253</v>
      </c>
      <c r="M10" s="174" t="s">
        <v>2255</v>
      </c>
      <c r="N10" s="174">
        <v>2</v>
      </c>
    </row>
    <row r="11" spans="1:14" ht="15" thickBot="1" x14ac:dyDescent="0.4">
      <c r="A11" s="18">
        <f t="shared" si="0"/>
        <v>10</v>
      </c>
      <c r="B11" s="35" t="s">
        <v>556</v>
      </c>
      <c r="C11" s="47" t="s">
        <v>541</v>
      </c>
      <c r="D11" s="55">
        <f t="shared" si="1"/>
        <v>11</v>
      </c>
      <c r="E11" s="35">
        <f>COUNTIFS('NeT PR - table_export'!$D:$D,$C11,'NeT PR - table_export'!$E:$E,"Yes", 'NeT PR - table_export'!$F:$F,"Yes")</f>
        <v>5</v>
      </c>
      <c r="F11" s="19">
        <f>COUNTIFS('NeT PR - table_export'!$D:$D,$C11,'NeT PR - table_export'!$E:$E,"No", 'NeT PR - table_export'!$F:$F,"Yes")</f>
        <v>6</v>
      </c>
      <c r="G11" s="22">
        <f t="shared" si="2"/>
        <v>74</v>
      </c>
      <c r="H11" s="36">
        <f>SUMIFS('NeT PR - table_export'!$H:$H,'NeT PR - table_export'!$D:$D,$C11,'NeT PR - table_export'!$E:$E,"Yes", 'NeT PR - table_export'!$F:$F,"Yes")</f>
        <v>25</v>
      </c>
      <c r="I11" s="52">
        <f>SUMIFS('NeT PR - table_export'!$H:$H,'NeT PR - table_export'!$D:$D,$C11,'NeT PR - table_export'!$E:$E,"No", 'NeT PR - table_export'!$F:$F,"Yes")</f>
        <v>49</v>
      </c>
      <c r="J11" s="194" t="s">
        <v>446</v>
      </c>
      <c r="K11" s="175" t="s">
        <v>443</v>
      </c>
      <c r="L11" s="175" t="s">
        <v>2256</v>
      </c>
      <c r="M11" s="175" t="s">
        <v>2703</v>
      </c>
      <c r="N11" s="175">
        <v>4</v>
      </c>
    </row>
    <row r="12" spans="1:14" x14ac:dyDescent="0.35">
      <c r="G12" s="4"/>
      <c r="H12" s="4"/>
      <c r="I12" s="4"/>
    </row>
    <row r="13" spans="1:14" x14ac:dyDescent="0.35">
      <c r="C13" s="5" t="s">
        <v>420</v>
      </c>
      <c r="D13" s="3">
        <f t="shared" ref="D13:I13" si="3">SUM(D5:D11)</f>
        <v>160</v>
      </c>
      <c r="E13" s="3">
        <f t="shared" si="3"/>
        <v>102</v>
      </c>
      <c r="F13" s="3">
        <f t="shared" si="3"/>
        <v>58</v>
      </c>
      <c r="G13" s="4">
        <f t="shared" si="3"/>
        <v>16661</v>
      </c>
      <c r="H13" s="4">
        <f t="shared" si="3"/>
        <v>4063</v>
      </c>
      <c r="I13" s="4">
        <f t="shared" si="3"/>
        <v>12598</v>
      </c>
    </row>
    <row r="15" spans="1:14" x14ac:dyDescent="0.35">
      <c r="A15" s="95" t="s">
        <v>2707</v>
      </c>
    </row>
    <row r="16" spans="1:14" ht="15" thickBot="1" x14ac:dyDescent="0.4"/>
    <row r="17" spans="1:15" ht="83.5" customHeight="1" x14ac:dyDescent="0.35">
      <c r="A17" s="48" t="s">
        <v>554</v>
      </c>
      <c r="B17" s="49" t="s">
        <v>553</v>
      </c>
      <c r="C17" s="50" t="s">
        <v>552</v>
      </c>
      <c r="D17" s="54" t="s">
        <v>1833</v>
      </c>
      <c r="E17" s="49" t="s">
        <v>2708</v>
      </c>
      <c r="F17" s="50" t="s">
        <v>2709</v>
      </c>
      <c r="G17" s="48" t="s">
        <v>2710</v>
      </c>
      <c r="H17" s="49" t="s">
        <v>2711</v>
      </c>
      <c r="I17" s="50" t="s">
        <v>2712</v>
      </c>
      <c r="J17"/>
      <c r="K17"/>
      <c r="L17"/>
      <c r="M17"/>
      <c r="N17"/>
      <c r="O17" s="2"/>
    </row>
    <row r="18" spans="1:15" ht="29" x14ac:dyDescent="0.35">
      <c r="A18" s="13">
        <v>4</v>
      </c>
      <c r="B18" s="9" t="s">
        <v>555</v>
      </c>
      <c r="C18" s="46" t="s">
        <v>548</v>
      </c>
      <c r="D18" s="42">
        <f>SUM(E18:F18)</f>
        <v>0</v>
      </c>
      <c r="E18" s="7">
        <f>COUNTIFS('NeT PR - table_export'!$D:$D,$C18,'NeT PR - table_export'!$E:$E,"Yes", 'NeT PR - table_export'!$J:$J,"N/A")</f>
        <v>0</v>
      </c>
      <c r="F18" s="14">
        <f>COUNTIFS('NeT PR - table_export'!$D:$D,$C18,'NeT PR - table_export'!$E:$E,"No", 'NeT PR - table_export'!$J:$J,"N/A")</f>
        <v>0</v>
      </c>
      <c r="G18" s="17">
        <f>SUM(H18:I18)</f>
        <v>0</v>
      </c>
      <c r="H18" s="8">
        <f>SUMIFS('NeT PR - table_export'!$H:$H,'NeT PR - table_export'!$D:$D,$C18,'NeT PR - table_export'!$E:$E,"Yes",'NeT PR - table_export'!$J:$J,"N/A")</f>
        <v>0</v>
      </c>
      <c r="I18" s="51">
        <f>SUMIFS('NeT PR - table_export'!$H:$H,'NeT PR - table_export'!$D:$D,$C18,'NeT PR - table_export'!$E:$E,"No", 'NeT PR - table_export'!$J:$J,"N/A")</f>
        <v>0</v>
      </c>
      <c r="J18"/>
      <c r="K18"/>
      <c r="L18"/>
      <c r="M18"/>
      <c r="N18"/>
      <c r="O18" s="2"/>
    </row>
    <row r="19" spans="1:15" x14ac:dyDescent="0.35">
      <c r="A19" s="13">
        <f t="shared" ref="A19:A24" si="4">A18+1</f>
        <v>5</v>
      </c>
      <c r="B19" s="7" t="s">
        <v>556</v>
      </c>
      <c r="C19" s="46" t="s">
        <v>533</v>
      </c>
      <c r="D19" s="42">
        <f t="shared" ref="D19:D24" si="5">SUM(E19:F19)</f>
        <v>21</v>
      </c>
      <c r="E19" s="7">
        <f>COUNTIFS('NeT PR - table_export'!$D:$D,$C19,'NeT PR - table_export'!$E:$E,"Yes", 'NeT PR - table_export'!$J:$J,"N/A")</f>
        <v>9</v>
      </c>
      <c r="F19" s="14">
        <f>COUNTIFS('NeT PR - table_export'!$D:$D,$C19,'NeT PR - table_export'!$E:$E,"No", 'NeT PR - table_export'!$J:$J,"N/A")</f>
        <v>12</v>
      </c>
      <c r="G19" s="17">
        <f t="shared" ref="G19:G24" si="6">SUM(H19:I19)</f>
        <v>0</v>
      </c>
      <c r="H19" s="8">
        <f>SUMIFS('NeT PR - table_export'!$H:$H,'NeT PR - table_export'!$D:$D,$C19,'NeT PR - table_export'!$E:$E,"Yes",'NeT PR - table_export'!$J:$J,"N/A")</f>
        <v>0</v>
      </c>
      <c r="I19" s="51">
        <f>SUMIFS('NeT PR - table_export'!$H:$H,'NeT PR - table_export'!$D:$D,$C19,'NeT PR - table_export'!$E:$E,"No", 'NeT PR - table_export'!$J:$J,"N/A")</f>
        <v>0</v>
      </c>
      <c r="J19"/>
      <c r="K19"/>
      <c r="L19"/>
      <c r="M19"/>
      <c r="N19"/>
      <c r="O19" s="2"/>
    </row>
    <row r="20" spans="1:15" x14ac:dyDescent="0.35">
      <c r="A20" s="13">
        <f t="shared" si="4"/>
        <v>6</v>
      </c>
      <c r="B20" s="7" t="s">
        <v>556</v>
      </c>
      <c r="C20" s="46" t="s">
        <v>534</v>
      </c>
      <c r="D20" s="42">
        <f t="shared" si="5"/>
        <v>5</v>
      </c>
      <c r="E20" s="7">
        <f>COUNTIFS('NeT PR - table_export'!$D:$D,$C20,'NeT PR - table_export'!$E:$E,"Yes", 'NeT PR - table_export'!$J:$J,"N/A")</f>
        <v>4</v>
      </c>
      <c r="F20" s="14">
        <f>COUNTIFS('NeT PR - table_export'!$D:$D,$C20,'NeT PR - table_export'!$E:$E,"No", 'NeT PR - table_export'!$J:$J,"N/A")</f>
        <v>1</v>
      </c>
      <c r="G20" s="17">
        <f t="shared" si="6"/>
        <v>0</v>
      </c>
      <c r="H20" s="8">
        <f>SUMIFS('NeT PR - table_export'!$H:$H,'NeT PR - table_export'!$D:$D,$C20,'NeT PR - table_export'!$E:$E,"Yes",'NeT PR - table_export'!$J:$J,"N/A")</f>
        <v>0</v>
      </c>
      <c r="I20" s="51">
        <f>SUMIFS('NeT PR - table_export'!$H:$H,'NeT PR - table_export'!$D:$D,$C20,'NeT PR - table_export'!$E:$E,"No", 'NeT PR - table_export'!$J:$J,"N/A")</f>
        <v>0</v>
      </c>
      <c r="J20"/>
      <c r="K20"/>
      <c r="L20"/>
      <c r="M20"/>
      <c r="N20"/>
      <c r="O20" s="2"/>
    </row>
    <row r="21" spans="1:15" x14ac:dyDescent="0.35">
      <c r="A21" s="13">
        <f t="shared" si="4"/>
        <v>7</v>
      </c>
      <c r="B21" s="7" t="s">
        <v>556</v>
      </c>
      <c r="C21" s="46" t="s">
        <v>542</v>
      </c>
      <c r="D21" s="42">
        <f t="shared" si="5"/>
        <v>12</v>
      </c>
      <c r="E21" s="7">
        <f>COUNTIFS('NeT PR - table_export'!$D:$D,$C21,'NeT PR - table_export'!$E:$E,"Yes", 'NeT PR - table_export'!$J:$J,"N/A")</f>
        <v>7</v>
      </c>
      <c r="F21" s="14">
        <f>COUNTIFS('NeT PR - table_export'!$D:$D,$C21,'NeT PR - table_export'!$E:$E,"No", 'NeT PR - table_export'!$J:$J,"N/A")</f>
        <v>5</v>
      </c>
      <c r="G21" s="17">
        <f t="shared" si="6"/>
        <v>0</v>
      </c>
      <c r="H21" s="8">
        <f>SUMIFS('NeT PR - table_export'!$H:$H,'NeT PR - table_export'!$D:$D,$C21,'NeT PR - table_export'!$E:$E,"Yes",'NeT PR - table_export'!$J:$J,"N/A")</f>
        <v>0</v>
      </c>
      <c r="I21" s="51">
        <f>SUMIFS('NeT PR - table_export'!$H:$H,'NeT PR - table_export'!$D:$D,$C21,'NeT PR - table_export'!$E:$E,"No", 'NeT PR - table_export'!$J:$J,"N/A")</f>
        <v>0</v>
      </c>
      <c r="J21"/>
      <c r="K21"/>
      <c r="L21"/>
      <c r="M21"/>
      <c r="N21"/>
      <c r="O21" s="2"/>
    </row>
    <row r="22" spans="1:15" x14ac:dyDescent="0.35">
      <c r="A22" s="13">
        <f t="shared" si="4"/>
        <v>8</v>
      </c>
      <c r="B22" s="7" t="s">
        <v>556</v>
      </c>
      <c r="C22" s="53" t="s">
        <v>535</v>
      </c>
      <c r="D22" s="42">
        <f t="shared" si="5"/>
        <v>15</v>
      </c>
      <c r="E22" s="7">
        <f>COUNTIFS('NeT PR - table_export'!$D:$D,$C22,'NeT PR - table_export'!$E:$E,"Yes", 'NeT PR - table_export'!$J:$J,"N/A")</f>
        <v>9</v>
      </c>
      <c r="F22" s="14">
        <f>COUNTIFS('NeT PR - table_export'!$D:$D,$C22,'NeT PR - table_export'!$E:$E,"No", 'NeT PR - table_export'!$J:$J,"N/A")</f>
        <v>6</v>
      </c>
      <c r="G22" s="17">
        <f t="shared" si="6"/>
        <v>5</v>
      </c>
      <c r="H22" s="8">
        <f>SUMIFS('NeT PR - table_export'!$H:$H,'NeT PR - table_export'!$D:$D,$C22,'NeT PR - table_export'!$E:$E,"Yes",'NeT PR - table_export'!$J:$J,"N/A")</f>
        <v>0</v>
      </c>
      <c r="I22" s="51">
        <f>SUMIFS('NeT PR - table_export'!$H:$H,'NeT PR - table_export'!$D:$D,$C22,'NeT PR - table_export'!$E:$E,"No", 'NeT PR - table_export'!$J:$J,"N/A")</f>
        <v>5</v>
      </c>
      <c r="J22"/>
      <c r="K22"/>
      <c r="L22"/>
      <c r="M22"/>
      <c r="N22"/>
      <c r="O22" s="2"/>
    </row>
    <row r="23" spans="1:15" x14ac:dyDescent="0.35">
      <c r="A23" s="13">
        <f t="shared" si="4"/>
        <v>9</v>
      </c>
      <c r="B23" s="7" t="s">
        <v>556</v>
      </c>
      <c r="C23" s="46" t="s">
        <v>537</v>
      </c>
      <c r="D23" s="42">
        <f t="shared" si="5"/>
        <v>1</v>
      </c>
      <c r="E23" s="7">
        <f>COUNTIFS('NeT PR - table_export'!$D:$D,$C23,'NeT PR - table_export'!$E:$E,"Yes", 'NeT PR - table_export'!$J:$J,"N/A")</f>
        <v>1</v>
      </c>
      <c r="F23" s="14">
        <f>COUNTIFS('NeT PR - table_export'!$D:$D,$C23,'NeT PR - table_export'!$E:$E,"No", 'NeT PR - table_export'!$J:$J,"N/A")</f>
        <v>0</v>
      </c>
      <c r="G23" s="17">
        <f t="shared" si="6"/>
        <v>0</v>
      </c>
      <c r="H23" s="8">
        <f>SUMIFS('NeT PR - table_export'!$H:$H,'NeT PR - table_export'!$D:$D,$C23,'NeT PR - table_export'!$E:$E,"Yes",'NeT PR - table_export'!$J:$J,"N/A")</f>
        <v>0</v>
      </c>
      <c r="I23" s="51">
        <f>SUMIFS('NeT PR - table_export'!$H:$H,'NeT PR - table_export'!$D:$D,$C23,'NeT PR - table_export'!$E:$E,"No", 'NeT PR - table_export'!$J:$J,"N/A")</f>
        <v>0</v>
      </c>
      <c r="J23"/>
      <c r="K23"/>
      <c r="L23"/>
      <c r="M23"/>
      <c r="N23"/>
      <c r="O23" s="2"/>
    </row>
    <row r="24" spans="1:15" ht="15" thickBot="1" x14ac:dyDescent="0.4">
      <c r="A24" s="18">
        <f t="shared" si="4"/>
        <v>10</v>
      </c>
      <c r="B24" s="35" t="s">
        <v>556</v>
      </c>
      <c r="C24" s="47" t="s">
        <v>541</v>
      </c>
      <c r="D24" s="55">
        <f t="shared" si="5"/>
        <v>24</v>
      </c>
      <c r="E24" s="35">
        <f>COUNTIFS('NeT PR - table_export'!$D:$D,$C24,'NeT PR - table_export'!$E:$E,"Yes", 'NeT PR - table_export'!$J:$J,"N/A")</f>
        <v>6</v>
      </c>
      <c r="F24" s="19">
        <f>COUNTIFS('NeT PR - table_export'!$D:$D,$C24,'NeT PR - table_export'!$E:$E,"No", 'NeT PR - table_export'!$J:$J,"N/A")</f>
        <v>18</v>
      </c>
      <c r="G24" s="22">
        <f t="shared" si="6"/>
        <v>0</v>
      </c>
      <c r="H24" s="36">
        <f>SUMIFS('NeT PR - table_export'!$H:$H,'NeT PR - table_export'!$D:$D,$C24,'NeT PR - table_export'!$E:$E,"Yes",'NeT PR - table_export'!$J:$J,"N/A")</f>
        <v>0</v>
      </c>
      <c r="I24" s="52">
        <f>SUMIFS('NeT PR - table_export'!$H:$H,'NeT PR - table_export'!$D:$D,$C24,'NeT PR - table_export'!$E:$E,"No", 'NeT PR - table_export'!$J:$J,"N/A")</f>
        <v>0</v>
      </c>
      <c r="J24"/>
      <c r="K24"/>
      <c r="L24"/>
      <c r="M24"/>
      <c r="N24"/>
      <c r="O24" s="2"/>
    </row>
    <row r="25" spans="1:15" x14ac:dyDescent="0.35">
      <c r="G25" s="4"/>
      <c r="H25" s="4"/>
      <c r="I25" s="4"/>
    </row>
    <row r="26" spans="1:15" x14ac:dyDescent="0.35">
      <c r="C26" s="5" t="s">
        <v>420</v>
      </c>
      <c r="D26" s="3">
        <f t="shared" ref="D26:I26" si="7">SUM(D18:D24)</f>
        <v>78</v>
      </c>
      <c r="E26" s="3">
        <f t="shared" si="7"/>
        <v>36</v>
      </c>
      <c r="F26" s="3">
        <f t="shared" si="7"/>
        <v>42</v>
      </c>
      <c r="G26" s="4">
        <f t="shared" si="7"/>
        <v>5</v>
      </c>
      <c r="H26" s="4">
        <f t="shared" si="7"/>
        <v>0</v>
      </c>
      <c r="I26" s="4">
        <f t="shared" si="7"/>
        <v>5</v>
      </c>
    </row>
  </sheetData>
  <pageMargins left="0.7" right="0.7" top="0.75" bottom="0.75" header="0.3" footer="0.3"/>
  <pageSetup orientation="portrait"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CEC7-59B8-41A3-BAA3-D1F687AB4B37}">
  <dimension ref="A1:S235"/>
  <sheetViews>
    <sheetView zoomScale="70" zoomScaleNormal="70" workbookViewId="0"/>
  </sheetViews>
  <sheetFormatPr defaultRowHeight="14.5" x14ac:dyDescent="0.35"/>
  <cols>
    <col min="1" max="1" width="21.1796875" style="3" customWidth="1"/>
    <col min="2" max="2" width="62.90625" style="95" customWidth="1"/>
    <col min="3" max="3" width="19.81640625" style="3" customWidth="1"/>
    <col min="4" max="4" width="18" style="3" customWidth="1"/>
    <col min="5" max="5" width="16.54296875" style="3" customWidth="1"/>
    <col min="6" max="6" width="18.6328125" style="3" customWidth="1"/>
    <col min="7" max="7" width="20.1796875" style="3" customWidth="1"/>
    <col min="8" max="8" width="17.81640625" style="3" customWidth="1"/>
    <col min="9" max="9" width="17.453125" style="3" customWidth="1"/>
    <col min="10" max="12" width="8.7265625" style="2"/>
    <col min="13" max="13" width="25.1796875" style="2" bestFit="1" customWidth="1"/>
    <col min="14" max="14" width="21.1796875" style="2" customWidth="1"/>
    <col min="15" max="15" width="21.54296875" style="2" customWidth="1"/>
    <col min="16" max="16" width="19.6328125" style="2" customWidth="1"/>
    <col min="17" max="17" width="19.54296875" style="2" customWidth="1"/>
    <col min="18" max="18" width="24.1796875" style="2" customWidth="1"/>
    <col min="19" max="19" width="79.08984375" style="2" customWidth="1"/>
    <col min="20" max="16384" width="8.7265625" style="2"/>
  </cols>
  <sheetData>
    <row r="1" spans="1:19" s="1" customFormat="1" ht="65.150000000000006" customHeight="1" x14ac:dyDescent="0.35">
      <c r="A1" s="212" t="s">
        <v>2727</v>
      </c>
      <c r="B1" s="212" t="s">
        <v>2053</v>
      </c>
      <c r="C1" s="212" t="s">
        <v>2052</v>
      </c>
      <c r="D1" s="212" t="s">
        <v>2726</v>
      </c>
      <c r="E1" s="212" t="s">
        <v>2088</v>
      </c>
      <c r="F1" s="212" t="s">
        <v>2720</v>
      </c>
      <c r="G1" s="212" t="s">
        <v>2721</v>
      </c>
      <c r="H1" s="212" t="s">
        <v>2724</v>
      </c>
      <c r="I1" s="212" t="s">
        <v>2725</v>
      </c>
      <c r="M1" s="97" t="s">
        <v>3196</v>
      </c>
      <c r="N1" s="3"/>
      <c r="O1" s="3"/>
      <c r="P1" s="3"/>
      <c r="Q1" s="3"/>
      <c r="R1" s="3"/>
      <c r="S1" s="3"/>
    </row>
    <row r="2" spans="1:19" x14ac:dyDescent="0.35">
      <c r="A2" s="235">
        <v>1</v>
      </c>
      <c r="B2" s="248" t="str">
        <f>VLOOKUP(A2,'ELMS Categories'!$B$5:$C$14,2,FALSE)</f>
        <v>Stormwater - Construction</v>
      </c>
      <c r="C2" s="7" t="s">
        <v>2093</v>
      </c>
      <c r="D2" s="7" t="str">
        <f t="shared" ref="D2:D35" si="0">RIGHT(C2,2)</f>
        <v>01</v>
      </c>
      <c r="E2" s="7" t="str">
        <f t="shared" ref="E2:E35" si="1">IF(MID($C2,SEARCH("-",$C2)+1,3)="EPA","Yes","No")</f>
        <v>Yes</v>
      </c>
      <c r="F2" s="7" t="str">
        <f t="shared" ref="F2:F35" si="2">IF($E2="No",MID($C2,LEN($C2)-4,2),IF(LEN($C2)-LEN(SUBSTITUTE($C2,"HQ",""))=2,MID($C2,LEN($C2)-4,2),IF(LEN($C2)-LEN(SUBSTITUTE($C2,"R10",""))=3,MID($C2,LEN($C2)-5,3),MID($C2,LEN($C2)-4,2))))</f>
        <v>HQ</v>
      </c>
      <c r="G2" s="7" t="str">
        <f>VLOOKUP($C2,'NeT GP - table_export'!$Y:$AA,3,FALSE)</f>
        <v>Yes</v>
      </c>
      <c r="H2" s="7">
        <f>COUNTIF('NeT GP - table_export'!$Y:$Y,$C2)</f>
        <v>49</v>
      </c>
      <c r="I2" s="8">
        <f>SUMIF('NeT GP - table_export'!$Y:$Y,$C2,'NeT GP - table_export'!$J:$J)</f>
        <v>10757</v>
      </c>
      <c r="M2" s="95"/>
      <c r="N2" s="3"/>
      <c r="O2" s="3"/>
      <c r="P2" s="3"/>
      <c r="Q2" s="3"/>
      <c r="R2" s="3"/>
      <c r="S2" s="3"/>
    </row>
    <row r="3" spans="1:19" ht="52.5" customHeight="1" x14ac:dyDescent="0.35">
      <c r="A3" s="235">
        <v>1</v>
      </c>
      <c r="B3" s="248" t="str">
        <f>VLOOKUP(A3,'ELMS Categories'!$B$5:$C$14,2,FALSE)</f>
        <v>Stormwater - Construction</v>
      </c>
      <c r="C3" s="7" t="s">
        <v>2098</v>
      </c>
      <c r="D3" s="7" t="str">
        <f t="shared" si="0"/>
        <v>02</v>
      </c>
      <c r="E3" s="7" t="str">
        <f t="shared" si="1"/>
        <v>No</v>
      </c>
      <c r="F3" s="7" t="str">
        <f t="shared" si="2"/>
        <v>UT</v>
      </c>
      <c r="G3" s="7" t="str">
        <f>VLOOKUP($C3,'NeT GP - table_export'!$Y:$AA,3,FALSE)</f>
        <v>Yes</v>
      </c>
      <c r="H3" s="7">
        <f>COUNTIF('NeT GP - table_export'!$Y:$Y,$C3)</f>
        <v>2</v>
      </c>
      <c r="I3" s="8">
        <f>SUMIF('NeT GP - table_export'!$Y:$Y,$C3,'NeT GP - table_export'!$J:$J)</f>
        <v>3548</v>
      </c>
      <c r="M3" s="212" t="s">
        <v>2053</v>
      </c>
      <c r="N3" s="212" t="s">
        <v>2052</v>
      </c>
      <c r="O3" s="212" t="s">
        <v>2088</v>
      </c>
      <c r="P3" s="212" t="s">
        <v>2720</v>
      </c>
      <c r="Q3" s="212" t="s">
        <v>2724</v>
      </c>
      <c r="R3" s="212" t="s">
        <v>2725</v>
      </c>
      <c r="S3" s="212" t="s">
        <v>2</v>
      </c>
    </row>
    <row r="4" spans="1:19" x14ac:dyDescent="0.35">
      <c r="A4" s="235">
        <v>1</v>
      </c>
      <c r="B4" s="248" t="str">
        <f>VLOOKUP(A4,'ELMS Categories'!$B$5:$C$14,2,FALSE)</f>
        <v>Stormwater - Construction</v>
      </c>
      <c r="C4" s="7" t="s">
        <v>2095</v>
      </c>
      <c r="D4" s="7" t="str">
        <f t="shared" si="0"/>
        <v>03</v>
      </c>
      <c r="E4" s="7" t="str">
        <f t="shared" si="1"/>
        <v>No</v>
      </c>
      <c r="F4" s="7" t="str">
        <f t="shared" si="2"/>
        <v>IL</v>
      </c>
      <c r="G4" s="7" t="str">
        <f>VLOOKUP($C4,'NeT GP - table_export'!$Y:$AA,3,FALSE)</f>
        <v>Yes</v>
      </c>
      <c r="H4" s="7">
        <f>COUNTIF('NeT GP - table_export'!$Y:$Y,$C4)</f>
        <v>1</v>
      </c>
      <c r="I4" s="8">
        <f>SUMIF('NeT GP - table_export'!$Y:$Y,$C4,'NeT GP - table_export'!$J:$J)</f>
        <v>1000</v>
      </c>
      <c r="M4" s="7" t="s">
        <v>24</v>
      </c>
      <c r="N4" s="7" t="s">
        <v>2096</v>
      </c>
      <c r="O4" s="7" t="s">
        <v>10</v>
      </c>
      <c r="P4" s="7" t="s">
        <v>79</v>
      </c>
      <c r="Q4" s="7">
        <v>1</v>
      </c>
      <c r="R4" s="8">
        <v>200</v>
      </c>
      <c r="S4" s="249" t="s">
        <v>3197</v>
      </c>
    </row>
    <row r="5" spans="1:19" x14ac:dyDescent="0.35">
      <c r="A5" s="235">
        <v>1</v>
      </c>
      <c r="B5" s="248" t="str">
        <f>VLOOKUP(A5,'ELMS Categories'!$B$5:$C$14,2,FALSE)</f>
        <v>Stormwater - Construction</v>
      </c>
      <c r="C5" s="7" t="s">
        <v>2094</v>
      </c>
      <c r="D5" s="7" t="str">
        <f t="shared" si="0"/>
        <v>04</v>
      </c>
      <c r="E5" s="7" t="str">
        <f t="shared" si="1"/>
        <v>No</v>
      </c>
      <c r="F5" s="7" t="str">
        <f t="shared" si="2"/>
        <v>CT</v>
      </c>
      <c r="G5" s="7" t="str">
        <f>VLOOKUP($C5,'NeT GP - table_export'!$Y:$AA,3,FALSE)</f>
        <v>No</v>
      </c>
      <c r="H5" s="7">
        <f>COUNTIF('NeT GP - table_export'!$Y:$Y,$C5)</f>
        <v>1</v>
      </c>
      <c r="I5" s="8">
        <f>SUMIF('NeT GP - table_export'!$Y:$Y,$C5,'NeT GP - table_export'!$J:$J)</f>
        <v>180</v>
      </c>
      <c r="M5" s="7" t="s">
        <v>62</v>
      </c>
      <c r="N5" s="7" t="s">
        <v>2946</v>
      </c>
      <c r="O5" s="7" t="s">
        <v>10</v>
      </c>
      <c r="P5" s="7" t="s">
        <v>348</v>
      </c>
      <c r="Q5" s="7">
        <v>2</v>
      </c>
      <c r="R5" s="8">
        <v>155</v>
      </c>
      <c r="S5" s="249" t="s">
        <v>3210</v>
      </c>
    </row>
    <row r="6" spans="1:19" x14ac:dyDescent="0.35">
      <c r="A6" s="235">
        <v>1</v>
      </c>
      <c r="B6" s="248" t="str">
        <f>VLOOKUP(A6,'ELMS Categories'!$B$5:$C$14,2,FALSE)</f>
        <v>Stormwater - Construction</v>
      </c>
      <c r="C6" s="7" t="s">
        <v>2097</v>
      </c>
      <c r="D6" s="7" t="str">
        <f t="shared" si="0"/>
        <v>06</v>
      </c>
      <c r="E6" s="7" t="str">
        <f t="shared" si="1"/>
        <v>No</v>
      </c>
      <c r="F6" s="7" t="str">
        <f t="shared" si="2"/>
        <v>MS</v>
      </c>
      <c r="G6" s="7" t="str">
        <f>VLOOKUP($C6,'NeT GP - table_export'!$Y:$AA,3,FALSE)</f>
        <v>Hold</v>
      </c>
      <c r="H6" s="7">
        <f>COUNTIF('NeT GP - table_export'!$Y:$Y,$C6)</f>
        <v>1</v>
      </c>
      <c r="I6" s="8">
        <f>SUMIF('NeT GP - table_export'!$Y:$Y,$C6,'NeT GP - table_export'!$J:$J)</f>
        <v>1685</v>
      </c>
      <c r="M6" s="7" t="s">
        <v>7</v>
      </c>
      <c r="N6" s="7" t="s">
        <v>2115</v>
      </c>
      <c r="O6" s="7" t="s">
        <v>6</v>
      </c>
      <c r="P6" s="7" t="s">
        <v>2158</v>
      </c>
      <c r="Q6" s="7">
        <v>1</v>
      </c>
      <c r="R6" s="8">
        <v>23</v>
      </c>
      <c r="S6" s="249" t="s">
        <v>3212</v>
      </c>
    </row>
    <row r="7" spans="1:19" x14ac:dyDescent="0.35">
      <c r="A7" s="235">
        <v>1</v>
      </c>
      <c r="B7" s="248" t="str">
        <f>VLOOKUP(A7,'ELMS Categories'!$B$5:$C$14,2,FALSE)</f>
        <v>Stormwater - Construction</v>
      </c>
      <c r="C7" s="7" t="s">
        <v>2099</v>
      </c>
      <c r="D7" s="7" t="str">
        <f t="shared" si="0"/>
        <v>07</v>
      </c>
      <c r="E7" s="7" t="str">
        <f t="shared" si="1"/>
        <v>No</v>
      </c>
      <c r="F7" s="7" t="str">
        <f t="shared" si="2"/>
        <v>VI</v>
      </c>
      <c r="G7" s="7" t="str">
        <f>VLOOKUP($C7,'NeT GP - table_export'!$Y:$AA,3,FALSE)</f>
        <v>No</v>
      </c>
      <c r="H7" s="7">
        <f>COUNTIF('NeT GP - table_export'!$Y:$Y,$C7)</f>
        <v>1</v>
      </c>
      <c r="I7" s="8">
        <f>SUMIF('NeT GP - table_export'!$Y:$Y,$C7,'NeT GP - table_export'!$J:$J)</f>
        <v>40</v>
      </c>
      <c r="M7" s="7" t="s">
        <v>62</v>
      </c>
      <c r="N7" s="7" t="s">
        <v>2949</v>
      </c>
      <c r="O7" s="7" t="s">
        <v>10</v>
      </c>
      <c r="P7" s="7" t="s">
        <v>79</v>
      </c>
      <c r="Q7" s="7">
        <v>1</v>
      </c>
      <c r="R7" s="7">
        <v>1</v>
      </c>
      <c r="S7" s="249" t="s">
        <v>3214</v>
      </c>
    </row>
    <row r="8" spans="1:19" x14ac:dyDescent="0.35">
      <c r="A8" s="235">
        <v>1</v>
      </c>
      <c r="B8" s="248" t="str">
        <f>VLOOKUP(A8,'ELMS Categories'!$B$5:$C$14,2,FALSE)</f>
        <v>Stormwater - Construction</v>
      </c>
      <c r="C8" s="7" t="s">
        <v>2744</v>
      </c>
      <c r="D8" s="7" t="str">
        <f t="shared" si="0"/>
        <v>08</v>
      </c>
      <c r="E8" s="7" t="str">
        <f t="shared" si="1"/>
        <v>No</v>
      </c>
      <c r="F8" s="7" t="str">
        <f t="shared" si="2"/>
        <v>SD</v>
      </c>
      <c r="G8" s="7" t="str">
        <f>VLOOKUP($C8,'NeT GP - table_export'!$Y:$AA,3,FALSE)</f>
        <v>Yes</v>
      </c>
      <c r="H8" s="7">
        <f>COUNTIF('NeT GP - table_export'!$Y:$Y,$C8)</f>
        <v>1</v>
      </c>
      <c r="I8" s="8">
        <f>SUMIF('NeT GP - table_export'!$Y:$Y,$C8,'NeT GP - table_export'!$J:$J)</f>
        <v>1871</v>
      </c>
      <c r="M8" s="7" t="s">
        <v>62</v>
      </c>
      <c r="N8" s="7" t="s">
        <v>2944</v>
      </c>
      <c r="O8" s="7" t="s">
        <v>10</v>
      </c>
      <c r="P8" s="7" t="s">
        <v>79</v>
      </c>
      <c r="Q8" s="7">
        <v>1</v>
      </c>
      <c r="R8" s="7">
        <v>110</v>
      </c>
      <c r="S8" s="249" t="s">
        <v>3214</v>
      </c>
    </row>
    <row r="9" spans="1:19" x14ac:dyDescent="0.35">
      <c r="A9" s="235">
        <v>2</v>
      </c>
      <c r="B9" s="248" t="str">
        <f>VLOOKUP(A9,'ELMS Categories'!$B$5:$C$14,2,FALSE)</f>
        <v>Stormwater - Industrial</v>
      </c>
      <c r="C9" s="7" t="s">
        <v>2100</v>
      </c>
      <c r="D9" s="7" t="str">
        <f t="shared" si="0"/>
        <v>01</v>
      </c>
      <c r="E9" s="7" t="str">
        <f t="shared" si="1"/>
        <v>Yes</v>
      </c>
      <c r="F9" s="7" t="str">
        <f t="shared" si="2"/>
        <v>HQ</v>
      </c>
      <c r="G9" s="7" t="str">
        <f>VLOOKUP($C9,'NeT GP - table_export'!$Y:$AA,3,FALSE)</f>
        <v>Yes</v>
      </c>
      <c r="H9" s="7">
        <f>COUNTIF('NeT GP - table_export'!$Y:$Y,$C9)</f>
        <v>50</v>
      </c>
      <c r="I9" s="8">
        <f>SUMIF('NeT GP - table_export'!$Y:$Y,$C9,'NeT GP - table_export'!$J:$J)</f>
        <v>2292</v>
      </c>
      <c r="M9" s="7" t="s">
        <v>62</v>
      </c>
      <c r="N9" s="7" t="s">
        <v>2947</v>
      </c>
      <c r="O9" s="7" t="s">
        <v>10</v>
      </c>
      <c r="P9" s="7" t="s">
        <v>79</v>
      </c>
      <c r="Q9" s="7">
        <v>1</v>
      </c>
      <c r="R9" s="7">
        <v>6</v>
      </c>
      <c r="S9" s="249" t="s">
        <v>3214</v>
      </c>
    </row>
    <row r="10" spans="1:19" x14ac:dyDescent="0.35">
      <c r="A10" s="235">
        <v>2</v>
      </c>
      <c r="B10" s="248" t="str">
        <f>VLOOKUP(A10,'ELMS Categories'!$B$5:$C$14,2,FALSE)</f>
        <v>Stormwater - Industrial</v>
      </c>
      <c r="C10" s="7" t="s">
        <v>2103</v>
      </c>
      <c r="D10" s="7" t="str">
        <f t="shared" si="0"/>
        <v>02</v>
      </c>
      <c r="E10" s="7" t="str">
        <f t="shared" si="1"/>
        <v>No</v>
      </c>
      <c r="F10" s="7" t="str">
        <f t="shared" si="2"/>
        <v>RI</v>
      </c>
      <c r="G10" s="7" t="str">
        <f>VLOOKUP($C10,'NeT GP - table_export'!$Y:$AA,3,FALSE)</f>
        <v>Yes</v>
      </c>
      <c r="H10" s="7">
        <f>COUNTIF('NeT GP - table_export'!$Y:$Y,$C10)</f>
        <v>1</v>
      </c>
      <c r="I10" s="8">
        <f>SUMIF('NeT GP - table_export'!$Y:$Y,$C10,'NeT GP - table_export'!$J:$J)</f>
        <v>171</v>
      </c>
      <c r="M10" s="7" t="s">
        <v>28</v>
      </c>
      <c r="N10" s="7" t="s">
        <v>2937</v>
      </c>
      <c r="O10" s="7" t="s">
        <v>10</v>
      </c>
      <c r="P10" s="7" t="s">
        <v>79</v>
      </c>
      <c r="Q10" s="7">
        <v>1</v>
      </c>
      <c r="R10" s="7">
        <v>904</v>
      </c>
      <c r="S10" s="249" t="s">
        <v>3215</v>
      </c>
    </row>
    <row r="11" spans="1:19" x14ac:dyDescent="0.35">
      <c r="A11" s="235">
        <v>2</v>
      </c>
      <c r="B11" s="248" t="str">
        <f>VLOOKUP(A11,'ELMS Categories'!$B$5:$C$14,2,FALSE)</f>
        <v>Stormwater - Industrial</v>
      </c>
      <c r="C11" s="7" t="s">
        <v>2105</v>
      </c>
      <c r="D11" s="7" t="str">
        <f t="shared" si="0"/>
        <v>03</v>
      </c>
      <c r="E11" s="7" t="str">
        <f t="shared" si="1"/>
        <v>No</v>
      </c>
      <c r="F11" s="7" t="str">
        <f t="shared" si="2"/>
        <v>UT</v>
      </c>
      <c r="G11" s="7" t="str">
        <f>VLOOKUP($C11,'NeT GP - table_export'!$Y:$AA,3,FALSE)</f>
        <v>Yes</v>
      </c>
      <c r="H11" s="7">
        <f>COUNTIF('NeT GP - table_export'!$Y:$Y,$C11)</f>
        <v>1</v>
      </c>
      <c r="I11" s="8">
        <f>SUMIF('NeT GP - table_export'!$Y:$Y,$C11,'NeT GP - table_export'!$J:$J)</f>
        <v>714</v>
      </c>
      <c r="M11" s="7" t="s">
        <v>62</v>
      </c>
      <c r="N11" s="7" t="s">
        <v>2945</v>
      </c>
      <c r="O11" s="7" t="s">
        <v>10</v>
      </c>
      <c r="P11" s="7" t="s">
        <v>226</v>
      </c>
      <c r="Q11" s="7">
        <v>1</v>
      </c>
      <c r="R11" s="8">
        <v>78</v>
      </c>
      <c r="S11" s="249" t="s">
        <v>3216</v>
      </c>
    </row>
    <row r="12" spans="1:19" x14ac:dyDescent="0.35">
      <c r="A12" s="235">
        <v>2</v>
      </c>
      <c r="B12" s="248" t="str">
        <f>VLOOKUP(A12,'ELMS Categories'!$B$5:$C$14,2,FALSE)</f>
        <v>Stormwater - Industrial</v>
      </c>
      <c r="C12" s="7" t="s">
        <v>2104</v>
      </c>
      <c r="D12" s="7" t="str">
        <f t="shared" si="0"/>
        <v>04</v>
      </c>
      <c r="E12" s="7" t="str">
        <f t="shared" si="1"/>
        <v>No</v>
      </c>
      <c r="F12" s="7" t="str">
        <f t="shared" si="2"/>
        <v>SD</v>
      </c>
      <c r="G12" s="7" t="str">
        <f>VLOOKUP($C12,'NeT GP - table_export'!$Y:$AA,3,FALSE)</f>
        <v>Yes</v>
      </c>
      <c r="H12" s="7">
        <f>COUNTIF('NeT GP - table_export'!$Y:$Y,$C12)</f>
        <v>1</v>
      </c>
      <c r="I12" s="8">
        <f>SUMIF('NeT GP - table_export'!$Y:$Y,$C12,'NeT GP - table_export'!$J:$J)</f>
        <v>830</v>
      </c>
    </row>
    <row r="13" spans="1:19" x14ac:dyDescent="0.35">
      <c r="A13" s="235">
        <v>2</v>
      </c>
      <c r="B13" s="248" t="str">
        <f>VLOOKUP(A13,'ELMS Categories'!$B$5:$C$14,2,FALSE)</f>
        <v>Stormwater - Industrial</v>
      </c>
      <c r="C13" s="7" t="s">
        <v>2102</v>
      </c>
      <c r="D13" s="7" t="str">
        <f t="shared" si="0"/>
        <v>05</v>
      </c>
      <c r="E13" s="7" t="str">
        <f t="shared" si="1"/>
        <v>No</v>
      </c>
      <c r="F13" s="7" t="str">
        <f t="shared" si="2"/>
        <v>IL</v>
      </c>
      <c r="G13" s="7" t="str">
        <f>VLOOKUP($C13,'NeT GP - table_export'!$Y:$AA,3,FALSE)</f>
        <v>Hold</v>
      </c>
      <c r="H13" s="7">
        <f>COUNTIF('NeT GP - table_export'!$Y:$Y,$C13)</f>
        <v>1</v>
      </c>
      <c r="I13" s="8">
        <f>SUMIF('NeT GP - table_export'!$Y:$Y,$C13,'NeT GP - table_export'!$J:$J)</f>
        <v>2440</v>
      </c>
    </row>
    <row r="14" spans="1:19" x14ac:dyDescent="0.35">
      <c r="A14" s="235">
        <v>2</v>
      </c>
      <c r="B14" s="248" t="str">
        <f>VLOOKUP(A14,'ELMS Categories'!$B$5:$C$14,2,FALSE)</f>
        <v>Stormwater - Industrial</v>
      </c>
      <c r="C14" s="7" t="s">
        <v>2101</v>
      </c>
      <c r="D14" s="7" t="str">
        <f t="shared" si="0"/>
        <v>06</v>
      </c>
      <c r="E14" s="7" t="str">
        <f t="shared" si="1"/>
        <v>No</v>
      </c>
      <c r="F14" s="7" t="str">
        <f t="shared" si="2"/>
        <v>CT</v>
      </c>
      <c r="G14" s="7" t="str">
        <f>VLOOKUP($C14,'NeT GP - table_export'!$Y:$AA,3,FALSE)</f>
        <v>Pending</v>
      </c>
      <c r="H14" s="7">
        <f>COUNTIF('NeT GP - table_export'!$Y:$Y,$C14)</f>
        <v>1</v>
      </c>
      <c r="I14" s="8">
        <f>SUMIF('NeT GP - table_export'!$Y:$Y,$C14,'NeT GP - table_export'!$J:$J)</f>
        <v>1960</v>
      </c>
    </row>
    <row r="15" spans="1:19" x14ac:dyDescent="0.35">
      <c r="A15" s="235">
        <v>2</v>
      </c>
      <c r="B15" s="248" t="str">
        <f>VLOOKUP(A15,'ELMS Categories'!$B$5:$C$14,2,FALSE)</f>
        <v>Stormwater - Industrial</v>
      </c>
      <c r="C15" s="7" t="s">
        <v>2938</v>
      </c>
      <c r="D15" s="7" t="str">
        <f t="shared" si="0"/>
        <v>08</v>
      </c>
      <c r="E15" s="7" t="str">
        <f t="shared" si="1"/>
        <v>No</v>
      </c>
      <c r="F15" s="7" t="str">
        <f t="shared" si="2"/>
        <v>MS</v>
      </c>
      <c r="G15" s="7" t="str">
        <f>VLOOKUP($C15,'NeT GP - table_export'!$Y:$AA,3,FALSE)</f>
        <v>Hold</v>
      </c>
      <c r="H15" s="7">
        <f>COUNTIF('NeT GP - table_export'!$Y:$Y,$C15)</f>
        <v>5</v>
      </c>
      <c r="I15" s="8">
        <f>SUMIF('NeT GP - table_export'!$Y:$Y,$C15,'NeT GP - table_export'!$J:$J)</f>
        <v>2237</v>
      </c>
    </row>
    <row r="16" spans="1:19" x14ac:dyDescent="0.35">
      <c r="A16" s="235">
        <v>2</v>
      </c>
      <c r="B16" s="248" t="str">
        <f>VLOOKUP(A16,'ELMS Categories'!$B$5:$C$14,2,FALSE)</f>
        <v>Stormwater - Industrial</v>
      </c>
      <c r="C16" s="7" t="s">
        <v>2939</v>
      </c>
      <c r="D16" s="7" t="str">
        <f t="shared" si="0"/>
        <v>09</v>
      </c>
      <c r="E16" s="7" t="str">
        <f t="shared" si="1"/>
        <v>No</v>
      </c>
      <c r="F16" s="7" t="str">
        <f t="shared" si="2"/>
        <v>VI</v>
      </c>
      <c r="G16" s="7" t="str">
        <f>VLOOKUP($C16,'NeT GP - table_export'!$Y:$AA,3,FALSE)</f>
        <v>Hold</v>
      </c>
      <c r="H16" s="7">
        <f>COUNTIF('NeT GP - table_export'!$Y:$Y,$C16)</f>
        <v>1</v>
      </c>
      <c r="I16" s="8">
        <f>SUMIF('NeT GP - table_export'!$Y:$Y,$C16,'NeT GP - table_export'!$J:$J)</f>
        <v>50</v>
      </c>
    </row>
    <row r="17" spans="1:9" x14ac:dyDescent="0.35">
      <c r="A17" s="235">
        <v>2</v>
      </c>
      <c r="B17" s="248" t="str">
        <f>VLOOKUP(A17,'ELMS Categories'!$B$5:$C$14,2,FALSE)</f>
        <v>Stormwater - Industrial</v>
      </c>
      <c r="C17" s="7" t="s">
        <v>3202</v>
      </c>
      <c r="D17" s="7" t="str">
        <f t="shared" si="0"/>
        <v>10</v>
      </c>
      <c r="E17" s="7" t="str">
        <f t="shared" si="1"/>
        <v>No</v>
      </c>
      <c r="F17" s="7" t="str">
        <f t="shared" si="2"/>
        <v>MD</v>
      </c>
      <c r="G17" s="7" t="str">
        <f>VLOOKUP($C17,'NeT GP - table_export'!$Y:$AA,3,FALSE)</f>
        <v>No</v>
      </c>
      <c r="H17" s="7">
        <f>COUNTIF('NeT GP - table_export'!$Y:$Y,$C17)</f>
        <v>1</v>
      </c>
      <c r="I17" s="8">
        <f>SUMIF('NeT GP - table_export'!$Y:$Y,$C17,'NeT GP - table_export'!$J:$J)</f>
        <v>989</v>
      </c>
    </row>
    <row r="18" spans="1:9" x14ac:dyDescent="0.35">
      <c r="A18" s="235">
        <v>2</v>
      </c>
      <c r="B18" s="248" t="str">
        <f>VLOOKUP(A18,'ELMS Categories'!$B$5:$C$14,2,FALSE)</f>
        <v>Stormwater - Industrial</v>
      </c>
      <c r="C18" s="7" t="s">
        <v>3213</v>
      </c>
      <c r="D18" s="7" t="str">
        <f t="shared" ref="D18" si="3">RIGHT(C18,2)</f>
        <v>11</v>
      </c>
      <c r="E18" s="7" t="str">
        <f t="shared" si="1"/>
        <v>No</v>
      </c>
      <c r="F18" s="7" t="str">
        <f t="shared" si="2"/>
        <v>DE</v>
      </c>
      <c r="G18" s="7" t="str">
        <f>VLOOKUP($C18,'NeT GP - table_export'!$Y:$AA,3,FALSE)</f>
        <v>Pending</v>
      </c>
      <c r="H18" s="7">
        <f>COUNTIF('NeT GP - table_export'!$Y:$Y,$C18)</f>
        <v>1</v>
      </c>
      <c r="I18" s="8">
        <f>SUMIF('NeT GP - table_export'!$Y:$Y,$C18,'NeT GP - table_export'!$J:$J)</f>
        <v>387</v>
      </c>
    </row>
    <row r="19" spans="1:9" x14ac:dyDescent="0.35">
      <c r="A19" s="235">
        <v>3</v>
      </c>
      <c r="B19" s="248" t="str">
        <f>VLOOKUP(A19,'ELMS Categories'!$B$5:$C$14,2,FALSE)</f>
        <v>Oil and Gas Extraction</v>
      </c>
      <c r="C19" s="7" t="s">
        <v>2114</v>
      </c>
      <c r="D19" s="7" t="str">
        <f t="shared" si="0"/>
        <v>01</v>
      </c>
      <c r="E19" s="7" t="str">
        <f t="shared" si="1"/>
        <v>Yes</v>
      </c>
      <c r="F19" s="7" t="str">
        <f t="shared" si="2"/>
        <v>R6</v>
      </c>
      <c r="G19" s="7" t="str">
        <f>VLOOKUP($C19,'NeT GP - table_export'!$Y:$AA,3,FALSE)</f>
        <v>Yes</v>
      </c>
      <c r="H19" s="7">
        <f>COUNTIF('NeT GP - table_export'!$Y:$Y,$C19)</f>
        <v>1</v>
      </c>
      <c r="I19" s="8">
        <f>SUMIF('NeT GP - table_export'!$Y:$Y,$C19,'NeT GP - table_export'!$J:$J)</f>
        <v>10493</v>
      </c>
    </row>
    <row r="20" spans="1:9" x14ac:dyDescent="0.35">
      <c r="A20" s="235">
        <v>3</v>
      </c>
      <c r="B20" s="248" t="str">
        <f>VLOOKUP(A20,'ELMS Categories'!$B$5:$C$14,2,FALSE)</f>
        <v>Oil and Gas Extraction</v>
      </c>
      <c r="C20" s="7" t="s">
        <v>2113</v>
      </c>
      <c r="D20" s="7" t="str">
        <f t="shared" si="0"/>
        <v>02</v>
      </c>
      <c r="E20" s="7" t="str">
        <f t="shared" si="1"/>
        <v>Yes</v>
      </c>
      <c r="F20" s="7" t="str">
        <f t="shared" si="2"/>
        <v>R4</v>
      </c>
      <c r="G20" s="7" t="str">
        <f>VLOOKUP($C20,'NeT GP - table_export'!$Y:$AA,3,FALSE)</f>
        <v>Yes</v>
      </c>
      <c r="H20" s="7">
        <f>COUNTIF('NeT GP - table_export'!$Y:$Y,$C20)</f>
        <v>1</v>
      </c>
      <c r="I20" s="8">
        <f>SUMIF('NeT GP - table_export'!$Y:$Y,$C20,'NeT GP - table_export'!$J:$J)</f>
        <v>28</v>
      </c>
    </row>
    <row r="21" spans="1:9" x14ac:dyDescent="0.35">
      <c r="A21" s="235">
        <v>4</v>
      </c>
      <c r="B21" s="248" t="str">
        <f>VLOOKUP(A21,'ELMS Categories'!$B$5:$C$14,2,FALSE)</f>
        <v>Aquaculture and Seafood Processing</v>
      </c>
      <c r="C21" s="7" t="s">
        <v>2106</v>
      </c>
      <c r="D21" s="7" t="str">
        <f t="shared" si="0"/>
        <v>01</v>
      </c>
      <c r="E21" s="7" t="str">
        <f t="shared" si="1"/>
        <v>Yes</v>
      </c>
      <c r="F21" s="7" t="str">
        <f t="shared" si="2"/>
        <v>R10</v>
      </c>
      <c r="G21" s="7" t="str">
        <f>VLOOKUP($C21,'NeT GP - table_export'!$Y:$AA,3,FALSE)</f>
        <v>Yes</v>
      </c>
      <c r="H21" s="7">
        <f>COUNTIF('NeT GP - table_export'!$Y:$Y,$C21)</f>
        <v>2</v>
      </c>
      <c r="I21" s="8">
        <f>SUMIF('NeT GP - table_export'!$Y:$Y,$C21,'NeT GP - table_export'!$J:$J)</f>
        <v>20</v>
      </c>
    </row>
    <row r="22" spans="1:9" x14ac:dyDescent="0.35">
      <c r="A22" s="235">
        <v>4</v>
      </c>
      <c r="B22" s="248" t="str">
        <f>VLOOKUP(A22,'ELMS Categories'!$B$5:$C$14,2,FALSE)</f>
        <v>Aquaculture and Seafood Processing</v>
      </c>
      <c r="C22" s="7" t="s">
        <v>2107</v>
      </c>
      <c r="D22" s="7" t="str">
        <f t="shared" si="0"/>
        <v>02</v>
      </c>
      <c r="E22" s="7" t="str">
        <f t="shared" si="1"/>
        <v>Yes</v>
      </c>
      <c r="F22" s="7" t="str">
        <f t="shared" si="2"/>
        <v>R10</v>
      </c>
      <c r="G22" s="7" t="str">
        <f>VLOOKUP($C22,'NeT GP - table_export'!$Y:$AA,3,FALSE)</f>
        <v>Yes</v>
      </c>
      <c r="H22" s="7">
        <f>COUNTIF('NeT GP - table_export'!$Y:$Y,$C22)</f>
        <v>1</v>
      </c>
      <c r="I22" s="8">
        <f>SUMIF('NeT GP - table_export'!$Y:$Y,$C22,'NeT GP - table_export'!$J:$J)</f>
        <v>3</v>
      </c>
    </row>
    <row r="23" spans="1:9" x14ac:dyDescent="0.35">
      <c r="A23" s="235">
        <v>4</v>
      </c>
      <c r="B23" s="248" t="str">
        <f>VLOOKUP(A23,'ELMS Categories'!$B$5:$C$14,2,FALSE)</f>
        <v>Aquaculture and Seafood Processing</v>
      </c>
      <c r="C23" s="7" t="s">
        <v>2108</v>
      </c>
      <c r="D23" s="7" t="str">
        <f t="shared" si="0"/>
        <v>03</v>
      </c>
      <c r="E23" s="7" t="str">
        <f t="shared" si="1"/>
        <v>Yes</v>
      </c>
      <c r="F23" s="7" t="str">
        <f t="shared" si="2"/>
        <v>R10</v>
      </c>
      <c r="G23" s="7" t="str">
        <f>VLOOKUP($C23,'NeT GP - table_export'!$Y:$AA,3,FALSE)</f>
        <v>Yes</v>
      </c>
      <c r="H23" s="7">
        <f>COUNTIF('NeT GP - table_export'!$Y:$Y,$C23)</f>
        <v>1</v>
      </c>
      <c r="I23" s="8">
        <f>SUMIF('NeT GP - table_export'!$Y:$Y,$C23,'NeT GP - table_export'!$J:$J)</f>
        <v>25</v>
      </c>
    </row>
    <row r="24" spans="1:9" x14ac:dyDescent="0.35">
      <c r="A24" s="235">
        <v>4</v>
      </c>
      <c r="B24" s="248" t="str">
        <f>VLOOKUP(A24,'ELMS Categories'!$B$5:$C$14,2,FALSE)</f>
        <v>Aquaculture and Seafood Processing</v>
      </c>
      <c r="C24" s="7" t="s">
        <v>2109</v>
      </c>
      <c r="D24" s="7" t="str">
        <f t="shared" si="0"/>
        <v>04</v>
      </c>
      <c r="E24" s="7" t="str">
        <f t="shared" si="1"/>
        <v>Yes</v>
      </c>
      <c r="F24" s="7" t="str">
        <f t="shared" si="2"/>
        <v>R1</v>
      </c>
      <c r="G24" s="7" t="str">
        <f>VLOOKUP($C24,'NeT GP - table_export'!$Y:$AA,3,FALSE)</f>
        <v>Yes</v>
      </c>
      <c r="H24" s="7">
        <f>COUNTIF('NeT GP - table_export'!$Y:$Y,$C24)</f>
        <v>3</v>
      </c>
      <c r="I24" s="8">
        <f>SUMIF('NeT GP - table_export'!$Y:$Y,$C24,'NeT GP - table_export'!$J:$J)</f>
        <v>12</v>
      </c>
    </row>
    <row r="25" spans="1:9" x14ac:dyDescent="0.35">
      <c r="A25" s="235">
        <v>4</v>
      </c>
      <c r="B25" s="248" t="str">
        <f>VLOOKUP(A25,'ELMS Categories'!$B$5:$C$14,2,FALSE)</f>
        <v>Aquaculture and Seafood Processing</v>
      </c>
      <c r="C25" s="7" t="s">
        <v>2112</v>
      </c>
      <c r="D25" s="7" t="str">
        <f t="shared" si="0"/>
        <v>05</v>
      </c>
      <c r="E25" s="7" t="str">
        <f t="shared" si="1"/>
        <v>No</v>
      </c>
      <c r="F25" s="7" t="str">
        <f t="shared" si="2"/>
        <v>UT</v>
      </c>
      <c r="G25" s="7" t="str">
        <f>VLOOKUP($C25,'NeT GP - table_export'!$Y:$AA,3,FALSE)</f>
        <v>Yes</v>
      </c>
      <c r="H25" s="7">
        <f>COUNTIF('NeT GP - table_export'!$Y:$Y,$C25)</f>
        <v>1</v>
      </c>
      <c r="I25" s="8">
        <f>SUMIF('NeT GP - table_export'!$Y:$Y,$C25,'NeT GP - table_export'!$J:$J)</f>
        <v>12</v>
      </c>
    </row>
    <row r="26" spans="1:9" x14ac:dyDescent="0.35">
      <c r="A26" s="235">
        <v>4</v>
      </c>
      <c r="B26" s="248" t="str">
        <f>VLOOKUP(A26,'ELMS Categories'!$B$5:$C$14,2,FALSE)</f>
        <v>Aquaculture and Seafood Processing</v>
      </c>
      <c r="C26" s="7" t="s">
        <v>2110</v>
      </c>
      <c r="D26" s="7" t="str">
        <f t="shared" si="0"/>
        <v>06</v>
      </c>
      <c r="E26" s="7" t="str">
        <f t="shared" si="1"/>
        <v>No</v>
      </c>
      <c r="F26" s="7" t="str">
        <f t="shared" si="2"/>
        <v>ID</v>
      </c>
      <c r="G26" s="7" t="str">
        <f>VLOOKUP($C26,'NeT GP - table_export'!$Y:$AA,3,FALSE)</f>
        <v>Hold</v>
      </c>
      <c r="H26" s="7">
        <f>COUNTIF('NeT GP - table_export'!$Y:$Y,$C26)</f>
        <v>1</v>
      </c>
      <c r="I26" s="8">
        <f>SUMIF('NeT GP - table_export'!$Y:$Y,$C26,'NeT GP - table_export'!$J:$J)</f>
        <v>86</v>
      </c>
    </row>
    <row r="27" spans="1:9" x14ac:dyDescent="0.35">
      <c r="A27" s="235">
        <v>4</v>
      </c>
      <c r="B27" s="248" t="str">
        <f>VLOOKUP(A27,'ELMS Categories'!$B$5:$C$14,2,FALSE)</f>
        <v>Aquaculture and Seafood Processing</v>
      </c>
      <c r="C27" s="7" t="s">
        <v>2111</v>
      </c>
      <c r="D27" s="7" t="str">
        <f t="shared" si="0"/>
        <v>07</v>
      </c>
      <c r="E27" s="7" t="str">
        <f t="shared" si="1"/>
        <v>No</v>
      </c>
      <c r="F27" s="7" t="str">
        <f t="shared" si="2"/>
        <v>ME</v>
      </c>
      <c r="G27" s="7" t="str">
        <f>VLOOKUP($C27,'NeT GP - table_export'!$Y:$AA,3,FALSE)</f>
        <v>Hold</v>
      </c>
      <c r="H27" s="7">
        <f>COUNTIF('NeT GP - table_export'!$Y:$Y,$C27)</f>
        <v>1</v>
      </c>
      <c r="I27" s="8">
        <f>SUMIF('NeT GP - table_export'!$Y:$Y,$C27,'NeT GP - table_export'!$J:$J)</f>
        <v>12</v>
      </c>
    </row>
    <row r="28" spans="1:9" x14ac:dyDescent="0.35">
      <c r="A28" s="235">
        <v>4</v>
      </c>
      <c r="B28" s="248" t="str">
        <f>VLOOKUP(A28,'ELMS Categories'!$B$5:$C$14,2,FALSE)</f>
        <v>Aquaculture and Seafood Processing</v>
      </c>
      <c r="C28" s="7" t="s">
        <v>3190</v>
      </c>
      <c r="D28" s="7" t="str">
        <f t="shared" si="0"/>
        <v>08</v>
      </c>
      <c r="E28" s="7" t="str">
        <f t="shared" si="1"/>
        <v>Yes</v>
      </c>
      <c r="F28" s="7" t="str">
        <f t="shared" si="2"/>
        <v>R10</v>
      </c>
      <c r="G28" s="7" t="str">
        <f>VLOOKUP($C28,'NeT GP - table_export'!$Y:$AA,3,FALSE)</f>
        <v>Pending</v>
      </c>
      <c r="H28" s="7">
        <f>COUNTIF('NeT GP - table_export'!$Y:$Y,$C28)</f>
        <v>2</v>
      </c>
      <c r="I28" s="8">
        <f>SUMIF('NeT GP - table_export'!$Y:$Y,$C28,'NeT GP - table_export'!$J:$J)</f>
        <v>88</v>
      </c>
    </row>
    <row r="29" spans="1:9" x14ac:dyDescent="0.35">
      <c r="A29" s="235">
        <v>4</v>
      </c>
      <c r="B29" s="248" t="str">
        <f>VLOOKUP(A29,'ELMS Categories'!$B$5:$C$14,2,FALSE)</f>
        <v>Aquaculture and Seafood Processing</v>
      </c>
      <c r="C29" s="7" t="s">
        <v>3191</v>
      </c>
      <c r="D29" s="7" t="str">
        <f t="shared" ref="D29" si="4">RIGHT(C29,2)</f>
        <v>09</v>
      </c>
      <c r="E29" s="7" t="str">
        <f t="shared" si="1"/>
        <v>No</v>
      </c>
      <c r="F29" s="7" t="str">
        <f t="shared" si="2"/>
        <v>ID</v>
      </c>
      <c r="G29" s="7" t="str">
        <f>VLOOKUP($C29,'NeT GP - table_export'!$Y:$AA,3,FALSE)</f>
        <v>Hold</v>
      </c>
      <c r="H29" s="7">
        <f>COUNTIF('NeT GP - table_export'!$Y:$Y,$C29)</f>
        <v>1</v>
      </c>
      <c r="I29" s="8">
        <f>SUMIF('NeT GP - table_export'!$Y:$Y,$C29,'NeT GP - table_export'!$J:$J)</f>
        <v>4</v>
      </c>
    </row>
    <row r="30" spans="1:9" x14ac:dyDescent="0.35">
      <c r="A30" s="235">
        <v>4</v>
      </c>
      <c r="B30" s="248" t="str">
        <f>VLOOKUP(A30,'ELMS Categories'!$B$5:$C$14,2,FALSE)</f>
        <v>Aquaculture and Seafood Processing</v>
      </c>
      <c r="C30" s="7" t="s">
        <v>3203</v>
      </c>
      <c r="D30" s="7" t="str">
        <f t="shared" ref="D30" si="5">RIGHT(C30,2)</f>
        <v>10</v>
      </c>
      <c r="E30" s="7" t="str">
        <f t="shared" si="1"/>
        <v>No</v>
      </c>
      <c r="F30" s="7" t="str">
        <f t="shared" si="2"/>
        <v>MD</v>
      </c>
      <c r="G30" s="7" t="str">
        <f>VLOOKUP($C30,'NeT GP - table_export'!$Y:$AA,3,FALSE)</f>
        <v>No</v>
      </c>
      <c r="H30" s="7">
        <f>COUNTIF('NeT GP - table_export'!$Y:$Y,$C30)</f>
        <v>1</v>
      </c>
      <c r="I30" s="8">
        <f>SUMIF('NeT GP - table_export'!$Y:$Y,$C30,'NeT GP - table_export'!$J:$J)</f>
        <v>21</v>
      </c>
    </row>
    <row r="31" spans="1:9" x14ac:dyDescent="0.35">
      <c r="A31" s="235">
        <v>5</v>
      </c>
      <c r="B31" s="248" t="str">
        <f>VLOOKUP(A31,'ELMS Categories'!$B$5:$C$14,2,FALSE)</f>
        <v>Pesticide Application</v>
      </c>
      <c r="C31" s="7" t="s">
        <v>2116</v>
      </c>
      <c r="D31" s="7" t="str">
        <f t="shared" si="0"/>
        <v>01</v>
      </c>
      <c r="E31" s="7" t="str">
        <f t="shared" si="1"/>
        <v>Yes</v>
      </c>
      <c r="F31" s="7" t="str">
        <f t="shared" si="2"/>
        <v>HQ</v>
      </c>
      <c r="G31" s="7" t="str">
        <f>VLOOKUP($C31,'NeT GP - table_export'!$Y:$AA,3,FALSE)</f>
        <v>Yes</v>
      </c>
      <c r="H31" s="7">
        <f>COUNTIF('NeT GP - table_export'!$Y:$Y,$C31)</f>
        <v>41</v>
      </c>
      <c r="I31" s="8">
        <f>SUMIF('NeT GP - table_export'!$Y:$Y,$C31,'NeT GP - table_export'!$J:$J)</f>
        <v>151</v>
      </c>
    </row>
    <row r="32" spans="1:9" x14ac:dyDescent="0.35">
      <c r="A32" s="235">
        <v>5</v>
      </c>
      <c r="B32" s="248" t="str">
        <f>VLOOKUP(A32,'ELMS Categories'!$B$5:$C$14,2,FALSE)</f>
        <v>Pesticide Application</v>
      </c>
      <c r="C32" s="7" t="s">
        <v>2117</v>
      </c>
      <c r="D32" s="7" t="str">
        <f t="shared" si="0"/>
        <v>02</v>
      </c>
      <c r="E32" s="7" t="str">
        <f t="shared" si="1"/>
        <v>No</v>
      </c>
      <c r="F32" s="7" t="str">
        <f t="shared" si="2"/>
        <v>CT</v>
      </c>
      <c r="G32" s="7" t="str">
        <f>VLOOKUP($C32,'NeT GP - table_export'!$Y:$AA,3,FALSE)</f>
        <v>No</v>
      </c>
      <c r="H32" s="7">
        <f>COUNTIF('NeT GP - table_export'!$Y:$Y,$C32)</f>
        <v>1</v>
      </c>
      <c r="I32" s="8">
        <f>SUMIF('NeT GP - table_export'!$Y:$Y,$C32,'NeT GP - table_export'!$J:$J)</f>
        <v>18</v>
      </c>
    </row>
    <row r="33" spans="1:9" x14ac:dyDescent="0.35">
      <c r="A33" s="235">
        <v>5</v>
      </c>
      <c r="B33" s="248" t="str">
        <f>VLOOKUP(A33,'ELMS Categories'!$B$5:$C$14,2,FALSE)</f>
        <v>Pesticide Application</v>
      </c>
      <c r="C33" s="7" t="s">
        <v>2118</v>
      </c>
      <c r="D33" s="7" t="str">
        <f t="shared" si="0"/>
        <v>03</v>
      </c>
      <c r="E33" s="7" t="str">
        <f t="shared" si="1"/>
        <v>No</v>
      </c>
      <c r="F33" s="7" t="str">
        <f t="shared" si="2"/>
        <v>ID</v>
      </c>
      <c r="G33" s="7" t="str">
        <f>VLOOKUP($C33,'NeT GP - table_export'!$Y:$AA,3,FALSE)</f>
        <v>Pending</v>
      </c>
      <c r="H33" s="7">
        <f>COUNTIF('NeT GP - table_export'!$Y:$Y,$C33)</f>
        <v>1</v>
      </c>
      <c r="I33" s="8">
        <f>SUMIF('NeT GP - table_export'!$Y:$Y,$C33,'NeT GP - table_export'!$J:$J)</f>
        <v>100</v>
      </c>
    </row>
    <row r="34" spans="1:9" x14ac:dyDescent="0.35">
      <c r="A34" s="235">
        <v>5</v>
      </c>
      <c r="B34" s="248" t="str">
        <f>VLOOKUP(A34,'ELMS Categories'!$B$5:$C$14,2,FALSE)</f>
        <v>Pesticide Application</v>
      </c>
      <c r="C34" s="7" t="s">
        <v>2119</v>
      </c>
      <c r="D34" s="7" t="str">
        <f t="shared" si="0"/>
        <v>04</v>
      </c>
      <c r="E34" s="7" t="str">
        <f t="shared" si="1"/>
        <v>No</v>
      </c>
      <c r="F34" s="7" t="str">
        <f t="shared" si="2"/>
        <v>IL</v>
      </c>
      <c r="G34" s="7" t="str">
        <f>VLOOKUP($C34,'NeT GP - table_export'!$Y:$AA,3,FALSE)</f>
        <v>Yes</v>
      </c>
      <c r="H34" s="7">
        <f>COUNTIF('NeT GP - table_export'!$Y:$Y,$C34)</f>
        <v>1</v>
      </c>
      <c r="I34" s="8">
        <f>SUMIF('NeT GP - table_export'!$Y:$Y,$C34,'NeT GP - table_export'!$J:$J)</f>
        <v>499</v>
      </c>
    </row>
    <row r="35" spans="1:9" x14ac:dyDescent="0.35">
      <c r="A35" s="235">
        <v>5</v>
      </c>
      <c r="B35" s="248" t="str">
        <f>VLOOKUP(A35,'ELMS Categories'!$B$5:$C$14,2,FALSE)</f>
        <v>Pesticide Application</v>
      </c>
      <c r="C35" s="7" t="s">
        <v>2940</v>
      </c>
      <c r="D35" s="7" t="str">
        <f t="shared" si="0"/>
        <v>05</v>
      </c>
      <c r="E35" s="7" t="str">
        <f t="shared" si="1"/>
        <v>No</v>
      </c>
      <c r="F35" s="7" t="str">
        <f t="shared" si="2"/>
        <v>NE</v>
      </c>
      <c r="G35" s="7" t="str">
        <f>VLOOKUP($C35,'NeT GP - table_export'!$Y:$AA,3,FALSE)</f>
        <v>Yes</v>
      </c>
      <c r="H35" s="7">
        <f>COUNTIF('NeT GP - table_export'!$Y:$Y,$C35)</f>
        <v>1</v>
      </c>
      <c r="I35" s="8">
        <f>SUMIF('NeT GP - table_export'!$Y:$Y,$C35,'NeT GP - table_export'!$J:$J)</f>
        <v>14</v>
      </c>
    </row>
    <row r="36" spans="1:9" x14ac:dyDescent="0.35">
      <c r="A36" s="235">
        <v>5</v>
      </c>
      <c r="B36" s="248" t="str">
        <f>VLOOKUP(A36,'ELMS Categories'!$B$5:$C$14,2,FALSE)</f>
        <v>Pesticide Application</v>
      </c>
      <c r="C36" s="7" t="s">
        <v>2941</v>
      </c>
      <c r="D36" s="7" t="str">
        <f t="shared" ref="D36:D69" si="6">RIGHT(C36,2)</f>
        <v>06</v>
      </c>
      <c r="E36" s="7" t="str">
        <f t="shared" ref="E36:E69" si="7">IF(MID($C36,SEARCH("-",$C36)+1,3)="EPA","Yes","No")</f>
        <v>No</v>
      </c>
      <c r="F36" s="7" t="str">
        <f t="shared" ref="F36:F69" si="8">IF($E36="No",MID($C36,LEN($C36)-4,2),IF(LEN($C36)-LEN(SUBSTITUTE($C36,"HQ",""))=2,MID($C36,LEN($C36)-4,2),IF(LEN($C36)-LEN(SUBSTITUTE($C36,"R10",""))=3,MID($C36,LEN($C36)-5,3),MID($C36,LEN($C36)-4,2))))</f>
        <v>UT</v>
      </c>
      <c r="G36" s="7" t="str">
        <f>VLOOKUP($C36,'NeT GP - table_export'!$Y:$AA,3,FALSE)</f>
        <v>Yes</v>
      </c>
      <c r="H36" s="7">
        <f>COUNTIF('NeT GP - table_export'!$Y:$Y,$C36)</f>
        <v>1</v>
      </c>
      <c r="I36" s="8">
        <f>SUMIF('NeT GP - table_export'!$Y:$Y,$C36,'NeT GP - table_export'!$J:$J)</f>
        <v>90</v>
      </c>
    </row>
    <row r="37" spans="1:9" x14ac:dyDescent="0.35">
      <c r="A37" s="235">
        <v>5</v>
      </c>
      <c r="B37" s="248" t="str">
        <f>VLOOKUP(A37,'ELMS Categories'!$B$5:$C$14,2,FALSE)</f>
        <v>Pesticide Application</v>
      </c>
      <c r="C37" s="7" t="s">
        <v>2942</v>
      </c>
      <c r="D37" s="7" t="str">
        <f t="shared" si="6"/>
        <v>07</v>
      </c>
      <c r="E37" s="7" t="str">
        <f t="shared" si="7"/>
        <v>No</v>
      </c>
      <c r="F37" s="7" t="str">
        <f t="shared" si="8"/>
        <v>VI</v>
      </c>
      <c r="G37" s="7" t="str">
        <f>VLOOKUP($C37,'NeT GP - table_export'!$Y:$AA,3,FALSE)</f>
        <v>No</v>
      </c>
      <c r="H37" s="7">
        <f>COUNTIF('NeT GP - table_export'!$Y:$Y,$C37)</f>
        <v>1</v>
      </c>
      <c r="I37" s="8">
        <f>SUMIF('NeT GP - table_export'!$Y:$Y,$C37,'NeT GP - table_export'!$J:$J)</f>
        <v>2</v>
      </c>
    </row>
    <row r="38" spans="1:9" x14ac:dyDescent="0.35">
      <c r="A38" s="235">
        <v>5</v>
      </c>
      <c r="B38" s="248" t="str">
        <f>VLOOKUP(A38,'ELMS Categories'!$B$5:$C$14,2,FALSE)</f>
        <v>Pesticide Application</v>
      </c>
      <c r="C38" s="7" t="s">
        <v>2943</v>
      </c>
      <c r="D38" s="7" t="str">
        <f t="shared" si="6"/>
        <v>08</v>
      </c>
      <c r="E38" s="7" t="str">
        <f t="shared" si="7"/>
        <v>No</v>
      </c>
      <c r="F38" s="7" t="str">
        <f t="shared" si="8"/>
        <v>ME</v>
      </c>
      <c r="G38" s="7" t="str">
        <f>VLOOKUP($C38,'NeT GP - table_export'!$Y:$AA,3,FALSE)</f>
        <v>No</v>
      </c>
      <c r="H38" s="7">
        <f>COUNTIF('NeT GP - table_export'!$Y:$Y,$C38)</f>
        <v>4</v>
      </c>
      <c r="I38" s="8">
        <f>SUMIF('NeT GP - table_export'!$Y:$Y,$C38,'NeT GP - table_export'!$J:$J)</f>
        <v>11</v>
      </c>
    </row>
    <row r="39" spans="1:9" x14ac:dyDescent="0.35">
      <c r="A39" s="235">
        <v>5</v>
      </c>
      <c r="B39" s="248" t="str">
        <f>VLOOKUP(A39,'ELMS Categories'!$B$5:$C$14,2,FALSE)</f>
        <v>Pesticide Application</v>
      </c>
      <c r="C39" s="7" t="s">
        <v>3204</v>
      </c>
      <c r="D39" s="7" t="str">
        <f t="shared" ref="D39" si="9">RIGHT(C39,2)</f>
        <v>09</v>
      </c>
      <c r="E39" s="7" t="str">
        <f t="shared" si="7"/>
        <v>No</v>
      </c>
      <c r="F39" s="7" t="str">
        <f t="shared" si="8"/>
        <v>MD</v>
      </c>
      <c r="G39" s="7" t="str">
        <f>VLOOKUP($C39,'NeT GP - table_export'!$Y:$AA,3,FALSE)</f>
        <v>No</v>
      </c>
      <c r="H39" s="7">
        <f>COUNTIF('NeT GP - table_export'!$Y:$Y,$C39)</f>
        <v>1</v>
      </c>
      <c r="I39" s="8">
        <f>SUMIF('NeT GP - table_export'!$Y:$Y,$C39,'NeT GP - table_export'!$J:$J)</f>
        <v>2000</v>
      </c>
    </row>
    <row r="40" spans="1:9" x14ac:dyDescent="0.35">
      <c r="A40" s="235">
        <v>6</v>
      </c>
      <c r="B40" s="248" t="str">
        <f>VLOOKUP(A40,'ELMS Categories'!$B$5:$C$14,2,FALSE)</f>
        <v>Groundwater Remediation, Dewatering, and Hydrostatic Testing</v>
      </c>
      <c r="C40" s="217" t="s">
        <v>2137</v>
      </c>
      <c r="D40" s="7" t="str">
        <f t="shared" si="6"/>
        <v>01</v>
      </c>
      <c r="E40" s="7" t="str">
        <f t="shared" si="7"/>
        <v>Yes</v>
      </c>
      <c r="F40" s="7" t="str">
        <f t="shared" si="8"/>
        <v>R1</v>
      </c>
      <c r="G40" s="7" t="str">
        <f>VLOOKUP($C40,'NeT GP - table_export'!$Y:$AA,3,FALSE)</f>
        <v>Yes</v>
      </c>
      <c r="H40" s="7">
        <f>COUNTIF('NeT GP - table_export'!$Y:$Y,$C40)</f>
        <v>5</v>
      </c>
      <c r="I40" s="8">
        <f>SUMIF('NeT GP - table_export'!$Y:$Y,$C40,'NeT GP - table_export'!$J:$J)</f>
        <v>152</v>
      </c>
    </row>
    <row r="41" spans="1:9" x14ac:dyDescent="0.35">
      <c r="A41" s="235">
        <v>6</v>
      </c>
      <c r="B41" s="248" t="str">
        <f>VLOOKUP(A41,'ELMS Categories'!$B$5:$C$14,2,FALSE)</f>
        <v>Groundwater Remediation, Dewatering, and Hydrostatic Testing</v>
      </c>
      <c r="C41" s="217" t="s">
        <v>2954</v>
      </c>
      <c r="D41" s="7" t="str">
        <f t="shared" si="6"/>
        <v>02</v>
      </c>
      <c r="E41" s="7" t="str">
        <f t="shared" si="7"/>
        <v>No</v>
      </c>
      <c r="F41" s="7" t="str">
        <f t="shared" si="8"/>
        <v>IL</v>
      </c>
      <c r="G41" s="7" t="str">
        <f>VLOOKUP($C41,'NeT GP - table_export'!$Y:$AA,3,FALSE)</f>
        <v>No</v>
      </c>
      <c r="H41" s="7">
        <f>COUNTIF('NeT GP - table_export'!$Y:$Y,$C41)</f>
        <v>1</v>
      </c>
      <c r="I41" s="8">
        <f>SUMIF('NeT GP - table_export'!$Y:$Y,$C41,'NeT GP - table_export'!$J:$J)</f>
        <v>45</v>
      </c>
    </row>
    <row r="42" spans="1:9" x14ac:dyDescent="0.35">
      <c r="A42" s="235">
        <v>6</v>
      </c>
      <c r="B42" s="248" t="str">
        <f>VLOOKUP(A42,'ELMS Categories'!$B$5:$C$14,2,FALSE)</f>
        <v>Groundwater Remediation, Dewatering, and Hydrostatic Testing</v>
      </c>
      <c r="C42" s="217" t="s">
        <v>2139</v>
      </c>
      <c r="D42" s="7" t="str">
        <f t="shared" si="6"/>
        <v>03</v>
      </c>
      <c r="E42" s="7" t="str">
        <f t="shared" si="7"/>
        <v>No</v>
      </c>
      <c r="F42" s="7" t="str">
        <f t="shared" si="8"/>
        <v>MS</v>
      </c>
      <c r="G42" s="7" t="str">
        <f>VLOOKUP($C42,'NeT GP - table_export'!$Y:$AA,3,FALSE)</f>
        <v>No</v>
      </c>
      <c r="H42" s="7">
        <f>COUNTIF('NeT GP - table_export'!$Y:$Y,$C42)</f>
        <v>2</v>
      </c>
      <c r="I42" s="8">
        <f>SUMIF('NeT GP - table_export'!$Y:$Y,$C42,'NeT GP - table_export'!$J:$J)</f>
        <v>119</v>
      </c>
    </row>
    <row r="43" spans="1:9" x14ac:dyDescent="0.35">
      <c r="A43" s="235">
        <v>6</v>
      </c>
      <c r="B43" s="248" t="str">
        <f>VLOOKUP(A43,'ELMS Categories'!$B$5:$C$14,2,FALSE)</f>
        <v>Groundwater Remediation, Dewatering, and Hydrostatic Testing</v>
      </c>
      <c r="C43" s="217" t="s">
        <v>2140</v>
      </c>
      <c r="D43" s="7" t="str">
        <f t="shared" si="6"/>
        <v>04</v>
      </c>
      <c r="E43" s="7" t="str">
        <f t="shared" si="7"/>
        <v>No</v>
      </c>
      <c r="F43" s="7" t="str">
        <f t="shared" si="8"/>
        <v>NE</v>
      </c>
      <c r="G43" s="7" t="str">
        <f>VLOOKUP($C43,'NeT GP - table_export'!$Y:$AA,3,FALSE)</f>
        <v>No</v>
      </c>
      <c r="H43" s="7">
        <f>COUNTIF('NeT GP - table_export'!$Y:$Y,$C43)</f>
        <v>4</v>
      </c>
      <c r="I43" s="8">
        <f>SUMIF('NeT GP - table_export'!$Y:$Y,$C43,'NeT GP - table_export'!$J:$J)</f>
        <v>101</v>
      </c>
    </row>
    <row r="44" spans="1:9" x14ac:dyDescent="0.35">
      <c r="A44" s="235">
        <v>6</v>
      </c>
      <c r="B44" s="248" t="str">
        <f>VLOOKUP(A44,'ELMS Categories'!$B$5:$C$14,2,FALSE)</f>
        <v>Groundwater Remediation, Dewatering, and Hydrostatic Testing</v>
      </c>
      <c r="C44" s="217" t="s">
        <v>2141</v>
      </c>
      <c r="D44" s="7" t="str">
        <f t="shared" si="6"/>
        <v>05</v>
      </c>
      <c r="E44" s="7" t="str">
        <f t="shared" si="7"/>
        <v>No</v>
      </c>
      <c r="F44" s="7" t="str">
        <f t="shared" si="8"/>
        <v>RI</v>
      </c>
      <c r="G44" s="7" t="str">
        <f>VLOOKUP($C44,'NeT GP - table_export'!$Y:$AA,3,FALSE)</f>
        <v>Pending</v>
      </c>
      <c r="H44" s="7">
        <f>COUNTIF('NeT GP - table_export'!$Y:$Y,$C44)</f>
        <v>1</v>
      </c>
      <c r="I44" s="8">
        <f>SUMIF('NeT GP - table_export'!$Y:$Y,$C44,'NeT GP - table_export'!$J:$J)</f>
        <v>11</v>
      </c>
    </row>
    <row r="45" spans="1:9" x14ac:dyDescent="0.35">
      <c r="A45" s="235">
        <v>6</v>
      </c>
      <c r="B45" s="248" t="str">
        <f>VLOOKUP(A45,'ELMS Categories'!$B$5:$C$14,2,FALSE)</f>
        <v>Groundwater Remediation, Dewatering, and Hydrostatic Testing</v>
      </c>
      <c r="C45" s="217" t="s">
        <v>2142</v>
      </c>
      <c r="D45" s="7" t="str">
        <f t="shared" si="6"/>
        <v>06</v>
      </c>
      <c r="E45" s="7" t="str">
        <f t="shared" si="7"/>
        <v>No</v>
      </c>
      <c r="F45" s="7" t="str">
        <f t="shared" si="8"/>
        <v>SD</v>
      </c>
      <c r="G45" s="7" t="str">
        <f>VLOOKUP($C45,'NeT GP - table_export'!$Y:$AA,3,FALSE)</f>
        <v>No</v>
      </c>
      <c r="H45" s="7">
        <f>COUNTIF('NeT GP - table_export'!$Y:$Y,$C45)</f>
        <v>1</v>
      </c>
      <c r="I45" s="8">
        <f>SUMIF('NeT GP - table_export'!$Y:$Y,$C45,'NeT GP - table_export'!$J:$J)</f>
        <v>245</v>
      </c>
    </row>
    <row r="46" spans="1:9" x14ac:dyDescent="0.35">
      <c r="A46" s="235">
        <v>6</v>
      </c>
      <c r="B46" s="248" t="str">
        <f>VLOOKUP(A46,'ELMS Categories'!$B$5:$C$14,2,FALSE)</f>
        <v>Groundwater Remediation, Dewatering, and Hydrostatic Testing</v>
      </c>
      <c r="C46" s="217" t="s">
        <v>2143</v>
      </c>
      <c r="D46" s="7" t="str">
        <f t="shared" si="6"/>
        <v>07</v>
      </c>
      <c r="E46" s="7" t="str">
        <f t="shared" si="7"/>
        <v>No</v>
      </c>
      <c r="F46" s="7" t="str">
        <f t="shared" si="8"/>
        <v>UT</v>
      </c>
      <c r="G46" s="7" t="str">
        <f>VLOOKUP($C46,'NeT GP - table_export'!$Y:$AA,3,FALSE)</f>
        <v>Yes</v>
      </c>
      <c r="H46" s="7">
        <f>COUNTIF('NeT GP - table_export'!$Y:$Y,$C46)</f>
        <v>2</v>
      </c>
      <c r="I46" s="8">
        <f>SUMIF('NeT GP - table_export'!$Y:$Y,$C46,'NeT GP - table_export'!$J:$J)</f>
        <v>46</v>
      </c>
    </row>
    <row r="47" spans="1:9" x14ac:dyDescent="0.35">
      <c r="A47" s="235">
        <v>6</v>
      </c>
      <c r="B47" s="248" t="str">
        <f>VLOOKUP(A47,'ELMS Categories'!$B$5:$C$14,2,FALSE)</f>
        <v>Groundwater Remediation, Dewatering, and Hydrostatic Testing</v>
      </c>
      <c r="C47" s="217" t="s">
        <v>2138</v>
      </c>
      <c r="D47" s="7" t="str">
        <f t="shared" si="6"/>
        <v>08</v>
      </c>
      <c r="E47" s="7" t="str">
        <f t="shared" si="7"/>
        <v>No</v>
      </c>
      <c r="F47" s="7" t="str">
        <f t="shared" si="8"/>
        <v>CT</v>
      </c>
      <c r="G47" s="7" t="str">
        <f>VLOOKUP($C47,'NeT GP - table_export'!$Y:$AA,3,FALSE)</f>
        <v>No</v>
      </c>
      <c r="H47" s="7">
        <f>COUNTIF('NeT GP - table_export'!$Y:$Y,$C47)</f>
        <v>1</v>
      </c>
      <c r="I47" s="8">
        <f>SUMIF('NeT GP - table_export'!$Y:$Y,$C47,'NeT GP - table_export'!$J:$J)</f>
        <v>105</v>
      </c>
    </row>
    <row r="48" spans="1:9" x14ac:dyDescent="0.35">
      <c r="A48" s="235">
        <v>6</v>
      </c>
      <c r="B48" s="248" t="str">
        <f>VLOOKUP(A48,'ELMS Categories'!$B$5:$C$14,2,FALSE)</f>
        <v>Groundwater Remediation, Dewatering, and Hydrostatic Testing</v>
      </c>
      <c r="C48" s="217" t="s">
        <v>2248</v>
      </c>
      <c r="D48" s="7" t="str">
        <f t="shared" si="6"/>
        <v>09</v>
      </c>
      <c r="E48" s="7" t="str">
        <f t="shared" si="7"/>
        <v>Yes</v>
      </c>
      <c r="F48" s="7" t="str">
        <f t="shared" si="8"/>
        <v>R6</v>
      </c>
      <c r="G48" s="7" t="str">
        <f>VLOOKUP($C48,'NeT GP - table_export'!$Y:$AA,3,FALSE)</f>
        <v>Yes</v>
      </c>
      <c r="H48" s="7">
        <f>COUNTIF('NeT GP - table_export'!$Y:$Y,$C48)</f>
        <v>6</v>
      </c>
      <c r="I48" s="8">
        <f>SUMIF('NeT GP - table_export'!$Y:$Y,$C48,'NeT GP - table_export'!$J:$J)</f>
        <v>23</v>
      </c>
    </row>
    <row r="49" spans="1:9" x14ac:dyDescent="0.35">
      <c r="A49" s="235">
        <v>6</v>
      </c>
      <c r="B49" s="248" t="str">
        <f>VLOOKUP(A49,'ELMS Categories'!$B$5:$C$14,2,FALSE)</f>
        <v>Groundwater Remediation, Dewatering, and Hydrostatic Testing</v>
      </c>
      <c r="C49" s="217" t="s">
        <v>3205</v>
      </c>
      <c r="D49" s="7" t="str">
        <f t="shared" ref="D49" si="10">RIGHT(C49,2)</f>
        <v>10</v>
      </c>
      <c r="E49" s="7" t="str">
        <f t="shared" si="7"/>
        <v>No</v>
      </c>
      <c r="F49" s="7" t="str">
        <f t="shared" si="8"/>
        <v>MD</v>
      </c>
      <c r="G49" s="7" t="str">
        <f>VLOOKUP($C49,'NeT GP - table_export'!$Y:$AA,3,FALSE)</f>
        <v>No</v>
      </c>
      <c r="H49" s="7">
        <f>COUNTIF('NeT GP - table_export'!$Y:$Y,$C49)</f>
        <v>1</v>
      </c>
      <c r="I49" s="8">
        <f>SUMIF('NeT GP - table_export'!$Y:$Y,$C49,'NeT GP - table_export'!$J:$J)</f>
        <v>285</v>
      </c>
    </row>
    <row r="50" spans="1:9" x14ac:dyDescent="0.35">
      <c r="A50" s="235">
        <v>7</v>
      </c>
      <c r="B50" s="248" t="str">
        <f>VLOOKUP(A50,'ELMS Categories'!$B$5:$C$14,2,FALSE)</f>
        <v>Stormwater - MS4</v>
      </c>
      <c r="C50" s="7" t="s">
        <v>2120</v>
      </c>
      <c r="D50" s="7" t="str">
        <f t="shared" si="6"/>
        <v>01</v>
      </c>
      <c r="E50" s="7" t="str">
        <f t="shared" si="7"/>
        <v>Yes</v>
      </c>
      <c r="F50" s="7" t="str">
        <f t="shared" si="8"/>
        <v>R1</v>
      </c>
      <c r="G50" s="7" t="str">
        <f>VLOOKUP($C50,'NeT GP - table_export'!$Y:$AA,3,FALSE)</f>
        <v>Pending</v>
      </c>
      <c r="H50" s="7">
        <f>COUNTIF('NeT GP - table_export'!$Y:$Y,$C50)</f>
        <v>6</v>
      </c>
      <c r="I50" s="8">
        <f>SUMIF('NeT GP - table_export'!$Y:$Y,$C50,'NeT GP - table_export'!$J:$J)</f>
        <v>316</v>
      </c>
    </row>
    <row r="51" spans="1:9" x14ac:dyDescent="0.35">
      <c r="A51" s="235">
        <v>7</v>
      </c>
      <c r="B51" s="248" t="str">
        <f>VLOOKUP(A51,'ELMS Categories'!$B$5:$C$14,2,FALSE)</f>
        <v>Stormwater - MS4</v>
      </c>
      <c r="C51" s="7" t="s">
        <v>2121</v>
      </c>
      <c r="D51" s="7" t="str">
        <f t="shared" si="6"/>
        <v>02</v>
      </c>
      <c r="E51" s="7" t="str">
        <f t="shared" si="7"/>
        <v>Yes</v>
      </c>
      <c r="F51" s="7" t="str">
        <f t="shared" si="8"/>
        <v>R2</v>
      </c>
      <c r="G51" s="7" t="str">
        <f>VLOOKUP($C51,'NeT GP - table_export'!$Y:$AA,3,FALSE)</f>
        <v>Hold</v>
      </c>
      <c r="H51" s="7">
        <f>COUNTIF('NeT GP - table_export'!$Y:$Y,$C51)</f>
        <v>1</v>
      </c>
      <c r="I51" s="8">
        <f>SUMIF('NeT GP - table_export'!$Y:$Y,$C51,'NeT GP - table_export'!$J:$J)</f>
        <v>88</v>
      </c>
    </row>
    <row r="52" spans="1:9" x14ac:dyDescent="0.35">
      <c r="A52" s="235">
        <v>7</v>
      </c>
      <c r="B52" s="248" t="str">
        <f>VLOOKUP(A52,'ELMS Categories'!$B$5:$C$14,2,FALSE)</f>
        <v>Stormwater - MS4</v>
      </c>
      <c r="C52" s="7" t="s">
        <v>2122</v>
      </c>
      <c r="D52" s="7" t="str">
        <f t="shared" si="6"/>
        <v>03</v>
      </c>
      <c r="E52" s="7" t="str">
        <f t="shared" si="7"/>
        <v>Yes</v>
      </c>
      <c r="F52" s="7" t="str">
        <f t="shared" si="8"/>
        <v>R6</v>
      </c>
      <c r="G52" s="7" t="str">
        <f>VLOOKUP($C52,'NeT GP - table_export'!$Y:$AA,3,FALSE)</f>
        <v>Hold</v>
      </c>
      <c r="H52" s="7">
        <f>COUNTIF('NeT GP - table_export'!$Y:$Y,$C52)</f>
        <v>1</v>
      </c>
      <c r="I52" s="8">
        <f>SUMIF('NeT GP - table_export'!$Y:$Y,$C52,'NeT GP - table_export'!$J:$J)</f>
        <v>23</v>
      </c>
    </row>
    <row r="53" spans="1:9" x14ac:dyDescent="0.35">
      <c r="A53" s="235">
        <v>7</v>
      </c>
      <c r="B53" s="248" t="str">
        <f>VLOOKUP(A53,'ELMS Categories'!$B$5:$C$14,2,FALSE)</f>
        <v>Stormwater - MS4</v>
      </c>
      <c r="C53" s="7" t="s">
        <v>2123</v>
      </c>
      <c r="D53" s="7" t="str">
        <f t="shared" si="6"/>
        <v>04</v>
      </c>
      <c r="E53" s="7" t="str">
        <f t="shared" si="7"/>
        <v>Yes</v>
      </c>
      <c r="F53" s="7" t="str">
        <f t="shared" si="8"/>
        <v>R6</v>
      </c>
      <c r="G53" s="7" t="str">
        <f>VLOOKUP($C53,'NeT GP - table_export'!$Y:$AA,3,FALSE)</f>
        <v>Hold</v>
      </c>
      <c r="H53" s="7">
        <f>COUNTIF('NeT GP - table_export'!$Y:$Y,$C53)</f>
        <v>1</v>
      </c>
      <c r="I53" s="8">
        <f>SUMIF('NeT GP - table_export'!$Y:$Y,$C53,'NeT GP - table_export'!$J:$J)</f>
        <v>18</v>
      </c>
    </row>
    <row r="54" spans="1:9" x14ac:dyDescent="0.35">
      <c r="A54" s="235">
        <v>7</v>
      </c>
      <c r="B54" s="248" t="str">
        <f>VLOOKUP(A54,'ELMS Categories'!$B$5:$C$14,2,FALSE)</f>
        <v>Stormwater - MS4</v>
      </c>
      <c r="C54" s="7" t="s">
        <v>2128</v>
      </c>
      <c r="D54" s="7" t="str">
        <f t="shared" si="6"/>
        <v>05</v>
      </c>
      <c r="E54" s="7" t="str">
        <f t="shared" si="7"/>
        <v>No</v>
      </c>
      <c r="F54" s="7" t="str">
        <f t="shared" si="8"/>
        <v>RI</v>
      </c>
      <c r="G54" s="7" t="str">
        <f>VLOOKUP($C54,'NeT GP - table_export'!$Y:$AA,3,FALSE)</f>
        <v>Hold</v>
      </c>
      <c r="H54" s="7">
        <f>COUNTIF('NeT GP - table_export'!$Y:$Y,$C54)</f>
        <v>1</v>
      </c>
      <c r="I54" s="8">
        <f>SUMIF('NeT GP - table_export'!$Y:$Y,$C54,'NeT GP - table_export'!$J:$J)</f>
        <v>41</v>
      </c>
    </row>
    <row r="55" spans="1:9" x14ac:dyDescent="0.35">
      <c r="A55" s="235">
        <v>7</v>
      </c>
      <c r="B55" s="248" t="str">
        <f>VLOOKUP(A55,'ELMS Categories'!$B$5:$C$14,2,FALSE)</f>
        <v>Stormwater - MS4</v>
      </c>
      <c r="C55" s="7" t="s">
        <v>2130</v>
      </c>
      <c r="D55" s="7" t="str">
        <f t="shared" si="6"/>
        <v>06</v>
      </c>
      <c r="E55" s="7" t="str">
        <f t="shared" si="7"/>
        <v>No</v>
      </c>
      <c r="F55" s="7" t="str">
        <f t="shared" si="8"/>
        <v>UT</v>
      </c>
      <c r="G55" s="7" t="str">
        <f>VLOOKUP($C55,'NeT GP - table_export'!$Y:$AA,3,FALSE)</f>
        <v>Yes</v>
      </c>
      <c r="H55" s="7">
        <f>COUNTIF('NeT GP - table_export'!$Y:$Y,$C55)</f>
        <v>1</v>
      </c>
      <c r="I55" s="8">
        <f>SUMIF('NeT GP - table_export'!$Y:$Y,$C55,'NeT GP - table_export'!$J:$J)</f>
        <v>92</v>
      </c>
    </row>
    <row r="56" spans="1:9" x14ac:dyDescent="0.35">
      <c r="A56" s="235">
        <v>7</v>
      </c>
      <c r="B56" s="248" t="str">
        <f>VLOOKUP(A56,'ELMS Categories'!$B$5:$C$14,2,FALSE)</f>
        <v>Stormwater - MS4</v>
      </c>
      <c r="C56" s="7" t="s">
        <v>2129</v>
      </c>
      <c r="D56" s="7" t="str">
        <f t="shared" si="6"/>
        <v>07</v>
      </c>
      <c r="E56" s="7" t="str">
        <f t="shared" si="7"/>
        <v>No</v>
      </c>
      <c r="F56" s="7" t="str">
        <f t="shared" si="8"/>
        <v>SD</v>
      </c>
      <c r="G56" s="7" t="str">
        <f>VLOOKUP($C56,'NeT GP - table_export'!$Y:$AA,3,FALSE)</f>
        <v>No</v>
      </c>
      <c r="H56" s="7">
        <f>COUNTIF('NeT GP - table_export'!$Y:$Y,$C56)</f>
        <v>1</v>
      </c>
      <c r="I56" s="8">
        <f>SUMIF('NeT GP - table_export'!$Y:$Y,$C56,'NeT GP - table_export'!$J:$J)</f>
        <v>19</v>
      </c>
    </row>
    <row r="57" spans="1:9" x14ac:dyDescent="0.35">
      <c r="A57" s="235">
        <v>7</v>
      </c>
      <c r="B57" s="248" t="str">
        <f>VLOOKUP(A57,'ELMS Categories'!$B$5:$C$14,2,FALSE)</f>
        <v>Stormwater - MS4</v>
      </c>
      <c r="C57" s="7" t="s">
        <v>2124</v>
      </c>
      <c r="D57" s="7" t="str">
        <f t="shared" si="6"/>
        <v>08</v>
      </c>
      <c r="E57" s="7" t="str">
        <f t="shared" si="7"/>
        <v>No</v>
      </c>
      <c r="F57" s="7" t="str">
        <f t="shared" si="8"/>
        <v>CT</v>
      </c>
      <c r="G57" s="7" t="str">
        <f>VLOOKUP($C57,'NeT GP - table_export'!$Y:$AA,3,FALSE)</f>
        <v>No</v>
      </c>
      <c r="H57" s="7">
        <f>COUNTIF('NeT GP - table_export'!$Y:$Y,$C57)</f>
        <v>2</v>
      </c>
      <c r="I57" s="8">
        <f>SUMIF('NeT GP - table_export'!$Y:$Y,$C57,'NeT GP - table_export'!$J:$J)</f>
        <v>134</v>
      </c>
    </row>
    <row r="58" spans="1:9" x14ac:dyDescent="0.35">
      <c r="A58" s="235">
        <v>7</v>
      </c>
      <c r="B58" s="248" t="str">
        <f>VLOOKUP(A58,'ELMS Categories'!$B$5:$C$14,2,FALSE)</f>
        <v>Stormwater - MS4</v>
      </c>
      <c r="C58" s="7" t="s">
        <v>2125</v>
      </c>
      <c r="D58" s="7" t="str">
        <f t="shared" si="6"/>
        <v>09</v>
      </c>
      <c r="E58" s="7" t="str">
        <f t="shared" si="7"/>
        <v>No</v>
      </c>
      <c r="F58" s="7" t="str">
        <f t="shared" si="8"/>
        <v>IL</v>
      </c>
      <c r="G58" s="7" t="str">
        <f>VLOOKUP($C58,'NeT GP - table_export'!$Y:$AA,3,FALSE)</f>
        <v>No</v>
      </c>
      <c r="H58" s="7">
        <f>COUNTIF('NeT GP - table_export'!$Y:$Y,$C58)</f>
        <v>1</v>
      </c>
      <c r="I58" s="8">
        <f>SUMIF('NeT GP - table_export'!$Y:$Y,$C58,'NeT GP - table_export'!$J:$J)</f>
        <v>493</v>
      </c>
    </row>
    <row r="59" spans="1:9" x14ac:dyDescent="0.35">
      <c r="A59" s="235">
        <v>7</v>
      </c>
      <c r="B59" s="248" t="str">
        <f>VLOOKUP(A59,'ELMS Categories'!$B$5:$C$14,2,FALSE)</f>
        <v>Stormwater - MS4</v>
      </c>
      <c r="C59" s="7" t="s">
        <v>2126</v>
      </c>
      <c r="D59" s="7" t="str">
        <f t="shared" si="6"/>
        <v>10</v>
      </c>
      <c r="E59" s="7" t="str">
        <f t="shared" si="7"/>
        <v>No</v>
      </c>
      <c r="F59" s="7" t="str">
        <f t="shared" si="8"/>
        <v>MS</v>
      </c>
      <c r="G59" s="7" t="str">
        <f>VLOOKUP($C59,'NeT GP - table_export'!$Y:$AA,3,FALSE)</f>
        <v>No</v>
      </c>
      <c r="H59" s="7">
        <f>COUNTIF('NeT GP - table_export'!$Y:$Y,$C59)</f>
        <v>1</v>
      </c>
      <c r="I59" s="8">
        <f>SUMIF('NeT GP - table_export'!$Y:$Y,$C59,'NeT GP - table_export'!$J:$J)</f>
        <v>37</v>
      </c>
    </row>
    <row r="60" spans="1:9" x14ac:dyDescent="0.35">
      <c r="A60" s="235">
        <v>7</v>
      </c>
      <c r="B60" s="248" t="str">
        <f>VLOOKUP(A60,'ELMS Categories'!$B$5:$C$14,2,FALSE)</f>
        <v>Stormwater - MS4</v>
      </c>
      <c r="C60" s="7" t="s">
        <v>2127</v>
      </c>
      <c r="D60" s="7" t="str">
        <f t="shared" si="6"/>
        <v>11</v>
      </c>
      <c r="E60" s="7" t="str">
        <f t="shared" si="7"/>
        <v>No</v>
      </c>
      <c r="F60" s="7" t="str">
        <f t="shared" si="8"/>
        <v>NE</v>
      </c>
      <c r="G60" s="7" t="str">
        <f>VLOOKUP($C60,'NeT GP - table_export'!$Y:$AA,3,FALSE)</f>
        <v>Hold</v>
      </c>
      <c r="H60" s="7">
        <f>COUNTIF('NeT GP - table_export'!$Y:$Y,$C60)</f>
        <v>2</v>
      </c>
      <c r="I60" s="8">
        <f>SUMIF('NeT GP - table_export'!$Y:$Y,$C60,'NeT GP - table_export'!$J:$J)</f>
        <v>23</v>
      </c>
    </row>
    <row r="61" spans="1:9" x14ac:dyDescent="0.35">
      <c r="A61" s="235">
        <v>7</v>
      </c>
      <c r="B61" s="248" t="str">
        <f>VLOOKUP(A61,'ELMS Categories'!$B$5:$C$14,2,FALSE)</f>
        <v>Stormwater - MS4</v>
      </c>
      <c r="C61" s="7" t="s">
        <v>2243</v>
      </c>
      <c r="D61" s="7" t="str">
        <f t="shared" si="6"/>
        <v>12</v>
      </c>
      <c r="E61" s="7" t="str">
        <f t="shared" si="7"/>
        <v>No</v>
      </c>
      <c r="F61" s="7" t="str">
        <f t="shared" si="8"/>
        <v>DE</v>
      </c>
      <c r="G61" s="7" t="str">
        <f>VLOOKUP($C61,'NeT GP - table_export'!$Y:$AA,3,FALSE)</f>
        <v>Yes</v>
      </c>
      <c r="H61" s="7">
        <f>COUNTIF('NeT GP - table_export'!$Y:$Y,$C61)</f>
        <v>1</v>
      </c>
      <c r="I61" s="8">
        <f>SUMIF('NeT GP - table_export'!$Y:$Y,$C61,'NeT GP - table_export'!$J:$J)</f>
        <v>3</v>
      </c>
    </row>
    <row r="62" spans="1:9" x14ac:dyDescent="0.35">
      <c r="A62" s="235">
        <v>7</v>
      </c>
      <c r="B62" s="248" t="str">
        <f>VLOOKUP(A62,'ELMS Categories'!$B$5:$C$14,2,FALSE)</f>
        <v>Stormwater - MS4</v>
      </c>
      <c r="C62" s="7" t="s">
        <v>2743</v>
      </c>
      <c r="D62" s="7" t="str">
        <f t="shared" si="6"/>
        <v>13</v>
      </c>
      <c r="E62" s="7" t="str">
        <f t="shared" si="7"/>
        <v>No</v>
      </c>
      <c r="F62" s="7" t="str">
        <f t="shared" si="8"/>
        <v>TX</v>
      </c>
      <c r="G62" s="7" t="str">
        <f>VLOOKUP($C62,'NeT GP - table_export'!$Y:$AA,3,FALSE)</f>
        <v>Yes</v>
      </c>
      <c r="H62" s="7">
        <f>COUNTIF('NeT GP - table_export'!$Y:$Y,$C62)</f>
        <v>1</v>
      </c>
      <c r="I62" s="8">
        <f>SUMIF('NeT GP - table_export'!$Y:$Y,$C62,'NeT GP - table_export'!$J:$J)</f>
        <v>514</v>
      </c>
    </row>
    <row r="63" spans="1:9" x14ac:dyDescent="0.35">
      <c r="A63" s="235">
        <v>7</v>
      </c>
      <c r="B63" s="248" t="str">
        <f>VLOOKUP(A63,'ELMS Categories'!$B$5:$C$14,2,FALSE)</f>
        <v>Stormwater - MS4</v>
      </c>
      <c r="C63" s="7" t="s">
        <v>2745</v>
      </c>
      <c r="D63" s="7" t="str">
        <f t="shared" si="6"/>
        <v>14</v>
      </c>
      <c r="E63" s="7" t="str">
        <f t="shared" si="7"/>
        <v>No</v>
      </c>
      <c r="F63" s="7" t="str">
        <f t="shared" si="8"/>
        <v>ME</v>
      </c>
      <c r="G63" s="7" t="str">
        <f>VLOOKUP($C63,'NeT GP - table_export'!$Y:$AA,3,FALSE)</f>
        <v>No</v>
      </c>
      <c r="H63" s="7">
        <f>COUNTIF('NeT GP - table_export'!$Y:$Y,$C63)</f>
        <v>3</v>
      </c>
      <c r="I63" s="8">
        <f>SUMIF('NeT GP - table_export'!$Y:$Y,$C63,'NeT GP - table_export'!$J:$J)</f>
        <v>40</v>
      </c>
    </row>
    <row r="64" spans="1:9" x14ac:dyDescent="0.35">
      <c r="A64" s="235">
        <v>8</v>
      </c>
      <c r="B64" s="248" t="str">
        <f>VLOOKUP(A64,'ELMS Categories'!$B$5:$C$14,2,FALSE)</f>
        <v>Domestic Wastewater and Drinking Water Treatment</v>
      </c>
      <c r="C64" s="7" t="s">
        <v>2927</v>
      </c>
      <c r="D64" s="7" t="str">
        <f t="shared" si="6"/>
        <v>01</v>
      </c>
      <c r="E64" s="7" t="str">
        <f t="shared" si="7"/>
        <v>Yes</v>
      </c>
      <c r="F64" s="7" t="str">
        <f t="shared" si="8"/>
        <v>R1</v>
      </c>
      <c r="G64" s="7" t="str">
        <f>VLOOKUP($C64,'NeT GP - table_export'!$Y:$AA,3,FALSE)</f>
        <v>Hold</v>
      </c>
      <c r="H64" s="7">
        <f>COUNTIF('NeT GP - table_export'!$Y:$Y,$C64)</f>
        <v>3</v>
      </c>
      <c r="I64" s="8">
        <f>SUMIF('NeT GP - table_export'!$Y:$Y,$C64,'NeT GP - table_export'!$J:$J)</f>
        <v>105</v>
      </c>
    </row>
    <row r="65" spans="1:9" x14ac:dyDescent="0.35">
      <c r="A65" s="235">
        <v>8</v>
      </c>
      <c r="B65" s="248" t="str">
        <f>VLOOKUP(A65,'ELMS Categories'!$B$5:$C$14,2,FALSE)</f>
        <v>Domestic Wastewater and Drinking Water Treatment</v>
      </c>
      <c r="C65" s="7" t="s">
        <v>2928</v>
      </c>
      <c r="D65" s="7" t="str">
        <f t="shared" si="6"/>
        <v>02</v>
      </c>
      <c r="E65" s="7" t="str">
        <f t="shared" si="7"/>
        <v>Yes</v>
      </c>
      <c r="F65" s="7" t="str">
        <f t="shared" si="8"/>
        <v>R8</v>
      </c>
      <c r="G65" s="7" t="str">
        <f>VLOOKUP($C65,'NeT GP - table_export'!$Y:$AA,3,FALSE)</f>
        <v>No</v>
      </c>
      <c r="H65" s="7">
        <f>COUNTIF('NeT GP - table_export'!$Y:$Y,$C65)</f>
        <v>6</v>
      </c>
      <c r="I65" s="8">
        <f>SUMIF('NeT GP - table_export'!$Y:$Y,$C65,'NeT GP - table_export'!$J:$J)</f>
        <v>154</v>
      </c>
    </row>
    <row r="66" spans="1:9" x14ac:dyDescent="0.35">
      <c r="A66" s="235">
        <v>8</v>
      </c>
      <c r="B66" s="248" t="str">
        <f>VLOOKUP(A66,'ELMS Categories'!$B$5:$C$14,2,FALSE)</f>
        <v>Domestic Wastewater and Drinking Water Treatment</v>
      </c>
      <c r="C66" s="7" t="s">
        <v>2929</v>
      </c>
      <c r="D66" s="7" t="str">
        <f t="shared" si="6"/>
        <v>03</v>
      </c>
      <c r="E66" s="7" t="str">
        <f t="shared" si="7"/>
        <v>No</v>
      </c>
      <c r="F66" s="7" t="str">
        <f t="shared" si="8"/>
        <v>IL</v>
      </c>
      <c r="G66" s="7" t="str">
        <f>VLOOKUP($C66,'NeT GP - table_export'!$Y:$AA,3,FALSE)</f>
        <v>No</v>
      </c>
      <c r="H66" s="7">
        <f>COUNTIF('NeT GP - table_export'!$Y:$Y,$C66)</f>
        <v>4</v>
      </c>
      <c r="I66" s="8">
        <f>SUMIF('NeT GP - table_export'!$Y:$Y,$C66,'NeT GP - table_export'!$J:$J)</f>
        <v>603</v>
      </c>
    </row>
    <row r="67" spans="1:9" x14ac:dyDescent="0.35">
      <c r="A67" s="235">
        <v>8</v>
      </c>
      <c r="B67" s="248" t="str">
        <f>VLOOKUP(A67,'ELMS Categories'!$B$5:$C$14,2,FALSE)</f>
        <v>Domestic Wastewater and Drinking Water Treatment</v>
      </c>
      <c r="C67" s="7" t="s">
        <v>2930</v>
      </c>
      <c r="D67" s="7" t="str">
        <f t="shared" si="6"/>
        <v>04</v>
      </c>
      <c r="E67" s="7" t="str">
        <f t="shared" si="7"/>
        <v>No</v>
      </c>
      <c r="F67" s="7" t="str">
        <f t="shared" si="8"/>
        <v>IL</v>
      </c>
      <c r="G67" s="7" t="str">
        <f>VLOOKUP($C67,'NeT GP - table_export'!$Y:$AA,3,FALSE)</f>
        <v>No</v>
      </c>
      <c r="H67" s="7">
        <f>COUNTIF('NeT GP - table_export'!$Y:$Y,$C67)</f>
        <v>1</v>
      </c>
      <c r="I67" s="8">
        <f>SUMIF('NeT GP - table_export'!$Y:$Y,$C67,'NeT GP - table_export'!$J:$J)</f>
        <v>35</v>
      </c>
    </row>
    <row r="68" spans="1:9" x14ac:dyDescent="0.35">
      <c r="A68" s="235">
        <v>8</v>
      </c>
      <c r="B68" s="248" t="str">
        <f>VLOOKUP(A68,'ELMS Categories'!$B$5:$C$14,2,FALSE)</f>
        <v>Domestic Wastewater and Drinking Water Treatment</v>
      </c>
      <c r="C68" s="7" t="s">
        <v>2931</v>
      </c>
      <c r="D68" s="7" t="str">
        <f t="shared" si="6"/>
        <v>05</v>
      </c>
      <c r="E68" s="7" t="str">
        <f t="shared" si="7"/>
        <v>No</v>
      </c>
      <c r="F68" s="7" t="str">
        <f t="shared" si="8"/>
        <v>SD</v>
      </c>
      <c r="G68" s="7" t="str">
        <f>VLOOKUP($C68,'NeT GP - table_export'!$Y:$AA,3,FALSE)</f>
        <v>No</v>
      </c>
      <c r="H68" s="7">
        <f>COUNTIF('NeT GP - table_export'!$Y:$Y,$C68)</f>
        <v>3</v>
      </c>
      <c r="I68" s="8">
        <f>SUMIF('NeT GP - table_export'!$Y:$Y,$C68,'NeT GP - table_export'!$J:$J)</f>
        <v>176</v>
      </c>
    </row>
    <row r="69" spans="1:9" x14ac:dyDescent="0.35">
      <c r="A69" s="235">
        <v>8</v>
      </c>
      <c r="B69" s="248" t="str">
        <f>VLOOKUP(A69,'ELMS Categories'!$B$5:$C$14,2,FALSE)</f>
        <v>Domestic Wastewater and Drinking Water Treatment</v>
      </c>
      <c r="C69" s="7" t="s">
        <v>2932</v>
      </c>
      <c r="D69" s="7" t="str">
        <f t="shared" si="6"/>
        <v>06</v>
      </c>
      <c r="E69" s="7" t="str">
        <f t="shared" si="7"/>
        <v>Yes</v>
      </c>
      <c r="F69" s="7" t="str">
        <f t="shared" si="8"/>
        <v>R8</v>
      </c>
      <c r="G69" s="7" t="str">
        <f>VLOOKUP($C69,'NeT GP - table_export'!$Y:$AA,3,FALSE)</f>
        <v>Pending</v>
      </c>
      <c r="H69" s="7">
        <f>COUNTIF('NeT GP - table_export'!$Y:$Y,$C69)</f>
        <v>6</v>
      </c>
      <c r="I69" s="8">
        <f>SUMIF('NeT GP - table_export'!$Y:$Y,$C69,'NeT GP - table_export'!$J:$J)</f>
        <v>5</v>
      </c>
    </row>
    <row r="70" spans="1:9" x14ac:dyDescent="0.35">
      <c r="A70" s="235">
        <v>8</v>
      </c>
      <c r="B70" s="248" t="str">
        <f>VLOOKUP(A70,'ELMS Categories'!$B$5:$C$14,2,FALSE)</f>
        <v>Domestic Wastewater and Drinking Water Treatment</v>
      </c>
      <c r="C70" s="7" t="s">
        <v>2933</v>
      </c>
      <c r="D70" s="7" t="str">
        <f t="shared" ref="D70:D95" si="11">RIGHT(C70,2)</f>
        <v>07</v>
      </c>
      <c r="E70" s="7" t="str">
        <f t="shared" ref="E70:E95" si="12">IF(MID($C70,SEARCH("-",$C70)+1,3)="EPA","Yes","No")</f>
        <v>Yes</v>
      </c>
      <c r="F70" s="7" t="str">
        <f t="shared" ref="F70:F95" si="13">IF($E70="No",MID($C70,LEN($C70)-4,2),IF(LEN($C70)-LEN(SUBSTITUTE($C70,"HQ",""))=2,MID($C70,LEN($C70)-4,2),IF(LEN($C70)-LEN(SUBSTITUTE($C70,"R10",""))=3,MID($C70,LEN($C70)-5,3),MID($C70,LEN($C70)-4,2))))</f>
        <v>R1</v>
      </c>
      <c r="G70" s="7" t="str">
        <f>VLOOKUP($C70,'NeT GP - table_export'!$Y:$AA,3,FALSE)</f>
        <v>Hold</v>
      </c>
      <c r="H70" s="7">
        <f>COUNTIF('NeT GP - table_export'!$Y:$Y,$C70)</f>
        <v>2</v>
      </c>
      <c r="I70" s="8">
        <f>SUMIF('NeT GP - table_export'!$Y:$Y,$C70,'NeT GP - table_export'!$J:$J)</f>
        <v>72</v>
      </c>
    </row>
    <row r="71" spans="1:9" x14ac:dyDescent="0.35">
      <c r="A71" s="235">
        <v>8</v>
      </c>
      <c r="B71" s="248" t="str">
        <f>VLOOKUP(A71,'ELMS Categories'!$B$5:$C$14,2,FALSE)</f>
        <v>Domestic Wastewater and Drinking Water Treatment</v>
      </c>
      <c r="C71" s="7" t="s">
        <v>2934</v>
      </c>
      <c r="D71" s="7" t="str">
        <f t="shared" si="11"/>
        <v>08</v>
      </c>
      <c r="E71" s="7" t="str">
        <f t="shared" si="12"/>
        <v>No</v>
      </c>
      <c r="F71" s="7" t="str">
        <f t="shared" si="13"/>
        <v>UT</v>
      </c>
      <c r="G71" s="7" t="str">
        <f>VLOOKUP($C71,'NeT GP - table_export'!$Y:$AA,3,FALSE)</f>
        <v>No</v>
      </c>
      <c r="H71" s="7">
        <f>COUNTIF('NeT GP - table_export'!$Y:$Y,$C71)</f>
        <v>1</v>
      </c>
      <c r="I71" s="8">
        <f>SUMIF('NeT GP - table_export'!$Y:$Y,$C71,'NeT GP - table_export'!$J:$J)</f>
        <v>37</v>
      </c>
    </row>
    <row r="72" spans="1:9" x14ac:dyDescent="0.35">
      <c r="A72" s="235">
        <v>8</v>
      </c>
      <c r="B72" s="248" t="str">
        <f>VLOOKUP(A72,'ELMS Categories'!$B$5:$C$14,2,FALSE)</f>
        <v>Domestic Wastewater and Drinking Water Treatment</v>
      </c>
      <c r="C72" s="7" t="s">
        <v>2935</v>
      </c>
      <c r="D72" s="7" t="str">
        <f t="shared" si="11"/>
        <v>09</v>
      </c>
      <c r="E72" s="7" t="str">
        <f t="shared" si="12"/>
        <v>No</v>
      </c>
      <c r="F72" s="7" t="str">
        <f t="shared" si="13"/>
        <v>IL</v>
      </c>
      <c r="G72" s="7" t="str">
        <f>VLOOKUP($C72,'NeT GP - table_export'!$Y:$AA,3,FALSE)</f>
        <v>No</v>
      </c>
      <c r="H72" s="7">
        <f>COUNTIF('NeT GP - table_export'!$Y:$Y,$C72)</f>
        <v>1</v>
      </c>
      <c r="I72" s="8">
        <f>SUMIF('NeT GP - table_export'!$Y:$Y,$C72,'NeT GP - table_export'!$J:$J)</f>
        <v>186</v>
      </c>
    </row>
    <row r="73" spans="1:9" x14ac:dyDescent="0.35">
      <c r="A73" s="235">
        <v>8</v>
      </c>
      <c r="B73" s="248" t="str">
        <f>VLOOKUP(A73,'ELMS Categories'!$B$5:$C$14,2,FALSE)</f>
        <v>Domestic Wastewater and Drinking Water Treatment</v>
      </c>
      <c r="C73" s="7" t="s">
        <v>2936</v>
      </c>
      <c r="D73" s="7" t="str">
        <f t="shared" si="11"/>
        <v>10</v>
      </c>
      <c r="E73" s="7" t="str">
        <f t="shared" si="12"/>
        <v>No</v>
      </c>
      <c r="F73" s="7" t="str">
        <f t="shared" si="13"/>
        <v>SD</v>
      </c>
      <c r="G73" s="7" t="str">
        <f>VLOOKUP($C73,'NeT GP - table_export'!$Y:$AA,3,FALSE)</f>
        <v>No</v>
      </c>
      <c r="H73" s="7">
        <f>COUNTIF('NeT GP - table_export'!$Y:$Y,$C73)</f>
        <v>1</v>
      </c>
      <c r="I73" s="8">
        <f>SUMIF('NeT GP - table_export'!$Y:$Y,$C73,'NeT GP - table_export'!$J:$J)</f>
        <v>80</v>
      </c>
    </row>
    <row r="74" spans="1:9" x14ac:dyDescent="0.35">
      <c r="A74" s="235">
        <v>8</v>
      </c>
      <c r="B74" s="248" t="str">
        <f>VLOOKUP(A74,'ELMS Categories'!$B$5:$C$14,2,FALSE)</f>
        <v>Domestic Wastewater and Drinking Water Treatment</v>
      </c>
      <c r="C74" s="7" t="s">
        <v>2948</v>
      </c>
      <c r="D74" s="7" t="str">
        <f t="shared" si="11"/>
        <v>11</v>
      </c>
      <c r="E74" s="7" t="str">
        <f t="shared" si="12"/>
        <v>No</v>
      </c>
      <c r="F74" s="7" t="str">
        <f t="shared" si="13"/>
        <v>VI</v>
      </c>
      <c r="G74" s="7" t="str">
        <f>VLOOKUP($C74,'NeT GP - table_export'!$Y:$AA,3,FALSE)</f>
        <v>Pending</v>
      </c>
      <c r="H74" s="7">
        <f>COUNTIF('NeT GP - table_export'!$Y:$Y,$C74)</f>
        <v>1</v>
      </c>
      <c r="I74" s="8">
        <f>SUMIF('NeT GP - table_export'!$Y:$Y,$C74,'NeT GP - table_export'!$J:$J)</f>
        <v>55</v>
      </c>
    </row>
    <row r="75" spans="1:9" x14ac:dyDescent="0.35">
      <c r="A75" s="235">
        <v>9</v>
      </c>
      <c r="B75" s="248" t="str">
        <f>VLOOKUP(A75,'ELMS Categories'!$B$5:$C$14,2,FALSE)</f>
        <v>Miscellaneous Discharges</v>
      </c>
      <c r="C75" s="7" t="s">
        <v>2144</v>
      </c>
      <c r="D75" s="7" t="str">
        <f t="shared" si="11"/>
        <v>01</v>
      </c>
      <c r="E75" s="7" t="str">
        <f t="shared" si="12"/>
        <v>No</v>
      </c>
      <c r="F75" s="7" t="str">
        <f t="shared" si="13"/>
        <v>CT</v>
      </c>
      <c r="G75" s="7" t="str">
        <f>VLOOKUP($C75,'NeT GP - table_export'!$Y:$AA,3,FALSE)</f>
        <v>No</v>
      </c>
      <c r="H75" s="7">
        <f>COUNTIF('NeT GP - table_export'!$Y:$Y,$C75)</f>
        <v>2</v>
      </c>
      <c r="I75" s="8">
        <f>SUMIF('NeT GP - table_export'!$Y:$Y,$C75,'NeT GP - table_export'!$J:$J)</f>
        <v>315</v>
      </c>
    </row>
    <row r="76" spans="1:9" x14ac:dyDescent="0.35">
      <c r="A76" s="235">
        <v>9</v>
      </c>
      <c r="B76" s="248" t="str">
        <f>VLOOKUP(A76,'ELMS Categories'!$B$5:$C$14,2,FALSE)</f>
        <v>Miscellaneous Discharges</v>
      </c>
      <c r="C76" s="7" t="s">
        <v>3211</v>
      </c>
      <c r="D76" s="7" t="str">
        <f>RIGHT(C76,2)</f>
        <v>04</v>
      </c>
      <c r="E76" s="7" t="str">
        <f>IF(MID($C76,SEARCH("-",$C76)+1,3)="EPA","Yes","No")</f>
        <v>Yes</v>
      </c>
      <c r="F76" s="7" t="str">
        <f>IF($E76="No",MID($C76,LEN($C76)-4,2),IF(LEN($C76)-LEN(SUBSTITUTE($C76,"HQ",""))=2,MID($C76,LEN($C76)-4,2),IF(LEN($C76)-LEN(SUBSTITUTE($C76,"R10",""))=3,MID($C76,LEN($C76)-5,3),MID($C76,LEN($C76)-4,2))))</f>
        <v>CA</v>
      </c>
      <c r="G76" s="7" t="str">
        <f>VLOOKUP($C76,'NeT GP - table_export'!$Y:$AA,3,FALSE)</f>
        <v>No</v>
      </c>
      <c r="H76" s="7">
        <f>COUNTIF('NeT GP - table_export'!$Y:$Y,$C76)</f>
        <v>1</v>
      </c>
      <c r="I76" s="8">
        <f>SUMIF('NeT GP - table_export'!$Y:$Y,$C76,'NeT GP - table_export'!$J:$J)</f>
        <v>23</v>
      </c>
    </row>
    <row r="77" spans="1:9" x14ac:dyDescent="0.35">
      <c r="A77" s="235">
        <v>9</v>
      </c>
      <c r="B77" s="248" t="str">
        <f>VLOOKUP(A77,'ELMS Categories'!$B$5:$C$14,2,FALSE)</f>
        <v>Miscellaneous Discharges</v>
      </c>
      <c r="C77" s="7" t="s">
        <v>3188</v>
      </c>
      <c r="D77" s="7" t="str">
        <f>RIGHT(C77,2)</f>
        <v>05</v>
      </c>
      <c r="E77" s="7" t="str">
        <f>IF(MID($C77,SEARCH("-",$C77)+1,3)="EPA","Yes","No")</f>
        <v>No</v>
      </c>
      <c r="F77" s="7" t="str">
        <f>IF($E77="No",MID($C77,LEN($C77)-4,2),IF(LEN($C77)-LEN(SUBSTITUTE($C77,"HQ",""))=2,MID($C77,LEN($C77)-4,2),IF(LEN($C77)-LEN(SUBSTITUTE($C77,"R10",""))=3,MID($C77,LEN($C77)-5,3),MID($C77,LEN($C77)-4,2))))</f>
        <v>UT</v>
      </c>
      <c r="G77" s="7" t="str">
        <f>VLOOKUP($C77,'NeT GP - table_export'!$Y:$AA,3,FALSE)</f>
        <v>No</v>
      </c>
      <c r="H77" s="7">
        <f>COUNTIF('NeT GP - table_export'!$Y:$Y,$C77)</f>
        <v>1</v>
      </c>
      <c r="I77" s="8">
        <f>SUMIF('NeT GP - table_export'!$Y:$Y,$C77,'NeT GP - table_export'!$J:$J)</f>
        <v>13</v>
      </c>
    </row>
    <row r="78" spans="1:9" x14ac:dyDescent="0.35">
      <c r="A78" s="235">
        <v>9</v>
      </c>
      <c r="B78" s="248" t="str">
        <f>VLOOKUP(A78,'ELMS Categories'!$B$5:$C$14,2,FALSE)</f>
        <v>Miscellaneous Discharges</v>
      </c>
      <c r="C78" s="7" t="s">
        <v>2950</v>
      </c>
      <c r="D78" s="7" t="str">
        <f t="shared" si="11"/>
        <v>08</v>
      </c>
      <c r="E78" s="7" t="str">
        <f t="shared" si="12"/>
        <v>Yes</v>
      </c>
      <c r="F78" s="7" t="str">
        <f t="shared" si="13"/>
        <v>GU</v>
      </c>
      <c r="G78" s="7" t="str">
        <f>VLOOKUP($C78,'NeT GP - table_export'!$Y:$AA,3,FALSE)</f>
        <v>No</v>
      </c>
      <c r="H78" s="7">
        <f>COUNTIF('NeT GP - table_export'!$Y:$Y,$C78)</f>
        <v>1</v>
      </c>
      <c r="I78" s="8">
        <f>SUMIF('NeT GP - table_export'!$Y:$Y,$C78,'NeT GP - table_export'!$J:$J)</f>
        <v>5</v>
      </c>
    </row>
    <row r="79" spans="1:9" x14ac:dyDescent="0.35">
      <c r="A79" s="235">
        <v>9</v>
      </c>
      <c r="B79" s="248" t="str">
        <f>VLOOKUP(A79,'ELMS Categories'!$B$5:$C$14,2,FALSE)</f>
        <v>Miscellaneous Discharges</v>
      </c>
      <c r="C79" s="7" t="s">
        <v>2951</v>
      </c>
      <c r="D79" s="7" t="str">
        <f t="shared" si="11"/>
        <v>09</v>
      </c>
      <c r="E79" s="7" t="str">
        <f t="shared" si="12"/>
        <v>Yes</v>
      </c>
      <c r="F79" s="7" t="str">
        <f t="shared" si="13"/>
        <v>NN</v>
      </c>
      <c r="G79" s="7" t="str">
        <f>VLOOKUP($C79,'NeT GP - table_export'!$Y:$AA,3,FALSE)</f>
        <v>No</v>
      </c>
      <c r="H79" s="7">
        <f>COUNTIF('NeT GP - table_export'!$Y:$Y,$C79)</f>
        <v>1</v>
      </c>
      <c r="I79" s="8">
        <f>SUMIF('NeT GP - table_export'!$Y:$Y,$C79,'NeT GP - table_export'!$J:$J)</f>
        <v>4</v>
      </c>
    </row>
    <row r="80" spans="1:9" x14ac:dyDescent="0.35">
      <c r="A80" s="235">
        <v>9</v>
      </c>
      <c r="B80" s="248" t="str">
        <f>VLOOKUP(A80,'ELMS Categories'!$B$5:$C$14,2,FALSE)</f>
        <v>Miscellaneous Discharges</v>
      </c>
      <c r="C80" s="7" t="s">
        <v>2952</v>
      </c>
      <c r="D80" s="7" t="str">
        <f t="shared" si="11"/>
        <v>10</v>
      </c>
      <c r="E80" s="7" t="str">
        <f t="shared" si="12"/>
        <v>Yes</v>
      </c>
      <c r="F80" s="7" t="str">
        <f t="shared" si="13"/>
        <v>R1</v>
      </c>
      <c r="G80" s="7" t="str">
        <f>VLOOKUP($C80,'NeT GP - table_export'!$Y:$AA,3,FALSE)</f>
        <v>Hold</v>
      </c>
      <c r="H80" s="7">
        <f>COUNTIF('NeT GP - table_export'!$Y:$Y,$C80)</f>
        <v>4</v>
      </c>
      <c r="I80" s="8">
        <f>SUMIF('NeT GP - table_export'!$Y:$Y,$C80,'NeT GP - table_export'!$J:$J)</f>
        <v>86</v>
      </c>
    </row>
    <row r="81" spans="1:9" x14ac:dyDescent="0.35">
      <c r="A81" s="235">
        <v>9</v>
      </c>
      <c r="B81" s="248" t="str">
        <f>VLOOKUP(A81,'ELMS Categories'!$B$5:$C$14,2,FALSE)</f>
        <v>Miscellaneous Discharges</v>
      </c>
      <c r="C81" s="7" t="s">
        <v>2953</v>
      </c>
      <c r="D81" s="7" t="str">
        <f t="shared" si="11"/>
        <v>11</v>
      </c>
      <c r="E81" s="7" t="str">
        <f t="shared" si="12"/>
        <v>No</v>
      </c>
      <c r="F81" s="7" t="str">
        <f t="shared" si="13"/>
        <v>RI</v>
      </c>
      <c r="G81" s="7" t="str">
        <f>VLOOKUP($C81,'NeT GP - table_export'!$Y:$AA,3,FALSE)</f>
        <v>No</v>
      </c>
      <c r="H81" s="7">
        <f>COUNTIF('NeT GP - table_export'!$Y:$Y,$C81)</f>
        <v>1</v>
      </c>
      <c r="I81" s="8">
        <f>SUMIF('NeT GP - table_export'!$Y:$Y,$C81,'NeT GP - table_export'!$J:$J)</f>
        <v>15</v>
      </c>
    </row>
    <row r="82" spans="1:9" x14ac:dyDescent="0.35">
      <c r="A82" s="235">
        <v>9</v>
      </c>
      <c r="B82" s="248" t="str">
        <f>VLOOKUP(A82,'ELMS Categories'!$B$5:$C$14,2,FALSE)</f>
        <v>Miscellaneous Discharges</v>
      </c>
      <c r="C82" s="7" t="s">
        <v>3192</v>
      </c>
      <c r="D82" s="7" t="str">
        <f t="shared" si="11"/>
        <v>12</v>
      </c>
      <c r="E82" s="7" t="str">
        <f t="shared" si="12"/>
        <v>No</v>
      </c>
      <c r="F82" s="7" t="str">
        <f t="shared" si="13"/>
        <v>IL</v>
      </c>
      <c r="G82" s="7" t="str">
        <f>VLOOKUP($C82,'NeT GP - table_export'!$Y:$AA,3,FALSE)</f>
        <v>No</v>
      </c>
      <c r="H82" s="7">
        <f>COUNTIF('NeT GP - table_export'!$Y:$Y,$C82)</f>
        <v>1</v>
      </c>
      <c r="I82" s="8">
        <f>SUMIF('NeT GP - table_export'!$Y:$Y,$C82,'NeT GP - table_export'!$J:$J)</f>
        <v>147</v>
      </c>
    </row>
    <row r="83" spans="1:9" x14ac:dyDescent="0.35">
      <c r="A83" s="235">
        <v>9</v>
      </c>
      <c r="B83" s="248" t="str">
        <f>VLOOKUP(A83,'ELMS Categories'!$B$5:$C$14,2,FALSE)</f>
        <v>Miscellaneous Discharges</v>
      </c>
      <c r="C83" s="7" t="s">
        <v>3193</v>
      </c>
      <c r="D83" s="7" t="str">
        <f t="shared" ref="D83" si="14">RIGHT(C83,2)</f>
        <v>13</v>
      </c>
      <c r="E83" s="7" t="str">
        <f t="shared" si="12"/>
        <v>Yes</v>
      </c>
      <c r="F83" s="7" t="str">
        <f t="shared" si="13"/>
        <v>R1</v>
      </c>
      <c r="G83" s="7" t="str">
        <f>VLOOKUP($C83,'NeT GP - table_export'!$Y:$AA,3,FALSE)</f>
        <v>No</v>
      </c>
      <c r="H83" s="7">
        <f>COUNTIF('NeT GP - table_export'!$Y:$Y,$C83)</f>
        <v>1</v>
      </c>
      <c r="I83" s="8">
        <f>SUMIF('NeT GP - table_export'!$Y:$Y,$C83,'NeT GP - table_export'!$J:$J)</f>
        <v>3500</v>
      </c>
    </row>
    <row r="84" spans="1:9" x14ac:dyDescent="0.35">
      <c r="A84" s="235">
        <v>9</v>
      </c>
      <c r="B84" s="248" t="str">
        <f>VLOOKUP(A84,'ELMS Categories'!$B$5:$C$14,2,FALSE)</f>
        <v>Miscellaneous Discharges</v>
      </c>
      <c r="C84" s="7" t="s">
        <v>3195</v>
      </c>
      <c r="D84" s="7" t="str">
        <f t="shared" ref="D84" si="15">RIGHT(C84,2)</f>
        <v>14</v>
      </c>
      <c r="E84" s="7" t="str">
        <f t="shared" si="12"/>
        <v>No</v>
      </c>
      <c r="F84" s="7" t="str">
        <f t="shared" si="13"/>
        <v>RI</v>
      </c>
      <c r="G84" s="7" t="str">
        <f>VLOOKUP($C84,'NeT GP - table_export'!$Y:$AA,3,FALSE)</f>
        <v>No</v>
      </c>
      <c r="H84" s="7">
        <f>COUNTIF('NeT GP - table_export'!$Y:$Y,$C84)</f>
        <v>1</v>
      </c>
      <c r="I84" s="8">
        <f>SUMIF('NeT GP - table_export'!$Y:$Y,$C84,'NeT GP - table_export'!$J:$J)</f>
        <v>45</v>
      </c>
    </row>
    <row r="85" spans="1:9" x14ac:dyDescent="0.35">
      <c r="A85" s="235">
        <v>9</v>
      </c>
      <c r="B85" s="248" t="str">
        <f>VLOOKUP(A85,'ELMS Categories'!$B$5:$C$14,2,FALSE)</f>
        <v>Miscellaneous Discharges</v>
      </c>
      <c r="C85" s="7" t="s">
        <v>3206</v>
      </c>
      <c r="D85" s="7" t="str">
        <f t="shared" ref="D85:D88" si="16">RIGHT(C85,2)</f>
        <v>15</v>
      </c>
      <c r="E85" s="7" t="str">
        <f t="shared" si="12"/>
        <v>No</v>
      </c>
      <c r="F85" s="7" t="str">
        <f t="shared" si="13"/>
        <v>MD</v>
      </c>
      <c r="G85" s="7" t="str">
        <f>VLOOKUP($C85,'NeT GP - table_export'!$Y:$AA,3,FALSE)</f>
        <v>No</v>
      </c>
      <c r="H85" s="7">
        <f>COUNTIF('NeT GP - table_export'!$Y:$Y,$C85)</f>
        <v>1</v>
      </c>
      <c r="I85" s="8">
        <f>SUMIF('NeT GP - table_export'!$Y:$Y,$C85,'NeT GP - table_export'!$J:$J)</f>
        <v>308</v>
      </c>
    </row>
    <row r="86" spans="1:9" x14ac:dyDescent="0.35">
      <c r="A86" s="235">
        <v>9</v>
      </c>
      <c r="B86" s="248" t="str">
        <f>VLOOKUP(A86,'ELMS Categories'!$B$5:$C$14,2,FALSE)</f>
        <v>Miscellaneous Discharges</v>
      </c>
      <c r="C86" s="7" t="s">
        <v>3207</v>
      </c>
      <c r="D86" s="7" t="str">
        <f t="shared" si="16"/>
        <v>16</v>
      </c>
      <c r="E86" s="7" t="str">
        <f t="shared" si="12"/>
        <v>No</v>
      </c>
      <c r="F86" s="7" t="str">
        <f t="shared" si="13"/>
        <v>MD</v>
      </c>
      <c r="G86" s="7" t="str">
        <f>VLOOKUP($C86,'NeT GP - table_export'!$Y:$AA,3,FALSE)</f>
        <v>No</v>
      </c>
      <c r="H86" s="7">
        <f>COUNTIF('NeT GP - table_export'!$Y:$Y,$C86)</f>
        <v>1</v>
      </c>
      <c r="I86" s="8">
        <f>SUMIF('NeT GP - table_export'!$Y:$Y,$C86,'NeT GP - table_export'!$J:$J)</f>
        <v>37</v>
      </c>
    </row>
    <row r="87" spans="1:9" x14ac:dyDescent="0.35">
      <c r="A87" s="235">
        <v>9</v>
      </c>
      <c r="B87" s="248" t="str">
        <f>VLOOKUP(A87,'ELMS Categories'!$B$5:$C$14,2,FALSE)</f>
        <v>Miscellaneous Discharges</v>
      </c>
      <c r="C87" s="7" t="s">
        <v>3208</v>
      </c>
      <c r="D87" s="7" t="str">
        <f t="shared" si="16"/>
        <v>17</v>
      </c>
      <c r="E87" s="7" t="str">
        <f t="shared" si="12"/>
        <v>No</v>
      </c>
      <c r="F87" s="7" t="str">
        <f t="shared" si="13"/>
        <v>MD</v>
      </c>
      <c r="G87" s="7" t="str">
        <f>VLOOKUP($C87,'NeT GP - table_export'!$Y:$AA,3,FALSE)</f>
        <v>No</v>
      </c>
      <c r="H87" s="7">
        <f>COUNTIF('NeT GP - table_export'!$Y:$Y,$C87)</f>
        <v>1</v>
      </c>
      <c r="I87" s="8">
        <f>SUMIF('NeT GP - table_export'!$Y:$Y,$C87,'NeT GP - table_export'!$J:$J)</f>
        <v>525</v>
      </c>
    </row>
    <row r="88" spans="1:9" x14ac:dyDescent="0.35">
      <c r="A88" s="235">
        <v>9</v>
      </c>
      <c r="B88" s="248" t="str">
        <f>VLOOKUP(A88,'ELMS Categories'!$B$5:$C$14,2,FALSE)</f>
        <v>Miscellaneous Discharges</v>
      </c>
      <c r="C88" s="7" t="s">
        <v>3209</v>
      </c>
      <c r="D88" s="7" t="str">
        <f t="shared" si="16"/>
        <v>18</v>
      </c>
      <c r="E88" s="7" t="str">
        <f t="shared" si="12"/>
        <v>No</v>
      </c>
      <c r="F88" s="7" t="str">
        <f t="shared" si="13"/>
        <v>MD</v>
      </c>
      <c r="G88" s="7" t="str">
        <f>VLOOKUP($C88,'NeT GP - table_export'!$Y:$AA,3,FALSE)</f>
        <v>No</v>
      </c>
      <c r="H88" s="7">
        <f>COUNTIF('NeT GP - table_export'!$Y:$Y,$C88)</f>
        <v>1</v>
      </c>
      <c r="I88" s="8">
        <f>SUMIF('NeT GP - table_export'!$Y:$Y,$C88,'NeT GP - table_export'!$J:$J)</f>
        <v>199</v>
      </c>
    </row>
    <row r="89" spans="1:9" x14ac:dyDescent="0.35">
      <c r="A89" s="235">
        <v>10</v>
      </c>
      <c r="B89" s="248" t="str">
        <f>VLOOKUP(A89,'ELMS Categories'!$B$5:$C$14,2,FALSE)</f>
        <v>Concentrated Animal Feeding Operations (CAFOs)</v>
      </c>
      <c r="C89" s="7" t="s">
        <v>2131</v>
      </c>
      <c r="D89" s="7" t="str">
        <f t="shared" si="11"/>
        <v>01</v>
      </c>
      <c r="E89" s="7" t="str">
        <f t="shared" si="12"/>
        <v>Yes</v>
      </c>
      <c r="F89" s="7" t="str">
        <f t="shared" si="13"/>
        <v>R6</v>
      </c>
      <c r="G89" s="7" t="str">
        <f>VLOOKUP($C89,'NeT GP - table_export'!$Y:$AA,3,FALSE)</f>
        <v>No</v>
      </c>
      <c r="H89" s="7">
        <f>COUNTIF('NeT GP - table_export'!$Y:$Y,$C89)</f>
        <v>1</v>
      </c>
      <c r="I89" s="8">
        <f>SUMIF('NeT GP - table_export'!$Y:$Y,$C89,'NeT GP - table_export'!$J:$J)</f>
        <v>19</v>
      </c>
    </row>
    <row r="90" spans="1:9" x14ac:dyDescent="0.35">
      <c r="A90" s="235">
        <v>10</v>
      </c>
      <c r="B90" s="248" t="str">
        <f>VLOOKUP(A90,'ELMS Categories'!$B$5:$C$14,2,FALSE)</f>
        <v>Concentrated Animal Feeding Operations (CAFOs)</v>
      </c>
      <c r="C90" s="7" t="s">
        <v>2132</v>
      </c>
      <c r="D90" s="7" t="str">
        <f t="shared" si="11"/>
        <v>02</v>
      </c>
      <c r="E90" s="7" t="str">
        <f t="shared" si="12"/>
        <v>No</v>
      </c>
      <c r="F90" s="7" t="str">
        <f t="shared" si="13"/>
        <v>IL</v>
      </c>
      <c r="G90" s="7" t="str">
        <f>VLOOKUP($C90,'NeT GP - table_export'!$Y:$AA,3,FALSE)</f>
        <v>No</v>
      </c>
      <c r="H90" s="7">
        <f>COUNTIF('NeT GP - table_export'!$Y:$Y,$C90)</f>
        <v>1</v>
      </c>
      <c r="I90" s="8">
        <f>SUMIF('NeT GP - table_export'!$Y:$Y,$C90,'NeT GP - table_export'!$J:$J)</f>
        <v>40</v>
      </c>
    </row>
    <row r="91" spans="1:9" x14ac:dyDescent="0.35">
      <c r="A91" s="235">
        <v>10</v>
      </c>
      <c r="B91" s="248" t="str">
        <f>VLOOKUP(A91,'ELMS Categories'!$B$5:$C$14,2,FALSE)</f>
        <v>Concentrated Animal Feeding Operations (CAFOs)</v>
      </c>
      <c r="C91" s="7" t="s">
        <v>2133</v>
      </c>
      <c r="D91" s="7" t="str">
        <f t="shared" si="11"/>
        <v>03</v>
      </c>
      <c r="E91" s="7" t="str">
        <f t="shared" si="12"/>
        <v>No</v>
      </c>
      <c r="F91" s="7" t="str">
        <f t="shared" si="13"/>
        <v>MS</v>
      </c>
      <c r="G91" s="7" t="str">
        <f>VLOOKUP($C91,'NeT GP - table_export'!$Y:$AA,3,FALSE)</f>
        <v>No</v>
      </c>
      <c r="H91" s="7">
        <f>COUNTIF('NeT GP - table_export'!$Y:$Y,$C91)</f>
        <v>1</v>
      </c>
      <c r="I91" s="8">
        <f>SUMIF('NeT GP - table_export'!$Y:$Y,$C91,'NeT GP - table_export'!$J:$J)</f>
        <v>45</v>
      </c>
    </row>
    <row r="92" spans="1:9" x14ac:dyDescent="0.35">
      <c r="A92" s="235">
        <v>10</v>
      </c>
      <c r="B92" s="248" t="str">
        <f>VLOOKUP(A92,'ELMS Categories'!$B$5:$C$14,2,FALSE)</f>
        <v>Concentrated Animal Feeding Operations (CAFOs)</v>
      </c>
      <c r="C92" s="7" t="s">
        <v>2134</v>
      </c>
      <c r="D92" s="7" t="str">
        <f t="shared" si="11"/>
        <v>04</v>
      </c>
      <c r="E92" s="7" t="str">
        <f t="shared" si="12"/>
        <v>No</v>
      </c>
      <c r="F92" s="7" t="str">
        <f t="shared" si="13"/>
        <v>NE</v>
      </c>
      <c r="G92" s="7" t="str">
        <f>VLOOKUP($C92,'NeT GP - table_export'!$Y:$AA,3,FALSE)</f>
        <v>No</v>
      </c>
      <c r="H92" s="7">
        <f>COUNTIF('NeT GP - table_export'!$Y:$Y,$C92)</f>
        <v>4</v>
      </c>
      <c r="I92" s="8">
        <f>SUMIF('NeT GP - table_export'!$Y:$Y,$C92,'NeT GP - table_export'!$J:$J)</f>
        <v>382</v>
      </c>
    </row>
    <row r="93" spans="1:9" x14ac:dyDescent="0.35">
      <c r="A93" s="235">
        <v>10</v>
      </c>
      <c r="B93" s="248" t="str">
        <f>VLOOKUP(A93,'ELMS Categories'!$B$5:$C$14,2,FALSE)</f>
        <v>Concentrated Animal Feeding Operations (CAFOs)</v>
      </c>
      <c r="C93" s="7" t="s">
        <v>2135</v>
      </c>
      <c r="D93" s="7" t="str">
        <f t="shared" si="11"/>
        <v>05</v>
      </c>
      <c r="E93" s="7" t="str">
        <f t="shared" si="12"/>
        <v>No</v>
      </c>
      <c r="F93" s="7" t="str">
        <f t="shared" si="13"/>
        <v>SD</v>
      </c>
      <c r="G93" s="7" t="str">
        <f>VLOOKUP($C93,'NeT GP - table_export'!$Y:$AA,3,FALSE)</f>
        <v>No</v>
      </c>
      <c r="H93" s="7">
        <f>COUNTIF('NeT GP - table_export'!$Y:$Y,$C93)</f>
        <v>1</v>
      </c>
      <c r="I93" s="8">
        <f>SUMIF('NeT GP - table_export'!$Y:$Y,$C93,'NeT GP - table_export'!$J:$J)</f>
        <v>9</v>
      </c>
    </row>
    <row r="94" spans="1:9" x14ac:dyDescent="0.35">
      <c r="A94" s="235">
        <v>10</v>
      </c>
      <c r="B94" s="248" t="str">
        <f>VLOOKUP(A94,'ELMS Categories'!$B$5:$C$14,2,FALSE)</f>
        <v>Concentrated Animal Feeding Operations (CAFOs)</v>
      </c>
      <c r="C94" s="7" t="s">
        <v>2136</v>
      </c>
      <c r="D94" s="7" t="str">
        <f t="shared" si="11"/>
        <v>06</v>
      </c>
      <c r="E94" s="7" t="str">
        <f t="shared" si="12"/>
        <v>No</v>
      </c>
      <c r="F94" s="7" t="str">
        <f t="shared" si="13"/>
        <v>UT</v>
      </c>
      <c r="G94" s="7" t="str">
        <f>VLOOKUP($C94,'NeT GP - table_export'!$Y:$AA,3,FALSE)</f>
        <v>No</v>
      </c>
      <c r="H94" s="7">
        <f>COUNTIF('NeT GP - table_export'!$Y:$Y,$C94)</f>
        <v>1</v>
      </c>
      <c r="I94" s="8">
        <f>SUMIF('NeT GP - table_export'!$Y:$Y,$C94,'NeT GP - table_export'!$J:$J)</f>
        <v>6</v>
      </c>
    </row>
    <row r="95" spans="1:9" x14ac:dyDescent="0.35">
      <c r="A95" s="235">
        <v>10</v>
      </c>
      <c r="B95" s="248" t="str">
        <f>VLOOKUP(A95,'ELMS Categories'!$B$5:$C$14,2,FALSE)</f>
        <v>Concentrated Animal Feeding Operations (CAFOs)</v>
      </c>
      <c r="C95" s="7" t="s">
        <v>2692</v>
      </c>
      <c r="D95" s="7" t="str">
        <f t="shared" si="11"/>
        <v>07</v>
      </c>
      <c r="E95" s="7" t="str">
        <f t="shared" si="12"/>
        <v>Yes</v>
      </c>
      <c r="F95" s="7" t="str">
        <f t="shared" si="13"/>
        <v>R10</v>
      </c>
      <c r="G95" s="7" t="str">
        <f>VLOOKUP($C95,'NeT GP - table_export'!$Y:$AA,3,FALSE)</f>
        <v>No</v>
      </c>
      <c r="H95" s="7">
        <f>COUNTIF('NeT GP - table_export'!$Y:$Y,$C95)</f>
        <v>1</v>
      </c>
      <c r="I95" s="8">
        <f>SUMIF('NeT GP - table_export'!$Y:$Y,$C95,'NeT GP - table_export'!$J:$J)</f>
        <v>1</v>
      </c>
    </row>
    <row r="97" spans="1:9" x14ac:dyDescent="0.35">
      <c r="G97" s="3" t="s">
        <v>420</v>
      </c>
      <c r="H97" s="3">
        <f>SUM(H2:H95)</f>
        <v>291</v>
      </c>
      <c r="I97" s="4">
        <f>SUM(I2:I95)</f>
        <v>55045</v>
      </c>
    </row>
    <row r="99" spans="1:9" x14ac:dyDescent="0.35">
      <c r="G99" s="23" t="s">
        <v>2065</v>
      </c>
      <c r="H99" s="3" t="str">
        <f>IF(H97='NeT Roadmap'!$C$17,"Yes","No")</f>
        <v>Yes</v>
      </c>
      <c r="I99" s="3" t="str">
        <f>IF(I97='NeT Roadmap'!$H$17,"Yes","No")</f>
        <v>Yes</v>
      </c>
    </row>
    <row r="101" spans="1:9" ht="79" customHeight="1" x14ac:dyDescent="0.35">
      <c r="A101" s="212" t="s">
        <v>2721</v>
      </c>
      <c r="B101" s="212" t="s">
        <v>464</v>
      </c>
      <c r="C101" s="212" t="s">
        <v>452</v>
      </c>
      <c r="D101" s="212" t="s">
        <v>2728</v>
      </c>
    </row>
    <row r="102" spans="1:9" x14ac:dyDescent="0.35">
      <c r="A102" s="7" t="s">
        <v>6</v>
      </c>
      <c r="B102" s="7">
        <f>SUMIF($G$2:$G$95,$A102,$H$2:$H$95)</f>
        <v>176</v>
      </c>
      <c r="C102" s="8">
        <f>SUMIF($G$2:$G$95,$A102,$I$2:$I$95)</f>
        <v>33360</v>
      </c>
      <c r="D102" s="7">
        <f>COUNTIF($G$2:$G$95,$A102)</f>
        <v>25</v>
      </c>
    </row>
    <row r="103" spans="1:9" x14ac:dyDescent="0.35">
      <c r="A103" s="7" t="s">
        <v>10</v>
      </c>
      <c r="B103" s="7">
        <f>SUMIF($G$2:$G$95,$A103,$H$2:$H$95)</f>
        <v>70</v>
      </c>
      <c r="C103" s="8">
        <f>SUMIF($G$2:$G$95,$A103,$I$2:$I$95)</f>
        <v>11793</v>
      </c>
      <c r="D103" s="7">
        <f>COUNTIF($G$2:$G$95,$A103)</f>
        <v>46</v>
      </c>
    </row>
    <row r="104" spans="1:9" x14ac:dyDescent="0.35">
      <c r="A104" s="7" t="s">
        <v>2254</v>
      </c>
      <c r="B104" s="7">
        <f>SUMIF($G$2:$G$95,$A104,$H$2:$H$95)</f>
        <v>19</v>
      </c>
      <c r="C104" s="8">
        <f>SUMIF($G$2:$G$95,$A104,$I$2:$I$95)</f>
        <v>2922</v>
      </c>
      <c r="D104" s="7">
        <f>COUNTIF($G$2:$G$95,$A104)</f>
        <v>8</v>
      </c>
    </row>
    <row r="105" spans="1:9" x14ac:dyDescent="0.35">
      <c r="A105" s="7" t="s">
        <v>2372</v>
      </c>
      <c r="B105" s="7">
        <f>SUMIF($G$2:$G$95,$A105,$H$2:$H$95)</f>
        <v>26</v>
      </c>
      <c r="C105" s="8">
        <f>SUMIF($G$2:$G$95,$A105,$I$2:$I$95)</f>
        <v>6970</v>
      </c>
      <c r="D105" s="7">
        <f>COUNTIF($G$2:$G$95,$A105)</f>
        <v>15</v>
      </c>
    </row>
    <row r="106" spans="1:9" x14ac:dyDescent="0.35">
      <c r="C106" s="4"/>
    </row>
    <row r="107" spans="1:9" x14ac:dyDescent="0.35">
      <c r="A107" s="3" t="s">
        <v>420</v>
      </c>
      <c r="B107" s="3">
        <f>SUM(B102:B105)</f>
        <v>291</v>
      </c>
      <c r="C107" s="4">
        <f>SUM(C102:C105)</f>
        <v>55045</v>
      </c>
      <c r="D107" s="3">
        <f>SUM(D102:D105)</f>
        <v>94</v>
      </c>
    </row>
    <row r="109" spans="1:9" x14ac:dyDescent="0.35">
      <c r="A109" s="23" t="s">
        <v>2065</v>
      </c>
      <c r="B109" s="3" t="str">
        <f>IF(B107='NeT Roadmap'!$C$17,"Yes","No")</f>
        <v>Yes</v>
      </c>
      <c r="C109" s="3" t="str">
        <f>IF(C107='NeT Roadmap'!$H$17,"Yes","No")</f>
        <v>Yes</v>
      </c>
      <c r="D109" s="3" t="str">
        <f>IF(D107=COUNTA(C2:C95),"Yes","No")</f>
        <v>Yes</v>
      </c>
    </row>
    <row r="111" spans="1:9" ht="15" thickBot="1" x14ac:dyDescent="0.4"/>
    <row r="112" spans="1:9" ht="82" customHeight="1" thickBot="1" x14ac:dyDescent="0.4">
      <c r="A112" s="165" t="s">
        <v>2163</v>
      </c>
      <c r="B112" s="104" t="s">
        <v>2166</v>
      </c>
      <c r="C112" s="105" t="s">
        <v>2729</v>
      </c>
      <c r="D112" s="105" t="s">
        <v>2730</v>
      </c>
      <c r="E112" s="107" t="s">
        <v>2171</v>
      </c>
    </row>
    <row r="113" spans="1:5" x14ac:dyDescent="0.35">
      <c r="A113" s="195" t="s">
        <v>2164</v>
      </c>
      <c r="B113" s="123">
        <f>SUMIFS($H$2:$H$95,$E$2:$E$95,"Yes",$G$2:$G$95,"Yes")</f>
        <v>160</v>
      </c>
      <c r="C113" s="124">
        <f>SUMIFS($H$2:$H$95,$E$2:$E$95,"Yes",$G$2:$G$95,"Pending")</f>
        <v>14</v>
      </c>
      <c r="D113" s="250">
        <f>SUMIFS($H$2:$H$95,$E$2:$E$95,"Yes",$G$2:$G$95,"Hold")</f>
        <v>12</v>
      </c>
      <c r="E113" s="228">
        <f>SUMIFS($H$2:$H$95,$E$2:$E$95,"Yes",$G$2:$G$95,"No")</f>
        <v>12</v>
      </c>
    </row>
    <row r="114" spans="1:5" ht="15" thickBot="1" x14ac:dyDescent="0.4">
      <c r="A114" s="196" t="s">
        <v>529</v>
      </c>
      <c r="B114" s="22">
        <f>SUMIFS($H$2:$H$95,$E$2:$E$95,"No",$G$2:$G$95,"Yes")</f>
        <v>16</v>
      </c>
      <c r="C114" s="36">
        <f>SUMIFS($H$2:$H$95,$E$2:$E$95,"No",$G$2:$G$95,"Pending")</f>
        <v>5</v>
      </c>
      <c r="D114" s="35">
        <f>SUMIFS($H$2:$H$95,$E$2:$E$95,"No",$G$2:$G$95,"Hold")</f>
        <v>14</v>
      </c>
      <c r="E114" s="19">
        <f>SUMIFS($H$2:$H$95,$E$2:$E$95,"No",$G$2:$G$95,"No")</f>
        <v>58</v>
      </c>
    </row>
    <row r="115" spans="1:5" x14ac:dyDescent="0.35">
      <c r="A115" s="197" t="s">
        <v>420</v>
      </c>
      <c r="B115" s="4">
        <f>SUM(B113:B114)</f>
        <v>176</v>
      </c>
      <c r="C115" s="4">
        <f>SUM(C113:C114)</f>
        <v>19</v>
      </c>
      <c r="D115" s="4">
        <f>SUM(D113:D114)</f>
        <v>26</v>
      </c>
      <c r="E115" s="4">
        <f>SUM(E113:E114)</f>
        <v>70</v>
      </c>
    </row>
    <row r="116" spans="1:5" x14ac:dyDescent="0.35">
      <c r="A116" s="197"/>
      <c r="B116" s="4"/>
      <c r="C116" s="4"/>
      <c r="D116" s="4"/>
      <c r="E116" s="4"/>
    </row>
    <row r="117" spans="1:5" x14ac:dyDescent="0.35">
      <c r="A117" s="23" t="s">
        <v>2065</v>
      </c>
      <c r="B117" s="3" t="str">
        <f>IF(SUM(B115:E115)='NeT Roadmap'!$C$17,"Yes","No")</f>
        <v>Yes</v>
      </c>
      <c r="C117" s="4"/>
      <c r="D117" s="4"/>
      <c r="E117" s="4"/>
    </row>
    <row r="118" spans="1:5" ht="15" thickBot="1" x14ac:dyDescent="0.4">
      <c r="B118" s="3"/>
    </row>
    <row r="119" spans="1:5" ht="129.65" customHeight="1" thickBot="1" x14ac:dyDescent="0.4">
      <c r="A119" s="165" t="s">
        <v>2163</v>
      </c>
      <c r="B119" s="104" t="s">
        <v>2168</v>
      </c>
      <c r="C119" s="105" t="s">
        <v>2732</v>
      </c>
      <c r="D119" s="105" t="s">
        <v>2731</v>
      </c>
      <c r="E119" s="107" t="s">
        <v>2170</v>
      </c>
    </row>
    <row r="120" spans="1:5" x14ac:dyDescent="0.35">
      <c r="A120" s="195" t="s">
        <v>2164</v>
      </c>
      <c r="B120" s="123">
        <f>SUMIFS($I$2:$I$95,$E$2:$E$95,"Yes",$G$2:$G$95,"Yes")</f>
        <v>23956</v>
      </c>
      <c r="C120" s="124">
        <f>SUMIFS($I$2:$I$95,$E$2:$E$95,"Yes",$G$2:$G$95,"Pending")</f>
        <v>409</v>
      </c>
      <c r="D120" s="124">
        <f>SUMIFS($I$2:$I$95,$E$2:$E$95,"Yes",$G$2:$G$95,"Hold")</f>
        <v>392</v>
      </c>
      <c r="E120" s="125">
        <f>SUMIFS($I$2:$I$95,$E$2:$E$95,"Yes",$G$2:$G$95,"No")</f>
        <v>3706</v>
      </c>
    </row>
    <row r="121" spans="1:5" ht="15" thickBot="1" x14ac:dyDescent="0.4">
      <c r="A121" s="196" t="s">
        <v>529</v>
      </c>
      <c r="B121" s="22">
        <f>SUMIFS($I$2:$I$95,$E$2:$E$95,"No",$G$2:$G$95,"Yes")</f>
        <v>9404</v>
      </c>
      <c r="C121" s="36">
        <f>SUMIFS($I$2:$I$95,$E$2:$E$95,"No",$G$2:$G$95,"Pending")</f>
        <v>2513</v>
      </c>
      <c r="D121" s="36">
        <f>SUMIFS($I$2:$I$95,$E$2:$E$95,"No",$G$2:$G$95,"Hold")</f>
        <v>6578</v>
      </c>
      <c r="E121" s="52">
        <f>SUMIFS($I$2:$I$95,$E$2:$E$95,"No",$G$2:$G$95,"No")</f>
        <v>8087</v>
      </c>
    </row>
    <row r="122" spans="1:5" x14ac:dyDescent="0.35">
      <c r="A122" s="197" t="s">
        <v>420</v>
      </c>
      <c r="B122" s="4">
        <f>SUM(B120:B121)</f>
        <v>33360</v>
      </c>
      <c r="C122" s="4">
        <f>SUM(C120:C121)</f>
        <v>2922</v>
      </c>
      <c r="D122" s="4">
        <f>SUM(D120:D121)</f>
        <v>6970</v>
      </c>
      <c r="E122" s="4">
        <f>SUM(E120:E121)</f>
        <v>11793</v>
      </c>
    </row>
    <row r="123" spans="1:5" x14ac:dyDescent="0.35">
      <c r="A123" s="197"/>
      <c r="B123" s="4"/>
      <c r="C123" s="4"/>
      <c r="D123" s="4"/>
      <c r="E123" s="4"/>
    </row>
    <row r="124" spans="1:5" x14ac:dyDescent="0.35">
      <c r="A124" s="23" t="s">
        <v>2065</v>
      </c>
      <c r="B124" s="3" t="str">
        <f>IF(SUM(B122:E122)='NeT Roadmap'!$H$17,"Yes","No")</f>
        <v>Yes</v>
      </c>
      <c r="C124" s="4"/>
      <c r="D124" s="4"/>
      <c r="E124" s="4"/>
    </row>
    <row r="125" spans="1:5" ht="15" thickBot="1" x14ac:dyDescent="0.4">
      <c r="B125" s="3"/>
    </row>
    <row r="126" spans="1:5" ht="117.65" customHeight="1" thickBot="1" x14ac:dyDescent="0.4">
      <c r="A126" s="165" t="s">
        <v>2163</v>
      </c>
      <c r="B126" s="104" t="s">
        <v>2733</v>
      </c>
      <c r="C126" s="105" t="s">
        <v>2734</v>
      </c>
      <c r="D126" s="105" t="s">
        <v>2735</v>
      </c>
      <c r="E126" s="107" t="s">
        <v>2736</v>
      </c>
    </row>
    <row r="127" spans="1:5" x14ac:dyDescent="0.35">
      <c r="A127" s="195" t="s">
        <v>2164</v>
      </c>
      <c r="B127" s="123">
        <f>COUNTIFS($E$2:$E$95,"Yes",$G$2:$G$95,"Yes")</f>
        <v>11</v>
      </c>
      <c r="C127" s="124">
        <f>COUNTIFS($E$2:$E$95,"Yes",$G$2:$G$95,"Pending")</f>
        <v>3</v>
      </c>
      <c r="D127" s="250">
        <f>COUNTIFS($E$2:$E$95,"Yes",$G$2:$G$95,"Hold")</f>
        <v>6</v>
      </c>
      <c r="E127" s="228">
        <f>COUNTIFS($E$2:$E$95,"Yes",$G$2:$G$95,"No")</f>
        <v>7</v>
      </c>
    </row>
    <row r="128" spans="1:5" ht="15" thickBot="1" x14ac:dyDescent="0.4">
      <c r="A128" s="196" t="s">
        <v>529</v>
      </c>
      <c r="B128" s="22">
        <f>COUNTIFS($E$2:$E$95,"No",$G$2:$G$95,"Yes")</f>
        <v>14</v>
      </c>
      <c r="C128" s="36">
        <f>COUNTIFS($E$2:$E$95,"No",$G$2:$G$95,"Pending")</f>
        <v>5</v>
      </c>
      <c r="D128" s="35">
        <f>COUNTIFS($E$2:$E$95,"No",$G$2:$G$95,"Hold")</f>
        <v>9</v>
      </c>
      <c r="E128" s="19">
        <f>COUNTIFS($E$2:$E$95,"No",$G$2:$G$95,"No")</f>
        <v>39</v>
      </c>
    </row>
    <row r="129" spans="1:5" x14ac:dyDescent="0.35">
      <c r="A129" s="197" t="s">
        <v>420</v>
      </c>
      <c r="B129" s="4">
        <f>SUM(B127:B128)</f>
        <v>25</v>
      </c>
      <c r="C129" s="4">
        <f>SUM(C127:C128)</f>
        <v>8</v>
      </c>
      <c r="D129" s="4">
        <f>SUM(D127:D128)</f>
        <v>15</v>
      </c>
      <c r="E129" s="4">
        <f>SUM(E127:E128)</f>
        <v>46</v>
      </c>
    </row>
    <row r="131" spans="1:5" x14ac:dyDescent="0.35">
      <c r="A131" s="23" t="s">
        <v>2065</v>
      </c>
      <c r="B131" s="3" t="str">
        <f>IF(SUM(B129)='NeT Roadmap'!$F$36,"Yes","No")</f>
        <v>Yes</v>
      </c>
    </row>
    <row r="234" spans="9:9" ht="64" customHeight="1" x14ac:dyDescent="0.35">
      <c r="I234" s="2"/>
    </row>
    <row r="235" spans="9:9" x14ac:dyDescent="0.35">
      <c r="I235" s="2"/>
    </row>
  </sheetData>
  <sortState xmlns:xlrd2="http://schemas.microsoft.com/office/spreadsheetml/2017/richdata2" ref="A2:I95">
    <sortCondition ref="A2:A95"/>
  </sortState>
  <conditionalFormatting sqref="B117">
    <cfRule type="containsText" dxfId="13" priority="29" operator="containsText" text="Yes">
      <formula>NOT(ISERROR(SEARCH("Yes",B117)))</formula>
    </cfRule>
    <cfRule type="containsText" dxfId="12" priority="30" operator="containsText" text="No">
      <formula>NOT(ISERROR(SEARCH("No",B117)))</formula>
    </cfRule>
  </conditionalFormatting>
  <conditionalFormatting sqref="B124">
    <cfRule type="containsText" dxfId="11" priority="27" operator="containsText" text="Yes">
      <formula>NOT(ISERROR(SEARCH("Yes",B124)))</formula>
    </cfRule>
    <cfRule type="containsText" dxfId="10" priority="28" operator="containsText" text="No">
      <formula>NOT(ISERROR(SEARCH("No",B124)))</formula>
    </cfRule>
  </conditionalFormatting>
  <conditionalFormatting sqref="B131">
    <cfRule type="containsText" dxfId="9" priority="25" operator="containsText" text="Yes">
      <formula>NOT(ISERROR(SEARCH("Yes",B131)))</formula>
    </cfRule>
    <cfRule type="containsText" dxfId="8" priority="26" operator="containsText" text="No">
      <formula>NOT(ISERROR(SEARCH("No",B131)))</formula>
    </cfRule>
  </conditionalFormatting>
  <conditionalFormatting sqref="B109:D109">
    <cfRule type="containsText" dxfId="7" priority="31" operator="containsText" text="Yes">
      <formula>NOT(ISERROR(SEARCH("Yes",B109)))</formula>
    </cfRule>
    <cfRule type="containsText" dxfId="6" priority="32" operator="containsText" text="No">
      <formula>NOT(ISERROR(SEARCH("No",B109)))</formula>
    </cfRule>
  </conditionalFormatting>
  <conditionalFormatting sqref="G2:G95">
    <cfRule type="containsText" dxfId="5" priority="5" operator="containsText" text="Pending">
      <formula>NOT(ISERROR(SEARCH("Pending",G2)))</formula>
    </cfRule>
    <cfRule type="containsText" dxfId="4" priority="6" operator="containsText" text="Hold">
      <formula>NOT(ISERROR(SEARCH("Hold",G2)))</formula>
    </cfRule>
    <cfRule type="containsText" dxfId="3" priority="7" operator="containsText" text="Yes">
      <formula>NOT(ISERROR(SEARCH("Yes",G2)))</formula>
    </cfRule>
    <cfRule type="containsText" dxfId="2" priority="8" operator="containsText" text="No">
      <formula>NOT(ISERROR(SEARCH("No",G2)))</formula>
    </cfRule>
  </conditionalFormatting>
  <conditionalFormatting sqref="H99:I99">
    <cfRule type="containsText" dxfId="1" priority="40" operator="containsText" text="Yes">
      <formula>NOT(ISERROR(SEARCH("Yes",H99)))</formula>
    </cfRule>
    <cfRule type="containsText" dxfId="0" priority="41" operator="containsText" text="No">
      <formula>NOT(ISERROR(SEARCH("No",H99)))</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90F24-056D-4B76-B6FB-C8E5AB2A87B9}">
  <dimension ref="B2:M14"/>
  <sheetViews>
    <sheetView workbookViewId="0"/>
  </sheetViews>
  <sheetFormatPr defaultRowHeight="14.5" x14ac:dyDescent="0.35"/>
  <cols>
    <col min="1" max="1" width="3.26953125" customWidth="1"/>
    <col min="2" max="2" width="3.90625" customWidth="1"/>
    <col min="3" max="3" width="62.1796875" bestFit="1" customWidth="1"/>
    <col min="4" max="4" width="44.26953125" bestFit="1" customWidth="1"/>
    <col min="5" max="5" width="28.7265625" bestFit="1" customWidth="1"/>
    <col min="6" max="6" width="35" bestFit="1" customWidth="1"/>
    <col min="7" max="7" width="20.453125" customWidth="1"/>
    <col min="8" max="8" width="30" customWidth="1"/>
    <col min="9" max="9" width="24.54296875" bestFit="1" customWidth="1"/>
    <col min="10" max="10" width="10.7265625" customWidth="1"/>
    <col min="11" max="11" width="22.90625" customWidth="1"/>
    <col min="12" max="13" width="17.54296875" bestFit="1" customWidth="1"/>
  </cols>
  <sheetData>
    <row r="2" spans="2:13" x14ac:dyDescent="0.35">
      <c r="B2" s="233" t="s">
        <v>2923</v>
      </c>
    </row>
    <row r="4" spans="2:13" x14ac:dyDescent="0.35">
      <c r="B4" s="232" t="s">
        <v>421</v>
      </c>
      <c r="C4" s="231" t="s">
        <v>2053</v>
      </c>
      <c r="D4" s="252" t="s">
        <v>2925</v>
      </c>
      <c r="E4" s="253"/>
      <c r="F4" s="253"/>
      <c r="G4" s="253"/>
      <c r="H4" s="253"/>
      <c r="I4" s="253"/>
      <c r="J4" s="253"/>
      <c r="K4" s="253"/>
      <c r="L4" s="253"/>
      <c r="M4" s="254"/>
    </row>
    <row r="5" spans="2:13" x14ac:dyDescent="0.35">
      <c r="B5" s="235">
        <v>1</v>
      </c>
      <c r="C5" s="227" t="s">
        <v>24</v>
      </c>
      <c r="D5" s="227" t="s">
        <v>24</v>
      </c>
      <c r="E5" s="227"/>
      <c r="F5" s="227"/>
      <c r="G5" s="227"/>
      <c r="H5" s="227"/>
      <c r="I5" s="227"/>
      <c r="J5" s="227"/>
      <c r="K5" s="227"/>
      <c r="L5" s="227"/>
      <c r="M5" s="227"/>
    </row>
    <row r="6" spans="2:13" x14ac:dyDescent="0.35">
      <c r="B6" s="235">
        <f>B5+1</f>
        <v>2</v>
      </c>
      <c r="C6" s="227" t="s">
        <v>28</v>
      </c>
      <c r="D6" s="227" t="s">
        <v>28</v>
      </c>
      <c r="E6" s="227"/>
      <c r="F6" s="227"/>
      <c r="G6" s="227"/>
      <c r="H6" s="227"/>
      <c r="I6" s="227"/>
      <c r="J6" s="227"/>
      <c r="K6" s="227"/>
      <c r="L6" s="227"/>
      <c r="M6" s="227"/>
    </row>
    <row r="7" spans="2:13" x14ac:dyDescent="0.35">
      <c r="B7" s="235">
        <f t="shared" ref="B7:B14" si="0">B6+1</f>
        <v>3</v>
      </c>
      <c r="C7" s="227" t="s">
        <v>7</v>
      </c>
      <c r="D7" s="227" t="s">
        <v>7</v>
      </c>
      <c r="E7" s="227"/>
      <c r="F7" s="227"/>
      <c r="G7" s="227"/>
      <c r="H7" s="227"/>
      <c r="I7" s="227"/>
      <c r="J7" s="227"/>
      <c r="K7" s="227"/>
      <c r="L7" s="227"/>
      <c r="M7" s="227"/>
    </row>
    <row r="8" spans="2:13" x14ac:dyDescent="0.35">
      <c r="B8" s="235">
        <f t="shared" si="0"/>
        <v>4</v>
      </c>
      <c r="C8" s="227" t="s">
        <v>3189</v>
      </c>
      <c r="D8" s="227" t="s">
        <v>110</v>
      </c>
      <c r="E8" s="227" t="s">
        <v>16</v>
      </c>
      <c r="F8" s="227"/>
      <c r="G8" s="227"/>
      <c r="H8" s="227"/>
      <c r="I8" s="227"/>
      <c r="J8" s="227"/>
      <c r="K8" s="227"/>
      <c r="L8" s="227"/>
      <c r="M8" s="227"/>
    </row>
    <row r="9" spans="2:13" x14ac:dyDescent="0.35">
      <c r="B9" s="235">
        <f t="shared" si="0"/>
        <v>5</v>
      </c>
      <c r="C9" s="227" t="s">
        <v>20</v>
      </c>
      <c r="D9" s="227" t="s">
        <v>20</v>
      </c>
      <c r="E9" s="227"/>
      <c r="F9" s="227"/>
      <c r="G9" s="227"/>
      <c r="H9" s="227"/>
      <c r="I9" s="227"/>
      <c r="J9" s="227"/>
      <c r="K9" s="227"/>
      <c r="L9" s="227"/>
      <c r="M9" s="227"/>
    </row>
    <row r="10" spans="2:13" x14ac:dyDescent="0.35">
      <c r="B10" s="235">
        <f t="shared" si="0"/>
        <v>6</v>
      </c>
      <c r="C10" s="227" t="s">
        <v>2249</v>
      </c>
      <c r="D10" s="227" t="s">
        <v>68</v>
      </c>
      <c r="E10" s="227" t="s">
        <v>170</v>
      </c>
      <c r="F10" s="227" t="s">
        <v>55</v>
      </c>
      <c r="G10" s="227" t="s">
        <v>138</v>
      </c>
      <c r="H10" s="227"/>
      <c r="I10" s="227"/>
      <c r="J10" s="227"/>
      <c r="K10" s="227"/>
      <c r="L10" s="227"/>
      <c r="M10" s="227"/>
    </row>
    <row r="11" spans="2:13" x14ac:dyDescent="0.35">
      <c r="B11" s="235">
        <f t="shared" si="0"/>
        <v>7</v>
      </c>
      <c r="C11" s="227" t="s">
        <v>52</v>
      </c>
      <c r="D11" s="227" t="s">
        <v>52</v>
      </c>
      <c r="E11" s="227"/>
      <c r="F11" s="227"/>
      <c r="G11" s="227"/>
      <c r="H11" s="227"/>
      <c r="I11" s="227"/>
      <c r="J11" s="227"/>
      <c r="K11" s="227"/>
      <c r="L11" s="227"/>
      <c r="M11" s="227"/>
    </row>
    <row r="12" spans="2:13" x14ac:dyDescent="0.35">
      <c r="B12" s="235">
        <f t="shared" si="0"/>
        <v>8</v>
      </c>
      <c r="C12" s="227" t="s">
        <v>2924</v>
      </c>
      <c r="D12" s="227" t="s">
        <v>48</v>
      </c>
      <c r="E12" s="227" t="s">
        <v>117</v>
      </c>
      <c r="F12" s="227" t="s">
        <v>146</v>
      </c>
      <c r="G12" s="227"/>
      <c r="H12" s="227"/>
      <c r="I12" s="227"/>
      <c r="J12" s="227"/>
      <c r="K12" s="227"/>
      <c r="L12" s="227"/>
      <c r="M12" s="227"/>
    </row>
    <row r="13" spans="2:13" x14ac:dyDescent="0.35">
      <c r="B13" s="235">
        <f t="shared" si="0"/>
        <v>9</v>
      </c>
      <c r="C13" s="227" t="s">
        <v>62</v>
      </c>
      <c r="D13" s="227" t="s">
        <v>62</v>
      </c>
      <c r="E13" s="227" t="s">
        <v>351</v>
      </c>
      <c r="F13" s="227" t="s">
        <v>61</v>
      </c>
      <c r="G13" s="227" t="s">
        <v>115</v>
      </c>
      <c r="H13" s="227" t="s">
        <v>174</v>
      </c>
      <c r="I13" s="227" t="s">
        <v>178</v>
      </c>
      <c r="J13" s="227" t="s">
        <v>521</v>
      </c>
      <c r="K13" s="227" t="s">
        <v>268</v>
      </c>
      <c r="L13" s="227"/>
      <c r="M13" s="227"/>
    </row>
    <row r="14" spans="2:13" x14ac:dyDescent="0.35">
      <c r="B14" s="235">
        <f t="shared" si="0"/>
        <v>10</v>
      </c>
      <c r="C14" s="227" t="s">
        <v>106</v>
      </c>
      <c r="D14" s="227" t="s">
        <v>106</v>
      </c>
      <c r="E14" s="227"/>
      <c r="F14" s="227"/>
      <c r="G14" s="227"/>
      <c r="H14" s="227"/>
      <c r="I14" s="227"/>
      <c r="J14" s="227"/>
      <c r="K14" s="227"/>
      <c r="L14" s="227"/>
      <c r="M14" s="227"/>
    </row>
  </sheetData>
  <mergeCells count="1">
    <mergeCell ref="D4:M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59"/>
  <sheetViews>
    <sheetView zoomScale="70" zoomScaleNormal="70" workbookViewId="0">
      <pane xSplit="4" topLeftCell="AA1" activePane="topRight" state="frozen"/>
      <selection pane="topRight"/>
    </sheetView>
  </sheetViews>
  <sheetFormatPr defaultColWidth="8.7265625" defaultRowHeight="14.5" x14ac:dyDescent="0.35"/>
  <cols>
    <col min="1" max="1" width="23.453125" style="3" bestFit="1" customWidth="1"/>
    <col min="2" max="2" width="17.453125" style="3" bestFit="1" customWidth="1"/>
    <col min="3" max="3" width="14.26953125" style="3" bestFit="1" customWidth="1"/>
    <col min="4" max="4" width="96.1796875" style="95" customWidth="1"/>
    <col min="5" max="5" width="65.7265625" style="95" customWidth="1"/>
    <col min="6" max="6" width="28.453125" style="95" customWidth="1"/>
    <col min="7" max="7" width="14.81640625" style="223" customWidth="1"/>
    <col min="8" max="8" width="12.81640625" style="223" customWidth="1"/>
    <col min="9" max="9" width="11.7265625" style="223" customWidth="1"/>
    <col min="10" max="10" width="20.453125" style="3" customWidth="1"/>
    <col min="11" max="11" width="10.1796875" style="3" customWidth="1"/>
    <col min="12" max="12" width="10.453125" style="3" customWidth="1"/>
    <col min="13" max="13" width="46.26953125" style="95" customWidth="1"/>
    <col min="14" max="14" width="47.7265625" style="3" customWidth="1"/>
    <col min="15" max="15" width="20.1796875" style="3" customWidth="1"/>
    <col min="16" max="16" width="16.81640625" style="3" customWidth="1"/>
    <col min="17" max="17" width="11.453125" style="3" customWidth="1"/>
    <col min="18" max="18" width="79.453125" style="95" customWidth="1"/>
    <col min="19" max="19" width="21.54296875" style="223" customWidth="1"/>
    <col min="20" max="20" width="23.1796875" style="223" customWidth="1"/>
    <col min="21" max="21" width="23.453125" style="223" customWidth="1"/>
    <col min="22" max="22" width="21.7265625" style="223" customWidth="1"/>
    <col min="23" max="23" width="24.81640625" style="223" customWidth="1"/>
    <col min="24" max="24" width="30.81640625" style="3" customWidth="1"/>
    <col min="25" max="25" width="21.81640625" style="3" customWidth="1"/>
    <col min="26" max="26" width="63" style="3" customWidth="1"/>
    <col min="27" max="27" width="17.81640625" style="3" customWidth="1"/>
    <col min="28" max="28" width="24.54296875" style="223" customWidth="1"/>
    <col min="29" max="29" width="24.54296875" style="3" customWidth="1"/>
    <col min="30" max="30" width="21.81640625" style="3" customWidth="1"/>
    <col min="31" max="31" width="61.1796875" style="95" customWidth="1"/>
    <col min="32" max="16384" width="8.7265625" style="3"/>
  </cols>
  <sheetData>
    <row r="1" spans="1:31" s="1" customFormat="1" ht="43.5" x14ac:dyDescent="0.35">
      <c r="A1" s="212" t="s">
        <v>3080</v>
      </c>
      <c r="B1" s="212" t="s">
        <v>3081</v>
      </c>
      <c r="C1" s="212" t="s">
        <v>0</v>
      </c>
      <c r="D1" s="212" t="s">
        <v>3082</v>
      </c>
      <c r="E1" s="212" t="s">
        <v>3083</v>
      </c>
      <c r="F1" s="212" t="s">
        <v>3084</v>
      </c>
      <c r="G1" s="222" t="s">
        <v>3085</v>
      </c>
      <c r="H1" s="222" t="s">
        <v>3086</v>
      </c>
      <c r="I1" s="222" t="s">
        <v>3087</v>
      </c>
      <c r="J1" s="212" t="s">
        <v>3088</v>
      </c>
      <c r="K1" s="212" t="s">
        <v>3089</v>
      </c>
      <c r="L1" s="212" t="s">
        <v>3090</v>
      </c>
      <c r="M1" s="212" t="s">
        <v>3091</v>
      </c>
      <c r="N1" s="212" t="s">
        <v>1</v>
      </c>
      <c r="O1" s="212" t="s">
        <v>3092</v>
      </c>
      <c r="P1" s="212" t="s">
        <v>3093</v>
      </c>
      <c r="Q1" s="212" t="s">
        <v>3094</v>
      </c>
      <c r="R1" s="212" t="s">
        <v>2</v>
      </c>
      <c r="S1" s="222" t="s">
        <v>3095</v>
      </c>
      <c r="T1" s="222" t="s">
        <v>3096</v>
      </c>
      <c r="U1" s="222" t="s">
        <v>3097</v>
      </c>
      <c r="V1" s="222" t="s">
        <v>3098</v>
      </c>
      <c r="W1" s="222" t="s">
        <v>3099</v>
      </c>
      <c r="X1" s="212" t="s">
        <v>3100</v>
      </c>
      <c r="Y1" s="212" t="s">
        <v>3101</v>
      </c>
      <c r="Z1" s="212" t="s">
        <v>3102</v>
      </c>
      <c r="AA1" s="212" t="s">
        <v>3103</v>
      </c>
      <c r="AB1" s="222" t="s">
        <v>3104</v>
      </c>
      <c r="AC1" s="212" t="s">
        <v>3105</v>
      </c>
      <c r="AD1" s="212" t="s">
        <v>3106</v>
      </c>
      <c r="AE1" s="212" t="s">
        <v>3107</v>
      </c>
    </row>
    <row r="2" spans="1:31" x14ac:dyDescent="0.35">
      <c r="A2" s="3" t="s">
        <v>655</v>
      </c>
      <c r="B2" s="3" t="s">
        <v>3</v>
      </c>
      <c r="C2" s="3">
        <v>10</v>
      </c>
      <c r="D2" s="95" t="s">
        <v>656</v>
      </c>
      <c r="E2" s="95" t="s">
        <v>2746</v>
      </c>
      <c r="F2" s="95" t="s">
        <v>2747</v>
      </c>
      <c r="G2" s="223">
        <v>43699</v>
      </c>
      <c r="H2" s="223">
        <v>43739</v>
      </c>
      <c r="I2" s="223">
        <v>45565</v>
      </c>
      <c r="J2" s="3">
        <v>48</v>
      </c>
      <c r="K2" s="3" t="s">
        <v>10</v>
      </c>
      <c r="L2" s="3" t="s">
        <v>10</v>
      </c>
      <c r="M2" s="95" t="s">
        <v>169</v>
      </c>
      <c r="N2" s="3" t="s">
        <v>170</v>
      </c>
      <c r="O2" s="3" t="s">
        <v>651</v>
      </c>
      <c r="P2" s="3" t="s">
        <v>6</v>
      </c>
      <c r="Q2" s="3" t="s">
        <v>6</v>
      </c>
      <c r="R2" s="95" t="s">
        <v>652</v>
      </c>
      <c r="S2" s="223" t="s">
        <v>5</v>
      </c>
      <c r="T2" s="223" t="s">
        <v>5</v>
      </c>
      <c r="U2" s="223" t="s">
        <v>5</v>
      </c>
      <c r="V2" s="223" t="s">
        <v>5</v>
      </c>
      <c r="W2" s="223" t="s">
        <v>5</v>
      </c>
      <c r="X2" s="3" t="s">
        <v>5</v>
      </c>
      <c r="Y2" s="3" t="s">
        <v>651</v>
      </c>
      <c r="Z2" s="3" t="s">
        <v>651</v>
      </c>
      <c r="AA2" s="3" t="s">
        <v>6</v>
      </c>
      <c r="AB2" s="223">
        <v>44713</v>
      </c>
      <c r="AC2" s="3" t="s">
        <v>10</v>
      </c>
      <c r="AD2" s="3" t="s">
        <v>10</v>
      </c>
      <c r="AE2" s="95" t="s">
        <v>2263</v>
      </c>
    </row>
    <row r="3" spans="1:31" x14ac:dyDescent="0.35">
      <c r="A3" s="3" t="s">
        <v>657</v>
      </c>
      <c r="B3" s="3" t="s">
        <v>3</v>
      </c>
      <c r="C3" s="3">
        <v>10</v>
      </c>
      <c r="D3" s="95" t="s">
        <v>658</v>
      </c>
      <c r="E3" s="95" t="s">
        <v>2746</v>
      </c>
      <c r="F3" s="95" t="s">
        <v>2747</v>
      </c>
      <c r="G3" s="223">
        <v>43699</v>
      </c>
      <c r="H3" s="223">
        <v>43739</v>
      </c>
      <c r="I3" s="223">
        <v>45565</v>
      </c>
      <c r="J3" s="3">
        <v>4</v>
      </c>
      <c r="K3" s="3" t="s">
        <v>10</v>
      </c>
      <c r="L3" s="3" t="s">
        <v>10</v>
      </c>
      <c r="M3" s="95" t="s">
        <v>136</v>
      </c>
      <c r="N3" s="3" t="s">
        <v>138</v>
      </c>
      <c r="O3" s="3" t="s">
        <v>651</v>
      </c>
      <c r="P3" s="3" t="s">
        <v>6</v>
      </c>
      <c r="Q3" s="3" t="s">
        <v>6</v>
      </c>
      <c r="R3" s="95" t="s">
        <v>652</v>
      </c>
      <c r="S3" s="223" t="s">
        <v>5</v>
      </c>
      <c r="T3" s="223" t="s">
        <v>5</v>
      </c>
      <c r="U3" s="223" t="s">
        <v>5</v>
      </c>
      <c r="V3" s="223" t="s">
        <v>5</v>
      </c>
      <c r="W3" s="223" t="s">
        <v>5</v>
      </c>
      <c r="X3" s="3" t="s">
        <v>5</v>
      </c>
      <c r="Y3" s="3" t="s">
        <v>651</v>
      </c>
      <c r="Z3" s="3" t="s">
        <v>651</v>
      </c>
      <c r="AA3" s="3" t="s">
        <v>6</v>
      </c>
      <c r="AB3" s="223">
        <v>44713</v>
      </c>
      <c r="AC3" s="3" t="s">
        <v>10</v>
      </c>
      <c r="AD3" s="3" t="s">
        <v>10</v>
      </c>
      <c r="AE3" s="95" t="s">
        <v>2263</v>
      </c>
    </row>
    <row r="4" spans="1:31" x14ac:dyDescent="0.35">
      <c r="A4" s="3" t="s">
        <v>2264</v>
      </c>
      <c r="B4" s="3" t="s">
        <v>3</v>
      </c>
      <c r="C4" s="3">
        <v>10</v>
      </c>
      <c r="D4" s="95" t="s">
        <v>3135</v>
      </c>
      <c r="E4" s="95" t="s">
        <v>422</v>
      </c>
      <c r="F4" s="95" t="s">
        <v>437</v>
      </c>
      <c r="G4" s="223">
        <v>44455</v>
      </c>
      <c r="H4" s="223">
        <v>44500</v>
      </c>
      <c r="I4" s="223">
        <v>46326</v>
      </c>
      <c r="J4" s="3">
        <v>0</v>
      </c>
      <c r="K4" s="3" t="s">
        <v>6</v>
      </c>
      <c r="L4" s="3" t="s">
        <v>6</v>
      </c>
      <c r="M4" s="95" t="s">
        <v>19</v>
      </c>
      <c r="N4" s="3" t="s">
        <v>20</v>
      </c>
      <c r="O4" s="3" t="s">
        <v>21</v>
      </c>
      <c r="P4" s="3" t="s">
        <v>6</v>
      </c>
      <c r="Q4" s="3" t="s">
        <v>6</v>
      </c>
      <c r="R4" s="95" t="s">
        <v>22</v>
      </c>
      <c r="S4" s="223">
        <v>43675</v>
      </c>
      <c r="T4" s="223">
        <v>43756</v>
      </c>
      <c r="U4" s="223">
        <v>43647</v>
      </c>
      <c r="V4" s="223">
        <v>43647</v>
      </c>
      <c r="W4" s="223" t="s">
        <v>6</v>
      </c>
      <c r="X4" s="3" t="s">
        <v>26</v>
      </c>
      <c r="Y4" s="3" t="s">
        <v>2116</v>
      </c>
      <c r="Z4" s="3" t="s">
        <v>20</v>
      </c>
      <c r="AA4" s="3" t="s">
        <v>6</v>
      </c>
      <c r="AB4" s="223">
        <v>44442</v>
      </c>
      <c r="AC4" s="3" t="s">
        <v>10</v>
      </c>
      <c r="AD4" s="3" t="s">
        <v>10</v>
      </c>
      <c r="AE4" s="95" t="s">
        <v>2263</v>
      </c>
    </row>
    <row r="5" spans="1:31" x14ac:dyDescent="0.35">
      <c r="A5" s="3" t="s">
        <v>659</v>
      </c>
      <c r="B5" s="3" t="s">
        <v>3</v>
      </c>
      <c r="C5" s="3">
        <v>10</v>
      </c>
      <c r="D5" s="95" t="s">
        <v>660</v>
      </c>
      <c r="E5" s="95" t="s">
        <v>2746</v>
      </c>
      <c r="F5" s="95" t="s">
        <v>2747</v>
      </c>
      <c r="G5" s="223">
        <v>43119</v>
      </c>
      <c r="H5" s="223">
        <v>43160</v>
      </c>
      <c r="I5" s="223">
        <v>44985</v>
      </c>
      <c r="J5" s="3">
        <v>28</v>
      </c>
      <c r="K5" s="3" t="s">
        <v>10</v>
      </c>
      <c r="L5" s="3" t="s">
        <v>10</v>
      </c>
      <c r="M5" s="95" t="s">
        <v>15</v>
      </c>
      <c r="N5" s="3" t="s">
        <v>110</v>
      </c>
      <c r="O5" s="3" t="s">
        <v>651</v>
      </c>
      <c r="P5" s="3" t="s">
        <v>6</v>
      </c>
      <c r="Q5" s="3" t="s">
        <v>6</v>
      </c>
      <c r="R5" s="95" t="s">
        <v>652</v>
      </c>
      <c r="S5" s="223" t="s">
        <v>5</v>
      </c>
      <c r="T5" s="223" t="s">
        <v>5</v>
      </c>
      <c r="U5" s="223" t="s">
        <v>5</v>
      </c>
      <c r="V5" s="223" t="s">
        <v>5</v>
      </c>
      <c r="W5" s="223" t="s">
        <v>5</v>
      </c>
      <c r="X5" s="3" t="s">
        <v>5</v>
      </c>
      <c r="Y5" s="3" t="s">
        <v>651</v>
      </c>
      <c r="Z5" s="3" t="s">
        <v>651</v>
      </c>
      <c r="AA5" s="3" t="s">
        <v>6</v>
      </c>
      <c r="AB5" s="223">
        <v>44713</v>
      </c>
      <c r="AC5" s="3" t="s">
        <v>10</v>
      </c>
      <c r="AD5" s="3" t="s">
        <v>10</v>
      </c>
      <c r="AE5" s="95" t="s">
        <v>2265</v>
      </c>
    </row>
    <row r="6" spans="1:31" x14ac:dyDescent="0.35">
      <c r="A6" s="3" t="s">
        <v>661</v>
      </c>
      <c r="B6" s="3" t="s">
        <v>3</v>
      </c>
      <c r="C6" s="3">
        <v>10</v>
      </c>
      <c r="D6" s="95" t="s">
        <v>662</v>
      </c>
      <c r="E6" s="95" t="s">
        <v>2746</v>
      </c>
      <c r="F6" s="95" t="s">
        <v>2747</v>
      </c>
      <c r="G6" s="223">
        <v>44020</v>
      </c>
      <c r="H6" s="223">
        <v>44075</v>
      </c>
      <c r="I6" s="223">
        <v>45900</v>
      </c>
      <c r="J6" s="3">
        <v>9</v>
      </c>
      <c r="K6" s="3" t="s">
        <v>10</v>
      </c>
      <c r="L6" s="3" t="s">
        <v>10</v>
      </c>
      <c r="M6" s="95" t="s">
        <v>173</v>
      </c>
      <c r="N6" s="3" t="s">
        <v>174</v>
      </c>
      <c r="O6" s="3" t="s">
        <v>651</v>
      </c>
      <c r="P6" s="3" t="s">
        <v>6</v>
      </c>
      <c r="Q6" s="3" t="s">
        <v>6</v>
      </c>
      <c r="R6" s="95" t="s">
        <v>652</v>
      </c>
      <c r="S6" s="223" t="s">
        <v>5</v>
      </c>
      <c r="T6" s="223" t="s">
        <v>5</v>
      </c>
      <c r="U6" s="223" t="s">
        <v>5</v>
      </c>
      <c r="V6" s="223" t="s">
        <v>5</v>
      </c>
      <c r="W6" s="223" t="s">
        <v>5</v>
      </c>
      <c r="X6" s="3" t="s">
        <v>5</v>
      </c>
      <c r="Y6" s="3" t="s">
        <v>651</v>
      </c>
      <c r="Z6" s="3" t="s">
        <v>651</v>
      </c>
      <c r="AA6" s="3" t="s">
        <v>6</v>
      </c>
      <c r="AB6" s="223">
        <v>44713</v>
      </c>
      <c r="AC6" s="3" t="s">
        <v>6</v>
      </c>
      <c r="AD6" s="3" t="s">
        <v>10</v>
      </c>
      <c r="AE6" s="95" t="s">
        <v>2263</v>
      </c>
    </row>
    <row r="7" spans="1:31" x14ac:dyDescent="0.35">
      <c r="A7" s="3" t="s">
        <v>490</v>
      </c>
      <c r="B7" s="3" t="s">
        <v>3</v>
      </c>
      <c r="C7" s="3">
        <v>10</v>
      </c>
      <c r="D7" s="95" t="s">
        <v>491</v>
      </c>
      <c r="E7" s="95" t="s">
        <v>492</v>
      </c>
      <c r="F7" s="95" t="s">
        <v>651</v>
      </c>
      <c r="G7" s="223">
        <v>41211</v>
      </c>
      <c r="H7" s="223">
        <v>41241</v>
      </c>
      <c r="I7" s="223">
        <v>43066</v>
      </c>
      <c r="J7" s="3">
        <v>0</v>
      </c>
      <c r="K7" s="3" t="s">
        <v>6</v>
      </c>
      <c r="L7" s="3" t="s">
        <v>10</v>
      </c>
      <c r="M7" s="95" t="s">
        <v>11</v>
      </c>
      <c r="N7" s="3" t="s">
        <v>7</v>
      </c>
      <c r="O7" s="3" t="s">
        <v>651</v>
      </c>
      <c r="P7" s="3" t="s">
        <v>6</v>
      </c>
      <c r="Q7" s="3" t="s">
        <v>10</v>
      </c>
      <c r="R7" s="95" t="s">
        <v>2722</v>
      </c>
      <c r="S7" s="223" t="s">
        <v>5</v>
      </c>
      <c r="T7" s="223" t="s">
        <v>5</v>
      </c>
      <c r="U7" s="223" t="s">
        <v>5</v>
      </c>
      <c r="V7" s="223" t="s">
        <v>5</v>
      </c>
      <c r="W7" s="223" t="s">
        <v>5</v>
      </c>
      <c r="X7" s="3" t="s">
        <v>5</v>
      </c>
      <c r="Y7" s="3" t="s">
        <v>651</v>
      </c>
      <c r="Z7" s="3" t="s">
        <v>651</v>
      </c>
      <c r="AA7" s="3" t="s">
        <v>651</v>
      </c>
      <c r="AB7" s="223" t="s">
        <v>5</v>
      </c>
      <c r="AC7" s="3" t="s">
        <v>651</v>
      </c>
      <c r="AD7" s="3" t="s">
        <v>651</v>
      </c>
      <c r="AE7" s="95" t="s">
        <v>651</v>
      </c>
    </row>
    <row r="8" spans="1:31" x14ac:dyDescent="0.35">
      <c r="A8" s="3" t="s">
        <v>12</v>
      </c>
      <c r="B8" s="3" t="s">
        <v>3</v>
      </c>
      <c r="C8" s="3">
        <v>10</v>
      </c>
      <c r="D8" s="95" t="s">
        <v>470</v>
      </c>
      <c r="E8" s="95" t="s">
        <v>471</v>
      </c>
      <c r="F8" s="95" t="s">
        <v>651</v>
      </c>
      <c r="G8" s="223">
        <v>42580</v>
      </c>
      <c r="H8" s="223">
        <v>42614</v>
      </c>
      <c r="I8" s="223">
        <v>44439</v>
      </c>
      <c r="J8" s="3">
        <v>0</v>
      </c>
      <c r="K8" s="3" t="s">
        <v>6</v>
      </c>
      <c r="L8" s="3" t="s">
        <v>10</v>
      </c>
      <c r="M8" s="95" t="s">
        <v>11</v>
      </c>
      <c r="N8" s="3" t="s">
        <v>7</v>
      </c>
      <c r="O8" s="3" t="s">
        <v>651</v>
      </c>
      <c r="P8" s="3" t="s">
        <v>6</v>
      </c>
      <c r="Q8" s="3" t="s">
        <v>10</v>
      </c>
      <c r="R8" s="95" t="s">
        <v>2723</v>
      </c>
      <c r="S8" s="223" t="s">
        <v>5</v>
      </c>
      <c r="T8" s="223" t="s">
        <v>5</v>
      </c>
      <c r="U8" s="223" t="s">
        <v>5</v>
      </c>
      <c r="V8" s="223" t="s">
        <v>5</v>
      </c>
      <c r="W8" s="223" t="s">
        <v>5</v>
      </c>
      <c r="X8" s="3" t="s">
        <v>5</v>
      </c>
      <c r="Y8" s="3" t="s">
        <v>651</v>
      </c>
      <c r="Z8" s="3" t="s">
        <v>651</v>
      </c>
      <c r="AA8" s="3" t="s">
        <v>651</v>
      </c>
      <c r="AB8" s="223" t="s">
        <v>5</v>
      </c>
      <c r="AC8" s="3" t="s">
        <v>651</v>
      </c>
      <c r="AD8" s="3" t="s">
        <v>651</v>
      </c>
      <c r="AE8" s="95" t="s">
        <v>651</v>
      </c>
    </row>
    <row r="9" spans="1:31" x14ac:dyDescent="0.35">
      <c r="A9" s="3" t="s">
        <v>493</v>
      </c>
      <c r="B9" s="3" t="s">
        <v>3</v>
      </c>
      <c r="C9" s="3">
        <v>10</v>
      </c>
      <c r="D9" s="95" t="s">
        <v>494</v>
      </c>
      <c r="E9" s="95" t="s">
        <v>495</v>
      </c>
      <c r="F9" s="95" t="s">
        <v>651</v>
      </c>
      <c r="G9" s="223">
        <v>41211</v>
      </c>
      <c r="H9" s="223">
        <v>41241</v>
      </c>
      <c r="I9" s="223">
        <v>43066</v>
      </c>
      <c r="J9" s="3">
        <v>0</v>
      </c>
      <c r="K9" s="3" t="s">
        <v>6</v>
      </c>
      <c r="L9" s="3" t="s">
        <v>10</v>
      </c>
      <c r="M9" s="95" t="s">
        <v>11</v>
      </c>
      <c r="N9" s="3" t="s">
        <v>7</v>
      </c>
      <c r="O9" s="3" t="s">
        <v>651</v>
      </c>
      <c r="P9" s="3" t="s">
        <v>6</v>
      </c>
      <c r="Q9" s="3" t="s">
        <v>10</v>
      </c>
      <c r="R9" s="95" t="s">
        <v>2722</v>
      </c>
      <c r="S9" s="223" t="s">
        <v>5</v>
      </c>
      <c r="T9" s="223" t="s">
        <v>5</v>
      </c>
      <c r="U9" s="223" t="s">
        <v>5</v>
      </c>
      <c r="V9" s="223" t="s">
        <v>5</v>
      </c>
      <c r="W9" s="223" t="s">
        <v>5</v>
      </c>
      <c r="X9" s="3" t="s">
        <v>5</v>
      </c>
      <c r="Y9" s="3" t="s">
        <v>651</v>
      </c>
      <c r="Z9" s="3" t="s">
        <v>651</v>
      </c>
      <c r="AA9" s="3" t="s">
        <v>651</v>
      </c>
      <c r="AB9" s="223" t="s">
        <v>5</v>
      </c>
      <c r="AC9" s="3" t="s">
        <v>651</v>
      </c>
      <c r="AD9" s="3" t="s">
        <v>651</v>
      </c>
      <c r="AE9" s="95" t="s">
        <v>651</v>
      </c>
    </row>
    <row r="10" spans="1:31" x14ac:dyDescent="0.35">
      <c r="A10" s="3" t="s">
        <v>2748</v>
      </c>
      <c r="B10" s="3" t="s">
        <v>3</v>
      </c>
      <c r="C10" s="3">
        <v>10</v>
      </c>
      <c r="D10" s="95" t="s">
        <v>2749</v>
      </c>
      <c r="E10" s="95" t="s">
        <v>2746</v>
      </c>
      <c r="F10" s="95" t="s">
        <v>4</v>
      </c>
      <c r="G10" s="223">
        <v>44488</v>
      </c>
      <c r="H10" s="223">
        <v>44562</v>
      </c>
      <c r="I10" s="223">
        <v>46387</v>
      </c>
      <c r="J10" s="3">
        <v>21</v>
      </c>
      <c r="K10" s="3" t="s">
        <v>10</v>
      </c>
      <c r="L10" s="3" t="s">
        <v>10</v>
      </c>
      <c r="M10" s="95" t="s">
        <v>11</v>
      </c>
      <c r="N10" s="3" t="s">
        <v>7</v>
      </c>
      <c r="O10" s="3" t="s">
        <v>651</v>
      </c>
      <c r="P10" s="3" t="s">
        <v>6</v>
      </c>
      <c r="Q10" s="3" t="s">
        <v>6</v>
      </c>
      <c r="R10" s="95" t="s">
        <v>652</v>
      </c>
      <c r="S10" s="223" t="s">
        <v>5</v>
      </c>
      <c r="T10" s="223" t="s">
        <v>5</v>
      </c>
      <c r="U10" s="223" t="s">
        <v>5</v>
      </c>
      <c r="V10" s="223" t="s">
        <v>5</v>
      </c>
      <c r="W10" s="223" t="s">
        <v>5</v>
      </c>
      <c r="X10" s="3" t="s">
        <v>5</v>
      </c>
      <c r="Y10" s="3" t="s">
        <v>651</v>
      </c>
      <c r="Z10" s="3" t="s">
        <v>651</v>
      </c>
      <c r="AA10" s="3" t="s">
        <v>10</v>
      </c>
      <c r="AB10" s="223" t="s">
        <v>5</v>
      </c>
      <c r="AC10" s="3" t="s">
        <v>6</v>
      </c>
      <c r="AD10" s="3" t="s">
        <v>10</v>
      </c>
      <c r="AE10" s="95" t="s">
        <v>2265</v>
      </c>
    </row>
    <row r="11" spans="1:31" x14ac:dyDescent="0.35">
      <c r="A11" s="3" t="s">
        <v>663</v>
      </c>
      <c r="B11" s="3" t="s">
        <v>3</v>
      </c>
      <c r="C11" s="3">
        <v>10</v>
      </c>
      <c r="D11" s="95" t="s">
        <v>664</v>
      </c>
      <c r="E11" s="95" t="s">
        <v>2746</v>
      </c>
      <c r="F11" s="95" t="s">
        <v>2747</v>
      </c>
      <c r="G11" s="223">
        <v>45595</v>
      </c>
      <c r="H11" s="223">
        <v>45627</v>
      </c>
      <c r="I11" s="223">
        <v>47452</v>
      </c>
      <c r="J11" s="3">
        <v>6</v>
      </c>
      <c r="K11" s="3" t="s">
        <v>10</v>
      </c>
      <c r="L11" s="3" t="s">
        <v>10</v>
      </c>
      <c r="M11" s="95" t="s">
        <v>136</v>
      </c>
      <c r="N11" s="3" t="s">
        <v>138</v>
      </c>
      <c r="O11" s="3" t="s">
        <v>651</v>
      </c>
      <c r="P11" s="3" t="s">
        <v>6</v>
      </c>
      <c r="Q11" s="3" t="s">
        <v>6</v>
      </c>
      <c r="R11" s="95" t="s">
        <v>652</v>
      </c>
      <c r="S11" s="223" t="s">
        <v>5</v>
      </c>
      <c r="T11" s="223" t="s">
        <v>5</v>
      </c>
      <c r="U11" s="223" t="s">
        <v>5</v>
      </c>
      <c r="V11" s="223" t="s">
        <v>5</v>
      </c>
      <c r="W11" s="223" t="s">
        <v>5</v>
      </c>
      <c r="X11" s="3" t="s">
        <v>5</v>
      </c>
      <c r="Y11" s="3" t="s">
        <v>651</v>
      </c>
      <c r="Z11" s="3" t="s">
        <v>651</v>
      </c>
      <c r="AA11" s="3" t="s">
        <v>6</v>
      </c>
      <c r="AB11" s="223">
        <v>44713</v>
      </c>
      <c r="AC11" s="3" t="s">
        <v>6</v>
      </c>
      <c r="AD11" s="3" t="s">
        <v>10</v>
      </c>
      <c r="AE11" s="95" t="s">
        <v>2263</v>
      </c>
    </row>
    <row r="12" spans="1:31" x14ac:dyDescent="0.35">
      <c r="A12" s="3" t="s">
        <v>665</v>
      </c>
      <c r="B12" s="3" t="s">
        <v>3</v>
      </c>
      <c r="C12" s="3">
        <v>10</v>
      </c>
      <c r="D12" s="95" t="s">
        <v>666</v>
      </c>
      <c r="E12" s="95" t="s">
        <v>2746</v>
      </c>
      <c r="F12" s="95" t="s">
        <v>2747</v>
      </c>
      <c r="G12" s="223">
        <v>45534</v>
      </c>
      <c r="H12" s="223">
        <v>45566</v>
      </c>
      <c r="I12" s="223">
        <v>47391</v>
      </c>
      <c r="J12" s="3">
        <v>43</v>
      </c>
      <c r="K12" s="3" t="s">
        <v>10</v>
      </c>
      <c r="L12" s="3" t="s">
        <v>10</v>
      </c>
      <c r="M12" s="95" t="s">
        <v>11</v>
      </c>
      <c r="N12" s="3" t="s">
        <v>7</v>
      </c>
      <c r="O12" s="3" t="s">
        <v>651</v>
      </c>
      <c r="P12" s="3" t="s">
        <v>6</v>
      </c>
      <c r="Q12" s="3" t="s">
        <v>6</v>
      </c>
      <c r="R12" s="95" t="s">
        <v>652</v>
      </c>
      <c r="S12" s="223" t="s">
        <v>5</v>
      </c>
      <c r="T12" s="223" t="s">
        <v>5</v>
      </c>
      <c r="U12" s="223" t="s">
        <v>5</v>
      </c>
      <c r="V12" s="223" t="s">
        <v>5</v>
      </c>
      <c r="W12" s="223" t="s">
        <v>5</v>
      </c>
      <c r="X12" s="3" t="s">
        <v>5</v>
      </c>
      <c r="Y12" s="3" t="s">
        <v>651</v>
      </c>
      <c r="Z12" s="3" t="s">
        <v>651</v>
      </c>
      <c r="AA12" s="3" t="s">
        <v>6</v>
      </c>
      <c r="AB12" s="223">
        <v>44713</v>
      </c>
      <c r="AC12" s="3" t="s">
        <v>6</v>
      </c>
      <c r="AD12" s="3" t="s">
        <v>10</v>
      </c>
      <c r="AE12" s="95" t="s">
        <v>2263</v>
      </c>
    </row>
    <row r="13" spans="1:31" x14ac:dyDescent="0.35">
      <c r="A13" s="3" t="s">
        <v>667</v>
      </c>
      <c r="B13" s="3" t="s">
        <v>3</v>
      </c>
      <c r="C13" s="3">
        <v>10</v>
      </c>
      <c r="D13" s="95" t="s">
        <v>668</v>
      </c>
      <c r="E13" s="95" t="s">
        <v>2746</v>
      </c>
      <c r="F13" s="95" t="s">
        <v>2747</v>
      </c>
      <c r="G13" s="223">
        <v>44316</v>
      </c>
      <c r="H13" s="223">
        <v>44348</v>
      </c>
      <c r="I13" s="223">
        <v>46081</v>
      </c>
      <c r="J13" s="3">
        <v>211</v>
      </c>
      <c r="K13" s="3" t="s">
        <v>10</v>
      </c>
      <c r="L13" s="3" t="s">
        <v>10</v>
      </c>
      <c r="M13" s="95" t="s">
        <v>114</v>
      </c>
      <c r="N13" s="3" t="s">
        <v>115</v>
      </c>
      <c r="O13" s="3" t="s">
        <v>651</v>
      </c>
      <c r="P13" s="3" t="s">
        <v>6</v>
      </c>
      <c r="Q13" s="3" t="s">
        <v>6</v>
      </c>
      <c r="R13" s="95" t="s">
        <v>652</v>
      </c>
      <c r="S13" s="223" t="s">
        <v>5</v>
      </c>
      <c r="T13" s="223" t="s">
        <v>5</v>
      </c>
      <c r="U13" s="223" t="s">
        <v>5</v>
      </c>
      <c r="V13" s="223" t="s">
        <v>5</v>
      </c>
      <c r="W13" s="223" t="s">
        <v>5</v>
      </c>
      <c r="X13" s="3" t="s">
        <v>5</v>
      </c>
      <c r="Y13" s="3" t="s">
        <v>651</v>
      </c>
      <c r="Z13" s="3" t="s">
        <v>651</v>
      </c>
      <c r="AA13" s="3" t="s">
        <v>6</v>
      </c>
      <c r="AB13" s="223">
        <v>44713</v>
      </c>
      <c r="AC13" s="3" t="s">
        <v>10</v>
      </c>
      <c r="AD13" s="3" t="s">
        <v>10</v>
      </c>
      <c r="AE13" s="95" t="s">
        <v>2263</v>
      </c>
    </row>
    <row r="14" spans="1:31" x14ac:dyDescent="0.35">
      <c r="A14" s="3" t="s">
        <v>669</v>
      </c>
      <c r="B14" s="3" t="s">
        <v>3</v>
      </c>
      <c r="C14" s="3">
        <v>10</v>
      </c>
      <c r="D14" s="95" t="s">
        <v>670</v>
      </c>
      <c r="E14" s="95" t="s">
        <v>2746</v>
      </c>
      <c r="F14" s="95" t="s">
        <v>2747</v>
      </c>
      <c r="G14" s="223">
        <v>44348</v>
      </c>
      <c r="H14" s="223">
        <v>44378</v>
      </c>
      <c r="I14" s="223">
        <v>46081</v>
      </c>
      <c r="J14" s="3">
        <v>73</v>
      </c>
      <c r="K14" s="3" t="s">
        <v>10</v>
      </c>
      <c r="L14" s="3" t="s">
        <v>10</v>
      </c>
      <c r="M14" s="95" t="s">
        <v>114</v>
      </c>
      <c r="N14" s="3" t="s">
        <v>115</v>
      </c>
      <c r="O14" s="3" t="s">
        <v>651</v>
      </c>
      <c r="P14" s="3" t="s">
        <v>6</v>
      </c>
      <c r="Q14" s="3" t="s">
        <v>6</v>
      </c>
      <c r="R14" s="95" t="s">
        <v>652</v>
      </c>
      <c r="S14" s="223" t="s">
        <v>5</v>
      </c>
      <c r="T14" s="223" t="s">
        <v>5</v>
      </c>
      <c r="U14" s="223" t="s">
        <v>5</v>
      </c>
      <c r="V14" s="223" t="s">
        <v>5</v>
      </c>
      <c r="W14" s="223" t="s">
        <v>5</v>
      </c>
      <c r="X14" s="3" t="s">
        <v>5</v>
      </c>
      <c r="Y14" s="3" t="s">
        <v>651</v>
      </c>
      <c r="Z14" s="3" t="s">
        <v>651</v>
      </c>
      <c r="AA14" s="3" t="s">
        <v>6</v>
      </c>
      <c r="AB14" s="223">
        <v>44713</v>
      </c>
      <c r="AC14" s="3" t="s">
        <v>10</v>
      </c>
      <c r="AD14" s="3" t="s">
        <v>10</v>
      </c>
      <c r="AE14" s="95" t="s">
        <v>2263</v>
      </c>
    </row>
    <row r="15" spans="1:31" x14ac:dyDescent="0.35">
      <c r="A15" s="3" t="s">
        <v>671</v>
      </c>
      <c r="B15" s="3" t="s">
        <v>3</v>
      </c>
      <c r="C15" s="3">
        <v>10</v>
      </c>
      <c r="D15" s="95" t="s">
        <v>672</v>
      </c>
      <c r="E15" s="95" t="s">
        <v>2746</v>
      </c>
      <c r="F15" s="95" t="s">
        <v>2747</v>
      </c>
      <c r="G15" s="223">
        <v>45442</v>
      </c>
      <c r="H15" s="223">
        <v>45474</v>
      </c>
      <c r="I15" s="223">
        <v>47299</v>
      </c>
      <c r="J15" s="3">
        <v>18</v>
      </c>
      <c r="K15" s="3" t="s">
        <v>10</v>
      </c>
      <c r="L15" s="3" t="s">
        <v>10</v>
      </c>
      <c r="M15" s="95" t="s">
        <v>114</v>
      </c>
      <c r="N15" s="3" t="s">
        <v>115</v>
      </c>
      <c r="O15" s="3" t="s">
        <v>651</v>
      </c>
      <c r="P15" s="3" t="s">
        <v>6</v>
      </c>
      <c r="Q15" s="3" t="s">
        <v>6</v>
      </c>
      <c r="R15" s="95" t="s">
        <v>652</v>
      </c>
      <c r="S15" s="223" t="s">
        <v>5</v>
      </c>
      <c r="T15" s="223" t="s">
        <v>5</v>
      </c>
      <c r="U15" s="223" t="s">
        <v>5</v>
      </c>
      <c r="V15" s="223" t="s">
        <v>5</v>
      </c>
      <c r="W15" s="223" t="s">
        <v>5</v>
      </c>
      <c r="X15" s="3" t="s">
        <v>5</v>
      </c>
      <c r="Y15" s="3" t="s">
        <v>651</v>
      </c>
      <c r="Z15" s="3" t="s">
        <v>651</v>
      </c>
      <c r="AA15" s="3" t="s">
        <v>6</v>
      </c>
      <c r="AB15" s="223">
        <v>44713</v>
      </c>
      <c r="AC15" s="3" t="s">
        <v>10</v>
      </c>
      <c r="AD15" s="3" t="s">
        <v>10</v>
      </c>
      <c r="AE15" s="95" t="s">
        <v>2263</v>
      </c>
    </row>
    <row r="16" spans="1:31" x14ac:dyDescent="0.35">
      <c r="A16" s="3" t="s">
        <v>673</v>
      </c>
      <c r="B16" s="3" t="s">
        <v>3</v>
      </c>
      <c r="C16" s="3">
        <v>10</v>
      </c>
      <c r="D16" s="95" t="s">
        <v>674</v>
      </c>
      <c r="E16" s="95" t="s">
        <v>3108</v>
      </c>
      <c r="F16" s="95" t="s">
        <v>651</v>
      </c>
      <c r="G16" s="223">
        <v>45078</v>
      </c>
      <c r="H16" s="223">
        <v>45078</v>
      </c>
      <c r="I16" s="223">
        <v>46752</v>
      </c>
      <c r="J16" s="3" t="s">
        <v>2266</v>
      </c>
      <c r="K16" s="3" t="s">
        <v>10</v>
      </c>
      <c r="L16" s="3" t="s">
        <v>10</v>
      </c>
      <c r="M16" s="95" t="s">
        <v>114</v>
      </c>
      <c r="N16" s="3" t="s">
        <v>115</v>
      </c>
      <c r="O16" s="3" t="s">
        <v>651</v>
      </c>
      <c r="P16" s="3" t="s">
        <v>10</v>
      </c>
      <c r="Q16" s="3" t="s">
        <v>6</v>
      </c>
      <c r="R16" s="95" t="s">
        <v>2267</v>
      </c>
      <c r="S16" s="223" t="s">
        <v>5</v>
      </c>
      <c r="T16" s="223" t="s">
        <v>5</v>
      </c>
      <c r="U16" s="223" t="s">
        <v>5</v>
      </c>
      <c r="V16" s="223" t="s">
        <v>5</v>
      </c>
      <c r="W16" s="223" t="s">
        <v>5</v>
      </c>
      <c r="X16" s="3" t="s">
        <v>5</v>
      </c>
      <c r="Y16" s="3" t="s">
        <v>651</v>
      </c>
      <c r="Z16" s="3" t="s">
        <v>651</v>
      </c>
      <c r="AA16" s="3" t="s">
        <v>651</v>
      </c>
      <c r="AB16" s="223" t="s">
        <v>5</v>
      </c>
      <c r="AC16" s="3" t="s">
        <v>651</v>
      </c>
      <c r="AD16" s="3" t="s">
        <v>651</v>
      </c>
      <c r="AE16" s="95" t="s">
        <v>651</v>
      </c>
    </row>
    <row r="17" spans="1:31" x14ac:dyDescent="0.35">
      <c r="A17" s="3" t="s">
        <v>675</v>
      </c>
      <c r="B17" s="3" t="s">
        <v>3</v>
      </c>
      <c r="C17" s="3">
        <v>10</v>
      </c>
      <c r="D17" s="95" t="s">
        <v>676</v>
      </c>
      <c r="E17" s="95" t="s">
        <v>2746</v>
      </c>
      <c r="F17" s="95" t="s">
        <v>2747</v>
      </c>
      <c r="G17" s="223">
        <v>45533</v>
      </c>
      <c r="H17" s="223">
        <v>45566</v>
      </c>
      <c r="I17" s="223">
        <v>47391</v>
      </c>
      <c r="J17" s="3">
        <v>20</v>
      </c>
      <c r="K17" s="3" t="s">
        <v>10</v>
      </c>
      <c r="L17" s="3" t="s">
        <v>10</v>
      </c>
      <c r="M17" s="95" t="s">
        <v>116</v>
      </c>
      <c r="N17" s="3" t="s">
        <v>117</v>
      </c>
      <c r="O17" s="3" t="s">
        <v>651</v>
      </c>
      <c r="P17" s="3" t="s">
        <v>6</v>
      </c>
      <c r="Q17" s="3" t="s">
        <v>6</v>
      </c>
      <c r="R17" s="95" t="s">
        <v>652</v>
      </c>
      <c r="S17" s="223" t="s">
        <v>5</v>
      </c>
      <c r="T17" s="223" t="s">
        <v>5</v>
      </c>
      <c r="U17" s="223" t="s">
        <v>5</v>
      </c>
      <c r="V17" s="223" t="s">
        <v>5</v>
      </c>
      <c r="W17" s="223" t="s">
        <v>5</v>
      </c>
      <c r="X17" s="3" t="s">
        <v>5</v>
      </c>
      <c r="Y17" s="3" t="s">
        <v>651</v>
      </c>
      <c r="Z17" s="3" t="s">
        <v>651</v>
      </c>
      <c r="AA17" s="3" t="s">
        <v>6</v>
      </c>
      <c r="AB17" s="223">
        <v>44713</v>
      </c>
      <c r="AC17" s="3" t="s">
        <v>6</v>
      </c>
      <c r="AD17" s="3" t="s">
        <v>10</v>
      </c>
      <c r="AE17" s="95" t="s">
        <v>2265</v>
      </c>
    </row>
    <row r="18" spans="1:31" x14ac:dyDescent="0.35">
      <c r="A18" s="3" t="s">
        <v>2750</v>
      </c>
      <c r="B18" s="3" t="s">
        <v>3</v>
      </c>
      <c r="C18" s="3">
        <v>10</v>
      </c>
      <c r="D18" s="95" t="s">
        <v>2751</v>
      </c>
      <c r="E18" s="95" t="s">
        <v>2746</v>
      </c>
      <c r="F18" s="95" t="s">
        <v>2747</v>
      </c>
      <c r="G18" s="223">
        <v>44498</v>
      </c>
      <c r="H18" s="223">
        <v>44986</v>
      </c>
      <c r="I18" s="223">
        <v>46538</v>
      </c>
      <c r="J18" s="3">
        <v>62</v>
      </c>
      <c r="K18" s="3" t="s">
        <v>10</v>
      </c>
      <c r="L18" s="3" t="s">
        <v>10</v>
      </c>
      <c r="M18" s="95" t="s">
        <v>15</v>
      </c>
      <c r="N18" s="3" t="s">
        <v>16</v>
      </c>
      <c r="O18" s="3" t="s">
        <v>651</v>
      </c>
      <c r="P18" s="3" t="s">
        <v>6</v>
      </c>
      <c r="Q18" s="3" t="s">
        <v>6</v>
      </c>
      <c r="R18" s="95" t="s">
        <v>652</v>
      </c>
      <c r="S18" s="223" t="s">
        <v>5</v>
      </c>
      <c r="T18" s="223" t="s">
        <v>5</v>
      </c>
      <c r="U18" s="223" t="s">
        <v>5</v>
      </c>
      <c r="V18" s="223" t="s">
        <v>5</v>
      </c>
      <c r="W18" s="223" t="s">
        <v>5</v>
      </c>
      <c r="X18" s="3" t="s">
        <v>5</v>
      </c>
      <c r="Y18" s="3" t="s">
        <v>651</v>
      </c>
      <c r="Z18" s="3" t="s">
        <v>651</v>
      </c>
      <c r="AA18" s="3" t="s">
        <v>6</v>
      </c>
      <c r="AB18" s="223">
        <v>44713</v>
      </c>
      <c r="AC18" s="3" t="s">
        <v>10</v>
      </c>
      <c r="AD18" s="3" t="s">
        <v>10</v>
      </c>
      <c r="AE18" s="95" t="s">
        <v>2263</v>
      </c>
    </row>
    <row r="19" spans="1:31" x14ac:dyDescent="0.35">
      <c r="A19" s="3" t="s">
        <v>677</v>
      </c>
      <c r="B19" s="3" t="s">
        <v>3</v>
      </c>
      <c r="C19" s="3">
        <v>10</v>
      </c>
      <c r="D19" s="95" t="s">
        <v>14</v>
      </c>
      <c r="E19" s="95" t="s">
        <v>2746</v>
      </c>
      <c r="F19" s="95" t="s">
        <v>2747</v>
      </c>
      <c r="G19" s="223">
        <v>43374</v>
      </c>
      <c r="H19" s="223">
        <v>43466</v>
      </c>
      <c r="I19" s="223">
        <v>45291</v>
      </c>
      <c r="J19" s="3">
        <v>40</v>
      </c>
      <c r="K19" s="3" t="s">
        <v>10</v>
      </c>
      <c r="L19" s="3" t="s">
        <v>10</v>
      </c>
      <c r="M19" s="95" t="s">
        <v>15</v>
      </c>
      <c r="N19" s="3" t="s">
        <v>16</v>
      </c>
      <c r="O19" s="3" t="s">
        <v>651</v>
      </c>
      <c r="P19" s="3" t="s">
        <v>6</v>
      </c>
      <c r="Q19" s="3" t="s">
        <v>6</v>
      </c>
      <c r="R19" s="95" t="s">
        <v>652</v>
      </c>
      <c r="S19" s="223" t="s">
        <v>5</v>
      </c>
      <c r="T19" s="223" t="s">
        <v>5</v>
      </c>
      <c r="U19" s="223" t="s">
        <v>5</v>
      </c>
      <c r="V19" s="223" t="s">
        <v>5</v>
      </c>
      <c r="W19" s="223" t="s">
        <v>5</v>
      </c>
      <c r="X19" s="3" t="s">
        <v>5</v>
      </c>
      <c r="Y19" s="3" t="s">
        <v>651</v>
      </c>
      <c r="Z19" s="3" t="s">
        <v>651</v>
      </c>
      <c r="AA19" s="3" t="s">
        <v>6</v>
      </c>
      <c r="AB19" s="223">
        <v>44713</v>
      </c>
      <c r="AC19" s="3" t="s">
        <v>6</v>
      </c>
      <c r="AD19" s="3" t="s">
        <v>10</v>
      </c>
      <c r="AE19" s="95" t="s">
        <v>2263</v>
      </c>
    </row>
    <row r="20" spans="1:31" x14ac:dyDescent="0.35">
      <c r="A20" s="3" t="s">
        <v>13</v>
      </c>
      <c r="B20" s="3" t="s">
        <v>3</v>
      </c>
      <c r="C20" s="3">
        <v>10</v>
      </c>
      <c r="D20" s="95" t="s">
        <v>14</v>
      </c>
      <c r="E20" s="95" t="s">
        <v>483</v>
      </c>
      <c r="F20" s="95" t="s">
        <v>4</v>
      </c>
      <c r="G20" s="223">
        <v>43623</v>
      </c>
      <c r="H20" s="223">
        <v>43663</v>
      </c>
      <c r="I20" s="223">
        <v>45489</v>
      </c>
      <c r="J20" s="3">
        <v>73</v>
      </c>
      <c r="K20" s="3" t="s">
        <v>6</v>
      </c>
      <c r="L20" s="3" t="s">
        <v>6</v>
      </c>
      <c r="M20" s="95" t="s">
        <v>15</v>
      </c>
      <c r="N20" s="3" t="s">
        <v>16</v>
      </c>
      <c r="O20" s="3" t="s">
        <v>17</v>
      </c>
      <c r="P20" s="3" t="s">
        <v>6</v>
      </c>
      <c r="Q20" s="3" t="s">
        <v>6</v>
      </c>
      <c r="R20" s="95" t="s">
        <v>9</v>
      </c>
      <c r="S20" s="223">
        <v>43605</v>
      </c>
      <c r="T20" s="223">
        <v>43665</v>
      </c>
      <c r="U20" s="223">
        <v>43626</v>
      </c>
      <c r="V20" s="223">
        <v>43626</v>
      </c>
      <c r="W20" s="223" t="s">
        <v>6</v>
      </c>
      <c r="X20" s="3" t="s">
        <v>26</v>
      </c>
      <c r="Y20" s="3" t="s">
        <v>3190</v>
      </c>
      <c r="Z20" s="3" t="s">
        <v>3189</v>
      </c>
      <c r="AA20" s="3" t="s">
        <v>2254</v>
      </c>
      <c r="AB20" s="223" t="s">
        <v>5</v>
      </c>
      <c r="AC20" s="3" t="s">
        <v>10</v>
      </c>
      <c r="AD20" s="3" t="s">
        <v>10</v>
      </c>
      <c r="AE20" s="95" t="s">
        <v>2265</v>
      </c>
    </row>
    <row r="21" spans="1:31" x14ac:dyDescent="0.35">
      <c r="A21" s="3" t="s">
        <v>2752</v>
      </c>
      <c r="B21" s="3" t="s">
        <v>3</v>
      </c>
      <c r="C21" s="3">
        <v>10</v>
      </c>
      <c r="D21" s="95" t="s">
        <v>2753</v>
      </c>
      <c r="E21" s="95" t="s">
        <v>2746</v>
      </c>
      <c r="F21" s="95" t="s">
        <v>2747</v>
      </c>
      <c r="G21" s="223">
        <v>39783</v>
      </c>
      <c r="H21" s="223">
        <v>39783</v>
      </c>
      <c r="I21" s="223">
        <v>39856</v>
      </c>
      <c r="J21" s="3">
        <v>1</v>
      </c>
      <c r="K21" s="3" t="s">
        <v>10</v>
      </c>
      <c r="L21" s="3" t="s">
        <v>10</v>
      </c>
      <c r="M21" s="95" t="s">
        <v>15</v>
      </c>
      <c r="N21" s="3" t="s">
        <v>16</v>
      </c>
      <c r="O21" s="3" t="s">
        <v>651</v>
      </c>
      <c r="P21" s="3" t="s">
        <v>6</v>
      </c>
      <c r="Q21" s="3" t="s">
        <v>6</v>
      </c>
      <c r="R21" s="95" t="s">
        <v>652</v>
      </c>
      <c r="S21" s="223" t="s">
        <v>5</v>
      </c>
      <c r="T21" s="223" t="s">
        <v>5</v>
      </c>
      <c r="U21" s="223" t="s">
        <v>5</v>
      </c>
      <c r="V21" s="223" t="s">
        <v>5</v>
      </c>
      <c r="W21" s="223" t="s">
        <v>5</v>
      </c>
      <c r="X21" s="3" t="s">
        <v>5</v>
      </c>
      <c r="Y21" s="3" t="s">
        <v>651</v>
      </c>
      <c r="Z21" s="3" t="s">
        <v>651</v>
      </c>
      <c r="AA21" s="3" t="s">
        <v>6</v>
      </c>
      <c r="AB21" s="223">
        <v>44713</v>
      </c>
      <c r="AC21" s="3" t="s">
        <v>10</v>
      </c>
      <c r="AD21" s="3" t="s">
        <v>10</v>
      </c>
      <c r="AE21" s="95" t="s">
        <v>2263</v>
      </c>
    </row>
    <row r="22" spans="1:31" x14ac:dyDescent="0.35">
      <c r="A22" s="3" t="s">
        <v>678</v>
      </c>
      <c r="B22" s="3" t="s">
        <v>3</v>
      </c>
      <c r="C22" s="3">
        <v>10</v>
      </c>
      <c r="D22" s="95" t="s">
        <v>2268</v>
      </c>
      <c r="E22" s="95" t="s">
        <v>2746</v>
      </c>
      <c r="F22" s="95" t="s">
        <v>2747</v>
      </c>
      <c r="G22" s="223">
        <v>44180</v>
      </c>
      <c r="H22" s="223">
        <v>44348</v>
      </c>
      <c r="I22" s="223">
        <v>46173</v>
      </c>
      <c r="J22" s="3">
        <v>7</v>
      </c>
      <c r="K22" s="3" t="s">
        <v>10</v>
      </c>
      <c r="L22" s="3" t="s">
        <v>10</v>
      </c>
      <c r="M22" s="95" t="s">
        <v>15</v>
      </c>
      <c r="N22" s="3" t="s">
        <v>16</v>
      </c>
      <c r="O22" s="3" t="s">
        <v>651</v>
      </c>
      <c r="P22" s="3" t="s">
        <v>6</v>
      </c>
      <c r="Q22" s="3" t="s">
        <v>6</v>
      </c>
      <c r="R22" s="95" t="s">
        <v>652</v>
      </c>
      <c r="S22" s="223" t="s">
        <v>5</v>
      </c>
      <c r="T22" s="223" t="s">
        <v>5</v>
      </c>
      <c r="U22" s="223" t="s">
        <v>5</v>
      </c>
      <c r="V22" s="223" t="s">
        <v>5</v>
      </c>
      <c r="W22" s="223" t="s">
        <v>5</v>
      </c>
      <c r="X22" s="3" t="s">
        <v>5</v>
      </c>
      <c r="Y22" s="3" t="s">
        <v>651</v>
      </c>
      <c r="Z22" s="3" t="s">
        <v>651</v>
      </c>
      <c r="AA22" s="3" t="s">
        <v>6</v>
      </c>
      <c r="AB22" s="223">
        <v>44713</v>
      </c>
      <c r="AC22" s="3" t="s">
        <v>10</v>
      </c>
      <c r="AD22" s="3" t="s">
        <v>10</v>
      </c>
      <c r="AE22" s="95" t="s">
        <v>2263</v>
      </c>
    </row>
    <row r="23" spans="1:31" x14ac:dyDescent="0.35">
      <c r="A23" s="3" t="s">
        <v>2754</v>
      </c>
      <c r="B23" s="3" t="s">
        <v>3</v>
      </c>
      <c r="C23" s="3">
        <v>10</v>
      </c>
      <c r="D23" s="95" t="s">
        <v>2755</v>
      </c>
      <c r="E23" s="95" t="s">
        <v>2746</v>
      </c>
      <c r="F23" s="95" t="s">
        <v>2747</v>
      </c>
      <c r="G23" s="223">
        <v>38147</v>
      </c>
      <c r="H23" s="223">
        <v>38189</v>
      </c>
      <c r="I23" s="223">
        <v>40015</v>
      </c>
      <c r="J23" s="3">
        <v>4</v>
      </c>
      <c r="K23" s="3" t="s">
        <v>10</v>
      </c>
      <c r="L23" s="3" t="s">
        <v>10</v>
      </c>
      <c r="M23" s="95" t="s">
        <v>47</v>
      </c>
      <c r="N23" s="3" t="s">
        <v>48</v>
      </c>
      <c r="O23" s="3" t="s">
        <v>651</v>
      </c>
      <c r="P23" s="3" t="s">
        <v>6</v>
      </c>
      <c r="Q23" s="3" t="s">
        <v>6</v>
      </c>
      <c r="R23" s="95" t="s">
        <v>652</v>
      </c>
      <c r="S23" s="223" t="s">
        <v>5</v>
      </c>
      <c r="T23" s="223" t="s">
        <v>5</v>
      </c>
      <c r="U23" s="223" t="s">
        <v>5</v>
      </c>
      <c r="V23" s="223" t="s">
        <v>5</v>
      </c>
      <c r="W23" s="223" t="s">
        <v>5</v>
      </c>
      <c r="X23" s="3" t="s">
        <v>5</v>
      </c>
      <c r="Y23" s="3" t="s">
        <v>651</v>
      </c>
      <c r="Z23" s="3" t="s">
        <v>651</v>
      </c>
      <c r="AA23" s="3" t="s">
        <v>6</v>
      </c>
      <c r="AB23" s="223">
        <v>44713</v>
      </c>
      <c r="AC23" s="3" t="s">
        <v>6</v>
      </c>
      <c r="AD23" s="3" t="s">
        <v>6</v>
      </c>
      <c r="AE23" s="95" t="s">
        <v>2265</v>
      </c>
    </row>
    <row r="24" spans="1:31" x14ac:dyDescent="0.35">
      <c r="A24" s="3" t="s">
        <v>2756</v>
      </c>
      <c r="B24" s="3" t="s">
        <v>3</v>
      </c>
      <c r="C24" s="3">
        <v>10</v>
      </c>
      <c r="D24" s="95" t="s">
        <v>2757</v>
      </c>
      <c r="E24" s="95" t="s">
        <v>2746</v>
      </c>
      <c r="F24" s="95" t="s">
        <v>2747</v>
      </c>
      <c r="G24" s="223">
        <v>38147</v>
      </c>
      <c r="H24" s="223">
        <v>38189</v>
      </c>
      <c r="I24" s="223">
        <v>40015</v>
      </c>
      <c r="J24" s="3">
        <v>2</v>
      </c>
      <c r="K24" s="3" t="s">
        <v>10</v>
      </c>
      <c r="L24" s="3" t="s">
        <v>10</v>
      </c>
      <c r="M24" s="95" t="s">
        <v>47</v>
      </c>
      <c r="N24" s="3" t="s">
        <v>48</v>
      </c>
      <c r="O24" s="3" t="s">
        <v>651</v>
      </c>
      <c r="P24" s="3" t="s">
        <v>6</v>
      </c>
      <c r="Q24" s="3" t="s">
        <v>6</v>
      </c>
      <c r="R24" s="95" t="s">
        <v>652</v>
      </c>
      <c r="S24" s="223" t="s">
        <v>5</v>
      </c>
      <c r="T24" s="223" t="s">
        <v>5</v>
      </c>
      <c r="U24" s="223" t="s">
        <v>5</v>
      </c>
      <c r="V24" s="223" t="s">
        <v>5</v>
      </c>
      <c r="W24" s="223" t="s">
        <v>5</v>
      </c>
      <c r="X24" s="3" t="s">
        <v>5</v>
      </c>
      <c r="Y24" s="3" t="s">
        <v>651</v>
      </c>
      <c r="Z24" s="3" t="s">
        <v>651</v>
      </c>
      <c r="AA24" s="3" t="s">
        <v>6</v>
      </c>
      <c r="AB24" s="223">
        <v>44713</v>
      </c>
      <c r="AC24" s="3" t="s">
        <v>6</v>
      </c>
      <c r="AD24" s="3" t="s">
        <v>6</v>
      </c>
      <c r="AE24" s="95" t="s">
        <v>2265</v>
      </c>
    </row>
    <row r="25" spans="1:31" x14ac:dyDescent="0.35">
      <c r="A25" s="3" t="s">
        <v>679</v>
      </c>
      <c r="B25" s="3" t="s">
        <v>3</v>
      </c>
      <c r="C25" s="3">
        <v>10</v>
      </c>
      <c r="D25" s="95" t="s">
        <v>2269</v>
      </c>
      <c r="E25" s="95" t="s">
        <v>2746</v>
      </c>
      <c r="F25" s="95" t="s">
        <v>2747</v>
      </c>
      <c r="G25" s="223">
        <v>44895</v>
      </c>
      <c r="H25" s="223">
        <v>44927</v>
      </c>
      <c r="I25" s="223">
        <v>46752</v>
      </c>
      <c r="J25" s="3">
        <v>93</v>
      </c>
      <c r="K25" s="3" t="s">
        <v>10</v>
      </c>
      <c r="L25" s="3" t="s">
        <v>10</v>
      </c>
      <c r="M25" s="95" t="s">
        <v>47</v>
      </c>
      <c r="N25" s="3" t="s">
        <v>48</v>
      </c>
      <c r="O25" s="3" t="s">
        <v>651</v>
      </c>
      <c r="P25" s="3" t="s">
        <v>6</v>
      </c>
      <c r="Q25" s="3" t="s">
        <v>6</v>
      </c>
      <c r="R25" s="95" t="s">
        <v>652</v>
      </c>
      <c r="S25" s="223" t="s">
        <v>5</v>
      </c>
      <c r="T25" s="223" t="s">
        <v>5</v>
      </c>
      <c r="U25" s="223" t="s">
        <v>5</v>
      </c>
      <c r="V25" s="223" t="s">
        <v>5</v>
      </c>
      <c r="W25" s="223" t="s">
        <v>5</v>
      </c>
      <c r="X25" s="3" t="s">
        <v>5</v>
      </c>
      <c r="Y25" s="3" t="s">
        <v>651</v>
      </c>
      <c r="Z25" s="3" t="s">
        <v>651</v>
      </c>
      <c r="AA25" s="3" t="s">
        <v>6</v>
      </c>
      <c r="AB25" s="223">
        <v>44713</v>
      </c>
      <c r="AC25" s="3" t="s">
        <v>6</v>
      </c>
      <c r="AD25" s="3" t="s">
        <v>6</v>
      </c>
      <c r="AE25" s="95" t="s">
        <v>2265</v>
      </c>
    </row>
    <row r="26" spans="1:31" x14ac:dyDescent="0.35">
      <c r="A26" s="3" t="s">
        <v>680</v>
      </c>
      <c r="B26" s="3" t="s">
        <v>3</v>
      </c>
      <c r="C26" s="3">
        <v>10</v>
      </c>
      <c r="D26" s="95" t="s">
        <v>681</v>
      </c>
      <c r="E26" s="95" t="s">
        <v>2746</v>
      </c>
      <c r="F26" s="95" t="s">
        <v>2747</v>
      </c>
      <c r="G26" s="223">
        <v>45135</v>
      </c>
      <c r="H26" s="223">
        <v>45170</v>
      </c>
      <c r="I26" s="223">
        <v>46996</v>
      </c>
      <c r="J26" s="3">
        <v>41</v>
      </c>
      <c r="K26" s="3" t="s">
        <v>10</v>
      </c>
      <c r="L26" s="3" t="s">
        <v>10</v>
      </c>
      <c r="M26" s="95" t="s">
        <v>47</v>
      </c>
      <c r="N26" s="3" t="s">
        <v>48</v>
      </c>
      <c r="O26" s="3" t="s">
        <v>651</v>
      </c>
      <c r="P26" s="3" t="s">
        <v>6</v>
      </c>
      <c r="Q26" s="3" t="s">
        <v>6</v>
      </c>
      <c r="R26" s="95" t="s">
        <v>652</v>
      </c>
      <c r="S26" s="223" t="s">
        <v>5</v>
      </c>
      <c r="T26" s="223" t="s">
        <v>5</v>
      </c>
      <c r="U26" s="223" t="s">
        <v>5</v>
      </c>
      <c r="V26" s="223" t="s">
        <v>5</v>
      </c>
      <c r="W26" s="223" t="s">
        <v>5</v>
      </c>
      <c r="X26" s="3" t="s">
        <v>5</v>
      </c>
      <c r="Y26" s="3" t="s">
        <v>651</v>
      </c>
      <c r="Z26" s="3" t="s">
        <v>651</v>
      </c>
      <c r="AA26" s="3" t="s">
        <v>6</v>
      </c>
      <c r="AB26" s="223">
        <v>44713</v>
      </c>
      <c r="AC26" s="3" t="s">
        <v>6</v>
      </c>
      <c r="AD26" s="3" t="s">
        <v>6</v>
      </c>
      <c r="AE26" s="95" t="s">
        <v>2265</v>
      </c>
    </row>
    <row r="27" spans="1:31" x14ac:dyDescent="0.35">
      <c r="A27" s="3" t="s">
        <v>682</v>
      </c>
      <c r="B27" s="3" t="s">
        <v>3</v>
      </c>
      <c r="C27" s="3">
        <v>10</v>
      </c>
      <c r="D27" s="95" t="s">
        <v>2270</v>
      </c>
      <c r="E27" s="95" t="s">
        <v>2746</v>
      </c>
      <c r="F27" s="95" t="s">
        <v>2747</v>
      </c>
      <c r="G27" s="223">
        <v>42047</v>
      </c>
      <c r="H27" s="223">
        <v>42095</v>
      </c>
      <c r="I27" s="223">
        <v>43921</v>
      </c>
      <c r="J27" s="3">
        <v>44</v>
      </c>
      <c r="K27" s="3" t="s">
        <v>10</v>
      </c>
      <c r="L27" s="3" t="s">
        <v>10</v>
      </c>
      <c r="M27" s="95" t="s">
        <v>683</v>
      </c>
      <c r="N27" s="3" t="s">
        <v>239</v>
      </c>
      <c r="O27" s="3" t="s">
        <v>651</v>
      </c>
      <c r="P27" s="3" t="s">
        <v>6</v>
      </c>
      <c r="Q27" s="3" t="s">
        <v>6</v>
      </c>
      <c r="R27" s="95" t="s">
        <v>652</v>
      </c>
      <c r="S27" s="223" t="s">
        <v>5</v>
      </c>
      <c r="T27" s="223" t="s">
        <v>5</v>
      </c>
      <c r="U27" s="223" t="s">
        <v>5</v>
      </c>
      <c r="V27" s="223" t="s">
        <v>5</v>
      </c>
      <c r="W27" s="223" t="s">
        <v>5</v>
      </c>
      <c r="X27" s="3" t="s">
        <v>5</v>
      </c>
      <c r="Y27" s="3" t="s">
        <v>651</v>
      </c>
      <c r="Z27" s="3" t="s">
        <v>651</v>
      </c>
      <c r="AA27" s="3" t="s">
        <v>6</v>
      </c>
      <c r="AB27" s="223">
        <v>44713</v>
      </c>
      <c r="AC27" s="3" t="s">
        <v>10</v>
      </c>
      <c r="AD27" s="3" t="s">
        <v>10</v>
      </c>
      <c r="AE27" s="95" t="s">
        <v>2265</v>
      </c>
    </row>
    <row r="28" spans="1:31" x14ac:dyDescent="0.35">
      <c r="A28" s="3" t="s">
        <v>684</v>
      </c>
      <c r="B28" s="3" t="s">
        <v>3</v>
      </c>
      <c r="C28" s="3">
        <v>10</v>
      </c>
      <c r="D28" s="95" t="s">
        <v>2271</v>
      </c>
      <c r="E28" s="95" t="s">
        <v>2746</v>
      </c>
      <c r="F28" s="95" t="s">
        <v>2747</v>
      </c>
      <c r="G28" s="223">
        <v>42047</v>
      </c>
      <c r="H28" s="223">
        <v>42095</v>
      </c>
      <c r="I28" s="223">
        <v>43921</v>
      </c>
      <c r="J28" s="3">
        <v>12</v>
      </c>
      <c r="K28" s="3" t="s">
        <v>10</v>
      </c>
      <c r="L28" s="3" t="s">
        <v>10</v>
      </c>
      <c r="M28" s="95" t="s">
        <v>683</v>
      </c>
      <c r="N28" s="3" t="s">
        <v>239</v>
      </c>
      <c r="O28" s="3" t="s">
        <v>651</v>
      </c>
      <c r="P28" s="3" t="s">
        <v>6</v>
      </c>
      <c r="Q28" s="3" t="s">
        <v>6</v>
      </c>
      <c r="R28" s="95" t="s">
        <v>652</v>
      </c>
      <c r="S28" s="223" t="s">
        <v>5</v>
      </c>
      <c r="T28" s="223" t="s">
        <v>5</v>
      </c>
      <c r="U28" s="223" t="s">
        <v>5</v>
      </c>
      <c r="V28" s="223" t="s">
        <v>5</v>
      </c>
      <c r="W28" s="223" t="s">
        <v>5</v>
      </c>
      <c r="X28" s="3" t="s">
        <v>5</v>
      </c>
      <c r="Y28" s="3" t="s">
        <v>651</v>
      </c>
      <c r="Z28" s="3" t="s">
        <v>651</v>
      </c>
      <c r="AA28" s="3" t="s">
        <v>6</v>
      </c>
      <c r="AB28" s="223">
        <v>44713</v>
      </c>
      <c r="AC28" s="3" t="s">
        <v>10</v>
      </c>
      <c r="AD28" s="3" t="s">
        <v>10</v>
      </c>
      <c r="AE28" s="95" t="s">
        <v>2265</v>
      </c>
    </row>
    <row r="29" spans="1:31" x14ac:dyDescent="0.35">
      <c r="A29" s="3" t="s">
        <v>18</v>
      </c>
      <c r="B29" s="3" t="s">
        <v>3</v>
      </c>
      <c r="C29" s="3">
        <v>10</v>
      </c>
      <c r="D29" s="95" t="s">
        <v>398</v>
      </c>
      <c r="E29" s="95" t="s">
        <v>2746</v>
      </c>
      <c r="F29" s="95" t="s">
        <v>2747</v>
      </c>
      <c r="G29" s="223">
        <v>44736</v>
      </c>
      <c r="H29" s="223">
        <v>44774</v>
      </c>
      <c r="I29" s="223">
        <v>46599</v>
      </c>
      <c r="J29" s="3">
        <v>13</v>
      </c>
      <c r="K29" s="3" t="s">
        <v>10</v>
      </c>
      <c r="L29" s="3" t="s">
        <v>10</v>
      </c>
      <c r="M29" s="95" t="s">
        <v>19</v>
      </c>
      <c r="N29" s="3" t="s">
        <v>20</v>
      </c>
      <c r="O29" s="3" t="s">
        <v>651</v>
      </c>
      <c r="P29" s="3" t="s">
        <v>6</v>
      </c>
      <c r="Q29" s="3" t="s">
        <v>6</v>
      </c>
      <c r="R29" s="95" t="s">
        <v>652</v>
      </c>
      <c r="S29" s="223" t="s">
        <v>5</v>
      </c>
      <c r="T29" s="223" t="s">
        <v>5</v>
      </c>
      <c r="U29" s="223" t="s">
        <v>5</v>
      </c>
      <c r="V29" s="223" t="s">
        <v>5</v>
      </c>
      <c r="W29" s="223" t="s">
        <v>5</v>
      </c>
      <c r="X29" s="3" t="s">
        <v>5</v>
      </c>
      <c r="Y29" s="3" t="s">
        <v>651</v>
      </c>
      <c r="Z29" s="3" t="s">
        <v>651</v>
      </c>
      <c r="AA29" s="3" t="s">
        <v>6</v>
      </c>
      <c r="AB29" s="223">
        <v>44713</v>
      </c>
      <c r="AC29" s="3" t="s">
        <v>10</v>
      </c>
      <c r="AD29" s="3" t="s">
        <v>10</v>
      </c>
      <c r="AE29" s="95" t="s">
        <v>2263</v>
      </c>
    </row>
    <row r="30" spans="1:31" x14ac:dyDescent="0.35">
      <c r="A30" s="3" t="s">
        <v>1906</v>
      </c>
      <c r="B30" s="3" t="s">
        <v>3</v>
      </c>
      <c r="C30" s="3">
        <v>10</v>
      </c>
      <c r="D30" s="95" t="s">
        <v>1907</v>
      </c>
      <c r="E30" s="95" t="s">
        <v>2272</v>
      </c>
      <c r="F30" s="95" t="s">
        <v>437</v>
      </c>
      <c r="G30" s="223">
        <v>44211</v>
      </c>
      <c r="H30" s="223">
        <v>44256</v>
      </c>
      <c r="I30" s="223">
        <v>46081</v>
      </c>
      <c r="J30" s="3">
        <v>1</v>
      </c>
      <c r="K30" s="3" t="s">
        <v>6</v>
      </c>
      <c r="L30" s="3" t="s">
        <v>6</v>
      </c>
      <c r="M30" s="95" t="s">
        <v>27</v>
      </c>
      <c r="N30" s="3" t="s">
        <v>28</v>
      </c>
      <c r="O30" s="3" t="s">
        <v>25</v>
      </c>
      <c r="P30" s="3" t="s">
        <v>6</v>
      </c>
      <c r="Q30" s="3" t="s">
        <v>6</v>
      </c>
      <c r="R30" s="95" t="s">
        <v>22</v>
      </c>
      <c r="S30" s="223">
        <v>43374</v>
      </c>
      <c r="T30" s="223">
        <v>43553</v>
      </c>
      <c r="U30" s="223">
        <v>43009</v>
      </c>
      <c r="V30" s="223">
        <v>43009</v>
      </c>
      <c r="W30" s="223" t="s">
        <v>6</v>
      </c>
      <c r="X30" s="3" t="s">
        <v>26</v>
      </c>
      <c r="Y30" s="3" t="s">
        <v>2100</v>
      </c>
      <c r="Z30" s="3" t="s">
        <v>28</v>
      </c>
      <c r="AA30" s="3" t="s">
        <v>6</v>
      </c>
      <c r="AB30" s="223">
        <v>42159</v>
      </c>
      <c r="AC30" s="3" t="s">
        <v>6</v>
      </c>
      <c r="AD30" s="3" t="s">
        <v>10</v>
      </c>
      <c r="AE30" s="95" t="s">
        <v>2263</v>
      </c>
    </row>
    <row r="31" spans="1:31" x14ac:dyDescent="0.35">
      <c r="A31" s="3" t="s">
        <v>1908</v>
      </c>
      <c r="B31" s="3" t="s">
        <v>3</v>
      </c>
      <c r="C31" s="3">
        <v>10</v>
      </c>
      <c r="D31" s="95" t="s">
        <v>1909</v>
      </c>
      <c r="E31" s="95" t="s">
        <v>2272</v>
      </c>
      <c r="F31" s="95" t="s">
        <v>437</v>
      </c>
      <c r="G31" s="223">
        <v>44211</v>
      </c>
      <c r="H31" s="223">
        <v>44256</v>
      </c>
      <c r="I31" s="223">
        <v>46081</v>
      </c>
      <c r="J31" s="3">
        <v>0</v>
      </c>
      <c r="K31" s="3" t="s">
        <v>6</v>
      </c>
      <c r="L31" s="3" t="s">
        <v>6</v>
      </c>
      <c r="M31" s="95" t="s">
        <v>27</v>
      </c>
      <c r="N31" s="3" t="s">
        <v>28</v>
      </c>
      <c r="O31" s="3" t="s">
        <v>25</v>
      </c>
      <c r="P31" s="3" t="s">
        <v>6</v>
      </c>
      <c r="Q31" s="3" t="s">
        <v>6</v>
      </c>
      <c r="R31" s="95" t="s">
        <v>22</v>
      </c>
      <c r="S31" s="223">
        <v>43374</v>
      </c>
      <c r="T31" s="223">
        <v>43553</v>
      </c>
      <c r="U31" s="223">
        <v>43009</v>
      </c>
      <c r="V31" s="223">
        <v>43009</v>
      </c>
      <c r="W31" s="223" t="s">
        <v>6</v>
      </c>
      <c r="X31" s="3" t="s">
        <v>26</v>
      </c>
      <c r="Y31" s="3" t="s">
        <v>2100</v>
      </c>
      <c r="Z31" s="3" t="s">
        <v>28</v>
      </c>
      <c r="AA31" s="3" t="s">
        <v>6</v>
      </c>
      <c r="AB31" s="223">
        <v>42159</v>
      </c>
      <c r="AC31" s="3" t="s">
        <v>6</v>
      </c>
      <c r="AD31" s="3" t="s">
        <v>10</v>
      </c>
      <c r="AE31" s="95" t="s">
        <v>2263</v>
      </c>
    </row>
    <row r="32" spans="1:31" x14ac:dyDescent="0.35">
      <c r="A32" s="3" t="s">
        <v>1910</v>
      </c>
      <c r="B32" s="3" t="s">
        <v>3</v>
      </c>
      <c r="C32" s="3">
        <v>10</v>
      </c>
      <c r="D32" s="95" t="s">
        <v>1911</v>
      </c>
      <c r="E32" s="95" t="s">
        <v>1912</v>
      </c>
      <c r="F32" s="95" t="s">
        <v>437</v>
      </c>
      <c r="G32" s="223">
        <v>44609</v>
      </c>
      <c r="H32" s="223">
        <v>44609</v>
      </c>
      <c r="I32" s="223">
        <v>46434</v>
      </c>
      <c r="J32" s="3">
        <v>47</v>
      </c>
      <c r="K32" s="3" t="s">
        <v>6</v>
      </c>
      <c r="L32" s="3" t="s">
        <v>6</v>
      </c>
      <c r="M32" s="95" t="s">
        <v>23</v>
      </c>
      <c r="N32" s="3" t="s">
        <v>24</v>
      </c>
      <c r="O32" s="3" t="s">
        <v>25</v>
      </c>
      <c r="P32" s="3" t="s">
        <v>6</v>
      </c>
      <c r="Q32" s="3" t="s">
        <v>6</v>
      </c>
      <c r="R32" s="95" t="s">
        <v>22</v>
      </c>
      <c r="S32" s="223">
        <v>43374</v>
      </c>
      <c r="T32" s="223">
        <v>43497</v>
      </c>
      <c r="U32" s="223">
        <v>42644</v>
      </c>
      <c r="V32" s="223">
        <v>42644</v>
      </c>
      <c r="W32" s="223" t="s">
        <v>6</v>
      </c>
      <c r="X32" s="3" t="s">
        <v>26</v>
      </c>
      <c r="Y32" s="3" t="s">
        <v>2093</v>
      </c>
      <c r="Z32" s="3" t="s">
        <v>24</v>
      </c>
      <c r="AA32" s="3" t="s">
        <v>6</v>
      </c>
      <c r="AB32" s="223">
        <v>42782</v>
      </c>
      <c r="AC32" s="3" t="s">
        <v>10</v>
      </c>
      <c r="AD32" s="3" t="s">
        <v>10</v>
      </c>
      <c r="AE32" s="95" t="s">
        <v>2263</v>
      </c>
    </row>
    <row r="33" spans="1:31" x14ac:dyDescent="0.35">
      <c r="A33" s="3" t="s">
        <v>1913</v>
      </c>
      <c r="B33" s="3" t="s">
        <v>3</v>
      </c>
      <c r="C33" s="3">
        <v>10</v>
      </c>
      <c r="D33" s="95" t="s">
        <v>1914</v>
      </c>
      <c r="E33" s="95" t="s">
        <v>1912</v>
      </c>
      <c r="F33" s="95" t="s">
        <v>437</v>
      </c>
      <c r="G33" s="223">
        <v>44609</v>
      </c>
      <c r="H33" s="223">
        <v>44609</v>
      </c>
      <c r="I33" s="223">
        <v>46434</v>
      </c>
      <c r="J33" s="3">
        <v>0</v>
      </c>
      <c r="K33" s="3" t="s">
        <v>6</v>
      </c>
      <c r="L33" s="3" t="s">
        <v>6</v>
      </c>
      <c r="M33" s="95" t="s">
        <v>23</v>
      </c>
      <c r="N33" s="3" t="s">
        <v>24</v>
      </c>
      <c r="O33" s="3" t="s">
        <v>25</v>
      </c>
      <c r="P33" s="3" t="s">
        <v>6</v>
      </c>
      <c r="Q33" s="3" t="s">
        <v>6</v>
      </c>
      <c r="R33" s="95" t="s">
        <v>22</v>
      </c>
      <c r="S33" s="223">
        <v>43374</v>
      </c>
      <c r="T33" s="223">
        <v>43497</v>
      </c>
      <c r="U33" s="223">
        <v>42644</v>
      </c>
      <c r="V33" s="223">
        <v>42644</v>
      </c>
      <c r="W33" s="223" t="s">
        <v>6</v>
      </c>
      <c r="X33" s="3" t="s">
        <v>26</v>
      </c>
      <c r="Y33" s="3" t="s">
        <v>2093</v>
      </c>
      <c r="Z33" s="3" t="s">
        <v>24</v>
      </c>
      <c r="AA33" s="3" t="s">
        <v>6</v>
      </c>
      <c r="AB33" s="223">
        <v>42782</v>
      </c>
      <c r="AC33" s="3" t="s">
        <v>10</v>
      </c>
      <c r="AD33" s="3" t="s">
        <v>10</v>
      </c>
      <c r="AE33" s="95" t="s">
        <v>2263</v>
      </c>
    </row>
    <row r="34" spans="1:31" x14ac:dyDescent="0.35">
      <c r="A34" s="3" t="s">
        <v>685</v>
      </c>
      <c r="B34" s="3" t="s">
        <v>3</v>
      </c>
      <c r="C34" s="3">
        <v>10</v>
      </c>
      <c r="D34" s="95" t="s">
        <v>686</v>
      </c>
      <c r="E34" s="95" t="s">
        <v>2746</v>
      </c>
      <c r="F34" s="95" t="s">
        <v>2747</v>
      </c>
      <c r="G34" s="223">
        <v>43881</v>
      </c>
      <c r="H34" s="223">
        <v>43922</v>
      </c>
      <c r="I34" s="223">
        <v>45747</v>
      </c>
      <c r="J34" s="3">
        <v>324</v>
      </c>
      <c r="K34" s="3" t="s">
        <v>10</v>
      </c>
      <c r="L34" s="3" t="s">
        <v>10</v>
      </c>
      <c r="M34" s="95" t="s">
        <v>27</v>
      </c>
      <c r="N34" s="3" t="s">
        <v>28</v>
      </c>
      <c r="O34" s="3" t="s">
        <v>651</v>
      </c>
      <c r="P34" s="3" t="s">
        <v>6</v>
      </c>
      <c r="Q34" s="3" t="s">
        <v>6</v>
      </c>
      <c r="R34" s="95" t="s">
        <v>652</v>
      </c>
      <c r="S34" s="223" t="s">
        <v>5</v>
      </c>
      <c r="T34" s="223" t="s">
        <v>5</v>
      </c>
      <c r="U34" s="223" t="s">
        <v>5</v>
      </c>
      <c r="V34" s="223" t="s">
        <v>5</v>
      </c>
      <c r="W34" s="223" t="s">
        <v>5</v>
      </c>
      <c r="X34" s="3" t="s">
        <v>5</v>
      </c>
      <c r="Y34" s="3" t="s">
        <v>651</v>
      </c>
      <c r="Z34" s="3" t="s">
        <v>651</v>
      </c>
      <c r="AA34" s="3" t="s">
        <v>6</v>
      </c>
      <c r="AB34" s="223">
        <v>44713</v>
      </c>
      <c r="AC34" s="3" t="s">
        <v>6</v>
      </c>
      <c r="AD34" s="3" t="s">
        <v>10</v>
      </c>
      <c r="AE34" s="95" t="s">
        <v>2263</v>
      </c>
    </row>
    <row r="35" spans="1:31" x14ac:dyDescent="0.35">
      <c r="A35" s="3" t="s">
        <v>2273</v>
      </c>
      <c r="B35" s="3" t="s">
        <v>3</v>
      </c>
      <c r="C35" s="3">
        <v>10</v>
      </c>
      <c r="D35" s="95" t="s">
        <v>2274</v>
      </c>
      <c r="E35" s="95" t="s">
        <v>2746</v>
      </c>
      <c r="F35" s="95" t="s">
        <v>2747</v>
      </c>
      <c r="G35" s="223">
        <v>43733</v>
      </c>
      <c r="H35" s="223">
        <v>43770</v>
      </c>
      <c r="I35" s="223">
        <v>45596</v>
      </c>
      <c r="J35" s="3">
        <v>20</v>
      </c>
      <c r="K35" s="3" t="s">
        <v>10</v>
      </c>
      <c r="L35" s="3" t="s">
        <v>10</v>
      </c>
      <c r="M35" s="95" t="s">
        <v>27</v>
      </c>
      <c r="N35" s="3" t="s">
        <v>28</v>
      </c>
      <c r="O35" s="3" t="s">
        <v>651</v>
      </c>
      <c r="P35" s="3" t="s">
        <v>6</v>
      </c>
      <c r="Q35" s="3" t="s">
        <v>6</v>
      </c>
      <c r="R35" s="95" t="s">
        <v>652</v>
      </c>
      <c r="S35" s="223" t="s">
        <v>5</v>
      </c>
      <c r="T35" s="223" t="s">
        <v>5</v>
      </c>
      <c r="U35" s="223" t="s">
        <v>5</v>
      </c>
      <c r="V35" s="223" t="s">
        <v>5</v>
      </c>
      <c r="W35" s="223" t="s">
        <v>5</v>
      </c>
      <c r="X35" s="3" t="s">
        <v>5</v>
      </c>
      <c r="Y35" s="3" t="s">
        <v>651</v>
      </c>
      <c r="Z35" s="3" t="s">
        <v>651</v>
      </c>
      <c r="AA35" s="3" t="s">
        <v>6</v>
      </c>
      <c r="AB35" s="223">
        <v>44713</v>
      </c>
      <c r="AC35" s="3" t="s">
        <v>6</v>
      </c>
      <c r="AD35" s="3" t="s">
        <v>10</v>
      </c>
      <c r="AE35" s="95" t="s">
        <v>2265</v>
      </c>
    </row>
    <row r="36" spans="1:31" x14ac:dyDescent="0.35">
      <c r="A36" s="3" t="s">
        <v>687</v>
      </c>
      <c r="B36" s="3" t="s">
        <v>3</v>
      </c>
      <c r="C36" s="3">
        <v>10</v>
      </c>
      <c r="D36" s="95" t="s">
        <v>688</v>
      </c>
      <c r="E36" s="95" t="s">
        <v>2746</v>
      </c>
      <c r="F36" s="95" t="s">
        <v>2747</v>
      </c>
      <c r="G36" s="223">
        <v>44182</v>
      </c>
      <c r="H36" s="223">
        <v>44228</v>
      </c>
      <c r="I36" s="223">
        <v>46053</v>
      </c>
      <c r="J36" s="3">
        <v>622</v>
      </c>
      <c r="K36" s="3" t="s">
        <v>10</v>
      </c>
      <c r="L36" s="3" t="s">
        <v>10</v>
      </c>
      <c r="M36" s="95" t="s">
        <v>23</v>
      </c>
      <c r="N36" s="3" t="s">
        <v>24</v>
      </c>
      <c r="O36" s="3" t="s">
        <v>651</v>
      </c>
      <c r="P36" s="3" t="s">
        <v>6</v>
      </c>
      <c r="Q36" s="3" t="s">
        <v>6</v>
      </c>
      <c r="R36" s="95" t="s">
        <v>652</v>
      </c>
      <c r="S36" s="223" t="s">
        <v>5</v>
      </c>
      <c r="T36" s="223" t="s">
        <v>5</v>
      </c>
      <c r="U36" s="223" t="s">
        <v>5</v>
      </c>
      <c r="V36" s="223" t="s">
        <v>5</v>
      </c>
      <c r="W36" s="223" t="s">
        <v>5</v>
      </c>
      <c r="X36" s="3" t="s">
        <v>5</v>
      </c>
      <c r="Y36" s="3" t="s">
        <v>651</v>
      </c>
      <c r="Z36" s="3" t="s">
        <v>651</v>
      </c>
      <c r="AA36" s="3" t="s">
        <v>6</v>
      </c>
      <c r="AB36" s="223">
        <v>44713</v>
      </c>
      <c r="AC36" s="3" t="s">
        <v>10</v>
      </c>
      <c r="AD36" s="3" t="s">
        <v>10</v>
      </c>
      <c r="AE36" s="95" t="s">
        <v>2263</v>
      </c>
    </row>
    <row r="37" spans="1:31" x14ac:dyDescent="0.35">
      <c r="A37" s="3" t="s">
        <v>689</v>
      </c>
      <c r="B37" s="3" t="s">
        <v>30</v>
      </c>
      <c r="C37" s="3">
        <v>4</v>
      </c>
      <c r="D37" s="95" t="s">
        <v>2958</v>
      </c>
      <c r="E37" s="95" t="s">
        <v>2959</v>
      </c>
      <c r="F37" s="95" t="s">
        <v>2960</v>
      </c>
      <c r="G37" s="223">
        <v>44816</v>
      </c>
      <c r="H37" s="223">
        <v>44835</v>
      </c>
      <c r="I37" s="223">
        <v>46660</v>
      </c>
      <c r="J37" s="3">
        <v>111</v>
      </c>
      <c r="K37" s="3" t="s">
        <v>10</v>
      </c>
      <c r="L37" s="3" t="s">
        <v>10</v>
      </c>
      <c r="M37" s="95" t="s">
        <v>690</v>
      </c>
      <c r="N37" s="3" t="s">
        <v>28</v>
      </c>
      <c r="O37" s="3" t="s">
        <v>651</v>
      </c>
      <c r="P37" s="3" t="s">
        <v>6</v>
      </c>
      <c r="Q37" s="3" t="s">
        <v>6</v>
      </c>
      <c r="R37" s="95" t="s">
        <v>2961</v>
      </c>
      <c r="S37" s="223" t="s">
        <v>5</v>
      </c>
      <c r="T37" s="223" t="s">
        <v>5</v>
      </c>
      <c r="U37" s="223" t="s">
        <v>5</v>
      </c>
      <c r="V37" s="223" t="s">
        <v>5</v>
      </c>
      <c r="W37" s="223" t="s">
        <v>5</v>
      </c>
      <c r="X37" s="3" t="s">
        <v>5</v>
      </c>
      <c r="Y37" s="3" t="s">
        <v>651</v>
      </c>
      <c r="Z37" s="3" t="s">
        <v>651</v>
      </c>
      <c r="AA37" s="3" t="s">
        <v>6</v>
      </c>
      <c r="AB37" s="223">
        <v>44515</v>
      </c>
      <c r="AC37" s="3" t="s">
        <v>6</v>
      </c>
      <c r="AD37" s="3" t="s">
        <v>10</v>
      </c>
      <c r="AE37" s="95" t="s">
        <v>2265</v>
      </c>
    </row>
    <row r="38" spans="1:31" x14ac:dyDescent="0.35">
      <c r="A38" s="3" t="s">
        <v>691</v>
      </c>
      <c r="B38" s="3" t="s">
        <v>30</v>
      </c>
      <c r="C38" s="3">
        <v>4</v>
      </c>
      <c r="D38" s="95" t="s">
        <v>2962</v>
      </c>
      <c r="E38" s="95" t="s">
        <v>2963</v>
      </c>
      <c r="F38" s="95" t="s">
        <v>2960</v>
      </c>
      <c r="G38" s="223">
        <v>44816</v>
      </c>
      <c r="H38" s="223">
        <v>44835</v>
      </c>
      <c r="I38" s="223">
        <v>46660</v>
      </c>
      <c r="J38" s="3">
        <v>38</v>
      </c>
      <c r="K38" s="3" t="s">
        <v>10</v>
      </c>
      <c r="L38" s="3" t="s">
        <v>10</v>
      </c>
      <c r="M38" s="95" t="s">
        <v>692</v>
      </c>
      <c r="N38" s="3" t="s">
        <v>521</v>
      </c>
      <c r="O38" s="3" t="s">
        <v>651</v>
      </c>
      <c r="P38" s="3" t="s">
        <v>6</v>
      </c>
      <c r="Q38" s="3" t="s">
        <v>6</v>
      </c>
      <c r="R38" s="95" t="s">
        <v>2961</v>
      </c>
      <c r="S38" s="223" t="s">
        <v>5</v>
      </c>
      <c r="T38" s="223" t="s">
        <v>5</v>
      </c>
      <c r="U38" s="223" t="s">
        <v>5</v>
      </c>
      <c r="V38" s="223" t="s">
        <v>5</v>
      </c>
      <c r="W38" s="223" t="s">
        <v>5</v>
      </c>
      <c r="X38" s="3" t="s">
        <v>5</v>
      </c>
      <c r="Y38" s="3" t="s">
        <v>651</v>
      </c>
      <c r="Z38" s="3" t="s">
        <v>651</v>
      </c>
      <c r="AA38" s="3" t="s">
        <v>6</v>
      </c>
      <c r="AB38" s="223">
        <v>44515</v>
      </c>
      <c r="AC38" s="3" t="s">
        <v>6</v>
      </c>
      <c r="AD38" s="3" t="s">
        <v>10</v>
      </c>
      <c r="AE38" s="95" t="s">
        <v>2265</v>
      </c>
    </row>
    <row r="39" spans="1:31" x14ac:dyDescent="0.35">
      <c r="A39" s="3" t="s">
        <v>693</v>
      </c>
      <c r="B39" s="3" t="s">
        <v>30</v>
      </c>
      <c r="C39" s="3">
        <v>4</v>
      </c>
      <c r="D39" s="95" t="s">
        <v>2964</v>
      </c>
      <c r="E39" s="95" t="s">
        <v>2965</v>
      </c>
      <c r="F39" s="95" t="s">
        <v>2960</v>
      </c>
      <c r="G39" s="223">
        <v>44714</v>
      </c>
      <c r="H39" s="223">
        <v>44743</v>
      </c>
      <c r="I39" s="223">
        <v>46568</v>
      </c>
      <c r="J39" s="3">
        <v>205</v>
      </c>
      <c r="K39" s="3" t="s">
        <v>10</v>
      </c>
      <c r="L39" s="3" t="s">
        <v>10</v>
      </c>
      <c r="M39" s="95" t="s">
        <v>683</v>
      </c>
      <c r="N39" s="3" t="s">
        <v>239</v>
      </c>
      <c r="O39" s="3" t="s">
        <v>651</v>
      </c>
      <c r="P39" s="3" t="s">
        <v>6</v>
      </c>
      <c r="Q39" s="3" t="s">
        <v>6</v>
      </c>
      <c r="R39" s="95" t="s">
        <v>2961</v>
      </c>
      <c r="S39" s="223" t="s">
        <v>5</v>
      </c>
      <c r="T39" s="223" t="s">
        <v>5</v>
      </c>
      <c r="U39" s="223" t="s">
        <v>5</v>
      </c>
      <c r="V39" s="223" t="s">
        <v>5</v>
      </c>
      <c r="W39" s="223" t="s">
        <v>5</v>
      </c>
      <c r="X39" s="3" t="s">
        <v>5</v>
      </c>
      <c r="Y39" s="3" t="s">
        <v>651</v>
      </c>
      <c r="Z39" s="3" t="s">
        <v>651</v>
      </c>
      <c r="AA39" s="3" t="s">
        <v>6</v>
      </c>
      <c r="AB39" s="223">
        <v>44515</v>
      </c>
      <c r="AC39" s="3" t="s">
        <v>6</v>
      </c>
      <c r="AD39" s="3" t="s">
        <v>10</v>
      </c>
      <c r="AE39" s="95" t="s">
        <v>2265</v>
      </c>
    </row>
    <row r="40" spans="1:31" x14ac:dyDescent="0.35">
      <c r="A40" s="3" t="s">
        <v>29</v>
      </c>
      <c r="B40" s="3" t="s">
        <v>30</v>
      </c>
      <c r="C40" s="3">
        <v>4</v>
      </c>
      <c r="D40" s="95" t="s">
        <v>3136</v>
      </c>
      <c r="E40" s="95" t="s">
        <v>422</v>
      </c>
      <c r="F40" s="95" t="s">
        <v>437</v>
      </c>
      <c r="G40" s="223">
        <v>44455</v>
      </c>
      <c r="H40" s="223">
        <v>44500</v>
      </c>
      <c r="I40" s="223">
        <v>46326</v>
      </c>
      <c r="J40" s="3">
        <v>0</v>
      </c>
      <c r="K40" s="3" t="s">
        <v>6</v>
      </c>
      <c r="L40" s="3" t="s">
        <v>6</v>
      </c>
      <c r="M40" s="95" t="s">
        <v>19</v>
      </c>
      <c r="N40" s="3" t="s">
        <v>20</v>
      </c>
      <c r="O40" s="3" t="s">
        <v>21</v>
      </c>
      <c r="P40" s="3" t="s">
        <v>6</v>
      </c>
      <c r="Q40" s="3" t="s">
        <v>6</v>
      </c>
      <c r="R40" s="95" t="s">
        <v>22</v>
      </c>
      <c r="S40" s="223">
        <v>43675</v>
      </c>
      <c r="T40" s="223">
        <v>43756</v>
      </c>
      <c r="U40" s="223">
        <v>43647</v>
      </c>
      <c r="V40" s="223">
        <v>43647</v>
      </c>
      <c r="W40" s="223" t="s">
        <v>6</v>
      </c>
      <c r="X40" s="3" t="s">
        <v>26</v>
      </c>
      <c r="Y40" s="3" t="s">
        <v>2116</v>
      </c>
      <c r="Z40" s="3" t="s">
        <v>20</v>
      </c>
      <c r="AA40" s="3" t="s">
        <v>6</v>
      </c>
      <c r="AB40" s="223">
        <v>44442</v>
      </c>
      <c r="AC40" s="3" t="s">
        <v>10</v>
      </c>
      <c r="AD40" s="3" t="s">
        <v>10</v>
      </c>
      <c r="AE40" s="95" t="s">
        <v>2263</v>
      </c>
    </row>
    <row r="41" spans="1:31" x14ac:dyDescent="0.35">
      <c r="A41" s="3" t="s">
        <v>694</v>
      </c>
      <c r="B41" s="3" t="s">
        <v>30</v>
      </c>
      <c r="C41" s="3">
        <v>4</v>
      </c>
      <c r="D41" s="95" t="s">
        <v>2966</v>
      </c>
      <c r="E41" s="95" t="s">
        <v>2967</v>
      </c>
      <c r="F41" s="95" t="s">
        <v>2960</v>
      </c>
      <c r="G41" s="223">
        <v>44778</v>
      </c>
      <c r="H41" s="223">
        <v>44805</v>
      </c>
      <c r="I41" s="223">
        <v>46630</v>
      </c>
      <c r="J41" s="3">
        <v>225</v>
      </c>
      <c r="K41" s="3" t="s">
        <v>10</v>
      </c>
      <c r="L41" s="3" t="s">
        <v>10</v>
      </c>
      <c r="M41" s="95" t="s">
        <v>230</v>
      </c>
      <c r="N41" s="3" t="s">
        <v>28</v>
      </c>
      <c r="O41" s="3" t="s">
        <v>651</v>
      </c>
      <c r="P41" s="3" t="s">
        <v>6</v>
      </c>
      <c r="Q41" s="3" t="s">
        <v>6</v>
      </c>
      <c r="R41" s="95" t="s">
        <v>2961</v>
      </c>
      <c r="S41" s="223" t="s">
        <v>5</v>
      </c>
      <c r="T41" s="223" t="s">
        <v>5</v>
      </c>
      <c r="U41" s="223" t="s">
        <v>5</v>
      </c>
      <c r="V41" s="223" t="s">
        <v>5</v>
      </c>
      <c r="W41" s="223" t="s">
        <v>5</v>
      </c>
      <c r="X41" s="3" t="s">
        <v>5</v>
      </c>
      <c r="Y41" s="3" t="s">
        <v>651</v>
      </c>
      <c r="Z41" s="3" t="s">
        <v>651</v>
      </c>
      <c r="AA41" s="3" t="s">
        <v>6</v>
      </c>
      <c r="AB41" s="223">
        <v>44515</v>
      </c>
      <c r="AC41" s="3" t="s">
        <v>6</v>
      </c>
      <c r="AD41" s="3" t="s">
        <v>10</v>
      </c>
      <c r="AE41" s="95" t="s">
        <v>2265</v>
      </c>
    </row>
    <row r="42" spans="1:31" x14ac:dyDescent="0.35">
      <c r="A42" s="3" t="s">
        <v>695</v>
      </c>
      <c r="B42" s="3" t="s">
        <v>30</v>
      </c>
      <c r="C42" s="3">
        <v>4</v>
      </c>
      <c r="D42" s="95" t="s">
        <v>2968</v>
      </c>
      <c r="E42" s="95" t="s">
        <v>2969</v>
      </c>
      <c r="F42" s="95" t="s">
        <v>2960</v>
      </c>
      <c r="G42" s="223">
        <v>44816</v>
      </c>
      <c r="H42" s="223">
        <v>44835</v>
      </c>
      <c r="I42" s="223">
        <v>46660</v>
      </c>
      <c r="J42" s="3">
        <v>379</v>
      </c>
      <c r="K42" s="3" t="s">
        <v>10</v>
      </c>
      <c r="L42" s="3" t="s">
        <v>10</v>
      </c>
      <c r="M42" s="95" t="s">
        <v>696</v>
      </c>
      <c r="N42" s="3" t="s">
        <v>28</v>
      </c>
      <c r="O42" s="3" t="s">
        <v>651</v>
      </c>
      <c r="P42" s="3" t="s">
        <v>6</v>
      </c>
      <c r="Q42" s="3" t="s">
        <v>6</v>
      </c>
      <c r="R42" s="95" t="s">
        <v>2961</v>
      </c>
      <c r="S42" s="223" t="s">
        <v>5</v>
      </c>
      <c r="T42" s="223" t="s">
        <v>5</v>
      </c>
      <c r="U42" s="223" t="s">
        <v>5</v>
      </c>
      <c r="V42" s="223" t="s">
        <v>5</v>
      </c>
      <c r="W42" s="223" t="s">
        <v>5</v>
      </c>
      <c r="X42" s="3" t="s">
        <v>5</v>
      </c>
      <c r="Y42" s="3" t="s">
        <v>651</v>
      </c>
      <c r="Z42" s="3" t="s">
        <v>651</v>
      </c>
      <c r="AA42" s="3" t="s">
        <v>6</v>
      </c>
      <c r="AB42" s="223">
        <v>44515</v>
      </c>
      <c r="AC42" s="3" t="s">
        <v>6</v>
      </c>
      <c r="AD42" s="3" t="s">
        <v>10</v>
      </c>
      <c r="AE42" s="95" t="s">
        <v>2265</v>
      </c>
    </row>
    <row r="43" spans="1:31" x14ac:dyDescent="0.35">
      <c r="A43" s="3" t="s">
        <v>697</v>
      </c>
      <c r="B43" s="3" t="s">
        <v>30</v>
      </c>
      <c r="C43" s="3">
        <v>4</v>
      </c>
      <c r="D43" s="95" t="s">
        <v>2970</v>
      </c>
      <c r="E43" s="95" t="s">
        <v>2971</v>
      </c>
      <c r="F43" s="95" t="s">
        <v>2960</v>
      </c>
      <c r="G43" s="223">
        <v>44816</v>
      </c>
      <c r="H43" s="223">
        <v>44835</v>
      </c>
      <c r="I43" s="223">
        <v>46660</v>
      </c>
      <c r="J43" s="3">
        <v>431</v>
      </c>
      <c r="K43" s="3" t="s">
        <v>10</v>
      </c>
      <c r="L43" s="3" t="s">
        <v>10</v>
      </c>
      <c r="M43" s="95" t="s">
        <v>698</v>
      </c>
      <c r="N43" s="3" t="s">
        <v>28</v>
      </c>
      <c r="O43" s="3" t="s">
        <v>651</v>
      </c>
      <c r="P43" s="3" t="s">
        <v>6</v>
      </c>
      <c r="Q43" s="3" t="s">
        <v>6</v>
      </c>
      <c r="R43" s="95" t="s">
        <v>2961</v>
      </c>
      <c r="S43" s="223" t="s">
        <v>5</v>
      </c>
      <c r="T43" s="223" t="s">
        <v>5</v>
      </c>
      <c r="U43" s="223" t="s">
        <v>5</v>
      </c>
      <c r="V43" s="223" t="s">
        <v>5</v>
      </c>
      <c r="W43" s="223" t="s">
        <v>5</v>
      </c>
      <c r="X43" s="3" t="s">
        <v>5</v>
      </c>
      <c r="Y43" s="3" t="s">
        <v>651</v>
      </c>
      <c r="Z43" s="3" t="s">
        <v>651</v>
      </c>
      <c r="AA43" s="3" t="s">
        <v>6</v>
      </c>
      <c r="AB43" s="223">
        <v>44515</v>
      </c>
      <c r="AC43" s="3" t="s">
        <v>6</v>
      </c>
      <c r="AD43" s="3" t="s">
        <v>10</v>
      </c>
      <c r="AE43" s="95" t="s">
        <v>2265</v>
      </c>
    </row>
    <row r="44" spans="1:31" x14ac:dyDescent="0.35">
      <c r="A44" s="3" t="s">
        <v>699</v>
      </c>
      <c r="B44" s="3" t="s">
        <v>30</v>
      </c>
      <c r="C44" s="3">
        <v>4</v>
      </c>
      <c r="D44" s="95" t="s">
        <v>2972</v>
      </c>
      <c r="E44" s="95" t="s">
        <v>2973</v>
      </c>
      <c r="F44" s="95" t="s">
        <v>2960</v>
      </c>
      <c r="G44" s="223">
        <v>44670</v>
      </c>
      <c r="H44" s="223">
        <v>44713</v>
      </c>
      <c r="I44" s="223">
        <v>46538</v>
      </c>
      <c r="J44" s="3">
        <v>76</v>
      </c>
      <c r="K44" s="3" t="s">
        <v>10</v>
      </c>
      <c r="L44" s="3" t="s">
        <v>10</v>
      </c>
      <c r="M44" s="95" t="s">
        <v>700</v>
      </c>
      <c r="N44" s="3" t="s">
        <v>28</v>
      </c>
      <c r="O44" s="3" t="s">
        <v>651</v>
      </c>
      <c r="P44" s="3" t="s">
        <v>6</v>
      </c>
      <c r="Q44" s="3" t="s">
        <v>6</v>
      </c>
      <c r="R44" s="95" t="s">
        <v>2961</v>
      </c>
      <c r="S44" s="223" t="s">
        <v>5</v>
      </c>
      <c r="T44" s="223" t="s">
        <v>5</v>
      </c>
      <c r="U44" s="223" t="s">
        <v>5</v>
      </c>
      <c r="V44" s="223" t="s">
        <v>5</v>
      </c>
      <c r="W44" s="223" t="s">
        <v>5</v>
      </c>
      <c r="X44" s="3" t="s">
        <v>5</v>
      </c>
      <c r="Y44" s="3" t="s">
        <v>651</v>
      </c>
      <c r="Z44" s="3" t="s">
        <v>651</v>
      </c>
      <c r="AA44" s="3" t="s">
        <v>6</v>
      </c>
      <c r="AB44" s="223">
        <v>44515</v>
      </c>
      <c r="AC44" s="3" t="s">
        <v>6</v>
      </c>
      <c r="AD44" s="3" t="s">
        <v>10</v>
      </c>
      <c r="AE44" s="95" t="s">
        <v>2265</v>
      </c>
    </row>
    <row r="45" spans="1:31" x14ac:dyDescent="0.35">
      <c r="A45" s="3" t="s">
        <v>701</v>
      </c>
      <c r="B45" s="3" t="s">
        <v>30</v>
      </c>
      <c r="C45" s="3">
        <v>4</v>
      </c>
      <c r="D45" s="95" t="s">
        <v>2974</v>
      </c>
      <c r="E45" s="95" t="s">
        <v>2975</v>
      </c>
      <c r="F45" s="95" t="s">
        <v>2960</v>
      </c>
      <c r="G45" s="223">
        <v>44510</v>
      </c>
      <c r="H45" s="223">
        <v>44593</v>
      </c>
      <c r="I45" s="223">
        <v>46418</v>
      </c>
      <c r="J45" s="3">
        <v>100</v>
      </c>
      <c r="K45" s="3" t="s">
        <v>10</v>
      </c>
      <c r="L45" s="3" t="s">
        <v>10</v>
      </c>
      <c r="M45" s="95" t="s">
        <v>703</v>
      </c>
      <c r="N45" s="3" t="s">
        <v>28</v>
      </c>
      <c r="O45" s="3" t="s">
        <v>651</v>
      </c>
      <c r="P45" s="3" t="s">
        <v>6</v>
      </c>
      <c r="Q45" s="3" t="s">
        <v>6</v>
      </c>
      <c r="R45" s="95" t="s">
        <v>2961</v>
      </c>
      <c r="S45" s="223" t="s">
        <v>5</v>
      </c>
      <c r="T45" s="223" t="s">
        <v>5</v>
      </c>
      <c r="U45" s="223" t="s">
        <v>5</v>
      </c>
      <c r="V45" s="223" t="s">
        <v>5</v>
      </c>
      <c r="W45" s="223" t="s">
        <v>5</v>
      </c>
      <c r="X45" s="3" t="s">
        <v>5</v>
      </c>
      <c r="Y45" s="3" t="s">
        <v>651</v>
      </c>
      <c r="Z45" s="3" t="s">
        <v>651</v>
      </c>
      <c r="AA45" s="3" t="s">
        <v>6</v>
      </c>
      <c r="AB45" s="223">
        <v>44515</v>
      </c>
      <c r="AC45" s="3" t="s">
        <v>6</v>
      </c>
      <c r="AD45" s="3" t="s">
        <v>10</v>
      </c>
      <c r="AE45" s="95" t="s">
        <v>2265</v>
      </c>
    </row>
    <row r="46" spans="1:31" x14ac:dyDescent="0.35">
      <c r="A46" s="3" t="s">
        <v>704</v>
      </c>
      <c r="B46" s="3" t="s">
        <v>30</v>
      </c>
      <c r="C46" s="3">
        <v>4</v>
      </c>
      <c r="D46" s="95" t="s">
        <v>2976</v>
      </c>
      <c r="E46" s="95" t="s">
        <v>2977</v>
      </c>
      <c r="F46" s="95" t="s">
        <v>2960</v>
      </c>
      <c r="G46" s="223">
        <v>44816</v>
      </c>
      <c r="H46" s="223">
        <v>44835</v>
      </c>
      <c r="I46" s="223">
        <v>46660</v>
      </c>
      <c r="J46" s="3">
        <v>11</v>
      </c>
      <c r="K46" s="3" t="s">
        <v>10</v>
      </c>
      <c r="L46" s="3" t="s">
        <v>10</v>
      </c>
      <c r="M46" s="95" t="s">
        <v>705</v>
      </c>
      <c r="N46" s="3" t="s">
        <v>28</v>
      </c>
      <c r="O46" s="3" t="s">
        <v>651</v>
      </c>
      <c r="P46" s="3" t="s">
        <v>6</v>
      </c>
      <c r="Q46" s="3" t="s">
        <v>6</v>
      </c>
      <c r="R46" s="95" t="s">
        <v>2961</v>
      </c>
      <c r="S46" s="223" t="s">
        <v>5</v>
      </c>
      <c r="T46" s="223" t="s">
        <v>5</v>
      </c>
      <c r="U46" s="223" t="s">
        <v>5</v>
      </c>
      <c r="V46" s="223" t="s">
        <v>5</v>
      </c>
      <c r="W46" s="223" t="s">
        <v>5</v>
      </c>
      <c r="X46" s="3" t="s">
        <v>5</v>
      </c>
      <c r="Y46" s="3" t="s">
        <v>651</v>
      </c>
      <c r="Z46" s="3" t="s">
        <v>651</v>
      </c>
      <c r="AA46" s="3" t="s">
        <v>6</v>
      </c>
      <c r="AB46" s="223">
        <v>44515</v>
      </c>
      <c r="AC46" s="3" t="s">
        <v>6</v>
      </c>
      <c r="AD46" s="3" t="s">
        <v>10</v>
      </c>
      <c r="AE46" s="95" t="s">
        <v>2265</v>
      </c>
    </row>
    <row r="47" spans="1:31" x14ac:dyDescent="0.35">
      <c r="A47" s="3" t="s">
        <v>706</v>
      </c>
      <c r="B47" s="3" t="s">
        <v>30</v>
      </c>
      <c r="C47" s="3">
        <v>4</v>
      </c>
      <c r="D47" s="95" t="s">
        <v>2978</v>
      </c>
      <c r="E47" s="95" t="s">
        <v>2979</v>
      </c>
      <c r="F47" s="95" t="s">
        <v>2960</v>
      </c>
      <c r="G47" s="223">
        <v>44816</v>
      </c>
      <c r="H47" s="223">
        <v>44835</v>
      </c>
      <c r="I47" s="223">
        <v>46660</v>
      </c>
      <c r="J47" s="3">
        <v>272</v>
      </c>
      <c r="K47" s="3" t="s">
        <v>10</v>
      </c>
      <c r="L47" s="3" t="s">
        <v>10</v>
      </c>
      <c r="M47" s="95" t="s">
        <v>707</v>
      </c>
      <c r="N47" s="3" t="s">
        <v>28</v>
      </c>
      <c r="O47" s="3" t="s">
        <v>651</v>
      </c>
      <c r="P47" s="3" t="s">
        <v>6</v>
      </c>
      <c r="Q47" s="3" t="s">
        <v>6</v>
      </c>
      <c r="R47" s="95" t="s">
        <v>2961</v>
      </c>
      <c r="S47" s="223" t="s">
        <v>5</v>
      </c>
      <c r="T47" s="223" t="s">
        <v>5</v>
      </c>
      <c r="U47" s="223" t="s">
        <v>5</v>
      </c>
      <c r="V47" s="223" t="s">
        <v>5</v>
      </c>
      <c r="W47" s="223" t="s">
        <v>5</v>
      </c>
      <c r="X47" s="3" t="s">
        <v>5</v>
      </c>
      <c r="Y47" s="3" t="s">
        <v>651</v>
      </c>
      <c r="Z47" s="3" t="s">
        <v>651</v>
      </c>
      <c r="AA47" s="3" t="s">
        <v>6</v>
      </c>
      <c r="AB47" s="223">
        <v>44515</v>
      </c>
      <c r="AC47" s="3" t="s">
        <v>6</v>
      </c>
      <c r="AD47" s="3" t="s">
        <v>10</v>
      </c>
      <c r="AE47" s="95" t="s">
        <v>2265</v>
      </c>
    </row>
    <row r="48" spans="1:31" x14ac:dyDescent="0.35">
      <c r="A48" s="3" t="s">
        <v>708</v>
      </c>
      <c r="B48" s="3" t="s">
        <v>30</v>
      </c>
      <c r="C48" s="3">
        <v>4</v>
      </c>
      <c r="D48" s="95" t="s">
        <v>2980</v>
      </c>
      <c r="E48" s="95" t="s">
        <v>2981</v>
      </c>
      <c r="F48" s="95" t="s">
        <v>2960</v>
      </c>
      <c r="G48" s="223">
        <v>44816</v>
      </c>
      <c r="H48" s="223">
        <v>44835</v>
      </c>
      <c r="I48" s="223">
        <v>46660</v>
      </c>
      <c r="J48" s="3">
        <v>75</v>
      </c>
      <c r="K48" s="3" t="s">
        <v>10</v>
      </c>
      <c r="L48" s="3" t="s">
        <v>10</v>
      </c>
      <c r="M48" s="95" t="s">
        <v>709</v>
      </c>
      <c r="N48" s="3" t="s">
        <v>28</v>
      </c>
      <c r="O48" s="3" t="s">
        <v>651</v>
      </c>
      <c r="P48" s="3" t="s">
        <v>6</v>
      </c>
      <c r="Q48" s="3" t="s">
        <v>6</v>
      </c>
      <c r="R48" s="95" t="s">
        <v>2961</v>
      </c>
      <c r="S48" s="223" t="s">
        <v>5</v>
      </c>
      <c r="T48" s="223" t="s">
        <v>5</v>
      </c>
      <c r="U48" s="223" t="s">
        <v>5</v>
      </c>
      <c r="V48" s="223" t="s">
        <v>5</v>
      </c>
      <c r="W48" s="223" t="s">
        <v>5</v>
      </c>
      <c r="X48" s="3" t="s">
        <v>5</v>
      </c>
      <c r="Y48" s="3" t="s">
        <v>651</v>
      </c>
      <c r="Z48" s="3" t="s">
        <v>651</v>
      </c>
      <c r="AA48" s="3" t="s">
        <v>6</v>
      </c>
      <c r="AB48" s="223">
        <v>44515</v>
      </c>
      <c r="AC48" s="3" t="s">
        <v>6</v>
      </c>
      <c r="AD48" s="3" t="s">
        <v>10</v>
      </c>
      <c r="AE48" s="95" t="s">
        <v>2265</v>
      </c>
    </row>
    <row r="49" spans="1:31" x14ac:dyDescent="0.35">
      <c r="A49" s="3" t="s">
        <v>710</v>
      </c>
      <c r="B49" s="3" t="s">
        <v>30</v>
      </c>
      <c r="C49" s="3">
        <v>4</v>
      </c>
      <c r="D49" s="95" t="s">
        <v>2982</v>
      </c>
      <c r="E49" s="95" t="s">
        <v>2983</v>
      </c>
      <c r="F49" s="95" t="s">
        <v>2960</v>
      </c>
      <c r="G49" s="223">
        <v>44816</v>
      </c>
      <c r="H49" s="223">
        <v>44835</v>
      </c>
      <c r="I49" s="223">
        <v>46660</v>
      </c>
      <c r="J49" s="3">
        <v>45</v>
      </c>
      <c r="K49" s="3" t="s">
        <v>10</v>
      </c>
      <c r="L49" s="3" t="s">
        <v>10</v>
      </c>
      <c r="M49" s="95" t="s">
        <v>711</v>
      </c>
      <c r="N49" s="3" t="s">
        <v>28</v>
      </c>
      <c r="O49" s="3" t="s">
        <v>651</v>
      </c>
      <c r="P49" s="3" t="s">
        <v>6</v>
      </c>
      <c r="Q49" s="3" t="s">
        <v>6</v>
      </c>
      <c r="R49" s="95" t="s">
        <v>2961</v>
      </c>
      <c r="S49" s="223" t="s">
        <v>5</v>
      </c>
      <c r="T49" s="223" t="s">
        <v>5</v>
      </c>
      <c r="U49" s="223" t="s">
        <v>5</v>
      </c>
      <c r="V49" s="223" t="s">
        <v>5</v>
      </c>
      <c r="W49" s="223" t="s">
        <v>5</v>
      </c>
      <c r="X49" s="3" t="s">
        <v>5</v>
      </c>
      <c r="Y49" s="3" t="s">
        <v>651</v>
      </c>
      <c r="Z49" s="3" t="s">
        <v>651</v>
      </c>
      <c r="AA49" s="3" t="s">
        <v>6</v>
      </c>
      <c r="AB49" s="223">
        <v>44515</v>
      </c>
      <c r="AC49" s="3" t="s">
        <v>6</v>
      </c>
      <c r="AD49" s="3" t="s">
        <v>10</v>
      </c>
      <c r="AE49" s="95" t="s">
        <v>2265</v>
      </c>
    </row>
    <row r="50" spans="1:31" x14ac:dyDescent="0.35">
      <c r="A50" s="3" t="s">
        <v>712</v>
      </c>
      <c r="B50" s="3" t="s">
        <v>30</v>
      </c>
      <c r="C50" s="3">
        <v>4</v>
      </c>
      <c r="D50" s="95" t="s">
        <v>2984</v>
      </c>
      <c r="E50" s="95" t="s">
        <v>2985</v>
      </c>
      <c r="F50" s="95" t="s">
        <v>2960</v>
      </c>
      <c r="G50" s="223">
        <v>44816</v>
      </c>
      <c r="H50" s="223">
        <v>44835</v>
      </c>
      <c r="I50" s="223">
        <v>46660</v>
      </c>
      <c r="J50" s="3">
        <v>12</v>
      </c>
      <c r="K50" s="3" t="s">
        <v>10</v>
      </c>
      <c r="L50" s="3" t="s">
        <v>10</v>
      </c>
      <c r="M50" s="95" t="s">
        <v>709</v>
      </c>
      <c r="N50" s="3" t="s">
        <v>28</v>
      </c>
      <c r="O50" s="3" t="s">
        <v>651</v>
      </c>
      <c r="P50" s="3" t="s">
        <v>6</v>
      </c>
      <c r="Q50" s="3" t="s">
        <v>6</v>
      </c>
      <c r="R50" s="95" t="s">
        <v>2961</v>
      </c>
      <c r="S50" s="223" t="s">
        <v>5</v>
      </c>
      <c r="T50" s="223" t="s">
        <v>5</v>
      </c>
      <c r="U50" s="223" t="s">
        <v>5</v>
      </c>
      <c r="V50" s="223" t="s">
        <v>5</v>
      </c>
      <c r="W50" s="223" t="s">
        <v>5</v>
      </c>
      <c r="X50" s="3" t="s">
        <v>5</v>
      </c>
      <c r="Y50" s="3" t="s">
        <v>651</v>
      </c>
      <c r="Z50" s="3" t="s">
        <v>651</v>
      </c>
      <c r="AA50" s="3" t="s">
        <v>6</v>
      </c>
      <c r="AB50" s="223">
        <v>44515</v>
      </c>
      <c r="AC50" s="3" t="s">
        <v>6</v>
      </c>
      <c r="AD50" s="3" t="s">
        <v>10</v>
      </c>
      <c r="AE50" s="95" t="s">
        <v>2265</v>
      </c>
    </row>
    <row r="51" spans="1:31" x14ac:dyDescent="0.35">
      <c r="A51" s="3" t="s">
        <v>713</v>
      </c>
      <c r="B51" s="3" t="s">
        <v>30</v>
      </c>
      <c r="C51" s="3">
        <v>4</v>
      </c>
      <c r="D51" s="95" t="s">
        <v>2986</v>
      </c>
      <c r="E51" s="95" t="s">
        <v>2987</v>
      </c>
      <c r="F51" s="95" t="s">
        <v>2960</v>
      </c>
      <c r="G51" s="223">
        <v>44614</v>
      </c>
      <c r="H51" s="223">
        <v>44652</v>
      </c>
      <c r="I51" s="223">
        <v>46477</v>
      </c>
      <c r="J51" s="3">
        <v>37</v>
      </c>
      <c r="K51" s="3" t="s">
        <v>10</v>
      </c>
      <c r="L51" s="3" t="s">
        <v>10</v>
      </c>
      <c r="M51" s="95" t="s">
        <v>173</v>
      </c>
      <c r="N51" s="3" t="s">
        <v>174</v>
      </c>
      <c r="O51" s="3" t="s">
        <v>651</v>
      </c>
      <c r="P51" s="3" t="s">
        <v>6</v>
      </c>
      <c r="Q51" s="3" t="s">
        <v>6</v>
      </c>
      <c r="R51" s="95" t="s">
        <v>2961</v>
      </c>
      <c r="S51" s="223" t="s">
        <v>5</v>
      </c>
      <c r="T51" s="223" t="s">
        <v>5</v>
      </c>
      <c r="U51" s="223" t="s">
        <v>5</v>
      </c>
      <c r="V51" s="223" t="s">
        <v>5</v>
      </c>
      <c r="W51" s="223" t="s">
        <v>5</v>
      </c>
      <c r="X51" s="3" t="s">
        <v>5</v>
      </c>
      <c r="Y51" s="3" t="s">
        <v>651</v>
      </c>
      <c r="Z51" s="3" t="s">
        <v>651</v>
      </c>
      <c r="AA51" s="3" t="s">
        <v>6</v>
      </c>
      <c r="AB51" s="223">
        <v>44515</v>
      </c>
      <c r="AC51" s="3" t="s">
        <v>6</v>
      </c>
      <c r="AD51" s="3" t="s">
        <v>10</v>
      </c>
      <c r="AE51" s="95" t="s">
        <v>2265</v>
      </c>
    </row>
    <row r="52" spans="1:31" x14ac:dyDescent="0.35">
      <c r="A52" s="3" t="s">
        <v>714</v>
      </c>
      <c r="B52" s="3" t="s">
        <v>30</v>
      </c>
      <c r="C52" s="3">
        <v>4</v>
      </c>
      <c r="D52" s="95" t="s">
        <v>2988</v>
      </c>
      <c r="E52" s="95" t="s">
        <v>2989</v>
      </c>
      <c r="F52" s="95" t="s">
        <v>2960</v>
      </c>
      <c r="G52" s="223">
        <v>43840</v>
      </c>
      <c r="H52" s="223">
        <v>43922</v>
      </c>
      <c r="I52" s="223">
        <v>45747</v>
      </c>
      <c r="J52" s="3">
        <v>6</v>
      </c>
      <c r="K52" s="3" t="s">
        <v>10</v>
      </c>
      <c r="L52" s="3" t="s">
        <v>10</v>
      </c>
      <c r="M52" s="95" t="s">
        <v>11</v>
      </c>
      <c r="N52" s="3" t="s">
        <v>7</v>
      </c>
      <c r="O52" s="3" t="s">
        <v>651</v>
      </c>
      <c r="P52" s="3" t="s">
        <v>6</v>
      </c>
      <c r="Q52" s="3" t="s">
        <v>6</v>
      </c>
      <c r="R52" s="95" t="s">
        <v>2961</v>
      </c>
      <c r="S52" s="223" t="s">
        <v>5</v>
      </c>
      <c r="T52" s="223" t="s">
        <v>5</v>
      </c>
      <c r="U52" s="223" t="s">
        <v>5</v>
      </c>
      <c r="V52" s="223" t="s">
        <v>5</v>
      </c>
      <c r="W52" s="223" t="s">
        <v>5</v>
      </c>
      <c r="X52" s="3" t="s">
        <v>5</v>
      </c>
      <c r="Y52" s="3" t="s">
        <v>651</v>
      </c>
      <c r="Z52" s="3" t="s">
        <v>651</v>
      </c>
      <c r="AA52" s="3" t="s">
        <v>6</v>
      </c>
      <c r="AB52" s="223">
        <v>44515</v>
      </c>
      <c r="AC52" s="3" t="s">
        <v>6</v>
      </c>
      <c r="AD52" s="3" t="s">
        <v>10</v>
      </c>
      <c r="AE52" s="95" t="s">
        <v>2265</v>
      </c>
    </row>
    <row r="53" spans="1:31" x14ac:dyDescent="0.35">
      <c r="A53" s="3" t="s">
        <v>715</v>
      </c>
      <c r="B53" s="3" t="s">
        <v>30</v>
      </c>
      <c r="C53" s="3">
        <v>4</v>
      </c>
      <c r="D53" s="95" t="s">
        <v>2990</v>
      </c>
      <c r="E53" s="95" t="s">
        <v>2991</v>
      </c>
      <c r="F53" s="95" t="s">
        <v>2960</v>
      </c>
      <c r="G53" s="223">
        <v>44427</v>
      </c>
      <c r="H53" s="223">
        <v>44593</v>
      </c>
      <c r="I53" s="223">
        <v>46418</v>
      </c>
      <c r="J53" s="3">
        <v>186</v>
      </c>
      <c r="K53" s="3" t="s">
        <v>10</v>
      </c>
      <c r="L53" s="3" t="s">
        <v>10</v>
      </c>
      <c r="M53" s="95" t="s">
        <v>716</v>
      </c>
      <c r="N53" s="3" t="s">
        <v>68</v>
      </c>
      <c r="O53" s="3" t="s">
        <v>651</v>
      </c>
      <c r="P53" s="3" t="s">
        <v>6</v>
      </c>
      <c r="Q53" s="3" t="s">
        <v>6</v>
      </c>
      <c r="R53" s="95" t="s">
        <v>2961</v>
      </c>
      <c r="S53" s="223" t="s">
        <v>5</v>
      </c>
      <c r="T53" s="223" t="s">
        <v>5</v>
      </c>
      <c r="U53" s="223" t="s">
        <v>5</v>
      </c>
      <c r="V53" s="223" t="s">
        <v>5</v>
      </c>
      <c r="W53" s="223" t="s">
        <v>5</v>
      </c>
      <c r="X53" s="3" t="s">
        <v>5</v>
      </c>
      <c r="Y53" s="3" t="s">
        <v>651</v>
      </c>
      <c r="Z53" s="3" t="s">
        <v>651</v>
      </c>
      <c r="AA53" s="3" t="s">
        <v>6</v>
      </c>
      <c r="AB53" s="223">
        <v>44515</v>
      </c>
      <c r="AC53" s="3" t="s">
        <v>6</v>
      </c>
      <c r="AD53" s="3" t="s">
        <v>10</v>
      </c>
      <c r="AE53" s="95" t="s">
        <v>2265</v>
      </c>
    </row>
    <row r="54" spans="1:31" x14ac:dyDescent="0.35">
      <c r="A54" s="3" t="s">
        <v>717</v>
      </c>
      <c r="B54" s="3" t="s">
        <v>30</v>
      </c>
      <c r="C54" s="3">
        <v>4</v>
      </c>
      <c r="D54" s="95" t="s">
        <v>2992</v>
      </c>
      <c r="E54" s="95" t="s">
        <v>2993</v>
      </c>
      <c r="F54" s="95" t="s">
        <v>2960</v>
      </c>
      <c r="G54" s="223">
        <v>44200</v>
      </c>
      <c r="H54" s="223">
        <v>44228</v>
      </c>
      <c r="I54" s="223">
        <v>46053</v>
      </c>
      <c r="J54" s="3">
        <v>21</v>
      </c>
      <c r="K54" s="3" t="s">
        <v>10</v>
      </c>
      <c r="L54" s="3" t="s">
        <v>10</v>
      </c>
      <c r="M54" s="95" t="s">
        <v>718</v>
      </c>
      <c r="N54" s="3" t="s">
        <v>178</v>
      </c>
      <c r="O54" s="3" t="s">
        <v>651</v>
      </c>
      <c r="P54" s="3" t="s">
        <v>6</v>
      </c>
      <c r="Q54" s="3" t="s">
        <v>6</v>
      </c>
      <c r="R54" s="95" t="s">
        <v>2961</v>
      </c>
      <c r="S54" s="223" t="s">
        <v>5</v>
      </c>
      <c r="T54" s="223" t="s">
        <v>5</v>
      </c>
      <c r="U54" s="223" t="s">
        <v>5</v>
      </c>
      <c r="V54" s="223" t="s">
        <v>5</v>
      </c>
      <c r="W54" s="223" t="s">
        <v>5</v>
      </c>
      <c r="X54" s="3" t="s">
        <v>5</v>
      </c>
      <c r="Y54" s="3" t="s">
        <v>651</v>
      </c>
      <c r="Z54" s="3" t="s">
        <v>651</v>
      </c>
      <c r="AA54" s="3" t="s">
        <v>6</v>
      </c>
      <c r="AB54" s="223">
        <v>44515</v>
      </c>
      <c r="AC54" s="3" t="s">
        <v>6</v>
      </c>
      <c r="AD54" s="3" t="s">
        <v>10</v>
      </c>
      <c r="AE54" s="95" t="s">
        <v>2265</v>
      </c>
    </row>
    <row r="55" spans="1:31" x14ac:dyDescent="0.35">
      <c r="A55" s="3" t="s">
        <v>719</v>
      </c>
      <c r="B55" s="3" t="s">
        <v>30</v>
      </c>
      <c r="C55" s="3">
        <v>4</v>
      </c>
      <c r="D55" s="95" t="s">
        <v>2512</v>
      </c>
      <c r="E55" s="95" t="s">
        <v>2994</v>
      </c>
      <c r="F55" s="95" t="s">
        <v>2960</v>
      </c>
      <c r="G55" s="223">
        <v>45002</v>
      </c>
      <c r="H55" s="223">
        <v>45108</v>
      </c>
      <c r="I55" s="223">
        <v>46934</v>
      </c>
      <c r="J55" s="3">
        <v>61</v>
      </c>
      <c r="K55" s="3" t="s">
        <v>10</v>
      </c>
      <c r="L55" s="3" t="s">
        <v>10</v>
      </c>
      <c r="M55" s="95" t="s">
        <v>116</v>
      </c>
      <c r="N55" s="3" t="s">
        <v>117</v>
      </c>
      <c r="O55" s="3" t="s">
        <v>651</v>
      </c>
      <c r="P55" s="3" t="s">
        <v>6</v>
      </c>
      <c r="Q55" s="3" t="s">
        <v>6</v>
      </c>
      <c r="R55" s="95" t="s">
        <v>2961</v>
      </c>
      <c r="S55" s="223" t="s">
        <v>5</v>
      </c>
      <c r="T55" s="223" t="s">
        <v>5</v>
      </c>
      <c r="U55" s="223" t="s">
        <v>5</v>
      </c>
      <c r="V55" s="223" t="s">
        <v>5</v>
      </c>
      <c r="W55" s="223" t="s">
        <v>5</v>
      </c>
      <c r="X55" s="3" t="s">
        <v>5</v>
      </c>
      <c r="Y55" s="3" t="s">
        <v>651</v>
      </c>
      <c r="Z55" s="3" t="s">
        <v>651</v>
      </c>
      <c r="AA55" s="3" t="s">
        <v>6</v>
      </c>
      <c r="AB55" s="223">
        <v>44515</v>
      </c>
      <c r="AC55" s="3" t="s">
        <v>6</v>
      </c>
      <c r="AD55" s="3" t="s">
        <v>10</v>
      </c>
      <c r="AE55" s="95" t="s">
        <v>2265</v>
      </c>
    </row>
    <row r="56" spans="1:31" x14ac:dyDescent="0.35">
      <c r="A56" s="3" t="s">
        <v>721</v>
      </c>
      <c r="B56" s="3" t="s">
        <v>30</v>
      </c>
      <c r="C56" s="3">
        <v>4</v>
      </c>
      <c r="D56" s="95" t="s">
        <v>2995</v>
      </c>
      <c r="E56" s="95" t="s">
        <v>2996</v>
      </c>
      <c r="F56" s="95" t="s">
        <v>2960</v>
      </c>
      <c r="G56" s="223">
        <v>44816</v>
      </c>
      <c r="H56" s="223">
        <v>44835</v>
      </c>
      <c r="I56" s="223">
        <v>46660</v>
      </c>
      <c r="J56" s="3">
        <v>46</v>
      </c>
      <c r="K56" s="3" t="s">
        <v>10</v>
      </c>
      <c r="L56" s="3" t="s">
        <v>10</v>
      </c>
      <c r="M56" s="95" t="s">
        <v>136</v>
      </c>
      <c r="N56" s="3" t="s">
        <v>138</v>
      </c>
      <c r="O56" s="3" t="s">
        <v>651</v>
      </c>
      <c r="P56" s="3" t="s">
        <v>6</v>
      </c>
      <c r="Q56" s="3" t="s">
        <v>6</v>
      </c>
      <c r="R56" s="95" t="s">
        <v>2961</v>
      </c>
      <c r="S56" s="223" t="s">
        <v>5</v>
      </c>
      <c r="T56" s="223" t="s">
        <v>5</v>
      </c>
      <c r="U56" s="223" t="s">
        <v>5</v>
      </c>
      <c r="V56" s="223" t="s">
        <v>5</v>
      </c>
      <c r="W56" s="223" t="s">
        <v>5</v>
      </c>
      <c r="X56" s="3" t="s">
        <v>5</v>
      </c>
      <c r="Y56" s="3" t="s">
        <v>651</v>
      </c>
      <c r="Z56" s="3" t="s">
        <v>651</v>
      </c>
      <c r="AA56" s="3" t="s">
        <v>6</v>
      </c>
      <c r="AB56" s="223">
        <v>44515</v>
      </c>
      <c r="AC56" s="3" t="s">
        <v>6</v>
      </c>
      <c r="AD56" s="3" t="s">
        <v>10</v>
      </c>
      <c r="AE56" s="95" t="s">
        <v>2265</v>
      </c>
    </row>
    <row r="57" spans="1:31" x14ac:dyDescent="0.35">
      <c r="A57" s="3" t="s">
        <v>723</v>
      </c>
      <c r="B57" s="3" t="s">
        <v>30</v>
      </c>
      <c r="C57" s="3">
        <v>4</v>
      </c>
      <c r="D57" s="95" t="s">
        <v>2997</v>
      </c>
      <c r="E57" s="95" t="s">
        <v>2998</v>
      </c>
      <c r="F57" s="95" t="s">
        <v>2960</v>
      </c>
      <c r="G57" s="223">
        <v>44704</v>
      </c>
      <c r="H57" s="223">
        <v>44713</v>
      </c>
      <c r="I57" s="223">
        <v>46538</v>
      </c>
      <c r="J57" s="3">
        <v>196</v>
      </c>
      <c r="K57" s="3" t="s">
        <v>10</v>
      </c>
      <c r="L57" s="3" t="s">
        <v>10</v>
      </c>
      <c r="M57" s="95" t="s">
        <v>114</v>
      </c>
      <c r="N57" s="3" t="s">
        <v>115</v>
      </c>
      <c r="O57" s="3" t="s">
        <v>651</v>
      </c>
      <c r="P57" s="3" t="s">
        <v>6</v>
      </c>
      <c r="Q57" s="3" t="s">
        <v>6</v>
      </c>
      <c r="R57" s="95" t="s">
        <v>2961</v>
      </c>
      <c r="S57" s="223" t="s">
        <v>5</v>
      </c>
      <c r="T57" s="223" t="s">
        <v>5</v>
      </c>
      <c r="U57" s="223" t="s">
        <v>5</v>
      </c>
      <c r="V57" s="223" t="s">
        <v>5</v>
      </c>
      <c r="W57" s="223" t="s">
        <v>5</v>
      </c>
      <c r="X57" s="3" t="s">
        <v>5</v>
      </c>
      <c r="Y57" s="3" t="s">
        <v>651</v>
      </c>
      <c r="Z57" s="3" t="s">
        <v>651</v>
      </c>
      <c r="AA57" s="3" t="s">
        <v>6</v>
      </c>
      <c r="AB57" s="223">
        <v>44515</v>
      </c>
      <c r="AC57" s="3" t="s">
        <v>6</v>
      </c>
      <c r="AD57" s="3" t="s">
        <v>10</v>
      </c>
      <c r="AE57" s="95" t="s">
        <v>2265</v>
      </c>
    </row>
    <row r="58" spans="1:31" x14ac:dyDescent="0.35">
      <c r="A58" s="3" t="s">
        <v>724</v>
      </c>
      <c r="B58" s="3" t="s">
        <v>30</v>
      </c>
      <c r="C58" s="3">
        <v>4</v>
      </c>
      <c r="D58" s="95" t="s">
        <v>2999</v>
      </c>
      <c r="E58" s="95" t="s">
        <v>3000</v>
      </c>
      <c r="F58" s="95" t="s">
        <v>2960</v>
      </c>
      <c r="G58" s="223">
        <v>44428</v>
      </c>
      <c r="H58" s="223">
        <v>44501</v>
      </c>
      <c r="I58" s="223">
        <v>46326</v>
      </c>
      <c r="J58" s="3">
        <v>48</v>
      </c>
      <c r="K58" s="3" t="s">
        <v>10</v>
      </c>
      <c r="L58" s="3" t="s">
        <v>10</v>
      </c>
      <c r="M58" s="95" t="s">
        <v>19</v>
      </c>
      <c r="N58" s="3" t="s">
        <v>20</v>
      </c>
      <c r="O58" s="3" t="s">
        <v>651</v>
      </c>
      <c r="P58" s="3" t="s">
        <v>6</v>
      </c>
      <c r="Q58" s="3" t="s">
        <v>6</v>
      </c>
      <c r="R58" s="95" t="s">
        <v>2961</v>
      </c>
      <c r="S58" s="223" t="s">
        <v>5</v>
      </c>
      <c r="T58" s="223" t="s">
        <v>5</v>
      </c>
      <c r="U58" s="223" t="s">
        <v>5</v>
      </c>
      <c r="V58" s="223" t="s">
        <v>5</v>
      </c>
      <c r="W58" s="223" t="s">
        <v>5</v>
      </c>
      <c r="X58" s="3" t="s">
        <v>5</v>
      </c>
      <c r="Y58" s="3" t="s">
        <v>651</v>
      </c>
      <c r="Z58" s="3" t="s">
        <v>651</v>
      </c>
      <c r="AA58" s="3" t="s">
        <v>6</v>
      </c>
      <c r="AB58" s="223">
        <v>44824</v>
      </c>
      <c r="AC58" s="3" t="s">
        <v>10</v>
      </c>
      <c r="AD58" s="3" t="s">
        <v>10</v>
      </c>
      <c r="AE58" s="95" t="s">
        <v>2265</v>
      </c>
    </row>
    <row r="59" spans="1:31" x14ac:dyDescent="0.35">
      <c r="A59" s="3" t="s">
        <v>725</v>
      </c>
      <c r="B59" s="3" t="s">
        <v>30</v>
      </c>
      <c r="C59" s="3">
        <v>4</v>
      </c>
      <c r="D59" s="95" t="s">
        <v>3001</v>
      </c>
      <c r="E59" s="95" t="s">
        <v>3002</v>
      </c>
      <c r="F59" s="95" t="s">
        <v>2960</v>
      </c>
      <c r="G59" s="223">
        <v>44833</v>
      </c>
      <c r="H59" s="223">
        <v>44958</v>
      </c>
      <c r="I59" s="223">
        <v>46783</v>
      </c>
      <c r="J59" s="3">
        <v>402</v>
      </c>
      <c r="K59" s="3" t="s">
        <v>10</v>
      </c>
      <c r="L59" s="3" t="s">
        <v>10</v>
      </c>
      <c r="M59" s="95" t="s">
        <v>726</v>
      </c>
      <c r="N59" s="3" t="s">
        <v>115</v>
      </c>
      <c r="O59" s="3" t="s">
        <v>651</v>
      </c>
      <c r="P59" s="3" t="s">
        <v>6</v>
      </c>
      <c r="Q59" s="3" t="s">
        <v>6</v>
      </c>
      <c r="R59" s="95" t="s">
        <v>2961</v>
      </c>
      <c r="S59" s="223" t="s">
        <v>5</v>
      </c>
      <c r="T59" s="223" t="s">
        <v>5</v>
      </c>
      <c r="U59" s="223" t="s">
        <v>5</v>
      </c>
      <c r="V59" s="223" t="s">
        <v>5</v>
      </c>
      <c r="W59" s="223" t="s">
        <v>5</v>
      </c>
      <c r="X59" s="3" t="s">
        <v>5</v>
      </c>
      <c r="Y59" s="3" t="s">
        <v>651</v>
      </c>
      <c r="Z59" s="3" t="s">
        <v>651</v>
      </c>
      <c r="AA59" s="3" t="s">
        <v>6</v>
      </c>
      <c r="AB59" s="223">
        <v>44824</v>
      </c>
      <c r="AC59" s="3" t="s">
        <v>10</v>
      </c>
      <c r="AD59" s="3" t="s">
        <v>10</v>
      </c>
      <c r="AE59" s="95" t="s">
        <v>2265</v>
      </c>
    </row>
    <row r="60" spans="1:31" x14ac:dyDescent="0.35">
      <c r="A60" s="3" t="s">
        <v>31</v>
      </c>
      <c r="B60" s="3" t="s">
        <v>30</v>
      </c>
      <c r="C60" s="3">
        <v>4</v>
      </c>
      <c r="D60" s="95" t="s">
        <v>1915</v>
      </c>
      <c r="E60" s="95" t="s">
        <v>1912</v>
      </c>
      <c r="F60" s="95" t="s">
        <v>437</v>
      </c>
      <c r="G60" s="223">
        <v>44609</v>
      </c>
      <c r="H60" s="223">
        <v>44609</v>
      </c>
      <c r="I60" s="223">
        <v>46434</v>
      </c>
      <c r="J60" s="3">
        <v>5</v>
      </c>
      <c r="K60" s="3" t="s">
        <v>6</v>
      </c>
      <c r="L60" s="3" t="s">
        <v>6</v>
      </c>
      <c r="M60" s="95" t="s">
        <v>23</v>
      </c>
      <c r="N60" s="3" t="s">
        <v>24</v>
      </c>
      <c r="O60" s="3" t="s">
        <v>25</v>
      </c>
      <c r="P60" s="3" t="s">
        <v>6</v>
      </c>
      <c r="Q60" s="3" t="s">
        <v>6</v>
      </c>
      <c r="R60" s="95" t="s">
        <v>22</v>
      </c>
      <c r="S60" s="223">
        <v>43374</v>
      </c>
      <c r="T60" s="223">
        <v>43497</v>
      </c>
      <c r="U60" s="223">
        <v>42644</v>
      </c>
      <c r="V60" s="223">
        <v>42644</v>
      </c>
      <c r="W60" s="223" t="s">
        <v>6</v>
      </c>
      <c r="X60" s="3" t="s">
        <v>26</v>
      </c>
      <c r="Y60" s="3" t="s">
        <v>2093</v>
      </c>
      <c r="Z60" s="3" t="s">
        <v>24</v>
      </c>
      <c r="AA60" s="3" t="s">
        <v>6</v>
      </c>
      <c r="AB60" s="223">
        <v>42782</v>
      </c>
      <c r="AC60" s="3" t="s">
        <v>10</v>
      </c>
      <c r="AD60" s="3" t="s">
        <v>10</v>
      </c>
      <c r="AE60" s="95" t="s">
        <v>2263</v>
      </c>
    </row>
    <row r="61" spans="1:31" x14ac:dyDescent="0.35">
      <c r="A61" s="3" t="s">
        <v>727</v>
      </c>
      <c r="B61" s="3" t="s">
        <v>30</v>
      </c>
      <c r="C61" s="3">
        <v>4</v>
      </c>
      <c r="D61" s="95" t="s">
        <v>2518</v>
      </c>
      <c r="E61" s="95" t="s">
        <v>3003</v>
      </c>
      <c r="F61" s="95" t="s">
        <v>2960</v>
      </c>
      <c r="G61" s="223">
        <v>44455</v>
      </c>
      <c r="H61" s="223">
        <v>44470</v>
      </c>
      <c r="I61" s="223">
        <v>46295</v>
      </c>
      <c r="J61" s="3">
        <v>51</v>
      </c>
      <c r="K61" s="3" t="s">
        <v>10</v>
      </c>
      <c r="L61" s="3" t="s">
        <v>10</v>
      </c>
      <c r="M61" s="95" t="s">
        <v>2555</v>
      </c>
      <c r="N61" s="3" t="s">
        <v>52</v>
      </c>
      <c r="O61" s="3" t="s">
        <v>651</v>
      </c>
      <c r="P61" s="3" t="s">
        <v>6</v>
      </c>
      <c r="Q61" s="3" t="s">
        <v>6</v>
      </c>
      <c r="R61" s="95" t="s">
        <v>2961</v>
      </c>
      <c r="S61" s="223" t="s">
        <v>5</v>
      </c>
      <c r="T61" s="223" t="s">
        <v>5</v>
      </c>
      <c r="U61" s="223" t="s">
        <v>5</v>
      </c>
      <c r="V61" s="223" t="s">
        <v>5</v>
      </c>
      <c r="W61" s="223" t="s">
        <v>5</v>
      </c>
      <c r="X61" s="3" t="s">
        <v>5</v>
      </c>
      <c r="Y61" s="3" t="s">
        <v>651</v>
      </c>
      <c r="Z61" s="3" t="s">
        <v>651</v>
      </c>
      <c r="AA61" s="3" t="s">
        <v>6</v>
      </c>
      <c r="AB61" s="223">
        <v>44824</v>
      </c>
      <c r="AC61" s="3" t="s">
        <v>10</v>
      </c>
      <c r="AD61" s="3" t="s">
        <v>6</v>
      </c>
      <c r="AE61" s="95" t="s">
        <v>2265</v>
      </c>
    </row>
    <row r="62" spans="1:31" x14ac:dyDescent="0.35">
      <c r="A62" s="3" t="s">
        <v>2230</v>
      </c>
      <c r="B62" s="3" t="s">
        <v>30</v>
      </c>
      <c r="C62" s="3">
        <v>4</v>
      </c>
      <c r="D62" s="95" t="s">
        <v>2236</v>
      </c>
      <c r="E62" s="95" t="s">
        <v>2272</v>
      </c>
      <c r="F62" s="95" t="s">
        <v>437</v>
      </c>
      <c r="G62" s="223">
        <v>44211</v>
      </c>
      <c r="H62" s="223">
        <v>44256</v>
      </c>
      <c r="I62" s="223">
        <v>46081</v>
      </c>
      <c r="J62" s="3">
        <v>0</v>
      </c>
      <c r="K62" s="3" t="s">
        <v>6</v>
      </c>
      <c r="L62" s="3" t="s">
        <v>6</v>
      </c>
      <c r="M62" s="95" t="s">
        <v>27</v>
      </c>
      <c r="N62" s="3" t="s">
        <v>28</v>
      </c>
      <c r="O62" s="3" t="s">
        <v>25</v>
      </c>
      <c r="P62" s="3" t="s">
        <v>6</v>
      </c>
      <c r="Q62" s="3" t="s">
        <v>6</v>
      </c>
      <c r="R62" s="95" t="s">
        <v>22</v>
      </c>
      <c r="S62" s="223">
        <v>43374</v>
      </c>
      <c r="T62" s="223">
        <v>43553</v>
      </c>
      <c r="U62" s="223">
        <v>43009</v>
      </c>
      <c r="V62" s="223">
        <v>43009</v>
      </c>
      <c r="W62" s="223" t="s">
        <v>6</v>
      </c>
      <c r="X62" s="3" t="s">
        <v>26</v>
      </c>
      <c r="Y62" s="3" t="s">
        <v>2100</v>
      </c>
      <c r="Z62" s="3" t="s">
        <v>28</v>
      </c>
      <c r="AA62" s="3" t="s">
        <v>6</v>
      </c>
      <c r="AB62" s="223">
        <v>42159</v>
      </c>
      <c r="AC62" s="3" t="s">
        <v>6</v>
      </c>
      <c r="AD62" s="3" t="s">
        <v>10</v>
      </c>
      <c r="AE62" s="95" t="s">
        <v>2263</v>
      </c>
    </row>
    <row r="63" spans="1:31" x14ac:dyDescent="0.35">
      <c r="A63" s="3" t="s">
        <v>728</v>
      </c>
      <c r="B63" s="3" t="s">
        <v>30</v>
      </c>
      <c r="C63" s="3">
        <v>4</v>
      </c>
      <c r="D63" s="95" t="s">
        <v>3004</v>
      </c>
      <c r="E63" s="95" t="s">
        <v>3005</v>
      </c>
      <c r="F63" s="95" t="s">
        <v>2960</v>
      </c>
      <c r="G63" s="223">
        <v>44267</v>
      </c>
      <c r="H63" s="223">
        <v>44287</v>
      </c>
      <c r="I63" s="223">
        <v>46112</v>
      </c>
      <c r="J63" s="3">
        <v>5422</v>
      </c>
      <c r="K63" s="3" t="s">
        <v>10</v>
      </c>
      <c r="L63" s="3" t="s">
        <v>10</v>
      </c>
      <c r="M63" s="95" t="s">
        <v>23</v>
      </c>
      <c r="N63" s="3" t="s">
        <v>24</v>
      </c>
      <c r="O63" s="3" t="s">
        <v>651</v>
      </c>
      <c r="P63" s="3" t="s">
        <v>6</v>
      </c>
      <c r="Q63" s="3" t="s">
        <v>6</v>
      </c>
      <c r="R63" s="95" t="s">
        <v>2961</v>
      </c>
      <c r="S63" s="223" t="s">
        <v>5</v>
      </c>
      <c r="T63" s="223" t="s">
        <v>5</v>
      </c>
      <c r="U63" s="223" t="s">
        <v>5</v>
      </c>
      <c r="V63" s="223" t="s">
        <v>5</v>
      </c>
      <c r="W63" s="223" t="s">
        <v>5</v>
      </c>
      <c r="X63" s="3" t="s">
        <v>5</v>
      </c>
      <c r="Y63" s="3" t="s">
        <v>651</v>
      </c>
      <c r="Z63" s="3" t="s">
        <v>651</v>
      </c>
      <c r="AA63" s="3" t="s">
        <v>6</v>
      </c>
      <c r="AB63" s="223">
        <v>44824</v>
      </c>
      <c r="AC63" s="3" t="s">
        <v>10</v>
      </c>
      <c r="AD63" s="3" t="s">
        <v>10</v>
      </c>
      <c r="AE63" s="95" t="s">
        <v>2265</v>
      </c>
    </row>
    <row r="64" spans="1:31" x14ac:dyDescent="0.35">
      <c r="A64" s="3" t="s">
        <v>729</v>
      </c>
      <c r="B64" s="3" t="s">
        <v>562</v>
      </c>
      <c r="C64" s="3">
        <v>6</v>
      </c>
      <c r="D64" s="95" t="s">
        <v>2758</v>
      </c>
      <c r="E64" s="95" t="s">
        <v>2759</v>
      </c>
      <c r="F64" s="95" t="s">
        <v>4</v>
      </c>
      <c r="G64" s="223">
        <v>43622</v>
      </c>
      <c r="H64" s="223">
        <v>43891</v>
      </c>
      <c r="I64" s="223">
        <v>45716</v>
      </c>
      <c r="J64" s="3">
        <v>34</v>
      </c>
      <c r="K64" s="3" t="s">
        <v>10</v>
      </c>
      <c r="L64" s="3" t="s">
        <v>10</v>
      </c>
      <c r="M64" s="95" t="s">
        <v>730</v>
      </c>
      <c r="N64" s="3" t="s">
        <v>28</v>
      </c>
      <c r="O64" s="3" t="s">
        <v>651</v>
      </c>
      <c r="P64" s="3" t="s">
        <v>6</v>
      </c>
      <c r="Q64" s="3" t="s">
        <v>6</v>
      </c>
      <c r="R64" s="95" t="s">
        <v>652</v>
      </c>
      <c r="S64" s="223" t="s">
        <v>5</v>
      </c>
      <c r="T64" s="223" t="s">
        <v>5</v>
      </c>
      <c r="U64" s="223" t="s">
        <v>5</v>
      </c>
      <c r="V64" s="223" t="s">
        <v>5</v>
      </c>
      <c r="W64" s="223" t="s">
        <v>5</v>
      </c>
      <c r="X64" s="3" t="s">
        <v>5</v>
      </c>
      <c r="Y64" s="3" t="s">
        <v>651</v>
      </c>
      <c r="Z64" s="3" t="s">
        <v>651</v>
      </c>
      <c r="AA64" s="3" t="s">
        <v>10</v>
      </c>
      <c r="AB64" s="223" t="s">
        <v>5</v>
      </c>
      <c r="AC64" s="3" t="s">
        <v>6</v>
      </c>
      <c r="AD64" s="3" t="s">
        <v>10</v>
      </c>
      <c r="AE64" s="95" t="s">
        <v>2263</v>
      </c>
    </row>
    <row r="65" spans="1:31" x14ac:dyDescent="0.35">
      <c r="A65" s="3" t="s">
        <v>731</v>
      </c>
      <c r="B65" s="3" t="s">
        <v>562</v>
      </c>
      <c r="C65" s="3">
        <v>6</v>
      </c>
      <c r="D65" s="95" t="s">
        <v>2760</v>
      </c>
      <c r="E65" s="95" t="s">
        <v>2761</v>
      </c>
      <c r="F65" s="95" t="s">
        <v>4</v>
      </c>
      <c r="G65" s="223">
        <v>44707</v>
      </c>
      <c r="H65" s="223">
        <v>44896</v>
      </c>
      <c r="I65" s="223">
        <v>46721</v>
      </c>
      <c r="J65" s="3">
        <v>12</v>
      </c>
      <c r="K65" s="3" t="s">
        <v>10</v>
      </c>
      <c r="L65" s="3" t="s">
        <v>10</v>
      </c>
      <c r="M65" s="95" t="s">
        <v>173</v>
      </c>
      <c r="N65" s="3" t="s">
        <v>174</v>
      </c>
      <c r="O65" s="3" t="s">
        <v>651</v>
      </c>
      <c r="P65" s="3" t="s">
        <v>6</v>
      </c>
      <c r="Q65" s="3" t="s">
        <v>6</v>
      </c>
      <c r="R65" s="95" t="s">
        <v>652</v>
      </c>
      <c r="S65" s="223" t="s">
        <v>5</v>
      </c>
      <c r="T65" s="223" t="s">
        <v>5</v>
      </c>
      <c r="U65" s="223" t="s">
        <v>5</v>
      </c>
      <c r="V65" s="223" t="s">
        <v>5</v>
      </c>
      <c r="W65" s="223" t="s">
        <v>5</v>
      </c>
      <c r="X65" s="3" t="s">
        <v>5</v>
      </c>
      <c r="Y65" s="3" t="s">
        <v>651</v>
      </c>
      <c r="Z65" s="3" t="s">
        <v>651</v>
      </c>
      <c r="AA65" s="3" t="s">
        <v>10</v>
      </c>
      <c r="AB65" s="223" t="s">
        <v>5</v>
      </c>
      <c r="AC65" s="3" t="s">
        <v>6</v>
      </c>
      <c r="AD65" s="3" t="s">
        <v>10</v>
      </c>
      <c r="AE65" s="95" t="s">
        <v>2263</v>
      </c>
    </row>
    <row r="66" spans="1:31" x14ac:dyDescent="0.35">
      <c r="A66" s="3" t="s">
        <v>732</v>
      </c>
      <c r="B66" s="3" t="s">
        <v>562</v>
      </c>
      <c r="C66" s="3">
        <v>6</v>
      </c>
      <c r="D66" s="95" t="s">
        <v>2762</v>
      </c>
      <c r="E66" s="95" t="s">
        <v>2763</v>
      </c>
      <c r="F66" s="95" t="s">
        <v>4</v>
      </c>
      <c r="G66" s="223">
        <v>44228</v>
      </c>
      <c r="H66" s="223">
        <v>44228</v>
      </c>
      <c r="I66" s="223">
        <v>46053</v>
      </c>
      <c r="J66" s="3">
        <v>41</v>
      </c>
      <c r="K66" s="3" t="s">
        <v>10</v>
      </c>
      <c r="L66" s="3" t="s">
        <v>10</v>
      </c>
      <c r="M66" s="95" t="s">
        <v>114</v>
      </c>
      <c r="N66" s="3" t="s">
        <v>115</v>
      </c>
      <c r="O66" s="3" t="s">
        <v>651</v>
      </c>
      <c r="P66" s="3" t="s">
        <v>6</v>
      </c>
      <c r="Q66" s="3" t="s">
        <v>6</v>
      </c>
      <c r="R66" s="95" t="s">
        <v>652</v>
      </c>
      <c r="S66" s="223" t="s">
        <v>5</v>
      </c>
      <c r="T66" s="223" t="s">
        <v>5</v>
      </c>
      <c r="U66" s="223" t="s">
        <v>5</v>
      </c>
      <c r="V66" s="223" t="s">
        <v>5</v>
      </c>
      <c r="W66" s="223" t="s">
        <v>5</v>
      </c>
      <c r="X66" s="3" t="s">
        <v>5</v>
      </c>
      <c r="Y66" s="3" t="s">
        <v>651</v>
      </c>
      <c r="Z66" s="3" t="s">
        <v>651</v>
      </c>
      <c r="AA66" s="3" t="s">
        <v>10</v>
      </c>
      <c r="AB66" s="223" t="s">
        <v>5</v>
      </c>
      <c r="AC66" s="3" t="s">
        <v>6</v>
      </c>
      <c r="AD66" s="3" t="s">
        <v>10</v>
      </c>
      <c r="AE66" s="95" t="s">
        <v>2263</v>
      </c>
    </row>
    <row r="67" spans="1:31" x14ac:dyDescent="0.35">
      <c r="A67" s="3" t="s">
        <v>733</v>
      </c>
      <c r="B67" s="3" t="s">
        <v>562</v>
      </c>
      <c r="C67" s="3">
        <v>6</v>
      </c>
      <c r="D67" s="95" t="s">
        <v>2764</v>
      </c>
      <c r="E67" s="95" t="s">
        <v>2765</v>
      </c>
      <c r="F67" s="95" t="s">
        <v>4</v>
      </c>
      <c r="G67" s="223">
        <v>45280</v>
      </c>
      <c r="H67" s="223">
        <v>45474</v>
      </c>
      <c r="I67" s="223">
        <v>47299</v>
      </c>
      <c r="J67" s="3">
        <v>415</v>
      </c>
      <c r="K67" s="3" t="s">
        <v>10</v>
      </c>
      <c r="L67" s="3" t="s">
        <v>10</v>
      </c>
      <c r="M67" s="95" t="s">
        <v>131</v>
      </c>
      <c r="N67" s="3" t="s">
        <v>268</v>
      </c>
      <c r="O67" s="3" t="s">
        <v>651</v>
      </c>
      <c r="P67" s="3" t="s">
        <v>6</v>
      </c>
      <c r="Q67" s="3" t="s">
        <v>6</v>
      </c>
      <c r="R67" s="95" t="s">
        <v>652</v>
      </c>
      <c r="S67" s="223" t="s">
        <v>5</v>
      </c>
      <c r="T67" s="223" t="s">
        <v>5</v>
      </c>
      <c r="U67" s="223" t="s">
        <v>5</v>
      </c>
      <c r="V67" s="223" t="s">
        <v>5</v>
      </c>
      <c r="W67" s="223" t="s">
        <v>5</v>
      </c>
      <c r="X67" s="3" t="s">
        <v>5</v>
      </c>
      <c r="Y67" s="3" t="s">
        <v>651</v>
      </c>
      <c r="Z67" s="3" t="s">
        <v>651</v>
      </c>
      <c r="AA67" s="3" t="s">
        <v>10</v>
      </c>
      <c r="AB67" s="223" t="s">
        <v>5</v>
      </c>
      <c r="AC67" s="3" t="s">
        <v>6</v>
      </c>
      <c r="AD67" s="3" t="s">
        <v>10</v>
      </c>
      <c r="AE67" s="95" t="s">
        <v>2265</v>
      </c>
    </row>
    <row r="68" spans="1:31" x14ac:dyDescent="0.35">
      <c r="A68" s="3" t="s">
        <v>734</v>
      </c>
      <c r="B68" s="3" t="s">
        <v>562</v>
      </c>
      <c r="C68" s="3">
        <v>6</v>
      </c>
      <c r="D68" s="95" t="s">
        <v>2766</v>
      </c>
      <c r="E68" s="95" t="s">
        <v>2767</v>
      </c>
      <c r="F68" s="95" t="s">
        <v>4</v>
      </c>
      <c r="G68" s="223">
        <v>44343</v>
      </c>
      <c r="H68" s="223">
        <v>44562</v>
      </c>
      <c r="I68" s="223">
        <v>46387</v>
      </c>
      <c r="J68" s="3">
        <v>119</v>
      </c>
      <c r="K68" s="3" t="s">
        <v>10</v>
      </c>
      <c r="L68" s="3" t="s">
        <v>10</v>
      </c>
      <c r="M68" s="95" t="s">
        <v>116</v>
      </c>
      <c r="N68" s="3" t="s">
        <v>117</v>
      </c>
      <c r="O68" s="3" t="s">
        <v>651</v>
      </c>
      <c r="P68" s="3" t="s">
        <v>6</v>
      </c>
      <c r="Q68" s="3" t="s">
        <v>6</v>
      </c>
      <c r="R68" s="95" t="s">
        <v>652</v>
      </c>
      <c r="S68" s="223" t="s">
        <v>5</v>
      </c>
      <c r="T68" s="223" t="s">
        <v>5</v>
      </c>
      <c r="U68" s="223" t="s">
        <v>5</v>
      </c>
      <c r="V68" s="223" t="s">
        <v>5</v>
      </c>
      <c r="W68" s="223" t="s">
        <v>5</v>
      </c>
      <c r="X68" s="3" t="s">
        <v>5</v>
      </c>
      <c r="Y68" s="3" t="s">
        <v>651</v>
      </c>
      <c r="Z68" s="3" t="s">
        <v>651</v>
      </c>
      <c r="AA68" s="3" t="s">
        <v>10</v>
      </c>
      <c r="AB68" s="223" t="s">
        <v>5</v>
      </c>
      <c r="AC68" s="3" t="s">
        <v>6</v>
      </c>
      <c r="AD68" s="3" t="s">
        <v>10</v>
      </c>
      <c r="AE68" s="95" t="s">
        <v>2265</v>
      </c>
    </row>
    <row r="69" spans="1:31" x14ac:dyDescent="0.35">
      <c r="A69" s="3" t="s">
        <v>735</v>
      </c>
      <c r="B69" s="3" t="s">
        <v>562</v>
      </c>
      <c r="C69" s="3">
        <v>6</v>
      </c>
      <c r="D69" s="95" t="s">
        <v>2768</v>
      </c>
      <c r="E69" s="95" t="s">
        <v>2769</v>
      </c>
      <c r="F69" s="95" t="s">
        <v>4</v>
      </c>
      <c r="G69" s="223">
        <v>44923</v>
      </c>
      <c r="H69" s="223">
        <v>45108</v>
      </c>
      <c r="I69" s="223">
        <v>46934</v>
      </c>
      <c r="J69" s="3">
        <v>24</v>
      </c>
      <c r="K69" s="3" t="s">
        <v>10</v>
      </c>
      <c r="L69" s="3" t="s">
        <v>10</v>
      </c>
      <c r="M69" s="95" t="s">
        <v>136</v>
      </c>
      <c r="N69" s="3" t="s">
        <v>138</v>
      </c>
      <c r="O69" s="3" t="s">
        <v>651</v>
      </c>
      <c r="P69" s="3" t="s">
        <v>6</v>
      </c>
      <c r="Q69" s="3" t="s">
        <v>6</v>
      </c>
      <c r="R69" s="95" t="s">
        <v>652</v>
      </c>
      <c r="S69" s="223" t="s">
        <v>5</v>
      </c>
      <c r="T69" s="223" t="s">
        <v>5</v>
      </c>
      <c r="U69" s="223" t="s">
        <v>5</v>
      </c>
      <c r="V69" s="223" t="s">
        <v>5</v>
      </c>
      <c r="W69" s="223" t="s">
        <v>5</v>
      </c>
      <c r="X69" s="3" t="s">
        <v>5</v>
      </c>
      <c r="Y69" s="3" t="s">
        <v>651</v>
      </c>
      <c r="Z69" s="3" t="s">
        <v>651</v>
      </c>
      <c r="AA69" s="3" t="s">
        <v>10</v>
      </c>
      <c r="AB69" s="223" t="s">
        <v>5</v>
      </c>
      <c r="AC69" s="3" t="s">
        <v>6</v>
      </c>
      <c r="AD69" s="3" t="s">
        <v>10</v>
      </c>
      <c r="AE69" s="95" t="s">
        <v>2263</v>
      </c>
    </row>
    <row r="70" spans="1:31" x14ac:dyDescent="0.35">
      <c r="A70" s="3" t="s">
        <v>736</v>
      </c>
      <c r="B70" s="3" t="s">
        <v>562</v>
      </c>
      <c r="C70" s="3">
        <v>6</v>
      </c>
      <c r="D70" s="95" t="s">
        <v>2770</v>
      </c>
      <c r="E70" s="95" t="s">
        <v>2771</v>
      </c>
      <c r="F70" s="95" t="s">
        <v>4</v>
      </c>
      <c r="G70" s="223">
        <v>45403</v>
      </c>
      <c r="H70" s="223">
        <v>45627</v>
      </c>
      <c r="I70" s="223">
        <v>47452</v>
      </c>
      <c r="J70" s="3">
        <v>11</v>
      </c>
      <c r="K70" s="3" t="s">
        <v>10</v>
      </c>
      <c r="L70" s="3" t="s">
        <v>10</v>
      </c>
      <c r="M70" s="95" t="s">
        <v>737</v>
      </c>
      <c r="N70" s="3" t="s">
        <v>28</v>
      </c>
      <c r="O70" s="3" t="s">
        <v>651</v>
      </c>
      <c r="P70" s="3" t="s">
        <v>6</v>
      </c>
      <c r="Q70" s="3" t="s">
        <v>6</v>
      </c>
      <c r="R70" s="95" t="s">
        <v>652</v>
      </c>
      <c r="S70" s="223" t="s">
        <v>5</v>
      </c>
      <c r="T70" s="223" t="s">
        <v>5</v>
      </c>
      <c r="U70" s="223" t="s">
        <v>5</v>
      </c>
      <c r="V70" s="223" t="s">
        <v>5</v>
      </c>
      <c r="W70" s="223" t="s">
        <v>5</v>
      </c>
      <c r="X70" s="3" t="s">
        <v>5</v>
      </c>
      <c r="Y70" s="3" t="s">
        <v>651</v>
      </c>
      <c r="Z70" s="3" t="s">
        <v>651</v>
      </c>
      <c r="AA70" s="3" t="s">
        <v>10</v>
      </c>
      <c r="AB70" s="223" t="s">
        <v>5</v>
      </c>
      <c r="AC70" s="3" t="s">
        <v>6</v>
      </c>
      <c r="AD70" s="3" t="s">
        <v>10</v>
      </c>
      <c r="AE70" s="95" t="s">
        <v>2263</v>
      </c>
    </row>
    <row r="71" spans="1:31" x14ac:dyDescent="0.35">
      <c r="A71" s="3" t="s">
        <v>738</v>
      </c>
      <c r="B71" s="3" t="s">
        <v>562</v>
      </c>
      <c r="C71" s="3">
        <v>6</v>
      </c>
      <c r="D71" s="95" t="s">
        <v>2772</v>
      </c>
      <c r="E71" s="95" t="s">
        <v>2773</v>
      </c>
      <c r="F71" s="95" t="s">
        <v>4</v>
      </c>
      <c r="G71" s="223">
        <v>44025</v>
      </c>
      <c r="H71" s="223">
        <v>44287</v>
      </c>
      <c r="I71" s="223">
        <v>46112</v>
      </c>
      <c r="J71" s="3">
        <v>2</v>
      </c>
      <c r="K71" s="3" t="s">
        <v>10</v>
      </c>
      <c r="L71" s="3" t="s">
        <v>10</v>
      </c>
      <c r="M71" s="95" t="s">
        <v>201</v>
      </c>
      <c r="N71" s="3" t="s">
        <v>68</v>
      </c>
      <c r="O71" s="3" t="s">
        <v>651</v>
      </c>
      <c r="P71" s="3" t="s">
        <v>6</v>
      </c>
      <c r="Q71" s="3" t="s">
        <v>6</v>
      </c>
      <c r="R71" s="95" t="s">
        <v>652</v>
      </c>
      <c r="S71" s="223" t="s">
        <v>5</v>
      </c>
      <c r="T71" s="223" t="s">
        <v>5</v>
      </c>
      <c r="U71" s="223" t="s">
        <v>5</v>
      </c>
      <c r="V71" s="223" t="s">
        <v>5</v>
      </c>
      <c r="W71" s="223" t="s">
        <v>5</v>
      </c>
      <c r="X71" s="3" t="s">
        <v>5</v>
      </c>
      <c r="Y71" s="3" t="s">
        <v>651</v>
      </c>
      <c r="Z71" s="3" t="s">
        <v>651</v>
      </c>
      <c r="AA71" s="3" t="s">
        <v>10</v>
      </c>
      <c r="AB71" s="223" t="s">
        <v>5</v>
      </c>
      <c r="AC71" s="3" t="s">
        <v>6</v>
      </c>
      <c r="AD71" s="3" t="s">
        <v>10</v>
      </c>
      <c r="AE71" s="95" t="s">
        <v>2263</v>
      </c>
    </row>
    <row r="72" spans="1:31" x14ac:dyDescent="0.35">
      <c r="A72" s="3" t="s">
        <v>739</v>
      </c>
      <c r="B72" s="3" t="s">
        <v>562</v>
      </c>
      <c r="C72" s="3">
        <v>6</v>
      </c>
      <c r="D72" s="95" t="s">
        <v>740</v>
      </c>
      <c r="E72" s="95" t="s">
        <v>2275</v>
      </c>
      <c r="F72" s="95" t="s">
        <v>651</v>
      </c>
      <c r="G72" s="223">
        <v>44274</v>
      </c>
      <c r="H72" s="223">
        <v>44621</v>
      </c>
      <c r="I72" s="223">
        <v>46446</v>
      </c>
      <c r="J72" s="3" t="s">
        <v>2266</v>
      </c>
      <c r="K72" s="3" t="s">
        <v>10</v>
      </c>
      <c r="L72" s="3" t="s">
        <v>10</v>
      </c>
      <c r="M72" s="95" t="s">
        <v>19</v>
      </c>
      <c r="N72" s="3" t="s">
        <v>20</v>
      </c>
      <c r="O72" s="3" t="s">
        <v>651</v>
      </c>
      <c r="P72" s="3" t="s">
        <v>10</v>
      </c>
      <c r="Q72" s="3" t="s">
        <v>6</v>
      </c>
      <c r="R72" s="95" t="s">
        <v>2267</v>
      </c>
      <c r="S72" s="223" t="s">
        <v>5</v>
      </c>
      <c r="T72" s="223" t="s">
        <v>5</v>
      </c>
      <c r="U72" s="223" t="s">
        <v>5</v>
      </c>
      <c r="V72" s="223" t="s">
        <v>5</v>
      </c>
      <c r="W72" s="223" t="s">
        <v>5</v>
      </c>
      <c r="X72" s="3" t="s">
        <v>5</v>
      </c>
      <c r="Y72" s="3" t="s">
        <v>651</v>
      </c>
      <c r="Z72" s="3" t="s">
        <v>651</v>
      </c>
      <c r="AA72" s="3" t="s">
        <v>651</v>
      </c>
      <c r="AB72" s="223" t="s">
        <v>5</v>
      </c>
      <c r="AC72" s="3" t="s">
        <v>651</v>
      </c>
      <c r="AD72" s="3" t="s">
        <v>651</v>
      </c>
      <c r="AE72" s="95" t="s">
        <v>651</v>
      </c>
    </row>
    <row r="73" spans="1:31" x14ac:dyDescent="0.35">
      <c r="A73" s="3" t="s">
        <v>741</v>
      </c>
      <c r="B73" s="3" t="s">
        <v>562</v>
      </c>
      <c r="C73" s="3">
        <v>6</v>
      </c>
      <c r="D73" s="95" t="s">
        <v>2774</v>
      </c>
      <c r="E73" s="95" t="s">
        <v>2775</v>
      </c>
      <c r="F73" s="95" t="s">
        <v>4</v>
      </c>
      <c r="G73" s="223">
        <v>45274</v>
      </c>
      <c r="H73" s="223">
        <v>45474</v>
      </c>
      <c r="I73" s="223">
        <v>47299</v>
      </c>
      <c r="J73" s="3">
        <v>2217</v>
      </c>
      <c r="K73" s="3" t="s">
        <v>10</v>
      </c>
      <c r="L73" s="3" t="s">
        <v>10</v>
      </c>
      <c r="M73" s="95" t="s">
        <v>27</v>
      </c>
      <c r="N73" s="3" t="s">
        <v>28</v>
      </c>
      <c r="O73" s="3" t="s">
        <v>651</v>
      </c>
      <c r="P73" s="3" t="s">
        <v>6</v>
      </c>
      <c r="Q73" s="3" t="s">
        <v>6</v>
      </c>
      <c r="R73" s="95" t="s">
        <v>652</v>
      </c>
      <c r="S73" s="223" t="s">
        <v>5</v>
      </c>
      <c r="T73" s="223" t="s">
        <v>5</v>
      </c>
      <c r="U73" s="223" t="s">
        <v>5</v>
      </c>
      <c r="V73" s="223" t="s">
        <v>5</v>
      </c>
      <c r="W73" s="223" t="s">
        <v>5</v>
      </c>
      <c r="X73" s="3" t="s">
        <v>5</v>
      </c>
      <c r="Y73" s="3" t="s">
        <v>651</v>
      </c>
      <c r="Z73" s="3" t="s">
        <v>651</v>
      </c>
      <c r="AA73" s="3" t="s">
        <v>10</v>
      </c>
      <c r="AB73" s="223" t="s">
        <v>5</v>
      </c>
      <c r="AC73" s="3" t="s">
        <v>10</v>
      </c>
      <c r="AD73" s="3" t="s">
        <v>10</v>
      </c>
      <c r="AE73" s="95" t="s">
        <v>2263</v>
      </c>
    </row>
    <row r="74" spans="1:31" x14ac:dyDescent="0.35">
      <c r="A74" s="3" t="s">
        <v>742</v>
      </c>
      <c r="B74" s="3" t="s">
        <v>562</v>
      </c>
      <c r="C74" s="3">
        <v>6</v>
      </c>
      <c r="D74" s="95" t="s">
        <v>2776</v>
      </c>
      <c r="E74" s="95" t="s">
        <v>2777</v>
      </c>
      <c r="F74" s="95" t="s">
        <v>4</v>
      </c>
      <c r="G74" s="223">
        <v>45184</v>
      </c>
      <c r="H74" s="223">
        <v>45505</v>
      </c>
      <c r="I74" s="223">
        <v>47330</v>
      </c>
      <c r="J74" s="3">
        <v>63</v>
      </c>
      <c r="K74" s="3" t="s">
        <v>10</v>
      </c>
      <c r="L74" s="3" t="s">
        <v>10</v>
      </c>
      <c r="M74" s="95" t="s">
        <v>2555</v>
      </c>
      <c r="N74" s="3" t="s">
        <v>52</v>
      </c>
      <c r="O74" s="3" t="s">
        <v>651</v>
      </c>
      <c r="P74" s="3" t="s">
        <v>6</v>
      </c>
      <c r="Q74" s="3" t="s">
        <v>6</v>
      </c>
      <c r="R74" s="95" t="s">
        <v>652</v>
      </c>
      <c r="S74" s="223" t="s">
        <v>5</v>
      </c>
      <c r="T74" s="223" t="s">
        <v>5</v>
      </c>
      <c r="U74" s="223" t="s">
        <v>5</v>
      </c>
      <c r="V74" s="223" t="s">
        <v>5</v>
      </c>
      <c r="W74" s="223" t="s">
        <v>5</v>
      </c>
      <c r="X74" s="3" t="s">
        <v>5</v>
      </c>
      <c r="Y74" s="3" t="s">
        <v>651</v>
      </c>
      <c r="Z74" s="3" t="s">
        <v>651</v>
      </c>
      <c r="AA74" s="3" t="s">
        <v>10</v>
      </c>
      <c r="AB74" s="223" t="s">
        <v>5</v>
      </c>
      <c r="AC74" s="3" t="s">
        <v>10</v>
      </c>
      <c r="AD74" s="3" t="s">
        <v>6</v>
      </c>
      <c r="AE74" s="95" t="s">
        <v>2265</v>
      </c>
    </row>
    <row r="75" spans="1:31" x14ac:dyDescent="0.35">
      <c r="A75" s="3" t="s">
        <v>743</v>
      </c>
      <c r="B75" s="3" t="s">
        <v>562</v>
      </c>
      <c r="C75" s="3">
        <v>6</v>
      </c>
      <c r="D75" s="95" t="s">
        <v>2778</v>
      </c>
      <c r="E75" s="95" t="s">
        <v>2779</v>
      </c>
      <c r="F75" s="95" t="s">
        <v>2780</v>
      </c>
      <c r="G75" s="223">
        <v>44320</v>
      </c>
      <c r="H75" s="223">
        <v>44501</v>
      </c>
      <c r="I75" s="223">
        <v>46326</v>
      </c>
      <c r="J75" s="3">
        <v>2067</v>
      </c>
      <c r="K75" s="3" t="s">
        <v>10</v>
      </c>
      <c r="L75" s="3" t="s">
        <v>10</v>
      </c>
      <c r="M75" s="95" t="s">
        <v>23</v>
      </c>
      <c r="N75" s="3" t="s">
        <v>24</v>
      </c>
      <c r="O75" s="3" t="s">
        <v>651</v>
      </c>
      <c r="P75" s="3" t="s">
        <v>6</v>
      </c>
      <c r="Q75" s="3" t="s">
        <v>6</v>
      </c>
      <c r="R75" s="95" t="s">
        <v>2267</v>
      </c>
      <c r="S75" s="223" t="s">
        <v>5</v>
      </c>
      <c r="T75" s="223" t="s">
        <v>5</v>
      </c>
      <c r="U75" s="223" t="s">
        <v>5</v>
      </c>
      <c r="V75" s="223" t="s">
        <v>5</v>
      </c>
      <c r="W75" s="223" t="s">
        <v>5</v>
      </c>
      <c r="X75" s="3" t="s">
        <v>5</v>
      </c>
      <c r="Y75" s="3" t="s">
        <v>651</v>
      </c>
      <c r="Z75" s="3" t="s">
        <v>651</v>
      </c>
      <c r="AA75" s="3" t="s">
        <v>6</v>
      </c>
      <c r="AB75" s="223">
        <v>44562</v>
      </c>
      <c r="AC75" s="3" t="s">
        <v>10</v>
      </c>
      <c r="AD75" s="3" t="s">
        <v>10</v>
      </c>
      <c r="AE75" s="95" t="s">
        <v>2263</v>
      </c>
    </row>
    <row r="76" spans="1:31" x14ac:dyDescent="0.35">
      <c r="A76" s="3" t="s">
        <v>32</v>
      </c>
      <c r="B76" s="3" t="s">
        <v>33</v>
      </c>
      <c r="C76" s="3">
        <v>9</v>
      </c>
      <c r="D76" s="95" t="s">
        <v>3137</v>
      </c>
      <c r="E76" s="95" t="s">
        <v>422</v>
      </c>
      <c r="F76" s="95" t="s">
        <v>437</v>
      </c>
      <c r="G76" s="223">
        <v>44455</v>
      </c>
      <c r="H76" s="223">
        <v>44500</v>
      </c>
      <c r="I76" s="223">
        <v>46326</v>
      </c>
      <c r="J76" s="3">
        <v>0</v>
      </c>
      <c r="K76" s="3" t="s">
        <v>6</v>
      </c>
      <c r="L76" s="3" t="s">
        <v>6</v>
      </c>
      <c r="M76" s="95" t="s">
        <v>19</v>
      </c>
      <c r="N76" s="3" t="s">
        <v>20</v>
      </c>
      <c r="O76" s="3" t="s">
        <v>21</v>
      </c>
      <c r="P76" s="3" t="s">
        <v>6</v>
      </c>
      <c r="Q76" s="3" t="s">
        <v>6</v>
      </c>
      <c r="R76" s="95" t="s">
        <v>22</v>
      </c>
      <c r="S76" s="223">
        <v>43675</v>
      </c>
      <c r="T76" s="223">
        <v>43756</v>
      </c>
      <c r="U76" s="223">
        <v>43647</v>
      </c>
      <c r="V76" s="223">
        <v>43647</v>
      </c>
      <c r="W76" s="223" t="s">
        <v>6</v>
      </c>
      <c r="X76" s="3" t="s">
        <v>26</v>
      </c>
      <c r="Y76" s="3" t="s">
        <v>2116</v>
      </c>
      <c r="Z76" s="3" t="s">
        <v>20</v>
      </c>
      <c r="AA76" s="3" t="s">
        <v>6</v>
      </c>
      <c r="AB76" s="223">
        <v>44442</v>
      </c>
      <c r="AC76" s="3" t="s">
        <v>10</v>
      </c>
      <c r="AD76" s="3" t="s">
        <v>10</v>
      </c>
      <c r="AE76" s="95" t="s">
        <v>2263</v>
      </c>
    </row>
    <row r="77" spans="1:31" x14ac:dyDescent="0.35">
      <c r="A77" s="3" t="s">
        <v>34</v>
      </c>
      <c r="B77" s="3" t="s">
        <v>33</v>
      </c>
      <c r="C77" s="3">
        <v>9</v>
      </c>
      <c r="D77" s="95" t="s">
        <v>35</v>
      </c>
      <c r="E77" s="95" t="s">
        <v>2272</v>
      </c>
      <c r="F77" s="95" t="s">
        <v>437</v>
      </c>
      <c r="G77" s="223">
        <v>44211</v>
      </c>
      <c r="H77" s="223">
        <v>44256</v>
      </c>
      <c r="I77" s="223">
        <v>46081</v>
      </c>
      <c r="J77" s="3">
        <v>1</v>
      </c>
      <c r="K77" s="3" t="s">
        <v>6</v>
      </c>
      <c r="L77" s="3" t="s">
        <v>6</v>
      </c>
      <c r="M77" s="95" t="s">
        <v>27</v>
      </c>
      <c r="N77" s="3" t="s">
        <v>28</v>
      </c>
      <c r="O77" s="3" t="s">
        <v>25</v>
      </c>
      <c r="P77" s="3" t="s">
        <v>6</v>
      </c>
      <c r="Q77" s="3" t="s">
        <v>6</v>
      </c>
      <c r="R77" s="95" t="s">
        <v>22</v>
      </c>
      <c r="S77" s="223">
        <v>43374</v>
      </c>
      <c r="T77" s="223">
        <v>43553</v>
      </c>
      <c r="U77" s="223">
        <v>43009</v>
      </c>
      <c r="V77" s="223">
        <v>43009</v>
      </c>
      <c r="W77" s="223" t="s">
        <v>6</v>
      </c>
      <c r="X77" s="3" t="s">
        <v>26</v>
      </c>
      <c r="Y77" s="3" t="s">
        <v>2100</v>
      </c>
      <c r="Z77" s="3" t="s">
        <v>28</v>
      </c>
      <c r="AA77" s="3" t="s">
        <v>6</v>
      </c>
      <c r="AB77" s="223">
        <v>42159</v>
      </c>
      <c r="AC77" s="3" t="s">
        <v>6</v>
      </c>
      <c r="AD77" s="3" t="s">
        <v>10</v>
      </c>
      <c r="AE77" s="95" t="s">
        <v>2263</v>
      </c>
    </row>
    <row r="78" spans="1:31" x14ac:dyDescent="0.35">
      <c r="A78" s="3" t="s">
        <v>36</v>
      </c>
      <c r="B78" s="3" t="s">
        <v>33</v>
      </c>
      <c r="C78" s="3">
        <v>9</v>
      </c>
      <c r="D78" s="95" t="s">
        <v>1916</v>
      </c>
      <c r="E78" s="95" t="s">
        <v>1912</v>
      </c>
      <c r="F78" s="95" t="s">
        <v>437</v>
      </c>
      <c r="G78" s="223">
        <v>44609</v>
      </c>
      <c r="H78" s="223">
        <v>44609</v>
      </c>
      <c r="I78" s="223">
        <v>46434</v>
      </c>
      <c r="J78" s="3">
        <v>2</v>
      </c>
      <c r="K78" s="3" t="s">
        <v>6</v>
      </c>
      <c r="L78" s="3" t="s">
        <v>6</v>
      </c>
      <c r="M78" s="95" t="s">
        <v>23</v>
      </c>
      <c r="N78" s="3" t="s">
        <v>24</v>
      </c>
      <c r="O78" s="3" t="s">
        <v>25</v>
      </c>
      <c r="P78" s="3" t="s">
        <v>6</v>
      </c>
      <c r="Q78" s="3" t="s">
        <v>6</v>
      </c>
      <c r="R78" s="95" t="s">
        <v>22</v>
      </c>
      <c r="S78" s="223">
        <v>43374</v>
      </c>
      <c r="T78" s="223">
        <v>43497</v>
      </c>
      <c r="U78" s="223">
        <v>42644</v>
      </c>
      <c r="V78" s="223">
        <v>42644</v>
      </c>
      <c r="W78" s="223" t="s">
        <v>6</v>
      </c>
      <c r="X78" s="3" t="s">
        <v>26</v>
      </c>
      <c r="Y78" s="3" t="s">
        <v>2093</v>
      </c>
      <c r="Z78" s="3" t="s">
        <v>24</v>
      </c>
      <c r="AA78" s="3" t="s">
        <v>6</v>
      </c>
      <c r="AB78" s="223">
        <v>42782</v>
      </c>
      <c r="AC78" s="3" t="s">
        <v>10</v>
      </c>
      <c r="AD78" s="3" t="s">
        <v>10</v>
      </c>
      <c r="AE78" s="95" t="s">
        <v>2263</v>
      </c>
    </row>
    <row r="79" spans="1:31" x14ac:dyDescent="0.35">
      <c r="A79" s="3" t="s">
        <v>3222</v>
      </c>
      <c r="B79" s="3" t="s">
        <v>38</v>
      </c>
      <c r="C79" s="3">
        <v>9</v>
      </c>
      <c r="D79" s="95" t="s">
        <v>3223</v>
      </c>
      <c r="E79" s="95" t="s">
        <v>3224</v>
      </c>
      <c r="F79" s="95" t="s">
        <v>4</v>
      </c>
      <c r="G79" s="223">
        <v>44742</v>
      </c>
      <c r="H79" s="223">
        <v>44742</v>
      </c>
      <c r="I79" s="223">
        <v>46567</v>
      </c>
      <c r="J79" s="3">
        <v>7</v>
      </c>
      <c r="K79" s="3" t="s">
        <v>10</v>
      </c>
      <c r="L79" s="3" t="s">
        <v>10</v>
      </c>
      <c r="M79" s="95" t="s">
        <v>47</v>
      </c>
      <c r="N79" s="3" t="s">
        <v>48</v>
      </c>
      <c r="O79" s="3" t="s">
        <v>651</v>
      </c>
      <c r="P79" s="3" t="s">
        <v>6</v>
      </c>
      <c r="Q79" s="3" t="s">
        <v>6</v>
      </c>
      <c r="R79" s="95" t="s">
        <v>652</v>
      </c>
      <c r="S79" s="223" t="s">
        <v>5</v>
      </c>
      <c r="T79" s="223" t="s">
        <v>5</v>
      </c>
      <c r="U79" s="223" t="s">
        <v>5</v>
      </c>
      <c r="V79" s="223" t="s">
        <v>5</v>
      </c>
      <c r="W79" s="223" t="s">
        <v>5</v>
      </c>
      <c r="X79" s="3" t="s">
        <v>5</v>
      </c>
      <c r="Y79" s="3" t="s">
        <v>651</v>
      </c>
      <c r="Z79" s="3" t="s">
        <v>651</v>
      </c>
      <c r="AA79" s="3" t="s">
        <v>10</v>
      </c>
      <c r="AB79" s="223" t="s">
        <v>5</v>
      </c>
      <c r="AC79" s="3" t="s">
        <v>6</v>
      </c>
      <c r="AD79" s="3" t="s">
        <v>6</v>
      </c>
      <c r="AE79" s="95" t="s">
        <v>2265</v>
      </c>
    </row>
    <row r="80" spans="1:31" x14ac:dyDescent="0.35">
      <c r="A80" s="3" t="s">
        <v>37</v>
      </c>
      <c r="B80" s="3" t="s">
        <v>38</v>
      </c>
      <c r="C80" s="3">
        <v>9</v>
      </c>
      <c r="D80" s="95" t="s">
        <v>3138</v>
      </c>
      <c r="E80" s="95" t="s">
        <v>422</v>
      </c>
      <c r="F80" s="95" t="s">
        <v>437</v>
      </c>
      <c r="G80" s="223">
        <v>44455</v>
      </c>
      <c r="H80" s="223">
        <v>44500</v>
      </c>
      <c r="I80" s="223">
        <v>46326</v>
      </c>
      <c r="J80" s="3">
        <v>5</v>
      </c>
      <c r="K80" s="3" t="s">
        <v>6</v>
      </c>
      <c r="L80" s="3" t="s">
        <v>6</v>
      </c>
      <c r="M80" s="95" t="s">
        <v>19</v>
      </c>
      <c r="N80" s="3" t="s">
        <v>20</v>
      </c>
      <c r="O80" s="3" t="s">
        <v>21</v>
      </c>
      <c r="P80" s="3" t="s">
        <v>6</v>
      </c>
      <c r="Q80" s="3" t="s">
        <v>6</v>
      </c>
      <c r="R80" s="95" t="s">
        <v>22</v>
      </c>
      <c r="S80" s="223">
        <v>43675</v>
      </c>
      <c r="T80" s="223">
        <v>43756</v>
      </c>
      <c r="U80" s="223">
        <v>43647</v>
      </c>
      <c r="V80" s="223">
        <v>43647</v>
      </c>
      <c r="W80" s="223" t="s">
        <v>6</v>
      </c>
      <c r="X80" s="3" t="s">
        <v>26</v>
      </c>
      <c r="Y80" s="3" t="s">
        <v>2116</v>
      </c>
      <c r="Z80" s="3" t="s">
        <v>20</v>
      </c>
      <c r="AA80" s="3" t="s">
        <v>6</v>
      </c>
      <c r="AB80" s="223">
        <v>44442</v>
      </c>
      <c r="AC80" s="3" t="s">
        <v>10</v>
      </c>
      <c r="AD80" s="3" t="s">
        <v>10</v>
      </c>
      <c r="AE80" s="95" t="s">
        <v>2263</v>
      </c>
    </row>
    <row r="81" spans="1:31" x14ac:dyDescent="0.35">
      <c r="A81" s="3" t="s">
        <v>2276</v>
      </c>
      <c r="B81" s="3" t="s">
        <v>38</v>
      </c>
      <c r="C81" s="3">
        <v>9</v>
      </c>
      <c r="D81" s="95" t="s">
        <v>744</v>
      </c>
      <c r="E81" s="95" t="s">
        <v>745</v>
      </c>
      <c r="F81" s="95" t="s">
        <v>4</v>
      </c>
      <c r="G81" s="223">
        <v>44344</v>
      </c>
      <c r="H81" s="223">
        <v>44348</v>
      </c>
      <c r="I81" s="223">
        <v>46173</v>
      </c>
      <c r="J81" s="3">
        <v>60</v>
      </c>
      <c r="K81" s="3" t="s">
        <v>10</v>
      </c>
      <c r="L81" s="3" t="s">
        <v>10</v>
      </c>
      <c r="M81" s="95" t="s">
        <v>746</v>
      </c>
      <c r="N81" s="3" t="s">
        <v>351</v>
      </c>
      <c r="O81" s="3" t="s">
        <v>651</v>
      </c>
      <c r="P81" s="3" t="s">
        <v>6</v>
      </c>
      <c r="Q81" s="3" t="s">
        <v>6</v>
      </c>
      <c r="R81" s="95" t="s">
        <v>652</v>
      </c>
      <c r="S81" s="223" t="s">
        <v>5</v>
      </c>
      <c r="T81" s="223" t="s">
        <v>5</v>
      </c>
      <c r="U81" s="223" t="s">
        <v>5</v>
      </c>
      <c r="V81" s="223" t="s">
        <v>5</v>
      </c>
      <c r="W81" s="223" t="s">
        <v>5</v>
      </c>
      <c r="X81" s="3" t="s">
        <v>5</v>
      </c>
      <c r="Y81" s="3" t="s">
        <v>651</v>
      </c>
      <c r="Z81" s="3" t="s">
        <v>651</v>
      </c>
      <c r="AA81" s="3" t="s">
        <v>10</v>
      </c>
      <c r="AB81" s="223" t="s">
        <v>5</v>
      </c>
      <c r="AC81" s="3" t="s">
        <v>6</v>
      </c>
      <c r="AD81" s="3" t="s">
        <v>10</v>
      </c>
      <c r="AE81" s="95" t="s">
        <v>2263</v>
      </c>
    </row>
    <row r="82" spans="1:31" x14ac:dyDescent="0.35">
      <c r="A82" s="3" t="s">
        <v>2277</v>
      </c>
      <c r="B82" s="3" t="s">
        <v>38</v>
      </c>
      <c r="C82" s="3">
        <v>9</v>
      </c>
      <c r="D82" s="95" t="s">
        <v>747</v>
      </c>
      <c r="E82" s="95" t="s">
        <v>748</v>
      </c>
      <c r="F82" s="95" t="s">
        <v>4</v>
      </c>
      <c r="G82" s="223">
        <v>40847</v>
      </c>
      <c r="H82" s="223">
        <v>40847</v>
      </c>
      <c r="I82" s="223">
        <v>42673</v>
      </c>
      <c r="J82" s="3">
        <v>57</v>
      </c>
      <c r="K82" s="3" t="s">
        <v>10</v>
      </c>
      <c r="L82" s="3" t="s">
        <v>10</v>
      </c>
      <c r="M82" s="95" t="s">
        <v>19</v>
      </c>
      <c r="N82" s="3" t="s">
        <v>20</v>
      </c>
      <c r="O82" s="3" t="s">
        <v>651</v>
      </c>
      <c r="P82" s="3" t="s">
        <v>6</v>
      </c>
      <c r="Q82" s="3" t="s">
        <v>6</v>
      </c>
      <c r="R82" s="95" t="s">
        <v>652</v>
      </c>
      <c r="S82" s="223" t="s">
        <v>5</v>
      </c>
      <c r="T82" s="223" t="s">
        <v>5</v>
      </c>
      <c r="U82" s="223" t="s">
        <v>5</v>
      </c>
      <c r="V82" s="223" t="s">
        <v>5</v>
      </c>
      <c r="W82" s="223" t="s">
        <v>5</v>
      </c>
      <c r="X82" s="3" t="s">
        <v>5</v>
      </c>
      <c r="Y82" s="3" t="s">
        <v>651</v>
      </c>
      <c r="Z82" s="3" t="s">
        <v>651</v>
      </c>
      <c r="AA82" s="3" t="s">
        <v>10</v>
      </c>
      <c r="AB82" s="223" t="s">
        <v>5</v>
      </c>
      <c r="AC82" s="3" t="s">
        <v>10</v>
      </c>
      <c r="AD82" s="3" t="s">
        <v>10</v>
      </c>
      <c r="AE82" s="95" t="s">
        <v>2263</v>
      </c>
    </row>
    <row r="83" spans="1:31" x14ac:dyDescent="0.35">
      <c r="A83" s="3" t="s">
        <v>2278</v>
      </c>
      <c r="B83" s="3" t="s">
        <v>38</v>
      </c>
      <c r="C83" s="3">
        <v>9</v>
      </c>
      <c r="D83" s="95" t="s">
        <v>749</v>
      </c>
      <c r="E83" s="95" t="s">
        <v>750</v>
      </c>
      <c r="F83" s="95" t="s">
        <v>4</v>
      </c>
      <c r="G83" s="223">
        <v>43600</v>
      </c>
      <c r="H83" s="223">
        <v>43831</v>
      </c>
      <c r="I83" s="223">
        <v>45657</v>
      </c>
      <c r="J83" s="3">
        <v>122</v>
      </c>
      <c r="K83" s="3" t="s">
        <v>10</v>
      </c>
      <c r="L83" s="3" t="s">
        <v>10</v>
      </c>
      <c r="M83" s="95" t="s">
        <v>27</v>
      </c>
      <c r="N83" s="3" t="s">
        <v>28</v>
      </c>
      <c r="O83" s="3" t="s">
        <v>651</v>
      </c>
      <c r="P83" s="3" t="s">
        <v>6</v>
      </c>
      <c r="Q83" s="3" t="s">
        <v>6</v>
      </c>
      <c r="R83" s="95" t="s">
        <v>652</v>
      </c>
      <c r="S83" s="223" t="s">
        <v>5</v>
      </c>
      <c r="T83" s="223" t="s">
        <v>5</v>
      </c>
      <c r="U83" s="223" t="s">
        <v>5</v>
      </c>
      <c r="V83" s="223" t="s">
        <v>5</v>
      </c>
      <c r="W83" s="223" t="s">
        <v>5</v>
      </c>
      <c r="X83" s="3" t="s">
        <v>5</v>
      </c>
      <c r="Y83" s="3" t="s">
        <v>651</v>
      </c>
      <c r="Z83" s="3" t="s">
        <v>651</v>
      </c>
      <c r="AA83" s="3" t="s">
        <v>10</v>
      </c>
      <c r="AB83" s="223" t="s">
        <v>5</v>
      </c>
      <c r="AC83" s="3" t="s">
        <v>6</v>
      </c>
      <c r="AD83" s="3" t="s">
        <v>10</v>
      </c>
      <c r="AE83" s="95" t="s">
        <v>2263</v>
      </c>
    </row>
    <row r="84" spans="1:31" x14ac:dyDescent="0.35">
      <c r="A84" s="3" t="s">
        <v>751</v>
      </c>
      <c r="B84" s="3" t="s">
        <v>38</v>
      </c>
      <c r="C84" s="3">
        <v>9</v>
      </c>
      <c r="D84" s="95" t="s">
        <v>752</v>
      </c>
      <c r="E84" s="95" t="s">
        <v>753</v>
      </c>
      <c r="F84" s="95" t="s">
        <v>4</v>
      </c>
      <c r="G84" s="223">
        <v>42642</v>
      </c>
      <c r="H84" s="223">
        <v>42643</v>
      </c>
      <c r="I84" s="223">
        <v>44468</v>
      </c>
      <c r="J84" s="3">
        <v>46</v>
      </c>
      <c r="K84" s="3" t="s">
        <v>10</v>
      </c>
      <c r="L84" s="3" t="s">
        <v>10</v>
      </c>
      <c r="M84" s="95" t="s">
        <v>2555</v>
      </c>
      <c r="N84" s="3" t="s">
        <v>52</v>
      </c>
      <c r="O84" s="3" t="s">
        <v>651</v>
      </c>
      <c r="P84" s="3" t="s">
        <v>6</v>
      </c>
      <c r="Q84" s="3" t="s">
        <v>6</v>
      </c>
      <c r="R84" s="95" t="s">
        <v>652</v>
      </c>
      <c r="S84" s="223" t="s">
        <v>5</v>
      </c>
      <c r="T84" s="223" t="s">
        <v>5</v>
      </c>
      <c r="U84" s="223" t="s">
        <v>5</v>
      </c>
      <c r="V84" s="223" t="s">
        <v>5</v>
      </c>
      <c r="W84" s="223" t="s">
        <v>5</v>
      </c>
      <c r="X84" s="3" t="s">
        <v>5</v>
      </c>
      <c r="Y84" s="3" t="s">
        <v>651</v>
      </c>
      <c r="Z84" s="3" t="s">
        <v>651</v>
      </c>
      <c r="AA84" s="3" t="s">
        <v>6</v>
      </c>
      <c r="AB84" s="223">
        <v>42736</v>
      </c>
      <c r="AC84" s="3" t="s">
        <v>6</v>
      </c>
      <c r="AD84" s="3" t="s">
        <v>6</v>
      </c>
      <c r="AE84" s="95" t="s">
        <v>2265</v>
      </c>
    </row>
    <row r="85" spans="1:31" x14ac:dyDescent="0.35">
      <c r="A85" s="3" t="s">
        <v>1917</v>
      </c>
      <c r="B85" s="3" t="s">
        <v>38</v>
      </c>
      <c r="C85" s="3">
        <v>9</v>
      </c>
      <c r="D85" s="95" t="s">
        <v>1918</v>
      </c>
      <c r="E85" s="95" t="s">
        <v>2272</v>
      </c>
      <c r="F85" s="95" t="s">
        <v>437</v>
      </c>
      <c r="G85" s="223">
        <v>44211</v>
      </c>
      <c r="H85" s="223">
        <v>44256</v>
      </c>
      <c r="I85" s="223">
        <v>46081</v>
      </c>
      <c r="J85" s="3">
        <v>25</v>
      </c>
      <c r="K85" s="3" t="s">
        <v>6</v>
      </c>
      <c r="L85" s="3" t="s">
        <v>6</v>
      </c>
      <c r="M85" s="95" t="s">
        <v>27</v>
      </c>
      <c r="N85" s="3" t="s">
        <v>28</v>
      </c>
      <c r="O85" s="3" t="s">
        <v>25</v>
      </c>
      <c r="P85" s="3" t="s">
        <v>6</v>
      </c>
      <c r="Q85" s="3" t="s">
        <v>6</v>
      </c>
      <c r="R85" s="95" t="s">
        <v>22</v>
      </c>
      <c r="S85" s="223">
        <v>43374</v>
      </c>
      <c r="T85" s="223">
        <v>43553</v>
      </c>
      <c r="U85" s="223">
        <v>43009</v>
      </c>
      <c r="V85" s="223">
        <v>43009</v>
      </c>
      <c r="W85" s="223" t="s">
        <v>6</v>
      </c>
      <c r="X85" s="3" t="s">
        <v>26</v>
      </c>
      <c r="Y85" s="3" t="s">
        <v>2100</v>
      </c>
      <c r="Z85" s="3" t="s">
        <v>28</v>
      </c>
      <c r="AA85" s="3" t="s">
        <v>6</v>
      </c>
      <c r="AB85" s="223">
        <v>42159</v>
      </c>
      <c r="AC85" s="3" t="s">
        <v>6</v>
      </c>
      <c r="AD85" s="3" t="s">
        <v>10</v>
      </c>
      <c r="AE85" s="95" t="s">
        <v>2263</v>
      </c>
    </row>
    <row r="86" spans="1:31" x14ac:dyDescent="0.35">
      <c r="A86" s="3" t="s">
        <v>39</v>
      </c>
      <c r="B86" s="3" t="s">
        <v>38</v>
      </c>
      <c r="C86" s="3">
        <v>9</v>
      </c>
      <c r="D86" s="95" t="s">
        <v>1919</v>
      </c>
      <c r="E86" s="95" t="s">
        <v>1912</v>
      </c>
      <c r="F86" s="95" t="s">
        <v>437</v>
      </c>
      <c r="G86" s="223">
        <v>44609</v>
      </c>
      <c r="H86" s="223">
        <v>44609</v>
      </c>
      <c r="I86" s="223">
        <v>46434</v>
      </c>
      <c r="J86" s="3">
        <v>567</v>
      </c>
      <c r="K86" s="3" t="s">
        <v>6</v>
      </c>
      <c r="L86" s="3" t="s">
        <v>6</v>
      </c>
      <c r="M86" s="95" t="s">
        <v>23</v>
      </c>
      <c r="N86" s="3" t="s">
        <v>24</v>
      </c>
      <c r="O86" s="3" t="s">
        <v>25</v>
      </c>
      <c r="P86" s="3" t="s">
        <v>6</v>
      </c>
      <c r="Q86" s="3" t="s">
        <v>6</v>
      </c>
      <c r="R86" s="95" t="s">
        <v>22</v>
      </c>
      <c r="S86" s="223">
        <v>43374</v>
      </c>
      <c r="T86" s="223">
        <v>43497</v>
      </c>
      <c r="U86" s="223">
        <v>42644</v>
      </c>
      <c r="V86" s="223">
        <v>42644</v>
      </c>
      <c r="W86" s="223" t="s">
        <v>6</v>
      </c>
      <c r="X86" s="3" t="s">
        <v>26</v>
      </c>
      <c r="Y86" s="3" t="s">
        <v>2093</v>
      </c>
      <c r="Z86" s="3" t="s">
        <v>24</v>
      </c>
      <c r="AA86" s="3" t="s">
        <v>6</v>
      </c>
      <c r="AB86" s="223">
        <v>42782</v>
      </c>
      <c r="AC86" s="3" t="s">
        <v>10</v>
      </c>
      <c r="AD86" s="3" t="s">
        <v>10</v>
      </c>
      <c r="AE86" s="95" t="s">
        <v>2263</v>
      </c>
    </row>
    <row r="87" spans="1:31" x14ac:dyDescent="0.35">
      <c r="A87" s="3" t="s">
        <v>754</v>
      </c>
      <c r="B87" s="3" t="s">
        <v>38</v>
      </c>
      <c r="C87" s="3">
        <v>9</v>
      </c>
      <c r="D87" s="95" t="s">
        <v>755</v>
      </c>
      <c r="E87" s="95" t="s">
        <v>756</v>
      </c>
      <c r="F87" s="95" t="s">
        <v>4</v>
      </c>
      <c r="G87" s="223">
        <v>43600</v>
      </c>
      <c r="H87" s="223">
        <v>43831</v>
      </c>
      <c r="I87" s="223">
        <v>45657</v>
      </c>
      <c r="J87" s="3">
        <v>697</v>
      </c>
      <c r="K87" s="3" t="s">
        <v>10</v>
      </c>
      <c r="L87" s="3" t="s">
        <v>10</v>
      </c>
      <c r="M87" s="95" t="s">
        <v>27</v>
      </c>
      <c r="N87" s="3" t="s">
        <v>28</v>
      </c>
      <c r="O87" s="3" t="s">
        <v>651</v>
      </c>
      <c r="P87" s="3" t="s">
        <v>6</v>
      </c>
      <c r="Q87" s="3" t="s">
        <v>6</v>
      </c>
      <c r="R87" s="95" t="s">
        <v>652</v>
      </c>
      <c r="S87" s="223" t="s">
        <v>5</v>
      </c>
      <c r="T87" s="223" t="s">
        <v>5</v>
      </c>
      <c r="U87" s="223" t="s">
        <v>5</v>
      </c>
      <c r="V87" s="223" t="s">
        <v>5</v>
      </c>
      <c r="W87" s="223" t="s">
        <v>5</v>
      </c>
      <c r="X87" s="3" t="s">
        <v>5</v>
      </c>
      <c r="Y87" s="3" t="s">
        <v>651</v>
      </c>
      <c r="Z87" s="3" t="s">
        <v>651</v>
      </c>
      <c r="AA87" s="3" t="s">
        <v>10</v>
      </c>
      <c r="AB87" s="223" t="s">
        <v>5</v>
      </c>
      <c r="AC87" s="3" t="s">
        <v>6</v>
      </c>
      <c r="AD87" s="3" t="s">
        <v>10</v>
      </c>
      <c r="AE87" s="95" t="s">
        <v>2263</v>
      </c>
    </row>
    <row r="88" spans="1:31" x14ac:dyDescent="0.35">
      <c r="A88" s="3" t="s">
        <v>757</v>
      </c>
      <c r="B88" s="3" t="s">
        <v>38</v>
      </c>
      <c r="C88" s="3">
        <v>9</v>
      </c>
      <c r="D88" s="95" t="s">
        <v>758</v>
      </c>
      <c r="E88" s="95" t="s">
        <v>759</v>
      </c>
      <c r="F88" s="95" t="s">
        <v>4</v>
      </c>
      <c r="G88" s="223">
        <v>41423</v>
      </c>
      <c r="H88" s="223">
        <v>44013</v>
      </c>
      <c r="I88" s="223">
        <v>45838</v>
      </c>
      <c r="J88" s="3">
        <v>2545</v>
      </c>
      <c r="K88" s="3" t="s">
        <v>10</v>
      </c>
      <c r="L88" s="3" t="s">
        <v>10</v>
      </c>
      <c r="M88" s="95" t="s">
        <v>23</v>
      </c>
      <c r="N88" s="3" t="s">
        <v>24</v>
      </c>
      <c r="O88" s="3" t="s">
        <v>651</v>
      </c>
      <c r="P88" s="3" t="s">
        <v>6</v>
      </c>
      <c r="Q88" s="3" t="s">
        <v>6</v>
      </c>
      <c r="R88" s="95" t="s">
        <v>652</v>
      </c>
      <c r="S88" s="223" t="s">
        <v>5</v>
      </c>
      <c r="T88" s="223" t="s">
        <v>5</v>
      </c>
      <c r="U88" s="223" t="s">
        <v>5</v>
      </c>
      <c r="V88" s="223" t="s">
        <v>5</v>
      </c>
      <c r="W88" s="223" t="s">
        <v>5</v>
      </c>
      <c r="X88" s="3" t="s">
        <v>5</v>
      </c>
      <c r="Y88" s="3" t="s">
        <v>651</v>
      </c>
      <c r="Z88" s="3" t="s">
        <v>651</v>
      </c>
      <c r="AA88" s="3" t="s">
        <v>10</v>
      </c>
      <c r="AB88" s="223" t="s">
        <v>5</v>
      </c>
      <c r="AC88" s="3" t="s">
        <v>6</v>
      </c>
      <c r="AD88" s="3" t="s">
        <v>10</v>
      </c>
      <c r="AE88" s="95" t="s">
        <v>2263</v>
      </c>
    </row>
    <row r="89" spans="1:31" x14ac:dyDescent="0.35">
      <c r="A89" s="3" t="s">
        <v>760</v>
      </c>
      <c r="B89" s="3" t="s">
        <v>41</v>
      </c>
      <c r="C89" s="3">
        <v>9</v>
      </c>
      <c r="D89" s="95" t="s">
        <v>761</v>
      </c>
      <c r="E89" s="95" t="s">
        <v>4</v>
      </c>
      <c r="F89" s="95" t="s">
        <v>651</v>
      </c>
      <c r="G89" s="223">
        <v>44909</v>
      </c>
      <c r="H89" s="223">
        <v>44958</v>
      </c>
      <c r="I89" s="223">
        <v>46783</v>
      </c>
      <c r="J89" s="3" t="s">
        <v>2266</v>
      </c>
      <c r="K89" s="3" t="s">
        <v>10</v>
      </c>
      <c r="L89" s="3" t="s">
        <v>10</v>
      </c>
      <c r="M89" s="95" t="s">
        <v>762</v>
      </c>
      <c r="N89" s="3" t="s">
        <v>62</v>
      </c>
      <c r="O89" s="3" t="s">
        <v>651</v>
      </c>
      <c r="P89" s="3" t="s">
        <v>10</v>
      </c>
      <c r="Q89" s="3" t="s">
        <v>6</v>
      </c>
      <c r="R89" s="95" t="s">
        <v>2781</v>
      </c>
      <c r="S89" s="223" t="s">
        <v>5</v>
      </c>
      <c r="T89" s="223" t="s">
        <v>5</v>
      </c>
      <c r="U89" s="223" t="s">
        <v>5</v>
      </c>
      <c r="V89" s="223" t="s">
        <v>5</v>
      </c>
      <c r="W89" s="223" t="s">
        <v>5</v>
      </c>
      <c r="X89" s="3" t="s">
        <v>5</v>
      </c>
      <c r="Y89" s="3" t="s">
        <v>651</v>
      </c>
      <c r="Z89" s="3" t="s">
        <v>651</v>
      </c>
      <c r="AA89" s="3" t="s">
        <v>651</v>
      </c>
      <c r="AB89" s="223" t="s">
        <v>5</v>
      </c>
      <c r="AC89" s="3" t="s">
        <v>651</v>
      </c>
      <c r="AD89" s="3" t="s">
        <v>651</v>
      </c>
      <c r="AE89" s="95" t="s">
        <v>651</v>
      </c>
    </row>
    <row r="90" spans="1:31" x14ac:dyDescent="0.35">
      <c r="A90" s="3" t="s">
        <v>763</v>
      </c>
      <c r="B90" s="3" t="s">
        <v>41</v>
      </c>
      <c r="C90" s="3">
        <v>9</v>
      </c>
      <c r="D90" s="95" t="s">
        <v>764</v>
      </c>
      <c r="E90" s="95" t="s">
        <v>4</v>
      </c>
      <c r="F90" s="95" t="s">
        <v>651</v>
      </c>
      <c r="G90" s="223">
        <v>43593</v>
      </c>
      <c r="H90" s="223">
        <v>43647</v>
      </c>
      <c r="I90" s="223">
        <v>45473</v>
      </c>
      <c r="J90" s="3" t="s">
        <v>2266</v>
      </c>
      <c r="K90" s="3" t="s">
        <v>10</v>
      </c>
      <c r="L90" s="3" t="s">
        <v>10</v>
      </c>
      <c r="M90" s="95" t="s">
        <v>762</v>
      </c>
      <c r="N90" s="3" t="s">
        <v>62</v>
      </c>
      <c r="O90" s="3" t="s">
        <v>651</v>
      </c>
      <c r="P90" s="3" t="s">
        <v>10</v>
      </c>
      <c r="Q90" s="3" t="s">
        <v>6</v>
      </c>
      <c r="R90" s="95" t="s">
        <v>2781</v>
      </c>
      <c r="S90" s="223" t="s">
        <v>5</v>
      </c>
      <c r="T90" s="223" t="s">
        <v>5</v>
      </c>
      <c r="U90" s="223" t="s">
        <v>5</v>
      </c>
      <c r="V90" s="223" t="s">
        <v>5</v>
      </c>
      <c r="W90" s="223" t="s">
        <v>5</v>
      </c>
      <c r="X90" s="3" t="s">
        <v>5</v>
      </c>
      <c r="Y90" s="3" t="s">
        <v>651</v>
      </c>
      <c r="Z90" s="3" t="s">
        <v>651</v>
      </c>
      <c r="AA90" s="3" t="s">
        <v>651</v>
      </c>
      <c r="AB90" s="223" t="s">
        <v>5</v>
      </c>
      <c r="AC90" s="3" t="s">
        <v>651</v>
      </c>
      <c r="AD90" s="3" t="s">
        <v>651</v>
      </c>
      <c r="AE90" s="95" t="s">
        <v>651</v>
      </c>
    </row>
    <row r="91" spans="1:31" x14ac:dyDescent="0.35">
      <c r="A91" s="3" t="s">
        <v>765</v>
      </c>
      <c r="B91" s="3" t="s">
        <v>41</v>
      </c>
      <c r="C91" s="3">
        <v>9</v>
      </c>
      <c r="D91" s="95" t="s">
        <v>315</v>
      </c>
      <c r="E91" s="95" t="s">
        <v>766</v>
      </c>
      <c r="F91" s="95" t="s">
        <v>4</v>
      </c>
      <c r="G91" s="223">
        <v>44502</v>
      </c>
      <c r="H91" s="223">
        <v>44652</v>
      </c>
      <c r="I91" s="223">
        <v>46477</v>
      </c>
      <c r="J91" s="3">
        <v>30</v>
      </c>
      <c r="K91" s="3" t="s">
        <v>10</v>
      </c>
      <c r="L91" s="3" t="s">
        <v>10</v>
      </c>
      <c r="M91" s="95" t="s">
        <v>105</v>
      </c>
      <c r="N91" s="3" t="s">
        <v>106</v>
      </c>
      <c r="O91" s="3" t="s">
        <v>651</v>
      </c>
      <c r="P91" s="3" t="s">
        <v>6</v>
      </c>
      <c r="Q91" s="3" t="s">
        <v>6</v>
      </c>
      <c r="R91" s="95" t="s">
        <v>652</v>
      </c>
      <c r="S91" s="223" t="s">
        <v>5</v>
      </c>
      <c r="T91" s="223" t="s">
        <v>5</v>
      </c>
      <c r="U91" s="223" t="s">
        <v>5</v>
      </c>
      <c r="V91" s="223" t="s">
        <v>5</v>
      </c>
      <c r="W91" s="223" t="s">
        <v>5</v>
      </c>
      <c r="X91" s="3" t="s">
        <v>5</v>
      </c>
      <c r="Y91" s="3" t="s">
        <v>651</v>
      </c>
      <c r="Z91" s="3" t="s">
        <v>651</v>
      </c>
      <c r="AA91" s="3" t="s">
        <v>10</v>
      </c>
      <c r="AB91" s="223" t="s">
        <v>5</v>
      </c>
      <c r="AC91" s="3" t="s">
        <v>10</v>
      </c>
      <c r="AD91" s="3" t="s">
        <v>6</v>
      </c>
      <c r="AE91" s="95" t="s">
        <v>2265</v>
      </c>
    </row>
    <row r="92" spans="1:31" x14ac:dyDescent="0.35">
      <c r="A92" s="3" t="s">
        <v>767</v>
      </c>
      <c r="B92" s="3" t="s">
        <v>41</v>
      </c>
      <c r="C92" s="3">
        <v>9</v>
      </c>
      <c r="D92" s="95" t="s">
        <v>768</v>
      </c>
      <c r="E92" s="95" t="s">
        <v>769</v>
      </c>
      <c r="F92" s="95" t="s">
        <v>4</v>
      </c>
      <c r="G92" s="223">
        <v>43441</v>
      </c>
      <c r="H92" s="223">
        <v>43541</v>
      </c>
      <c r="I92" s="223">
        <v>45366</v>
      </c>
      <c r="J92" s="3">
        <v>75</v>
      </c>
      <c r="K92" s="3" t="s">
        <v>10</v>
      </c>
      <c r="L92" s="3" t="s">
        <v>10</v>
      </c>
      <c r="M92" s="95" t="s">
        <v>105</v>
      </c>
      <c r="N92" s="3" t="s">
        <v>106</v>
      </c>
      <c r="O92" s="3" t="s">
        <v>651</v>
      </c>
      <c r="P92" s="3" t="s">
        <v>6</v>
      </c>
      <c r="Q92" s="3" t="s">
        <v>6</v>
      </c>
      <c r="R92" s="95" t="s">
        <v>652</v>
      </c>
      <c r="S92" s="223" t="s">
        <v>5</v>
      </c>
      <c r="T92" s="223" t="s">
        <v>5</v>
      </c>
      <c r="U92" s="223" t="s">
        <v>5</v>
      </c>
      <c r="V92" s="223" t="s">
        <v>5</v>
      </c>
      <c r="W92" s="223" t="s">
        <v>5</v>
      </c>
      <c r="X92" s="3" t="s">
        <v>5</v>
      </c>
      <c r="Y92" s="3" t="s">
        <v>651</v>
      </c>
      <c r="Z92" s="3" t="s">
        <v>651</v>
      </c>
      <c r="AA92" s="3" t="s">
        <v>10</v>
      </c>
      <c r="AB92" s="223" t="s">
        <v>5</v>
      </c>
      <c r="AC92" s="3" t="s">
        <v>10</v>
      </c>
      <c r="AD92" s="3" t="s">
        <v>6</v>
      </c>
      <c r="AE92" s="95" t="s">
        <v>2265</v>
      </c>
    </row>
    <row r="93" spans="1:31" x14ac:dyDescent="0.35">
      <c r="A93" s="3" t="s">
        <v>770</v>
      </c>
      <c r="B93" s="3" t="s">
        <v>41</v>
      </c>
      <c r="C93" s="3">
        <v>9</v>
      </c>
      <c r="D93" s="95" t="s">
        <v>771</v>
      </c>
      <c r="E93" s="95" t="s">
        <v>772</v>
      </c>
      <c r="F93" s="95" t="s">
        <v>4</v>
      </c>
      <c r="G93" s="223">
        <v>42928</v>
      </c>
      <c r="H93" s="223">
        <v>42979</v>
      </c>
      <c r="I93" s="223">
        <v>44804</v>
      </c>
      <c r="J93" s="3">
        <v>3</v>
      </c>
      <c r="K93" s="3" t="s">
        <v>10</v>
      </c>
      <c r="L93" s="3" t="s">
        <v>10</v>
      </c>
      <c r="M93" s="95" t="s">
        <v>204</v>
      </c>
      <c r="N93" s="3" t="s">
        <v>521</v>
      </c>
      <c r="O93" s="3" t="s">
        <v>651</v>
      </c>
      <c r="P93" s="3" t="s">
        <v>6</v>
      </c>
      <c r="Q93" s="3" t="s">
        <v>6</v>
      </c>
      <c r="R93" s="95" t="s">
        <v>652</v>
      </c>
      <c r="S93" s="223" t="s">
        <v>5</v>
      </c>
      <c r="T93" s="223" t="s">
        <v>5</v>
      </c>
      <c r="U93" s="223" t="s">
        <v>5</v>
      </c>
      <c r="V93" s="223" t="s">
        <v>5</v>
      </c>
      <c r="W93" s="223" t="s">
        <v>5</v>
      </c>
      <c r="X93" s="3" t="s">
        <v>5</v>
      </c>
      <c r="Y93" s="3" t="s">
        <v>651</v>
      </c>
      <c r="Z93" s="3" t="s">
        <v>651</v>
      </c>
      <c r="AA93" s="3" t="s">
        <v>10</v>
      </c>
      <c r="AB93" s="223" t="s">
        <v>5</v>
      </c>
      <c r="AC93" s="3" t="s">
        <v>10</v>
      </c>
      <c r="AD93" s="3" t="s">
        <v>10</v>
      </c>
      <c r="AE93" s="95" t="s">
        <v>2265</v>
      </c>
    </row>
    <row r="94" spans="1:31" x14ac:dyDescent="0.35">
      <c r="A94" s="3" t="s">
        <v>40</v>
      </c>
      <c r="B94" s="3" t="s">
        <v>41</v>
      </c>
      <c r="C94" s="3">
        <v>9</v>
      </c>
      <c r="D94" s="95" t="s">
        <v>3139</v>
      </c>
      <c r="E94" s="95" t="s">
        <v>422</v>
      </c>
      <c r="F94" s="95" t="s">
        <v>437</v>
      </c>
      <c r="G94" s="223">
        <v>44455</v>
      </c>
      <c r="H94" s="223">
        <v>44500</v>
      </c>
      <c r="I94" s="223">
        <v>46326</v>
      </c>
      <c r="J94" s="3">
        <v>1</v>
      </c>
      <c r="K94" s="3" t="s">
        <v>6</v>
      </c>
      <c r="L94" s="3" t="s">
        <v>6</v>
      </c>
      <c r="M94" s="95" t="s">
        <v>19</v>
      </c>
      <c r="N94" s="3" t="s">
        <v>20</v>
      </c>
      <c r="O94" s="3" t="s">
        <v>21</v>
      </c>
      <c r="P94" s="3" t="s">
        <v>6</v>
      </c>
      <c r="Q94" s="3" t="s">
        <v>6</v>
      </c>
      <c r="R94" s="95" t="s">
        <v>22</v>
      </c>
      <c r="S94" s="223">
        <v>43675</v>
      </c>
      <c r="T94" s="223">
        <v>43756</v>
      </c>
      <c r="U94" s="223">
        <v>43647</v>
      </c>
      <c r="V94" s="223">
        <v>43647</v>
      </c>
      <c r="W94" s="223" t="s">
        <v>6</v>
      </c>
      <c r="X94" s="3" t="s">
        <v>26</v>
      </c>
      <c r="Y94" s="3" t="s">
        <v>2116</v>
      </c>
      <c r="Z94" s="3" t="s">
        <v>20</v>
      </c>
      <c r="AA94" s="3" t="s">
        <v>6</v>
      </c>
      <c r="AB94" s="223">
        <v>44442</v>
      </c>
      <c r="AC94" s="3" t="s">
        <v>10</v>
      </c>
      <c r="AD94" s="3" t="s">
        <v>10</v>
      </c>
      <c r="AE94" s="95" t="s">
        <v>2263</v>
      </c>
    </row>
    <row r="95" spans="1:31" x14ac:dyDescent="0.35">
      <c r="A95" s="3" t="s">
        <v>773</v>
      </c>
      <c r="B95" s="3" t="s">
        <v>41</v>
      </c>
      <c r="C95" s="3">
        <v>9</v>
      </c>
      <c r="D95" s="95" t="s">
        <v>774</v>
      </c>
      <c r="E95" s="95" t="s">
        <v>775</v>
      </c>
      <c r="F95" s="95" t="s">
        <v>4</v>
      </c>
      <c r="G95" s="223">
        <v>43804</v>
      </c>
      <c r="H95" s="223">
        <v>43862</v>
      </c>
      <c r="I95" s="223">
        <v>45688</v>
      </c>
      <c r="J95" s="3">
        <v>9</v>
      </c>
      <c r="K95" s="3" t="s">
        <v>10</v>
      </c>
      <c r="L95" s="3" t="s">
        <v>10</v>
      </c>
      <c r="M95" s="95" t="s">
        <v>109</v>
      </c>
      <c r="N95" s="3" t="s">
        <v>110</v>
      </c>
      <c r="O95" s="3" t="s">
        <v>651</v>
      </c>
      <c r="P95" s="3" t="s">
        <v>6</v>
      </c>
      <c r="Q95" s="3" t="s">
        <v>6</v>
      </c>
      <c r="R95" s="95" t="s">
        <v>652</v>
      </c>
      <c r="S95" s="223" t="s">
        <v>5</v>
      </c>
      <c r="T95" s="223" t="s">
        <v>5</v>
      </c>
      <c r="U95" s="223" t="s">
        <v>5</v>
      </c>
      <c r="V95" s="223" t="s">
        <v>5</v>
      </c>
      <c r="W95" s="223" t="s">
        <v>5</v>
      </c>
      <c r="X95" s="3" t="s">
        <v>5</v>
      </c>
      <c r="Y95" s="3" t="s">
        <v>651</v>
      </c>
      <c r="Z95" s="3" t="s">
        <v>651</v>
      </c>
      <c r="AA95" s="3" t="s">
        <v>10</v>
      </c>
      <c r="AB95" s="223" t="s">
        <v>5</v>
      </c>
      <c r="AC95" s="3" t="s">
        <v>6</v>
      </c>
      <c r="AD95" s="3" t="s">
        <v>10</v>
      </c>
      <c r="AE95" s="95" t="s">
        <v>2265</v>
      </c>
    </row>
    <row r="96" spans="1:31" x14ac:dyDescent="0.35">
      <c r="A96" s="3" t="s">
        <v>776</v>
      </c>
      <c r="B96" s="3" t="s">
        <v>41</v>
      </c>
      <c r="C96" s="3">
        <v>9</v>
      </c>
      <c r="D96" s="95" t="s">
        <v>777</v>
      </c>
      <c r="E96" s="95" t="s">
        <v>778</v>
      </c>
      <c r="F96" s="95" t="s">
        <v>4</v>
      </c>
      <c r="G96" s="223">
        <v>41961</v>
      </c>
      <c r="H96" s="223">
        <v>42061</v>
      </c>
      <c r="I96" s="223">
        <v>43886</v>
      </c>
      <c r="J96" s="3">
        <v>614</v>
      </c>
      <c r="K96" s="3" t="s">
        <v>10</v>
      </c>
      <c r="L96" s="3" t="s">
        <v>10</v>
      </c>
      <c r="M96" s="95" t="s">
        <v>116</v>
      </c>
      <c r="N96" s="3" t="s">
        <v>117</v>
      </c>
      <c r="O96" s="3" t="s">
        <v>651</v>
      </c>
      <c r="P96" s="3" t="s">
        <v>6</v>
      </c>
      <c r="Q96" s="3" t="s">
        <v>6</v>
      </c>
      <c r="R96" s="95" t="s">
        <v>652</v>
      </c>
      <c r="S96" s="223" t="s">
        <v>5</v>
      </c>
      <c r="T96" s="223" t="s">
        <v>5</v>
      </c>
      <c r="U96" s="223" t="s">
        <v>5</v>
      </c>
      <c r="V96" s="223" t="s">
        <v>5</v>
      </c>
      <c r="W96" s="223" t="s">
        <v>5</v>
      </c>
      <c r="X96" s="3" t="s">
        <v>5</v>
      </c>
      <c r="Y96" s="3" t="s">
        <v>651</v>
      </c>
      <c r="Z96" s="3" t="s">
        <v>651</v>
      </c>
      <c r="AA96" s="3" t="s">
        <v>10</v>
      </c>
      <c r="AB96" s="223" t="s">
        <v>5</v>
      </c>
      <c r="AC96" s="3" t="s">
        <v>6</v>
      </c>
      <c r="AD96" s="3" t="s">
        <v>10</v>
      </c>
      <c r="AE96" s="95" t="s">
        <v>2265</v>
      </c>
    </row>
    <row r="97" spans="1:31" x14ac:dyDescent="0.35">
      <c r="A97" s="3" t="s">
        <v>42</v>
      </c>
      <c r="B97" s="3" t="s">
        <v>41</v>
      </c>
      <c r="C97" s="3">
        <v>9</v>
      </c>
      <c r="D97" s="95" t="s">
        <v>472</v>
      </c>
      <c r="E97" s="95" t="s">
        <v>2279</v>
      </c>
      <c r="F97" s="95" t="s">
        <v>4</v>
      </c>
      <c r="G97" s="223">
        <v>41628</v>
      </c>
      <c r="H97" s="223">
        <v>41699</v>
      </c>
      <c r="I97" s="223">
        <v>43524</v>
      </c>
      <c r="J97" s="3">
        <v>23</v>
      </c>
      <c r="K97" s="3" t="s">
        <v>6</v>
      </c>
      <c r="L97" s="3" t="s">
        <v>6</v>
      </c>
      <c r="M97" s="95" t="s">
        <v>11</v>
      </c>
      <c r="N97" s="3" t="s">
        <v>7</v>
      </c>
      <c r="O97" s="3" t="s">
        <v>56</v>
      </c>
      <c r="P97" s="3" t="s">
        <v>6</v>
      </c>
      <c r="Q97" s="3" t="s">
        <v>6</v>
      </c>
      <c r="R97" s="95" t="s">
        <v>9</v>
      </c>
      <c r="S97" s="223">
        <v>43752</v>
      </c>
      <c r="T97" s="223">
        <v>43812</v>
      </c>
      <c r="U97" s="223">
        <v>43009</v>
      </c>
      <c r="V97" s="223">
        <v>43009</v>
      </c>
      <c r="W97" s="223" t="s">
        <v>6</v>
      </c>
      <c r="X97" s="3" t="s">
        <v>26</v>
      </c>
      <c r="Y97" s="3" t="s">
        <v>3211</v>
      </c>
      <c r="Z97" s="3" t="s">
        <v>62</v>
      </c>
      <c r="AA97" s="3" t="s">
        <v>10</v>
      </c>
      <c r="AB97" s="223" t="s">
        <v>5</v>
      </c>
      <c r="AC97" s="3" t="s">
        <v>6</v>
      </c>
      <c r="AD97" s="3" t="s">
        <v>10</v>
      </c>
      <c r="AE97" s="95" t="s">
        <v>2265</v>
      </c>
    </row>
    <row r="98" spans="1:31" x14ac:dyDescent="0.35">
      <c r="A98" s="3" t="s">
        <v>779</v>
      </c>
      <c r="B98" s="3" t="s">
        <v>41</v>
      </c>
      <c r="C98" s="3">
        <v>9</v>
      </c>
      <c r="D98" s="95" t="s">
        <v>780</v>
      </c>
      <c r="E98" s="95" t="s">
        <v>781</v>
      </c>
      <c r="F98" s="95" t="s">
        <v>4</v>
      </c>
      <c r="G98" s="223">
        <v>44328</v>
      </c>
      <c r="H98" s="223">
        <v>44378</v>
      </c>
      <c r="I98" s="223">
        <v>46203</v>
      </c>
      <c r="J98" s="3">
        <v>2</v>
      </c>
      <c r="K98" s="3" t="s">
        <v>10</v>
      </c>
      <c r="L98" s="3" t="s">
        <v>10</v>
      </c>
      <c r="M98" s="95" t="s">
        <v>116</v>
      </c>
      <c r="N98" s="3" t="s">
        <v>117</v>
      </c>
      <c r="O98" s="3" t="s">
        <v>651</v>
      </c>
      <c r="P98" s="3" t="s">
        <v>6</v>
      </c>
      <c r="Q98" s="3" t="s">
        <v>6</v>
      </c>
      <c r="R98" s="95" t="s">
        <v>652</v>
      </c>
      <c r="S98" s="223" t="s">
        <v>5</v>
      </c>
      <c r="T98" s="223" t="s">
        <v>5</v>
      </c>
      <c r="U98" s="223" t="s">
        <v>5</v>
      </c>
      <c r="V98" s="223" t="s">
        <v>5</v>
      </c>
      <c r="W98" s="223" t="s">
        <v>5</v>
      </c>
      <c r="X98" s="3" t="s">
        <v>5</v>
      </c>
      <c r="Y98" s="3" t="s">
        <v>651</v>
      </c>
      <c r="Z98" s="3" t="s">
        <v>651</v>
      </c>
      <c r="AA98" s="3" t="s">
        <v>10</v>
      </c>
      <c r="AB98" s="223" t="s">
        <v>5</v>
      </c>
      <c r="AC98" s="3" t="s">
        <v>10</v>
      </c>
      <c r="AD98" s="3" t="s">
        <v>10</v>
      </c>
      <c r="AE98" s="95" t="s">
        <v>2265</v>
      </c>
    </row>
    <row r="99" spans="1:31" x14ac:dyDescent="0.35">
      <c r="A99" s="3" t="s">
        <v>782</v>
      </c>
      <c r="B99" s="3" t="s">
        <v>41</v>
      </c>
      <c r="C99" s="3">
        <v>9</v>
      </c>
      <c r="D99" s="95" t="s">
        <v>783</v>
      </c>
      <c r="E99" s="95" t="s">
        <v>784</v>
      </c>
      <c r="F99" s="95" t="s">
        <v>3225</v>
      </c>
      <c r="G99" s="223">
        <v>42439</v>
      </c>
      <c r="H99" s="223">
        <v>42736</v>
      </c>
      <c r="I99" s="223">
        <v>44561</v>
      </c>
      <c r="J99" s="3">
        <v>26</v>
      </c>
      <c r="K99" s="3" t="s">
        <v>10</v>
      </c>
      <c r="L99" s="3" t="s">
        <v>10</v>
      </c>
      <c r="M99" s="95" t="s">
        <v>23</v>
      </c>
      <c r="N99" s="3" t="s">
        <v>24</v>
      </c>
      <c r="O99" s="3" t="s">
        <v>651</v>
      </c>
      <c r="P99" s="3" t="s">
        <v>6</v>
      </c>
      <c r="Q99" s="3" t="s">
        <v>6</v>
      </c>
      <c r="R99" s="95" t="s">
        <v>652</v>
      </c>
      <c r="S99" s="223" t="s">
        <v>5</v>
      </c>
      <c r="T99" s="223" t="s">
        <v>5</v>
      </c>
      <c r="U99" s="223" t="s">
        <v>5</v>
      </c>
      <c r="V99" s="223" t="s">
        <v>5</v>
      </c>
      <c r="W99" s="223" t="s">
        <v>5</v>
      </c>
      <c r="X99" s="3" t="s">
        <v>5</v>
      </c>
      <c r="Y99" s="3" t="s">
        <v>651</v>
      </c>
      <c r="Z99" s="3" t="s">
        <v>651</v>
      </c>
      <c r="AA99" s="3" t="s">
        <v>6</v>
      </c>
      <c r="AB99" s="223">
        <v>40909</v>
      </c>
      <c r="AC99" s="3" t="s">
        <v>10</v>
      </c>
      <c r="AD99" s="3" t="s">
        <v>10</v>
      </c>
      <c r="AE99" s="95" t="s">
        <v>2263</v>
      </c>
    </row>
    <row r="100" spans="1:31" x14ac:dyDescent="0.35">
      <c r="A100" s="3" t="s">
        <v>785</v>
      </c>
      <c r="B100" s="3" t="s">
        <v>41</v>
      </c>
      <c r="C100" s="3">
        <v>9</v>
      </c>
      <c r="D100" s="95" t="s">
        <v>786</v>
      </c>
      <c r="E100" s="95" t="s">
        <v>3226</v>
      </c>
      <c r="F100" s="95" t="s">
        <v>4</v>
      </c>
      <c r="G100" s="223">
        <v>42529</v>
      </c>
      <c r="H100" s="223">
        <v>42675</v>
      </c>
      <c r="I100" s="223">
        <v>44500</v>
      </c>
      <c r="J100" s="3">
        <v>12</v>
      </c>
      <c r="K100" s="3" t="s">
        <v>10</v>
      </c>
      <c r="L100" s="3" t="s">
        <v>10</v>
      </c>
      <c r="M100" s="95" t="s">
        <v>787</v>
      </c>
      <c r="N100" s="3" t="s">
        <v>521</v>
      </c>
      <c r="O100" s="3" t="s">
        <v>651</v>
      </c>
      <c r="P100" s="3" t="s">
        <v>6</v>
      </c>
      <c r="Q100" s="3" t="s">
        <v>6</v>
      </c>
      <c r="R100" s="95" t="s">
        <v>652</v>
      </c>
      <c r="S100" s="223" t="s">
        <v>5</v>
      </c>
      <c r="T100" s="223" t="s">
        <v>5</v>
      </c>
      <c r="U100" s="223" t="s">
        <v>5</v>
      </c>
      <c r="V100" s="223" t="s">
        <v>5</v>
      </c>
      <c r="W100" s="223" t="s">
        <v>5</v>
      </c>
      <c r="X100" s="3" t="s">
        <v>5</v>
      </c>
      <c r="Y100" s="3" t="s">
        <v>651</v>
      </c>
      <c r="Z100" s="3" t="s">
        <v>651</v>
      </c>
      <c r="AA100" s="3" t="s">
        <v>10</v>
      </c>
      <c r="AB100" s="223" t="s">
        <v>5</v>
      </c>
      <c r="AC100" s="3" t="s">
        <v>10</v>
      </c>
      <c r="AD100" s="3" t="s">
        <v>10</v>
      </c>
      <c r="AE100" s="95" t="s">
        <v>2265</v>
      </c>
    </row>
    <row r="101" spans="1:31" x14ac:dyDescent="0.35">
      <c r="A101" s="3" t="s">
        <v>788</v>
      </c>
      <c r="B101" s="3" t="s">
        <v>41</v>
      </c>
      <c r="C101" s="3">
        <v>9</v>
      </c>
      <c r="D101" s="95" t="s">
        <v>789</v>
      </c>
      <c r="E101" s="95" t="s">
        <v>790</v>
      </c>
      <c r="F101" s="95" t="s">
        <v>2280</v>
      </c>
      <c r="G101" s="223">
        <v>43392</v>
      </c>
      <c r="H101" s="223">
        <v>43453</v>
      </c>
      <c r="I101" s="223">
        <v>45217</v>
      </c>
      <c r="J101" s="3">
        <v>51</v>
      </c>
      <c r="K101" s="3" t="s">
        <v>10</v>
      </c>
      <c r="L101" s="3" t="s">
        <v>10</v>
      </c>
      <c r="M101" s="95" t="s">
        <v>27</v>
      </c>
      <c r="N101" s="3" t="s">
        <v>521</v>
      </c>
      <c r="O101" s="3" t="s">
        <v>651</v>
      </c>
      <c r="P101" s="3" t="s">
        <v>6</v>
      </c>
      <c r="Q101" s="3" t="s">
        <v>6</v>
      </c>
      <c r="R101" s="95" t="s">
        <v>652</v>
      </c>
      <c r="S101" s="223" t="s">
        <v>5</v>
      </c>
      <c r="T101" s="223" t="s">
        <v>5</v>
      </c>
      <c r="U101" s="223" t="s">
        <v>5</v>
      </c>
      <c r="V101" s="223" t="s">
        <v>5</v>
      </c>
      <c r="W101" s="223" t="s">
        <v>5</v>
      </c>
      <c r="X101" s="3" t="s">
        <v>5</v>
      </c>
      <c r="Y101" s="3" t="s">
        <v>651</v>
      </c>
      <c r="Z101" s="3" t="s">
        <v>651</v>
      </c>
      <c r="AA101" s="3" t="s">
        <v>6</v>
      </c>
      <c r="AB101" s="223">
        <v>41275</v>
      </c>
      <c r="AC101" s="3" t="s">
        <v>10</v>
      </c>
      <c r="AD101" s="3" t="s">
        <v>10</v>
      </c>
      <c r="AE101" s="95" t="s">
        <v>2265</v>
      </c>
    </row>
    <row r="102" spans="1:31" x14ac:dyDescent="0.35">
      <c r="A102" s="3" t="s">
        <v>791</v>
      </c>
      <c r="B102" s="3" t="s">
        <v>41</v>
      </c>
      <c r="C102" s="3">
        <v>9</v>
      </c>
      <c r="D102" s="95" t="s">
        <v>792</v>
      </c>
      <c r="E102" s="95" t="s">
        <v>793</v>
      </c>
      <c r="F102" s="95" t="s">
        <v>4</v>
      </c>
      <c r="G102" s="223">
        <v>41614</v>
      </c>
      <c r="H102" s="223">
        <v>41614</v>
      </c>
      <c r="I102" s="223">
        <v>43435</v>
      </c>
      <c r="J102" s="3">
        <v>4</v>
      </c>
      <c r="K102" s="3" t="s">
        <v>10</v>
      </c>
      <c r="L102" s="3" t="s">
        <v>10</v>
      </c>
      <c r="M102" s="95" t="s">
        <v>794</v>
      </c>
      <c r="N102" s="3" t="s">
        <v>68</v>
      </c>
      <c r="O102" s="3" t="s">
        <v>651</v>
      </c>
      <c r="P102" s="3" t="s">
        <v>6</v>
      </c>
      <c r="Q102" s="3" t="s">
        <v>6</v>
      </c>
      <c r="R102" s="95" t="s">
        <v>652</v>
      </c>
      <c r="S102" s="223" t="s">
        <v>5</v>
      </c>
      <c r="T102" s="223" t="s">
        <v>5</v>
      </c>
      <c r="U102" s="223" t="s">
        <v>5</v>
      </c>
      <c r="V102" s="223" t="s">
        <v>5</v>
      </c>
      <c r="W102" s="223" t="s">
        <v>5</v>
      </c>
      <c r="X102" s="3" t="s">
        <v>5</v>
      </c>
      <c r="Y102" s="3" t="s">
        <v>651</v>
      </c>
      <c r="Z102" s="3" t="s">
        <v>651</v>
      </c>
      <c r="AA102" s="3" t="s">
        <v>10</v>
      </c>
      <c r="AB102" s="223" t="s">
        <v>5</v>
      </c>
      <c r="AC102" s="3" t="s">
        <v>10</v>
      </c>
      <c r="AD102" s="3" t="s">
        <v>10</v>
      </c>
      <c r="AE102" s="95" t="s">
        <v>2263</v>
      </c>
    </row>
    <row r="103" spans="1:31" x14ac:dyDescent="0.35">
      <c r="A103" s="3" t="s">
        <v>795</v>
      </c>
      <c r="B103" s="3" t="s">
        <v>41</v>
      </c>
      <c r="C103" s="3">
        <v>9</v>
      </c>
      <c r="D103" s="95" t="s">
        <v>796</v>
      </c>
      <c r="E103" s="95" t="s">
        <v>3227</v>
      </c>
      <c r="F103" s="95" t="s">
        <v>4</v>
      </c>
      <c r="G103" s="223">
        <v>43074</v>
      </c>
      <c r="H103" s="223">
        <v>43074</v>
      </c>
      <c r="I103" s="223">
        <v>44896</v>
      </c>
      <c r="J103" s="3">
        <v>4</v>
      </c>
      <c r="K103" s="3" t="s">
        <v>10</v>
      </c>
      <c r="L103" s="3" t="s">
        <v>10</v>
      </c>
      <c r="M103" s="95" t="s">
        <v>374</v>
      </c>
      <c r="N103" s="3" t="s">
        <v>170</v>
      </c>
      <c r="O103" s="3" t="s">
        <v>651</v>
      </c>
      <c r="P103" s="3" t="s">
        <v>6</v>
      </c>
      <c r="Q103" s="3" t="s">
        <v>6</v>
      </c>
      <c r="R103" s="95" t="s">
        <v>652</v>
      </c>
      <c r="S103" s="223" t="s">
        <v>5</v>
      </c>
      <c r="T103" s="223" t="s">
        <v>5</v>
      </c>
      <c r="U103" s="223" t="s">
        <v>5</v>
      </c>
      <c r="V103" s="223" t="s">
        <v>5</v>
      </c>
      <c r="W103" s="223" t="s">
        <v>5</v>
      </c>
      <c r="X103" s="3" t="s">
        <v>5</v>
      </c>
      <c r="Y103" s="3" t="s">
        <v>651</v>
      </c>
      <c r="Z103" s="3" t="s">
        <v>651</v>
      </c>
      <c r="AA103" s="3" t="s">
        <v>10</v>
      </c>
      <c r="AB103" s="223" t="s">
        <v>5</v>
      </c>
      <c r="AC103" s="3" t="s">
        <v>10</v>
      </c>
      <c r="AD103" s="3" t="s">
        <v>10</v>
      </c>
      <c r="AE103" s="95" t="s">
        <v>2263</v>
      </c>
    </row>
    <row r="104" spans="1:31" x14ac:dyDescent="0.35">
      <c r="A104" s="3" t="s">
        <v>797</v>
      </c>
      <c r="B104" s="3" t="s">
        <v>41</v>
      </c>
      <c r="C104" s="3">
        <v>9</v>
      </c>
      <c r="D104" s="95" t="s">
        <v>798</v>
      </c>
      <c r="E104" s="95" t="s">
        <v>799</v>
      </c>
      <c r="F104" s="95" t="s">
        <v>4</v>
      </c>
      <c r="G104" s="223">
        <v>43594</v>
      </c>
      <c r="H104" s="223">
        <v>43655</v>
      </c>
      <c r="I104" s="223">
        <v>45481</v>
      </c>
      <c r="J104" s="3">
        <v>13</v>
      </c>
      <c r="K104" s="3" t="s">
        <v>10</v>
      </c>
      <c r="L104" s="3" t="s">
        <v>10</v>
      </c>
      <c r="M104" s="95" t="s">
        <v>800</v>
      </c>
      <c r="N104" s="3" t="s">
        <v>138</v>
      </c>
      <c r="O104" s="3" t="s">
        <v>651</v>
      </c>
      <c r="P104" s="3" t="s">
        <v>6</v>
      </c>
      <c r="Q104" s="3" t="s">
        <v>6</v>
      </c>
      <c r="R104" s="95" t="s">
        <v>652</v>
      </c>
      <c r="S104" s="223" t="s">
        <v>5</v>
      </c>
      <c r="T104" s="223" t="s">
        <v>5</v>
      </c>
      <c r="U104" s="223" t="s">
        <v>5</v>
      </c>
      <c r="V104" s="223" t="s">
        <v>5</v>
      </c>
      <c r="W104" s="223" t="s">
        <v>5</v>
      </c>
      <c r="X104" s="3" t="s">
        <v>5</v>
      </c>
      <c r="Y104" s="3" t="s">
        <v>651</v>
      </c>
      <c r="Z104" s="3" t="s">
        <v>651</v>
      </c>
      <c r="AA104" s="3" t="s">
        <v>10</v>
      </c>
      <c r="AB104" s="223" t="s">
        <v>5</v>
      </c>
      <c r="AC104" s="3" t="s">
        <v>10</v>
      </c>
      <c r="AD104" s="3" t="s">
        <v>10</v>
      </c>
      <c r="AE104" s="95" t="s">
        <v>2263</v>
      </c>
    </row>
    <row r="105" spans="1:31" x14ac:dyDescent="0.35">
      <c r="A105" s="3" t="s">
        <v>801</v>
      </c>
      <c r="B105" s="3" t="s">
        <v>41</v>
      </c>
      <c r="C105" s="3">
        <v>9</v>
      </c>
      <c r="D105" s="95" t="s">
        <v>802</v>
      </c>
      <c r="E105" s="95" t="s">
        <v>3228</v>
      </c>
      <c r="F105" s="95" t="s">
        <v>4</v>
      </c>
      <c r="G105" s="223">
        <v>43747</v>
      </c>
      <c r="H105" s="223">
        <v>43862</v>
      </c>
      <c r="I105" s="223">
        <v>45688</v>
      </c>
      <c r="J105" s="3">
        <v>9</v>
      </c>
      <c r="K105" s="3" t="s">
        <v>10</v>
      </c>
      <c r="L105" s="3" t="s">
        <v>10</v>
      </c>
      <c r="M105" s="95" t="s">
        <v>27</v>
      </c>
      <c r="N105" s="3" t="s">
        <v>28</v>
      </c>
      <c r="O105" s="3" t="s">
        <v>651</v>
      </c>
      <c r="P105" s="3" t="s">
        <v>6</v>
      </c>
      <c r="Q105" s="3" t="s">
        <v>6</v>
      </c>
      <c r="R105" s="95" t="s">
        <v>652</v>
      </c>
      <c r="S105" s="223" t="s">
        <v>5</v>
      </c>
      <c r="T105" s="223" t="s">
        <v>5</v>
      </c>
      <c r="U105" s="223" t="s">
        <v>5</v>
      </c>
      <c r="V105" s="223" t="s">
        <v>5</v>
      </c>
      <c r="W105" s="223" t="s">
        <v>5</v>
      </c>
      <c r="X105" s="3" t="s">
        <v>5</v>
      </c>
      <c r="Y105" s="3" t="s">
        <v>651</v>
      </c>
      <c r="Z105" s="3" t="s">
        <v>651</v>
      </c>
      <c r="AA105" s="3" t="s">
        <v>10</v>
      </c>
      <c r="AB105" s="223" t="s">
        <v>5</v>
      </c>
      <c r="AC105" s="3" t="s">
        <v>10</v>
      </c>
      <c r="AD105" s="3" t="s">
        <v>10</v>
      </c>
      <c r="AE105" s="95" t="s">
        <v>2263</v>
      </c>
    </row>
    <row r="106" spans="1:31" x14ac:dyDescent="0.35">
      <c r="A106" s="3" t="s">
        <v>803</v>
      </c>
      <c r="B106" s="3" t="s">
        <v>41</v>
      </c>
      <c r="C106" s="3">
        <v>9</v>
      </c>
      <c r="D106" s="95" t="s">
        <v>804</v>
      </c>
      <c r="E106" s="95" t="s">
        <v>805</v>
      </c>
      <c r="F106" s="95" t="s">
        <v>4</v>
      </c>
      <c r="G106" s="223">
        <v>43265</v>
      </c>
      <c r="H106" s="223">
        <v>43325</v>
      </c>
      <c r="I106" s="223">
        <v>45150</v>
      </c>
      <c r="J106" s="3">
        <v>1</v>
      </c>
      <c r="K106" s="3" t="s">
        <v>10</v>
      </c>
      <c r="L106" s="3" t="s">
        <v>10</v>
      </c>
      <c r="M106" s="95" t="s">
        <v>201</v>
      </c>
      <c r="N106" s="3" t="s">
        <v>68</v>
      </c>
      <c r="O106" s="3" t="s">
        <v>651</v>
      </c>
      <c r="P106" s="3" t="s">
        <v>6</v>
      </c>
      <c r="Q106" s="3" t="s">
        <v>6</v>
      </c>
      <c r="R106" s="95" t="s">
        <v>652</v>
      </c>
      <c r="S106" s="223" t="s">
        <v>5</v>
      </c>
      <c r="T106" s="223" t="s">
        <v>5</v>
      </c>
      <c r="U106" s="223" t="s">
        <v>5</v>
      </c>
      <c r="V106" s="223" t="s">
        <v>5</v>
      </c>
      <c r="W106" s="223" t="s">
        <v>5</v>
      </c>
      <c r="X106" s="3" t="s">
        <v>5</v>
      </c>
      <c r="Y106" s="3" t="s">
        <v>651</v>
      </c>
      <c r="Z106" s="3" t="s">
        <v>651</v>
      </c>
      <c r="AA106" s="3" t="s">
        <v>10</v>
      </c>
      <c r="AB106" s="223" t="s">
        <v>5</v>
      </c>
      <c r="AC106" s="3" t="s">
        <v>10</v>
      </c>
      <c r="AD106" s="3" t="s">
        <v>10</v>
      </c>
      <c r="AE106" s="95" t="s">
        <v>2263</v>
      </c>
    </row>
    <row r="107" spans="1:31" x14ac:dyDescent="0.35">
      <c r="A107" s="3" t="s">
        <v>806</v>
      </c>
      <c r="B107" s="3" t="s">
        <v>41</v>
      </c>
      <c r="C107" s="3">
        <v>9</v>
      </c>
      <c r="D107" s="95" t="s">
        <v>807</v>
      </c>
      <c r="E107" s="95" t="s">
        <v>808</v>
      </c>
      <c r="F107" s="95" t="s">
        <v>4</v>
      </c>
      <c r="G107" s="223">
        <v>44721</v>
      </c>
      <c r="H107" s="223">
        <v>44774</v>
      </c>
      <c r="I107" s="223">
        <v>46599</v>
      </c>
      <c r="J107" s="3">
        <v>3</v>
      </c>
      <c r="K107" s="3" t="s">
        <v>10</v>
      </c>
      <c r="L107" s="3" t="s">
        <v>10</v>
      </c>
      <c r="M107" s="95" t="s">
        <v>201</v>
      </c>
      <c r="N107" s="3" t="s">
        <v>68</v>
      </c>
      <c r="O107" s="3" t="s">
        <v>651</v>
      </c>
      <c r="P107" s="3" t="s">
        <v>6</v>
      </c>
      <c r="Q107" s="3" t="s">
        <v>6</v>
      </c>
      <c r="R107" s="95" t="s">
        <v>652</v>
      </c>
      <c r="S107" s="223" t="s">
        <v>5</v>
      </c>
      <c r="T107" s="223" t="s">
        <v>5</v>
      </c>
      <c r="U107" s="223" t="s">
        <v>5</v>
      </c>
      <c r="V107" s="223" t="s">
        <v>5</v>
      </c>
      <c r="W107" s="223" t="s">
        <v>5</v>
      </c>
      <c r="X107" s="3" t="s">
        <v>5</v>
      </c>
      <c r="Y107" s="3" t="s">
        <v>651</v>
      </c>
      <c r="Z107" s="3" t="s">
        <v>651</v>
      </c>
      <c r="AA107" s="3" t="s">
        <v>10</v>
      </c>
      <c r="AB107" s="223" t="s">
        <v>5</v>
      </c>
      <c r="AC107" s="3" t="s">
        <v>10</v>
      </c>
      <c r="AD107" s="3" t="s">
        <v>10</v>
      </c>
      <c r="AE107" s="95" t="s">
        <v>2263</v>
      </c>
    </row>
    <row r="108" spans="1:31" x14ac:dyDescent="0.35">
      <c r="A108" s="3" t="s">
        <v>809</v>
      </c>
      <c r="B108" s="3" t="s">
        <v>41</v>
      </c>
      <c r="C108" s="3">
        <v>9</v>
      </c>
      <c r="D108" s="95" t="s">
        <v>810</v>
      </c>
      <c r="E108" s="95" t="s">
        <v>811</v>
      </c>
      <c r="F108" s="95" t="s">
        <v>4</v>
      </c>
      <c r="G108" s="223">
        <v>43082</v>
      </c>
      <c r="H108" s="223">
        <v>43466</v>
      </c>
      <c r="I108" s="223">
        <v>45291</v>
      </c>
      <c r="J108" s="3">
        <v>69</v>
      </c>
      <c r="K108" s="3" t="s">
        <v>10</v>
      </c>
      <c r="L108" s="3" t="s">
        <v>10</v>
      </c>
      <c r="M108" s="95" t="s">
        <v>201</v>
      </c>
      <c r="N108" s="3" t="s">
        <v>68</v>
      </c>
      <c r="O108" s="3" t="s">
        <v>651</v>
      </c>
      <c r="P108" s="3" t="s">
        <v>6</v>
      </c>
      <c r="Q108" s="3" t="s">
        <v>6</v>
      </c>
      <c r="R108" s="95" t="s">
        <v>652</v>
      </c>
      <c r="S108" s="223" t="s">
        <v>5</v>
      </c>
      <c r="T108" s="223" t="s">
        <v>5</v>
      </c>
      <c r="U108" s="223" t="s">
        <v>5</v>
      </c>
      <c r="V108" s="223" t="s">
        <v>5</v>
      </c>
      <c r="W108" s="223" t="s">
        <v>5</v>
      </c>
      <c r="X108" s="3" t="s">
        <v>5</v>
      </c>
      <c r="Y108" s="3" t="s">
        <v>651</v>
      </c>
      <c r="Z108" s="3" t="s">
        <v>651</v>
      </c>
      <c r="AA108" s="3" t="s">
        <v>10</v>
      </c>
      <c r="AB108" s="223" t="s">
        <v>5</v>
      </c>
      <c r="AC108" s="3" t="s">
        <v>10</v>
      </c>
      <c r="AD108" s="3" t="s">
        <v>10</v>
      </c>
      <c r="AE108" s="95" t="s">
        <v>2263</v>
      </c>
    </row>
    <row r="109" spans="1:31" x14ac:dyDescent="0.35">
      <c r="A109" s="3" t="s">
        <v>812</v>
      </c>
      <c r="B109" s="3" t="s">
        <v>41</v>
      </c>
      <c r="C109" s="3">
        <v>9</v>
      </c>
      <c r="D109" s="95" t="s">
        <v>813</v>
      </c>
      <c r="E109" s="95" t="s">
        <v>814</v>
      </c>
      <c r="F109" s="95" t="s">
        <v>4</v>
      </c>
      <c r="G109" s="223">
        <v>43264</v>
      </c>
      <c r="H109" s="223">
        <v>43466</v>
      </c>
      <c r="I109" s="223">
        <v>45291</v>
      </c>
      <c r="J109" s="3">
        <v>4</v>
      </c>
      <c r="K109" s="3" t="s">
        <v>10</v>
      </c>
      <c r="L109" s="3" t="s">
        <v>10</v>
      </c>
      <c r="M109" s="95" t="s">
        <v>815</v>
      </c>
      <c r="N109" s="3" t="s">
        <v>117</v>
      </c>
      <c r="O109" s="3" t="s">
        <v>651</v>
      </c>
      <c r="P109" s="3" t="s">
        <v>6</v>
      </c>
      <c r="Q109" s="3" t="s">
        <v>6</v>
      </c>
      <c r="R109" s="95" t="s">
        <v>652</v>
      </c>
      <c r="S109" s="223" t="s">
        <v>5</v>
      </c>
      <c r="T109" s="223" t="s">
        <v>5</v>
      </c>
      <c r="U109" s="223" t="s">
        <v>5</v>
      </c>
      <c r="V109" s="223" t="s">
        <v>5</v>
      </c>
      <c r="W109" s="223" t="s">
        <v>5</v>
      </c>
      <c r="X109" s="3" t="s">
        <v>5</v>
      </c>
      <c r="Y109" s="3" t="s">
        <v>651</v>
      </c>
      <c r="Z109" s="3" t="s">
        <v>651</v>
      </c>
      <c r="AA109" s="3" t="s">
        <v>10</v>
      </c>
      <c r="AB109" s="223" t="s">
        <v>5</v>
      </c>
      <c r="AC109" s="3" t="s">
        <v>10</v>
      </c>
      <c r="AD109" s="3" t="s">
        <v>10</v>
      </c>
      <c r="AE109" s="95" t="s">
        <v>2265</v>
      </c>
    </row>
    <row r="110" spans="1:31" x14ac:dyDescent="0.35">
      <c r="A110" s="3" t="s">
        <v>816</v>
      </c>
      <c r="B110" s="3" t="s">
        <v>41</v>
      </c>
      <c r="C110" s="3">
        <v>9</v>
      </c>
      <c r="D110" s="95" t="s">
        <v>817</v>
      </c>
      <c r="E110" s="95" t="s">
        <v>818</v>
      </c>
      <c r="F110" s="95" t="s">
        <v>4</v>
      </c>
      <c r="G110" s="223">
        <v>43265</v>
      </c>
      <c r="H110" s="223">
        <v>43325</v>
      </c>
      <c r="I110" s="223">
        <v>45150</v>
      </c>
      <c r="J110" s="3">
        <v>7</v>
      </c>
      <c r="K110" s="3" t="s">
        <v>10</v>
      </c>
      <c r="L110" s="3" t="s">
        <v>10</v>
      </c>
      <c r="M110" s="95" t="s">
        <v>288</v>
      </c>
      <c r="N110" s="3" t="s">
        <v>68</v>
      </c>
      <c r="O110" s="3" t="s">
        <v>651</v>
      </c>
      <c r="P110" s="3" t="s">
        <v>6</v>
      </c>
      <c r="Q110" s="3" t="s">
        <v>6</v>
      </c>
      <c r="R110" s="95" t="s">
        <v>652</v>
      </c>
      <c r="S110" s="223" t="s">
        <v>5</v>
      </c>
      <c r="T110" s="223" t="s">
        <v>5</v>
      </c>
      <c r="U110" s="223" t="s">
        <v>5</v>
      </c>
      <c r="V110" s="223" t="s">
        <v>5</v>
      </c>
      <c r="W110" s="223" t="s">
        <v>5</v>
      </c>
      <c r="X110" s="3" t="s">
        <v>5</v>
      </c>
      <c r="Y110" s="3" t="s">
        <v>651</v>
      </c>
      <c r="Z110" s="3" t="s">
        <v>651</v>
      </c>
      <c r="AA110" s="3" t="s">
        <v>10</v>
      </c>
      <c r="AB110" s="223" t="s">
        <v>5</v>
      </c>
      <c r="AC110" s="3" t="s">
        <v>10</v>
      </c>
      <c r="AD110" s="3" t="s">
        <v>10</v>
      </c>
      <c r="AE110" s="95" t="s">
        <v>2263</v>
      </c>
    </row>
    <row r="111" spans="1:31" x14ac:dyDescent="0.35">
      <c r="A111" s="3" t="s">
        <v>819</v>
      </c>
      <c r="B111" s="3" t="s">
        <v>41</v>
      </c>
      <c r="C111" s="3">
        <v>9</v>
      </c>
      <c r="D111" s="95" t="s">
        <v>820</v>
      </c>
      <c r="E111" s="95" t="s">
        <v>821</v>
      </c>
      <c r="F111" s="95" t="s">
        <v>4</v>
      </c>
      <c r="G111" s="223">
        <v>42438</v>
      </c>
      <c r="H111" s="223">
        <v>42439</v>
      </c>
      <c r="I111" s="223">
        <v>44264</v>
      </c>
      <c r="J111" s="3">
        <v>1</v>
      </c>
      <c r="K111" s="3" t="s">
        <v>10</v>
      </c>
      <c r="L111" s="3" t="s">
        <v>10</v>
      </c>
      <c r="M111" s="95" t="s">
        <v>67</v>
      </c>
      <c r="N111" s="3" t="s">
        <v>68</v>
      </c>
      <c r="O111" s="3" t="s">
        <v>651</v>
      </c>
      <c r="P111" s="3" t="s">
        <v>6</v>
      </c>
      <c r="Q111" s="3" t="s">
        <v>6</v>
      </c>
      <c r="R111" s="95" t="s">
        <v>652</v>
      </c>
      <c r="S111" s="223" t="s">
        <v>5</v>
      </c>
      <c r="T111" s="223" t="s">
        <v>5</v>
      </c>
      <c r="U111" s="223" t="s">
        <v>5</v>
      </c>
      <c r="V111" s="223" t="s">
        <v>5</v>
      </c>
      <c r="W111" s="223" t="s">
        <v>5</v>
      </c>
      <c r="X111" s="3" t="s">
        <v>5</v>
      </c>
      <c r="Y111" s="3" t="s">
        <v>651</v>
      </c>
      <c r="Z111" s="3" t="s">
        <v>651</v>
      </c>
      <c r="AA111" s="3" t="s">
        <v>10</v>
      </c>
      <c r="AB111" s="223" t="s">
        <v>5</v>
      </c>
      <c r="AC111" s="3" t="s">
        <v>10</v>
      </c>
      <c r="AD111" s="3" t="s">
        <v>10</v>
      </c>
      <c r="AE111" s="95" t="s">
        <v>2263</v>
      </c>
    </row>
    <row r="112" spans="1:31" x14ac:dyDescent="0.35">
      <c r="A112" s="3" t="s">
        <v>822</v>
      </c>
      <c r="B112" s="3" t="s">
        <v>41</v>
      </c>
      <c r="C112" s="3">
        <v>9</v>
      </c>
      <c r="D112" s="95" t="s">
        <v>823</v>
      </c>
      <c r="E112" s="95" t="s">
        <v>824</v>
      </c>
      <c r="F112" s="95" t="s">
        <v>4</v>
      </c>
      <c r="G112" s="223">
        <v>41110</v>
      </c>
      <c r="H112" s="223">
        <v>41110</v>
      </c>
      <c r="I112" s="223">
        <v>42917</v>
      </c>
      <c r="J112" s="3">
        <v>10</v>
      </c>
      <c r="K112" s="3" t="s">
        <v>10</v>
      </c>
      <c r="L112" s="3" t="s">
        <v>10</v>
      </c>
      <c r="M112" s="95" t="s">
        <v>201</v>
      </c>
      <c r="N112" s="3" t="s">
        <v>68</v>
      </c>
      <c r="O112" s="3" t="s">
        <v>651</v>
      </c>
      <c r="P112" s="3" t="s">
        <v>6</v>
      </c>
      <c r="Q112" s="3" t="s">
        <v>6</v>
      </c>
      <c r="R112" s="95" t="s">
        <v>652</v>
      </c>
      <c r="S112" s="223" t="s">
        <v>5</v>
      </c>
      <c r="T112" s="223" t="s">
        <v>5</v>
      </c>
      <c r="U112" s="223" t="s">
        <v>5</v>
      </c>
      <c r="V112" s="223" t="s">
        <v>5</v>
      </c>
      <c r="W112" s="223" t="s">
        <v>5</v>
      </c>
      <c r="X112" s="3" t="s">
        <v>5</v>
      </c>
      <c r="Y112" s="3" t="s">
        <v>651</v>
      </c>
      <c r="Z112" s="3" t="s">
        <v>651</v>
      </c>
      <c r="AA112" s="3" t="s">
        <v>10</v>
      </c>
      <c r="AB112" s="223" t="s">
        <v>5</v>
      </c>
      <c r="AC112" s="3" t="s">
        <v>10</v>
      </c>
      <c r="AD112" s="3" t="s">
        <v>10</v>
      </c>
      <c r="AE112" s="95" t="s">
        <v>2263</v>
      </c>
    </row>
    <row r="113" spans="1:31" x14ac:dyDescent="0.35">
      <c r="A113" s="3" t="s">
        <v>825</v>
      </c>
      <c r="B113" s="3" t="s">
        <v>41</v>
      </c>
      <c r="C113" s="3">
        <v>9</v>
      </c>
      <c r="D113" s="95" t="s">
        <v>826</v>
      </c>
      <c r="E113" s="95" t="s">
        <v>827</v>
      </c>
      <c r="F113" s="95" t="s">
        <v>4</v>
      </c>
      <c r="G113" s="223">
        <v>39416</v>
      </c>
      <c r="H113" s="223">
        <v>39416</v>
      </c>
      <c r="I113" s="223">
        <v>41214</v>
      </c>
      <c r="J113" s="3">
        <v>9</v>
      </c>
      <c r="K113" s="3" t="s">
        <v>10</v>
      </c>
      <c r="L113" s="3" t="s">
        <v>10</v>
      </c>
      <c r="M113" s="95" t="s">
        <v>201</v>
      </c>
      <c r="N113" s="3" t="s">
        <v>68</v>
      </c>
      <c r="O113" s="3" t="s">
        <v>651</v>
      </c>
      <c r="P113" s="3" t="s">
        <v>6</v>
      </c>
      <c r="Q113" s="3" t="s">
        <v>6</v>
      </c>
      <c r="R113" s="95" t="s">
        <v>652</v>
      </c>
      <c r="S113" s="223" t="s">
        <v>5</v>
      </c>
      <c r="T113" s="223" t="s">
        <v>5</v>
      </c>
      <c r="U113" s="223" t="s">
        <v>5</v>
      </c>
      <c r="V113" s="223" t="s">
        <v>5</v>
      </c>
      <c r="W113" s="223" t="s">
        <v>5</v>
      </c>
      <c r="X113" s="3" t="s">
        <v>5</v>
      </c>
      <c r="Y113" s="3" t="s">
        <v>651</v>
      </c>
      <c r="Z113" s="3" t="s">
        <v>651</v>
      </c>
      <c r="AA113" s="3" t="s">
        <v>10</v>
      </c>
      <c r="AB113" s="223" t="s">
        <v>5</v>
      </c>
      <c r="AC113" s="3" t="s">
        <v>10</v>
      </c>
      <c r="AD113" s="3" t="s">
        <v>10</v>
      </c>
      <c r="AE113" s="95" t="s">
        <v>2263</v>
      </c>
    </row>
    <row r="114" spans="1:31" x14ac:dyDescent="0.35">
      <c r="A114" s="3" t="s">
        <v>828</v>
      </c>
      <c r="B114" s="3" t="s">
        <v>41</v>
      </c>
      <c r="C114" s="3">
        <v>9</v>
      </c>
      <c r="D114" s="95" t="s">
        <v>829</v>
      </c>
      <c r="E114" s="95" t="s">
        <v>3229</v>
      </c>
      <c r="F114" s="95" t="s">
        <v>4</v>
      </c>
      <c r="G114" s="223">
        <v>42179</v>
      </c>
      <c r="H114" s="223">
        <v>42278</v>
      </c>
      <c r="I114" s="223">
        <v>44834</v>
      </c>
      <c r="J114" s="3">
        <v>20</v>
      </c>
      <c r="K114" s="3" t="s">
        <v>10</v>
      </c>
      <c r="L114" s="3" t="s">
        <v>10</v>
      </c>
      <c r="M114" s="95" t="s">
        <v>830</v>
      </c>
      <c r="N114" s="3" t="s">
        <v>68</v>
      </c>
      <c r="O114" s="3" t="s">
        <v>651</v>
      </c>
      <c r="P114" s="3" t="s">
        <v>6</v>
      </c>
      <c r="Q114" s="3" t="s">
        <v>6</v>
      </c>
      <c r="R114" s="95" t="s">
        <v>652</v>
      </c>
      <c r="S114" s="223" t="s">
        <v>5</v>
      </c>
      <c r="T114" s="223" t="s">
        <v>5</v>
      </c>
      <c r="U114" s="223" t="s">
        <v>5</v>
      </c>
      <c r="V114" s="223" t="s">
        <v>5</v>
      </c>
      <c r="W114" s="223" t="s">
        <v>5</v>
      </c>
      <c r="X114" s="3" t="s">
        <v>5</v>
      </c>
      <c r="Y114" s="3" t="s">
        <v>651</v>
      </c>
      <c r="Z114" s="3" t="s">
        <v>651</v>
      </c>
      <c r="AA114" s="3" t="s">
        <v>10</v>
      </c>
      <c r="AB114" s="223" t="s">
        <v>5</v>
      </c>
      <c r="AC114" s="3" t="s">
        <v>10</v>
      </c>
      <c r="AD114" s="3" t="s">
        <v>10</v>
      </c>
      <c r="AE114" s="95" t="s">
        <v>2263</v>
      </c>
    </row>
    <row r="115" spans="1:31" x14ac:dyDescent="0.35">
      <c r="A115" s="3" t="s">
        <v>831</v>
      </c>
      <c r="B115" s="3" t="s">
        <v>41</v>
      </c>
      <c r="C115" s="3">
        <v>9</v>
      </c>
      <c r="D115" s="95" t="s">
        <v>832</v>
      </c>
      <c r="E115" s="95" t="s">
        <v>833</v>
      </c>
      <c r="F115" s="95" t="s">
        <v>4</v>
      </c>
      <c r="G115" s="223">
        <v>44118</v>
      </c>
      <c r="H115" s="223">
        <v>44197</v>
      </c>
      <c r="I115" s="223">
        <v>46022</v>
      </c>
      <c r="J115" s="3">
        <v>9</v>
      </c>
      <c r="K115" s="3" t="s">
        <v>10</v>
      </c>
      <c r="L115" s="3" t="s">
        <v>10</v>
      </c>
      <c r="M115" s="95" t="s">
        <v>114</v>
      </c>
      <c r="N115" s="3" t="s">
        <v>115</v>
      </c>
      <c r="O115" s="3" t="s">
        <v>651</v>
      </c>
      <c r="P115" s="3" t="s">
        <v>6</v>
      </c>
      <c r="Q115" s="3" t="s">
        <v>6</v>
      </c>
      <c r="R115" s="95" t="s">
        <v>652</v>
      </c>
      <c r="S115" s="223" t="s">
        <v>5</v>
      </c>
      <c r="T115" s="223" t="s">
        <v>5</v>
      </c>
      <c r="U115" s="223" t="s">
        <v>5</v>
      </c>
      <c r="V115" s="223" t="s">
        <v>5</v>
      </c>
      <c r="W115" s="223" t="s">
        <v>5</v>
      </c>
      <c r="X115" s="3" t="s">
        <v>5</v>
      </c>
      <c r="Y115" s="3" t="s">
        <v>651</v>
      </c>
      <c r="Z115" s="3" t="s">
        <v>651</v>
      </c>
      <c r="AA115" s="3" t="s">
        <v>10</v>
      </c>
      <c r="AB115" s="223" t="s">
        <v>5</v>
      </c>
      <c r="AC115" s="3" t="s">
        <v>10</v>
      </c>
      <c r="AD115" s="3" t="s">
        <v>10</v>
      </c>
      <c r="AE115" s="95" t="s">
        <v>2265</v>
      </c>
    </row>
    <row r="116" spans="1:31" x14ac:dyDescent="0.35">
      <c r="A116" s="3" t="s">
        <v>834</v>
      </c>
      <c r="B116" s="3" t="s">
        <v>41</v>
      </c>
      <c r="C116" s="3">
        <v>9</v>
      </c>
      <c r="D116" s="95" t="s">
        <v>835</v>
      </c>
      <c r="E116" s="95" t="s">
        <v>836</v>
      </c>
      <c r="F116" s="95" t="s">
        <v>4</v>
      </c>
      <c r="G116" s="223">
        <v>41933</v>
      </c>
      <c r="H116" s="223">
        <v>42186</v>
      </c>
      <c r="I116" s="223">
        <v>44011</v>
      </c>
      <c r="J116" s="3">
        <v>84</v>
      </c>
      <c r="K116" s="3" t="s">
        <v>10</v>
      </c>
      <c r="L116" s="3" t="s">
        <v>10</v>
      </c>
      <c r="M116" s="95" t="s">
        <v>60</v>
      </c>
      <c r="N116" s="3" t="s">
        <v>351</v>
      </c>
      <c r="O116" s="3" t="s">
        <v>651</v>
      </c>
      <c r="P116" s="3" t="s">
        <v>6</v>
      </c>
      <c r="Q116" s="3" t="s">
        <v>6</v>
      </c>
      <c r="R116" s="95" t="s">
        <v>652</v>
      </c>
      <c r="S116" s="223" t="s">
        <v>5</v>
      </c>
      <c r="T116" s="223" t="s">
        <v>5</v>
      </c>
      <c r="U116" s="223" t="s">
        <v>5</v>
      </c>
      <c r="V116" s="223" t="s">
        <v>5</v>
      </c>
      <c r="W116" s="223" t="s">
        <v>5</v>
      </c>
      <c r="X116" s="3" t="s">
        <v>5</v>
      </c>
      <c r="Y116" s="3" t="s">
        <v>651</v>
      </c>
      <c r="Z116" s="3" t="s">
        <v>651</v>
      </c>
      <c r="AA116" s="3" t="s">
        <v>10</v>
      </c>
      <c r="AB116" s="223" t="s">
        <v>5</v>
      </c>
      <c r="AC116" s="3" t="s">
        <v>6</v>
      </c>
      <c r="AD116" s="3" t="s">
        <v>10</v>
      </c>
      <c r="AE116" s="95" t="s">
        <v>2263</v>
      </c>
    </row>
    <row r="117" spans="1:31" x14ac:dyDescent="0.35">
      <c r="A117" s="3" t="s">
        <v>837</v>
      </c>
      <c r="B117" s="3" t="s">
        <v>41</v>
      </c>
      <c r="C117" s="3">
        <v>9</v>
      </c>
      <c r="D117" s="95" t="s">
        <v>838</v>
      </c>
      <c r="E117" s="95" t="s">
        <v>839</v>
      </c>
      <c r="F117" s="95" t="s">
        <v>4</v>
      </c>
      <c r="G117" s="223">
        <v>42430</v>
      </c>
      <c r="H117" s="223">
        <v>42552</v>
      </c>
      <c r="I117" s="223">
        <v>44377</v>
      </c>
      <c r="J117" s="3">
        <v>68</v>
      </c>
      <c r="K117" s="3" t="s">
        <v>10</v>
      </c>
      <c r="L117" s="3" t="s">
        <v>10</v>
      </c>
      <c r="M117" s="95" t="s">
        <v>19</v>
      </c>
      <c r="N117" s="3" t="s">
        <v>20</v>
      </c>
      <c r="O117" s="3" t="s">
        <v>651</v>
      </c>
      <c r="P117" s="3" t="s">
        <v>6</v>
      </c>
      <c r="Q117" s="3" t="s">
        <v>6</v>
      </c>
      <c r="R117" s="95" t="s">
        <v>652</v>
      </c>
      <c r="S117" s="223" t="s">
        <v>5</v>
      </c>
      <c r="T117" s="223" t="s">
        <v>5</v>
      </c>
      <c r="U117" s="223" t="s">
        <v>5</v>
      </c>
      <c r="V117" s="223" t="s">
        <v>5</v>
      </c>
      <c r="W117" s="223" t="s">
        <v>5</v>
      </c>
      <c r="X117" s="3" t="s">
        <v>5</v>
      </c>
      <c r="Y117" s="3" t="s">
        <v>651</v>
      </c>
      <c r="Z117" s="3" t="s">
        <v>651</v>
      </c>
      <c r="AA117" s="3" t="s">
        <v>10</v>
      </c>
      <c r="AB117" s="223" t="s">
        <v>5</v>
      </c>
      <c r="AC117" s="3" t="s">
        <v>10</v>
      </c>
      <c r="AD117" s="3" t="s">
        <v>10</v>
      </c>
      <c r="AE117" s="95" t="s">
        <v>2263</v>
      </c>
    </row>
    <row r="118" spans="1:31" x14ac:dyDescent="0.35">
      <c r="A118" s="3" t="s">
        <v>840</v>
      </c>
      <c r="B118" s="3" t="s">
        <v>41</v>
      </c>
      <c r="C118" s="3">
        <v>9</v>
      </c>
      <c r="D118" s="95" t="s">
        <v>841</v>
      </c>
      <c r="E118" s="95" t="s">
        <v>842</v>
      </c>
      <c r="F118" s="95" t="s">
        <v>4</v>
      </c>
      <c r="G118" s="223">
        <v>41338</v>
      </c>
      <c r="H118" s="223">
        <v>41609</v>
      </c>
      <c r="I118" s="223">
        <v>43434</v>
      </c>
      <c r="J118" s="3">
        <v>165</v>
      </c>
      <c r="K118" s="3" t="s">
        <v>10</v>
      </c>
      <c r="L118" s="3" t="s">
        <v>10</v>
      </c>
      <c r="M118" s="95" t="s">
        <v>19</v>
      </c>
      <c r="N118" s="3" t="s">
        <v>20</v>
      </c>
      <c r="O118" s="3" t="s">
        <v>651</v>
      </c>
      <c r="P118" s="3" t="s">
        <v>6</v>
      </c>
      <c r="Q118" s="3" t="s">
        <v>6</v>
      </c>
      <c r="R118" s="95" t="s">
        <v>652</v>
      </c>
      <c r="S118" s="223" t="s">
        <v>5</v>
      </c>
      <c r="T118" s="223" t="s">
        <v>5</v>
      </c>
      <c r="U118" s="223" t="s">
        <v>5</v>
      </c>
      <c r="V118" s="223" t="s">
        <v>5</v>
      </c>
      <c r="W118" s="223" t="s">
        <v>5</v>
      </c>
      <c r="X118" s="3" t="s">
        <v>5</v>
      </c>
      <c r="Y118" s="3" t="s">
        <v>651</v>
      </c>
      <c r="Z118" s="3" t="s">
        <v>651</v>
      </c>
      <c r="AA118" s="3" t="s">
        <v>10</v>
      </c>
      <c r="AB118" s="223" t="s">
        <v>5</v>
      </c>
      <c r="AC118" s="3" t="s">
        <v>10</v>
      </c>
      <c r="AD118" s="3" t="s">
        <v>10</v>
      </c>
      <c r="AE118" s="95" t="s">
        <v>2263</v>
      </c>
    </row>
    <row r="119" spans="1:31" x14ac:dyDescent="0.35">
      <c r="A119" s="3" t="s">
        <v>843</v>
      </c>
      <c r="B119" s="3" t="s">
        <v>41</v>
      </c>
      <c r="C119" s="3">
        <v>9</v>
      </c>
      <c r="D119" s="95" t="s">
        <v>844</v>
      </c>
      <c r="E119" s="95" t="s">
        <v>845</v>
      </c>
      <c r="F119" s="95" t="s">
        <v>4</v>
      </c>
      <c r="G119" s="223">
        <v>40603</v>
      </c>
      <c r="H119" s="223">
        <v>40603</v>
      </c>
      <c r="I119" s="223">
        <v>42429</v>
      </c>
      <c r="J119" s="3">
        <v>1</v>
      </c>
      <c r="K119" s="3" t="s">
        <v>10</v>
      </c>
      <c r="L119" s="3" t="s">
        <v>10</v>
      </c>
      <c r="M119" s="95" t="s">
        <v>19</v>
      </c>
      <c r="N119" s="3" t="s">
        <v>20</v>
      </c>
      <c r="O119" s="3" t="s">
        <v>651</v>
      </c>
      <c r="P119" s="3" t="s">
        <v>6</v>
      </c>
      <c r="Q119" s="3" t="s">
        <v>6</v>
      </c>
      <c r="R119" s="95" t="s">
        <v>652</v>
      </c>
      <c r="S119" s="223" t="s">
        <v>5</v>
      </c>
      <c r="T119" s="223" t="s">
        <v>5</v>
      </c>
      <c r="U119" s="223" t="s">
        <v>5</v>
      </c>
      <c r="V119" s="223" t="s">
        <v>5</v>
      </c>
      <c r="W119" s="223" t="s">
        <v>5</v>
      </c>
      <c r="X119" s="3" t="s">
        <v>5</v>
      </c>
      <c r="Y119" s="3" t="s">
        <v>651</v>
      </c>
      <c r="Z119" s="3" t="s">
        <v>651</v>
      </c>
      <c r="AA119" s="3" t="s">
        <v>10</v>
      </c>
      <c r="AB119" s="223" t="s">
        <v>5</v>
      </c>
      <c r="AC119" s="3" t="s">
        <v>10</v>
      </c>
      <c r="AD119" s="3" t="s">
        <v>10</v>
      </c>
      <c r="AE119" s="95" t="s">
        <v>2263</v>
      </c>
    </row>
    <row r="120" spans="1:31" x14ac:dyDescent="0.35">
      <c r="A120" s="3" t="s">
        <v>846</v>
      </c>
      <c r="B120" s="3" t="s">
        <v>41</v>
      </c>
      <c r="C120" s="3">
        <v>9</v>
      </c>
      <c r="D120" s="95" t="s">
        <v>2782</v>
      </c>
      <c r="E120" s="95" t="s">
        <v>847</v>
      </c>
      <c r="F120" s="95" t="s">
        <v>4</v>
      </c>
      <c r="G120" s="223">
        <v>43076</v>
      </c>
      <c r="H120" s="223">
        <v>43166</v>
      </c>
      <c r="I120" s="223">
        <v>44991</v>
      </c>
      <c r="J120" s="3">
        <v>20</v>
      </c>
      <c r="K120" s="3" t="s">
        <v>10</v>
      </c>
      <c r="L120" s="3" t="s">
        <v>10</v>
      </c>
      <c r="M120" s="95" t="s">
        <v>350</v>
      </c>
      <c r="N120" s="3" t="s">
        <v>351</v>
      </c>
      <c r="O120" s="3" t="s">
        <v>651</v>
      </c>
      <c r="P120" s="3" t="s">
        <v>6</v>
      </c>
      <c r="Q120" s="3" t="s">
        <v>6</v>
      </c>
      <c r="R120" s="95" t="s">
        <v>652</v>
      </c>
      <c r="S120" s="223" t="s">
        <v>5</v>
      </c>
      <c r="T120" s="223" t="s">
        <v>5</v>
      </c>
      <c r="U120" s="223" t="s">
        <v>5</v>
      </c>
      <c r="V120" s="223" t="s">
        <v>5</v>
      </c>
      <c r="W120" s="223" t="s">
        <v>5</v>
      </c>
      <c r="X120" s="3" t="s">
        <v>5</v>
      </c>
      <c r="Y120" s="3" t="s">
        <v>651</v>
      </c>
      <c r="Z120" s="3" t="s">
        <v>651</v>
      </c>
      <c r="AA120" s="3" t="s">
        <v>10</v>
      </c>
      <c r="AB120" s="223" t="s">
        <v>5</v>
      </c>
      <c r="AC120" s="3" t="s">
        <v>10</v>
      </c>
      <c r="AD120" s="3" t="s">
        <v>10</v>
      </c>
      <c r="AE120" s="95" t="s">
        <v>2263</v>
      </c>
    </row>
    <row r="121" spans="1:31" x14ac:dyDescent="0.35">
      <c r="A121" s="3" t="s">
        <v>848</v>
      </c>
      <c r="B121" s="3" t="s">
        <v>41</v>
      </c>
      <c r="C121" s="3">
        <v>9</v>
      </c>
      <c r="D121" s="95" t="s">
        <v>849</v>
      </c>
      <c r="E121" s="95" t="s">
        <v>850</v>
      </c>
      <c r="F121" s="95" t="s">
        <v>4</v>
      </c>
      <c r="G121" s="223">
        <v>42712</v>
      </c>
      <c r="H121" s="223">
        <v>42764</v>
      </c>
      <c r="I121" s="223">
        <v>44589</v>
      </c>
      <c r="J121" s="3">
        <v>2</v>
      </c>
      <c r="K121" s="3" t="s">
        <v>10</v>
      </c>
      <c r="L121" s="3" t="s">
        <v>10</v>
      </c>
      <c r="M121" s="95" t="s">
        <v>851</v>
      </c>
      <c r="N121" s="3" t="s">
        <v>68</v>
      </c>
      <c r="O121" s="3" t="s">
        <v>651</v>
      </c>
      <c r="P121" s="3" t="s">
        <v>6</v>
      </c>
      <c r="Q121" s="3" t="s">
        <v>6</v>
      </c>
      <c r="R121" s="95" t="s">
        <v>652</v>
      </c>
      <c r="S121" s="223" t="s">
        <v>5</v>
      </c>
      <c r="T121" s="223" t="s">
        <v>5</v>
      </c>
      <c r="U121" s="223" t="s">
        <v>5</v>
      </c>
      <c r="V121" s="223" t="s">
        <v>5</v>
      </c>
      <c r="W121" s="223" t="s">
        <v>5</v>
      </c>
      <c r="X121" s="3" t="s">
        <v>5</v>
      </c>
      <c r="Y121" s="3" t="s">
        <v>651</v>
      </c>
      <c r="Z121" s="3" t="s">
        <v>651</v>
      </c>
      <c r="AA121" s="3" t="s">
        <v>10</v>
      </c>
      <c r="AB121" s="223" t="s">
        <v>5</v>
      </c>
      <c r="AC121" s="3" t="s">
        <v>10</v>
      </c>
      <c r="AD121" s="3" t="s">
        <v>10</v>
      </c>
      <c r="AE121" s="95" t="s">
        <v>2263</v>
      </c>
    </row>
    <row r="122" spans="1:31" x14ac:dyDescent="0.35">
      <c r="A122" s="3" t="s">
        <v>852</v>
      </c>
      <c r="B122" s="3" t="s">
        <v>41</v>
      </c>
      <c r="C122" s="3">
        <v>9</v>
      </c>
      <c r="D122" s="95" t="s">
        <v>2783</v>
      </c>
      <c r="E122" s="95" t="s">
        <v>853</v>
      </c>
      <c r="F122" s="95" t="s">
        <v>4</v>
      </c>
      <c r="G122" s="223">
        <v>43496</v>
      </c>
      <c r="H122" s="223">
        <v>43598</v>
      </c>
      <c r="I122" s="223">
        <v>45322</v>
      </c>
      <c r="J122" s="3">
        <v>7</v>
      </c>
      <c r="K122" s="3" t="s">
        <v>10</v>
      </c>
      <c r="L122" s="3" t="s">
        <v>10</v>
      </c>
      <c r="M122" s="95" t="s">
        <v>854</v>
      </c>
      <c r="N122" s="3" t="s">
        <v>110</v>
      </c>
      <c r="O122" s="3" t="s">
        <v>651</v>
      </c>
      <c r="P122" s="3" t="s">
        <v>6</v>
      </c>
      <c r="Q122" s="3" t="s">
        <v>6</v>
      </c>
      <c r="R122" s="95" t="s">
        <v>652</v>
      </c>
      <c r="S122" s="223" t="s">
        <v>5</v>
      </c>
      <c r="T122" s="223" t="s">
        <v>5</v>
      </c>
      <c r="U122" s="223" t="s">
        <v>5</v>
      </c>
      <c r="V122" s="223" t="s">
        <v>5</v>
      </c>
      <c r="W122" s="223" t="s">
        <v>5</v>
      </c>
      <c r="X122" s="3" t="s">
        <v>5</v>
      </c>
      <c r="Y122" s="3" t="s">
        <v>651</v>
      </c>
      <c r="Z122" s="3" t="s">
        <v>651</v>
      </c>
      <c r="AA122" s="3" t="s">
        <v>10</v>
      </c>
      <c r="AB122" s="223" t="s">
        <v>5</v>
      </c>
      <c r="AC122" s="3" t="s">
        <v>10</v>
      </c>
      <c r="AD122" s="3" t="s">
        <v>10</v>
      </c>
      <c r="AE122" s="95" t="s">
        <v>2265</v>
      </c>
    </row>
    <row r="123" spans="1:31" x14ac:dyDescent="0.35">
      <c r="A123" s="3" t="s">
        <v>855</v>
      </c>
      <c r="B123" s="3" t="s">
        <v>41</v>
      </c>
      <c r="C123" s="3">
        <v>9</v>
      </c>
      <c r="D123" s="95" t="s">
        <v>856</v>
      </c>
      <c r="E123" s="95" t="s">
        <v>857</v>
      </c>
      <c r="F123" s="95" t="s">
        <v>4</v>
      </c>
      <c r="G123" s="223">
        <v>43937</v>
      </c>
      <c r="H123" s="223">
        <v>44211</v>
      </c>
      <c r="I123" s="223">
        <v>46036</v>
      </c>
      <c r="J123" s="3">
        <v>9</v>
      </c>
      <c r="K123" s="3" t="s">
        <v>10</v>
      </c>
      <c r="L123" s="3" t="s">
        <v>10</v>
      </c>
      <c r="M123" s="95" t="s">
        <v>858</v>
      </c>
      <c r="N123" s="3" t="s">
        <v>351</v>
      </c>
      <c r="O123" s="3" t="s">
        <v>651</v>
      </c>
      <c r="P123" s="3" t="s">
        <v>6</v>
      </c>
      <c r="Q123" s="3" t="s">
        <v>6</v>
      </c>
      <c r="R123" s="95" t="s">
        <v>652</v>
      </c>
      <c r="S123" s="223" t="s">
        <v>5</v>
      </c>
      <c r="T123" s="223" t="s">
        <v>5</v>
      </c>
      <c r="U123" s="223" t="s">
        <v>5</v>
      </c>
      <c r="V123" s="223" t="s">
        <v>5</v>
      </c>
      <c r="W123" s="223" t="s">
        <v>5</v>
      </c>
      <c r="X123" s="3" t="s">
        <v>5</v>
      </c>
      <c r="Y123" s="3" t="s">
        <v>651</v>
      </c>
      <c r="Z123" s="3" t="s">
        <v>651</v>
      </c>
      <c r="AA123" s="3" t="s">
        <v>10</v>
      </c>
      <c r="AB123" s="223" t="s">
        <v>5</v>
      </c>
      <c r="AC123" s="3" t="s">
        <v>10</v>
      </c>
      <c r="AD123" s="3" t="s">
        <v>10</v>
      </c>
      <c r="AE123" s="95" t="s">
        <v>2263</v>
      </c>
    </row>
    <row r="124" spans="1:31" x14ac:dyDescent="0.35">
      <c r="A124" s="3" t="s">
        <v>859</v>
      </c>
      <c r="B124" s="3" t="s">
        <v>41</v>
      </c>
      <c r="C124" s="3">
        <v>9</v>
      </c>
      <c r="D124" s="95" t="s">
        <v>860</v>
      </c>
      <c r="E124" s="95" t="s">
        <v>861</v>
      </c>
      <c r="F124" s="95" t="s">
        <v>4</v>
      </c>
      <c r="G124" s="223">
        <v>43356</v>
      </c>
      <c r="H124" s="223">
        <v>43417</v>
      </c>
      <c r="I124" s="223">
        <v>45242</v>
      </c>
      <c r="J124" s="3">
        <v>158</v>
      </c>
      <c r="K124" s="3" t="s">
        <v>10</v>
      </c>
      <c r="L124" s="3" t="s">
        <v>10</v>
      </c>
      <c r="M124" s="95" t="s">
        <v>169</v>
      </c>
      <c r="N124" s="3" t="s">
        <v>170</v>
      </c>
      <c r="O124" s="3" t="s">
        <v>651</v>
      </c>
      <c r="P124" s="3" t="s">
        <v>6</v>
      </c>
      <c r="Q124" s="3" t="s">
        <v>6</v>
      </c>
      <c r="R124" s="95" t="s">
        <v>652</v>
      </c>
      <c r="S124" s="223" t="s">
        <v>5</v>
      </c>
      <c r="T124" s="223" t="s">
        <v>5</v>
      </c>
      <c r="U124" s="223" t="s">
        <v>5</v>
      </c>
      <c r="V124" s="223" t="s">
        <v>5</v>
      </c>
      <c r="W124" s="223" t="s">
        <v>5</v>
      </c>
      <c r="X124" s="3" t="s">
        <v>5</v>
      </c>
      <c r="Y124" s="3" t="s">
        <v>651</v>
      </c>
      <c r="Z124" s="3" t="s">
        <v>651</v>
      </c>
      <c r="AA124" s="3" t="s">
        <v>10</v>
      </c>
      <c r="AB124" s="223" t="s">
        <v>5</v>
      </c>
      <c r="AC124" s="3" t="s">
        <v>10</v>
      </c>
      <c r="AD124" s="3" t="s">
        <v>10</v>
      </c>
      <c r="AE124" s="95" t="s">
        <v>2263</v>
      </c>
    </row>
    <row r="125" spans="1:31" x14ac:dyDescent="0.35">
      <c r="A125" s="3" t="s">
        <v>862</v>
      </c>
      <c r="B125" s="3" t="s">
        <v>41</v>
      </c>
      <c r="C125" s="3">
        <v>9</v>
      </c>
      <c r="D125" s="95" t="s">
        <v>863</v>
      </c>
      <c r="E125" s="95" t="s">
        <v>3230</v>
      </c>
      <c r="F125" s="95" t="s">
        <v>4</v>
      </c>
      <c r="G125" s="223">
        <v>44609</v>
      </c>
      <c r="H125" s="223">
        <v>44652</v>
      </c>
      <c r="I125" s="223">
        <v>46477</v>
      </c>
      <c r="J125" s="3">
        <v>42</v>
      </c>
      <c r="K125" s="3" t="s">
        <v>10</v>
      </c>
      <c r="L125" s="3" t="s">
        <v>10</v>
      </c>
      <c r="M125" s="95" t="s">
        <v>350</v>
      </c>
      <c r="N125" s="3" t="s">
        <v>68</v>
      </c>
      <c r="O125" s="3" t="s">
        <v>651</v>
      </c>
      <c r="P125" s="3" t="s">
        <v>6</v>
      </c>
      <c r="Q125" s="3" t="s">
        <v>6</v>
      </c>
      <c r="R125" s="95" t="s">
        <v>652</v>
      </c>
      <c r="S125" s="223" t="s">
        <v>5</v>
      </c>
      <c r="T125" s="223" t="s">
        <v>5</v>
      </c>
      <c r="U125" s="223" t="s">
        <v>5</v>
      </c>
      <c r="V125" s="223" t="s">
        <v>5</v>
      </c>
      <c r="W125" s="223" t="s">
        <v>5</v>
      </c>
      <c r="X125" s="3" t="s">
        <v>5</v>
      </c>
      <c r="Y125" s="3" t="s">
        <v>651</v>
      </c>
      <c r="Z125" s="3" t="s">
        <v>651</v>
      </c>
      <c r="AA125" s="3" t="s">
        <v>10</v>
      </c>
      <c r="AB125" s="223" t="s">
        <v>5</v>
      </c>
      <c r="AC125" s="3" t="s">
        <v>10</v>
      </c>
      <c r="AD125" s="3" t="s">
        <v>10</v>
      </c>
      <c r="AE125" s="95" t="s">
        <v>2263</v>
      </c>
    </row>
    <row r="126" spans="1:31" x14ac:dyDescent="0.35">
      <c r="A126" s="3" t="s">
        <v>864</v>
      </c>
      <c r="B126" s="3" t="s">
        <v>41</v>
      </c>
      <c r="C126" s="3">
        <v>9</v>
      </c>
      <c r="D126" s="95" t="s">
        <v>2784</v>
      </c>
      <c r="E126" s="95" t="s">
        <v>865</v>
      </c>
      <c r="F126" s="95" t="s">
        <v>4</v>
      </c>
      <c r="G126" s="223">
        <v>42264</v>
      </c>
      <c r="H126" s="223">
        <v>42278</v>
      </c>
      <c r="I126" s="223">
        <v>44104</v>
      </c>
      <c r="J126" s="3">
        <v>1</v>
      </c>
      <c r="K126" s="3" t="s">
        <v>10</v>
      </c>
      <c r="L126" s="3" t="s">
        <v>10</v>
      </c>
      <c r="M126" s="95" t="s">
        <v>350</v>
      </c>
      <c r="N126" s="3" t="s">
        <v>351</v>
      </c>
      <c r="O126" s="3" t="s">
        <v>651</v>
      </c>
      <c r="P126" s="3" t="s">
        <v>6</v>
      </c>
      <c r="Q126" s="3" t="s">
        <v>6</v>
      </c>
      <c r="R126" s="95" t="s">
        <v>652</v>
      </c>
      <c r="S126" s="223" t="s">
        <v>5</v>
      </c>
      <c r="T126" s="223" t="s">
        <v>5</v>
      </c>
      <c r="U126" s="223" t="s">
        <v>5</v>
      </c>
      <c r="V126" s="223" t="s">
        <v>5</v>
      </c>
      <c r="W126" s="223" t="s">
        <v>5</v>
      </c>
      <c r="X126" s="3" t="s">
        <v>5</v>
      </c>
      <c r="Y126" s="3" t="s">
        <v>651</v>
      </c>
      <c r="Z126" s="3" t="s">
        <v>651</v>
      </c>
      <c r="AA126" s="3" t="s">
        <v>10</v>
      </c>
      <c r="AB126" s="223" t="s">
        <v>5</v>
      </c>
      <c r="AC126" s="3" t="s">
        <v>10</v>
      </c>
      <c r="AD126" s="3" t="s">
        <v>10</v>
      </c>
      <c r="AE126" s="95" t="s">
        <v>2263</v>
      </c>
    </row>
    <row r="127" spans="1:31" x14ac:dyDescent="0.35">
      <c r="A127" s="3" t="s">
        <v>866</v>
      </c>
      <c r="B127" s="3" t="s">
        <v>41</v>
      </c>
      <c r="C127" s="3">
        <v>9</v>
      </c>
      <c r="D127" s="95" t="s">
        <v>2785</v>
      </c>
      <c r="E127" s="95" t="s">
        <v>867</v>
      </c>
      <c r="F127" s="95" t="s">
        <v>4</v>
      </c>
      <c r="G127" s="223">
        <v>44001</v>
      </c>
      <c r="H127" s="223">
        <v>44013</v>
      </c>
      <c r="I127" s="223">
        <v>45838</v>
      </c>
      <c r="J127" s="3">
        <v>38</v>
      </c>
      <c r="K127" s="3" t="s">
        <v>10</v>
      </c>
      <c r="L127" s="3" t="s">
        <v>10</v>
      </c>
      <c r="M127" s="95" t="s">
        <v>868</v>
      </c>
      <c r="N127" s="3" t="s">
        <v>351</v>
      </c>
      <c r="O127" s="3" t="s">
        <v>651</v>
      </c>
      <c r="P127" s="3" t="s">
        <v>6</v>
      </c>
      <c r="Q127" s="3" t="s">
        <v>6</v>
      </c>
      <c r="R127" s="95" t="s">
        <v>652</v>
      </c>
      <c r="S127" s="223" t="s">
        <v>5</v>
      </c>
      <c r="T127" s="223" t="s">
        <v>5</v>
      </c>
      <c r="U127" s="223" t="s">
        <v>5</v>
      </c>
      <c r="V127" s="223" t="s">
        <v>5</v>
      </c>
      <c r="W127" s="223" t="s">
        <v>5</v>
      </c>
      <c r="X127" s="3" t="s">
        <v>5</v>
      </c>
      <c r="Y127" s="3" t="s">
        <v>651</v>
      </c>
      <c r="Z127" s="3" t="s">
        <v>651</v>
      </c>
      <c r="AA127" s="3" t="s">
        <v>10</v>
      </c>
      <c r="AB127" s="223" t="s">
        <v>5</v>
      </c>
      <c r="AC127" s="3" t="s">
        <v>10</v>
      </c>
      <c r="AD127" s="3" t="s">
        <v>10</v>
      </c>
      <c r="AE127" s="95" t="s">
        <v>2263</v>
      </c>
    </row>
    <row r="128" spans="1:31" x14ac:dyDescent="0.35">
      <c r="A128" s="3" t="s">
        <v>869</v>
      </c>
      <c r="B128" s="3" t="s">
        <v>41</v>
      </c>
      <c r="C128" s="3">
        <v>9</v>
      </c>
      <c r="D128" s="95" t="s">
        <v>870</v>
      </c>
      <c r="E128" s="95" t="s">
        <v>871</v>
      </c>
      <c r="F128" s="95" t="s">
        <v>4</v>
      </c>
      <c r="G128" s="223">
        <v>44601</v>
      </c>
      <c r="H128" s="223">
        <v>44713</v>
      </c>
      <c r="I128" s="223">
        <v>46538</v>
      </c>
      <c r="J128" s="3">
        <v>25</v>
      </c>
      <c r="K128" s="3" t="s">
        <v>10</v>
      </c>
      <c r="L128" s="3" t="s">
        <v>10</v>
      </c>
      <c r="M128" s="95" t="s">
        <v>60</v>
      </c>
      <c r="N128" s="3" t="s">
        <v>351</v>
      </c>
      <c r="O128" s="3" t="s">
        <v>651</v>
      </c>
      <c r="P128" s="3" t="s">
        <v>6</v>
      </c>
      <c r="Q128" s="3" t="s">
        <v>6</v>
      </c>
      <c r="R128" s="95" t="s">
        <v>652</v>
      </c>
      <c r="S128" s="223" t="s">
        <v>5</v>
      </c>
      <c r="T128" s="223" t="s">
        <v>5</v>
      </c>
      <c r="U128" s="223" t="s">
        <v>5</v>
      </c>
      <c r="V128" s="223" t="s">
        <v>5</v>
      </c>
      <c r="W128" s="223" t="s">
        <v>5</v>
      </c>
      <c r="X128" s="3" t="s">
        <v>5</v>
      </c>
      <c r="Y128" s="3" t="s">
        <v>651</v>
      </c>
      <c r="Z128" s="3" t="s">
        <v>651</v>
      </c>
      <c r="AA128" s="3" t="s">
        <v>10</v>
      </c>
      <c r="AB128" s="223" t="s">
        <v>5</v>
      </c>
      <c r="AC128" s="3" t="s">
        <v>10</v>
      </c>
      <c r="AD128" s="3" t="s">
        <v>10</v>
      </c>
      <c r="AE128" s="95" t="s">
        <v>2263</v>
      </c>
    </row>
    <row r="129" spans="1:31" x14ac:dyDescent="0.35">
      <c r="A129" s="3" t="s">
        <v>872</v>
      </c>
      <c r="B129" s="3" t="s">
        <v>41</v>
      </c>
      <c r="C129" s="3">
        <v>9</v>
      </c>
      <c r="D129" s="95" t="s">
        <v>873</v>
      </c>
      <c r="E129" s="95" t="s">
        <v>3231</v>
      </c>
      <c r="F129" s="95" t="s">
        <v>4</v>
      </c>
      <c r="G129" s="223">
        <v>41255</v>
      </c>
      <c r="H129" s="223">
        <v>41276</v>
      </c>
      <c r="I129" s="223">
        <v>43101</v>
      </c>
      <c r="J129" s="3">
        <v>0</v>
      </c>
      <c r="K129" s="3" t="s">
        <v>10</v>
      </c>
      <c r="L129" s="3" t="s">
        <v>10</v>
      </c>
      <c r="M129" s="95" t="s">
        <v>60</v>
      </c>
      <c r="N129" s="3" t="s">
        <v>115</v>
      </c>
      <c r="O129" s="3" t="s">
        <v>651</v>
      </c>
      <c r="P129" s="3" t="s">
        <v>6</v>
      </c>
      <c r="Q129" s="3" t="s">
        <v>6</v>
      </c>
      <c r="R129" s="95" t="s">
        <v>652</v>
      </c>
      <c r="S129" s="223" t="s">
        <v>5</v>
      </c>
      <c r="T129" s="223" t="s">
        <v>5</v>
      </c>
      <c r="U129" s="223" t="s">
        <v>5</v>
      </c>
      <c r="V129" s="223" t="s">
        <v>5</v>
      </c>
      <c r="W129" s="223" t="s">
        <v>5</v>
      </c>
      <c r="X129" s="3" t="s">
        <v>5</v>
      </c>
      <c r="Y129" s="3" t="s">
        <v>651</v>
      </c>
      <c r="Z129" s="3" t="s">
        <v>651</v>
      </c>
      <c r="AA129" s="3" t="s">
        <v>10</v>
      </c>
      <c r="AB129" s="223" t="s">
        <v>5</v>
      </c>
      <c r="AC129" s="3" t="s">
        <v>10</v>
      </c>
      <c r="AD129" s="3" t="s">
        <v>10</v>
      </c>
      <c r="AE129" s="95" t="s">
        <v>2263</v>
      </c>
    </row>
    <row r="130" spans="1:31" x14ac:dyDescent="0.35">
      <c r="A130" s="3" t="s">
        <v>1920</v>
      </c>
      <c r="B130" s="3" t="s">
        <v>41</v>
      </c>
      <c r="C130" s="3">
        <v>9</v>
      </c>
      <c r="D130" s="95" t="s">
        <v>44</v>
      </c>
      <c r="E130" s="95" t="s">
        <v>2272</v>
      </c>
      <c r="F130" s="95" t="s">
        <v>437</v>
      </c>
      <c r="G130" s="223">
        <v>44211</v>
      </c>
      <c r="H130" s="223">
        <v>44256</v>
      </c>
      <c r="I130" s="223">
        <v>46081</v>
      </c>
      <c r="J130" s="3">
        <v>0</v>
      </c>
      <c r="K130" s="3" t="s">
        <v>6</v>
      </c>
      <c r="L130" s="3" t="s">
        <v>6</v>
      </c>
      <c r="M130" s="95" t="s">
        <v>27</v>
      </c>
      <c r="N130" s="3" t="s">
        <v>28</v>
      </c>
      <c r="O130" s="3" t="s">
        <v>25</v>
      </c>
      <c r="P130" s="3" t="s">
        <v>6</v>
      </c>
      <c r="Q130" s="3" t="s">
        <v>6</v>
      </c>
      <c r="R130" s="95" t="s">
        <v>22</v>
      </c>
      <c r="S130" s="223">
        <v>43374</v>
      </c>
      <c r="T130" s="223">
        <v>43553</v>
      </c>
      <c r="U130" s="223">
        <v>43009</v>
      </c>
      <c r="V130" s="223">
        <v>43009</v>
      </c>
      <c r="W130" s="223" t="s">
        <v>6</v>
      </c>
      <c r="X130" s="3" t="s">
        <v>26</v>
      </c>
      <c r="Y130" s="3" t="s">
        <v>2100</v>
      </c>
      <c r="Z130" s="3" t="s">
        <v>28</v>
      </c>
      <c r="AA130" s="3" t="s">
        <v>6</v>
      </c>
      <c r="AB130" s="223">
        <v>42159</v>
      </c>
      <c r="AC130" s="3" t="s">
        <v>6</v>
      </c>
      <c r="AD130" s="3" t="s">
        <v>10</v>
      </c>
      <c r="AE130" s="95" t="s">
        <v>2263</v>
      </c>
    </row>
    <row r="131" spans="1:31" x14ac:dyDescent="0.35">
      <c r="A131" s="3" t="s">
        <v>43</v>
      </c>
      <c r="B131" s="3" t="s">
        <v>41</v>
      </c>
      <c r="C131" s="3">
        <v>9</v>
      </c>
      <c r="D131" s="95" t="s">
        <v>1921</v>
      </c>
      <c r="E131" s="95" t="s">
        <v>1912</v>
      </c>
      <c r="F131" s="95" t="s">
        <v>437</v>
      </c>
      <c r="G131" s="223">
        <v>44609</v>
      </c>
      <c r="H131" s="223">
        <v>44609</v>
      </c>
      <c r="I131" s="223">
        <v>46434</v>
      </c>
      <c r="J131" s="3">
        <v>45</v>
      </c>
      <c r="K131" s="3" t="s">
        <v>6</v>
      </c>
      <c r="L131" s="3" t="s">
        <v>6</v>
      </c>
      <c r="M131" s="95" t="s">
        <v>23</v>
      </c>
      <c r="N131" s="3" t="s">
        <v>24</v>
      </c>
      <c r="O131" s="3" t="s">
        <v>25</v>
      </c>
      <c r="P131" s="3" t="s">
        <v>6</v>
      </c>
      <c r="Q131" s="3" t="s">
        <v>6</v>
      </c>
      <c r="R131" s="95" t="s">
        <v>22</v>
      </c>
      <c r="S131" s="223">
        <v>43374</v>
      </c>
      <c r="T131" s="223">
        <v>43497</v>
      </c>
      <c r="U131" s="223">
        <v>42644</v>
      </c>
      <c r="V131" s="223">
        <v>42644</v>
      </c>
      <c r="W131" s="223" t="s">
        <v>6</v>
      </c>
      <c r="X131" s="3" t="s">
        <v>26</v>
      </c>
      <c r="Y131" s="3" t="s">
        <v>2093</v>
      </c>
      <c r="Z131" s="3" t="s">
        <v>24</v>
      </c>
      <c r="AA131" s="3" t="s">
        <v>6</v>
      </c>
      <c r="AB131" s="223">
        <v>42782</v>
      </c>
      <c r="AC131" s="3" t="s">
        <v>10</v>
      </c>
      <c r="AD131" s="3" t="s">
        <v>10</v>
      </c>
      <c r="AE131" s="95" t="s">
        <v>2263</v>
      </c>
    </row>
    <row r="132" spans="1:31" x14ac:dyDescent="0.35">
      <c r="A132" s="3" t="s">
        <v>874</v>
      </c>
      <c r="B132" s="3" t="s">
        <v>41</v>
      </c>
      <c r="C132" s="3">
        <v>9</v>
      </c>
      <c r="D132" s="95" t="s">
        <v>875</v>
      </c>
      <c r="E132" s="95" t="s">
        <v>3232</v>
      </c>
      <c r="F132" s="95" t="s">
        <v>2787</v>
      </c>
      <c r="G132" s="223">
        <v>41730</v>
      </c>
      <c r="H132" s="223">
        <v>42186</v>
      </c>
      <c r="I132" s="223">
        <v>44012</v>
      </c>
      <c r="J132" s="3">
        <v>18560</v>
      </c>
      <c r="K132" s="3" t="s">
        <v>10</v>
      </c>
      <c r="L132" s="3" t="s">
        <v>10</v>
      </c>
      <c r="M132" s="95" t="s">
        <v>27</v>
      </c>
      <c r="N132" s="3" t="s">
        <v>28</v>
      </c>
      <c r="O132" s="3" t="s">
        <v>651</v>
      </c>
      <c r="P132" s="3" t="s">
        <v>6</v>
      </c>
      <c r="Q132" s="3" t="s">
        <v>6</v>
      </c>
      <c r="R132" s="95" t="s">
        <v>2786</v>
      </c>
      <c r="S132" s="223" t="s">
        <v>5</v>
      </c>
      <c r="T132" s="223" t="s">
        <v>5</v>
      </c>
      <c r="U132" s="223" t="s">
        <v>5</v>
      </c>
      <c r="V132" s="223" t="s">
        <v>5</v>
      </c>
      <c r="W132" s="223" t="s">
        <v>5</v>
      </c>
      <c r="X132" s="3" t="s">
        <v>5</v>
      </c>
      <c r="Y132" s="3" t="s">
        <v>651</v>
      </c>
      <c r="Z132" s="3" t="s">
        <v>651</v>
      </c>
      <c r="AA132" s="3" t="s">
        <v>6</v>
      </c>
      <c r="AB132" s="223">
        <v>42005</v>
      </c>
      <c r="AC132" s="3" t="s">
        <v>10</v>
      </c>
      <c r="AD132" s="3" t="s">
        <v>10</v>
      </c>
      <c r="AE132" s="95" t="s">
        <v>2263</v>
      </c>
    </row>
    <row r="133" spans="1:31" x14ac:dyDescent="0.35">
      <c r="A133" s="3" t="s">
        <v>876</v>
      </c>
      <c r="B133" s="3" t="s">
        <v>41</v>
      </c>
      <c r="C133" s="3">
        <v>9</v>
      </c>
      <c r="D133" s="95" t="s">
        <v>877</v>
      </c>
      <c r="E133" s="95" t="s">
        <v>3233</v>
      </c>
      <c r="F133" s="95" t="s">
        <v>2787</v>
      </c>
      <c r="G133" s="223">
        <v>44805</v>
      </c>
      <c r="H133" s="223">
        <v>45170</v>
      </c>
      <c r="I133" s="223">
        <v>47026</v>
      </c>
      <c r="J133" s="3">
        <v>10663</v>
      </c>
      <c r="K133" s="3" t="s">
        <v>10</v>
      </c>
      <c r="L133" s="3" t="s">
        <v>10</v>
      </c>
      <c r="M133" s="95" t="s">
        <v>23</v>
      </c>
      <c r="N133" s="3" t="s">
        <v>24</v>
      </c>
      <c r="O133" s="3" t="s">
        <v>651</v>
      </c>
      <c r="P133" s="3" t="s">
        <v>6</v>
      </c>
      <c r="Q133" s="3" t="s">
        <v>6</v>
      </c>
      <c r="R133" s="95" t="s">
        <v>2786</v>
      </c>
      <c r="S133" s="223" t="s">
        <v>5</v>
      </c>
      <c r="T133" s="223" t="s">
        <v>5</v>
      </c>
      <c r="U133" s="223" t="s">
        <v>5</v>
      </c>
      <c r="V133" s="223" t="s">
        <v>5</v>
      </c>
      <c r="W133" s="223" t="s">
        <v>5</v>
      </c>
      <c r="X133" s="3" t="s">
        <v>5</v>
      </c>
      <c r="Y133" s="3" t="s">
        <v>651</v>
      </c>
      <c r="Z133" s="3" t="s">
        <v>651</v>
      </c>
      <c r="AA133" s="3" t="s">
        <v>6</v>
      </c>
      <c r="AB133" s="223">
        <v>39814</v>
      </c>
      <c r="AC133" s="3" t="s">
        <v>10</v>
      </c>
      <c r="AD133" s="3" t="s">
        <v>10</v>
      </c>
      <c r="AE133" s="95" t="s">
        <v>2263</v>
      </c>
    </row>
    <row r="134" spans="1:31" x14ac:dyDescent="0.35">
      <c r="A134" s="3" t="s">
        <v>878</v>
      </c>
      <c r="B134" s="3" t="s">
        <v>41</v>
      </c>
      <c r="C134" s="3">
        <v>9</v>
      </c>
      <c r="D134" s="95" t="s">
        <v>879</v>
      </c>
      <c r="E134" s="95" t="s">
        <v>3234</v>
      </c>
      <c r="F134" s="95" t="s">
        <v>2787</v>
      </c>
      <c r="G134" s="223">
        <v>41310</v>
      </c>
      <c r="H134" s="223">
        <v>41456</v>
      </c>
      <c r="I134" s="223">
        <v>43281</v>
      </c>
      <c r="J134" s="3">
        <v>279</v>
      </c>
      <c r="K134" s="3" t="s">
        <v>10</v>
      </c>
      <c r="L134" s="3" t="s">
        <v>10</v>
      </c>
      <c r="M134" s="95" t="s">
        <v>2555</v>
      </c>
      <c r="N134" s="3" t="s">
        <v>52</v>
      </c>
      <c r="O134" s="3" t="s">
        <v>651</v>
      </c>
      <c r="P134" s="3" t="s">
        <v>6</v>
      </c>
      <c r="Q134" s="3" t="s">
        <v>6</v>
      </c>
      <c r="R134" s="95" t="s">
        <v>652</v>
      </c>
      <c r="S134" s="223" t="s">
        <v>5</v>
      </c>
      <c r="T134" s="223" t="s">
        <v>5</v>
      </c>
      <c r="U134" s="223" t="s">
        <v>5</v>
      </c>
      <c r="V134" s="223" t="s">
        <v>5</v>
      </c>
      <c r="W134" s="223" t="s">
        <v>5</v>
      </c>
      <c r="X134" s="3" t="s">
        <v>5</v>
      </c>
      <c r="Y134" s="3" t="s">
        <v>651</v>
      </c>
      <c r="Z134" s="3" t="s">
        <v>651</v>
      </c>
      <c r="AA134" s="3" t="s">
        <v>6</v>
      </c>
      <c r="AB134" s="223">
        <v>41275</v>
      </c>
      <c r="AC134" s="3" t="s">
        <v>10</v>
      </c>
      <c r="AD134" s="3" t="s">
        <v>6</v>
      </c>
      <c r="AE134" s="95" t="s">
        <v>2265</v>
      </c>
    </row>
    <row r="135" spans="1:31" x14ac:dyDescent="0.35">
      <c r="A135" s="3" t="s">
        <v>880</v>
      </c>
      <c r="B135" s="3" t="s">
        <v>46</v>
      </c>
      <c r="C135" s="3">
        <v>8</v>
      </c>
      <c r="D135" s="95" t="s">
        <v>881</v>
      </c>
      <c r="E135" s="95" t="s">
        <v>2281</v>
      </c>
      <c r="F135" s="95" t="s">
        <v>4</v>
      </c>
      <c r="G135" s="223">
        <v>42716</v>
      </c>
      <c r="H135" s="223">
        <v>42746</v>
      </c>
      <c r="I135" s="223">
        <v>44571</v>
      </c>
      <c r="J135" s="3">
        <v>101</v>
      </c>
      <c r="K135" s="3" t="s">
        <v>10</v>
      </c>
      <c r="L135" s="3" t="s">
        <v>10</v>
      </c>
      <c r="M135" s="95" t="s">
        <v>105</v>
      </c>
      <c r="N135" s="3" t="s">
        <v>106</v>
      </c>
      <c r="O135" s="3" t="s">
        <v>651</v>
      </c>
      <c r="P135" s="3" t="s">
        <v>6</v>
      </c>
      <c r="Q135" s="3" t="s">
        <v>6</v>
      </c>
      <c r="R135" s="95" t="s">
        <v>652</v>
      </c>
      <c r="S135" s="223" t="s">
        <v>5</v>
      </c>
      <c r="T135" s="223" t="s">
        <v>5</v>
      </c>
      <c r="U135" s="223" t="s">
        <v>5</v>
      </c>
      <c r="V135" s="223" t="s">
        <v>5</v>
      </c>
      <c r="W135" s="223" t="s">
        <v>5</v>
      </c>
      <c r="X135" s="3" t="s">
        <v>5</v>
      </c>
      <c r="Y135" s="3" t="s">
        <v>651</v>
      </c>
      <c r="Z135" s="3" t="s">
        <v>651</v>
      </c>
      <c r="AA135" s="3" t="s">
        <v>10</v>
      </c>
      <c r="AB135" s="223" t="s">
        <v>5</v>
      </c>
      <c r="AC135" s="3" t="s">
        <v>10</v>
      </c>
      <c r="AD135" s="3" t="s">
        <v>6</v>
      </c>
      <c r="AE135" s="95" t="s">
        <v>2265</v>
      </c>
    </row>
    <row r="136" spans="1:31" x14ac:dyDescent="0.35">
      <c r="A136" s="3" t="s">
        <v>504</v>
      </c>
      <c r="B136" s="3" t="s">
        <v>46</v>
      </c>
      <c r="C136" s="3">
        <v>8</v>
      </c>
      <c r="D136" s="95" t="s">
        <v>3181</v>
      </c>
      <c r="E136" s="95" t="s">
        <v>505</v>
      </c>
      <c r="F136" s="95" t="s">
        <v>4</v>
      </c>
      <c r="G136" s="223">
        <v>43666</v>
      </c>
      <c r="H136" s="223">
        <v>43666</v>
      </c>
      <c r="I136" s="223">
        <v>45473</v>
      </c>
      <c r="J136" s="3">
        <v>0</v>
      </c>
      <c r="K136" s="3" t="s">
        <v>6</v>
      </c>
      <c r="L136" s="3" t="s">
        <v>6</v>
      </c>
      <c r="M136" s="95" t="s">
        <v>116</v>
      </c>
      <c r="N136" s="3" t="s">
        <v>117</v>
      </c>
      <c r="O136" s="3" t="s">
        <v>17</v>
      </c>
      <c r="P136" s="3" t="s">
        <v>6</v>
      </c>
      <c r="Q136" s="3" t="s">
        <v>6</v>
      </c>
      <c r="R136" s="95" t="s">
        <v>9</v>
      </c>
      <c r="S136" s="223">
        <v>43591</v>
      </c>
      <c r="T136" s="223">
        <v>43651</v>
      </c>
      <c r="U136" s="223">
        <v>43616</v>
      </c>
      <c r="V136" s="223">
        <v>43616</v>
      </c>
      <c r="W136" s="223" t="s">
        <v>6</v>
      </c>
      <c r="X136" s="3" t="s">
        <v>26</v>
      </c>
      <c r="Y136" s="3" t="s">
        <v>2932</v>
      </c>
      <c r="Z136" s="3" t="s">
        <v>2924</v>
      </c>
      <c r="AA136" s="3" t="s">
        <v>2254</v>
      </c>
      <c r="AB136" s="223" t="s">
        <v>5</v>
      </c>
      <c r="AC136" s="3" t="s">
        <v>6</v>
      </c>
      <c r="AD136" s="3" t="s">
        <v>10</v>
      </c>
      <c r="AE136" s="95" t="s">
        <v>2265</v>
      </c>
    </row>
    <row r="137" spans="1:31" x14ac:dyDescent="0.35">
      <c r="A137" s="3" t="s">
        <v>882</v>
      </c>
      <c r="B137" s="3" t="s">
        <v>46</v>
      </c>
      <c r="C137" s="3">
        <v>8</v>
      </c>
      <c r="D137" s="95" t="s">
        <v>169</v>
      </c>
      <c r="E137" s="95" t="s">
        <v>2282</v>
      </c>
      <c r="F137" s="95" t="s">
        <v>2283</v>
      </c>
      <c r="G137" s="223">
        <v>41477</v>
      </c>
      <c r="H137" s="223">
        <v>41518</v>
      </c>
      <c r="I137" s="223">
        <v>43343</v>
      </c>
      <c r="J137" s="3">
        <v>5</v>
      </c>
      <c r="K137" s="3" t="s">
        <v>10</v>
      </c>
      <c r="L137" s="3" t="s">
        <v>10</v>
      </c>
      <c r="M137" s="95" t="s">
        <v>169</v>
      </c>
      <c r="N137" s="3" t="s">
        <v>170</v>
      </c>
      <c r="O137" s="3" t="s">
        <v>651</v>
      </c>
      <c r="P137" s="3" t="s">
        <v>6</v>
      </c>
      <c r="Q137" s="3" t="s">
        <v>6</v>
      </c>
      <c r="R137" s="95" t="s">
        <v>652</v>
      </c>
      <c r="S137" s="223" t="s">
        <v>5</v>
      </c>
      <c r="T137" s="223" t="s">
        <v>5</v>
      </c>
      <c r="U137" s="223" t="s">
        <v>5</v>
      </c>
      <c r="V137" s="223" t="s">
        <v>5</v>
      </c>
      <c r="W137" s="223" t="s">
        <v>5</v>
      </c>
      <c r="X137" s="3" t="s">
        <v>5</v>
      </c>
      <c r="Y137" s="3" t="s">
        <v>651</v>
      </c>
      <c r="Z137" s="3" t="s">
        <v>651</v>
      </c>
      <c r="AA137" s="3" t="s">
        <v>6</v>
      </c>
      <c r="AB137" s="223">
        <v>43770</v>
      </c>
      <c r="AC137" s="3" t="s">
        <v>6</v>
      </c>
      <c r="AD137" s="3" t="s">
        <v>10</v>
      </c>
      <c r="AE137" s="95" t="s">
        <v>2263</v>
      </c>
    </row>
    <row r="138" spans="1:31" x14ac:dyDescent="0.35">
      <c r="A138" s="3" t="s">
        <v>2284</v>
      </c>
      <c r="B138" s="3" t="s">
        <v>46</v>
      </c>
      <c r="C138" s="3">
        <v>8</v>
      </c>
      <c r="D138" s="95" t="s">
        <v>2285</v>
      </c>
      <c r="E138" s="95" t="s">
        <v>2282</v>
      </c>
      <c r="F138" s="95" t="s">
        <v>2283</v>
      </c>
      <c r="G138" s="223">
        <v>43921</v>
      </c>
      <c r="H138" s="223">
        <v>43983</v>
      </c>
      <c r="I138" s="223">
        <v>45808</v>
      </c>
      <c r="J138" s="3">
        <v>220</v>
      </c>
      <c r="K138" s="3" t="s">
        <v>10</v>
      </c>
      <c r="L138" s="3" t="s">
        <v>10</v>
      </c>
      <c r="M138" s="95" t="s">
        <v>169</v>
      </c>
      <c r="N138" s="3" t="s">
        <v>170</v>
      </c>
      <c r="O138" s="3" t="s">
        <v>651</v>
      </c>
      <c r="P138" s="3" t="s">
        <v>6</v>
      </c>
      <c r="Q138" s="3" t="s">
        <v>6</v>
      </c>
      <c r="R138" s="95" t="s">
        <v>652</v>
      </c>
      <c r="S138" s="223" t="s">
        <v>5</v>
      </c>
      <c r="T138" s="223" t="s">
        <v>5</v>
      </c>
      <c r="U138" s="223" t="s">
        <v>5</v>
      </c>
      <c r="V138" s="223" t="s">
        <v>5</v>
      </c>
      <c r="W138" s="223" t="s">
        <v>5</v>
      </c>
      <c r="X138" s="3" t="s">
        <v>5</v>
      </c>
      <c r="Y138" s="3" t="s">
        <v>651</v>
      </c>
      <c r="Z138" s="3" t="s">
        <v>651</v>
      </c>
      <c r="AA138" s="3" t="s">
        <v>6</v>
      </c>
      <c r="AB138" s="223">
        <v>43770</v>
      </c>
      <c r="AC138" s="3" t="s">
        <v>6</v>
      </c>
      <c r="AD138" s="3" t="s">
        <v>10</v>
      </c>
      <c r="AE138" s="95" t="s">
        <v>2263</v>
      </c>
    </row>
    <row r="139" spans="1:31" x14ac:dyDescent="0.35">
      <c r="A139" s="3" t="s">
        <v>45</v>
      </c>
      <c r="B139" s="3" t="s">
        <v>46</v>
      </c>
      <c r="C139" s="3">
        <v>8</v>
      </c>
      <c r="D139" s="95" t="s">
        <v>3140</v>
      </c>
      <c r="E139" s="95" t="s">
        <v>422</v>
      </c>
      <c r="F139" s="95" t="s">
        <v>437</v>
      </c>
      <c r="G139" s="223">
        <v>44455</v>
      </c>
      <c r="H139" s="223">
        <v>44500</v>
      </c>
      <c r="I139" s="223">
        <v>46326</v>
      </c>
      <c r="J139" s="3">
        <v>19</v>
      </c>
      <c r="K139" s="3" t="s">
        <v>6</v>
      </c>
      <c r="L139" s="3" t="s">
        <v>6</v>
      </c>
      <c r="M139" s="95" t="s">
        <v>19</v>
      </c>
      <c r="N139" s="3" t="s">
        <v>20</v>
      </c>
      <c r="O139" s="3" t="s">
        <v>21</v>
      </c>
      <c r="P139" s="3" t="s">
        <v>6</v>
      </c>
      <c r="Q139" s="3" t="s">
        <v>6</v>
      </c>
      <c r="R139" s="95" t="s">
        <v>22</v>
      </c>
      <c r="S139" s="223">
        <v>43675</v>
      </c>
      <c r="T139" s="223">
        <v>43756</v>
      </c>
      <c r="U139" s="223">
        <v>43647</v>
      </c>
      <c r="V139" s="223">
        <v>43647</v>
      </c>
      <c r="W139" s="223" t="s">
        <v>6</v>
      </c>
      <c r="X139" s="3" t="s">
        <v>26</v>
      </c>
      <c r="Y139" s="3" t="s">
        <v>2116</v>
      </c>
      <c r="Z139" s="3" t="s">
        <v>20</v>
      </c>
      <c r="AA139" s="3" t="s">
        <v>6</v>
      </c>
      <c r="AB139" s="223">
        <v>44442</v>
      </c>
      <c r="AC139" s="3" t="s">
        <v>10</v>
      </c>
      <c r="AD139" s="3" t="s">
        <v>10</v>
      </c>
      <c r="AE139" s="95" t="s">
        <v>2263</v>
      </c>
    </row>
    <row r="140" spans="1:31" x14ac:dyDescent="0.35">
      <c r="A140" s="3" t="s">
        <v>883</v>
      </c>
      <c r="B140" s="3" t="s">
        <v>46</v>
      </c>
      <c r="C140" s="3">
        <v>8</v>
      </c>
      <c r="D140" s="95" t="s">
        <v>884</v>
      </c>
      <c r="E140" s="95" t="s">
        <v>2286</v>
      </c>
      <c r="F140" s="95" t="s">
        <v>4</v>
      </c>
      <c r="G140" s="223">
        <v>43069</v>
      </c>
      <c r="H140" s="223">
        <v>43282</v>
      </c>
      <c r="I140" s="223">
        <v>45107</v>
      </c>
      <c r="J140" s="3">
        <v>14</v>
      </c>
      <c r="K140" s="3" t="s">
        <v>10</v>
      </c>
      <c r="L140" s="3" t="s">
        <v>10</v>
      </c>
      <c r="M140" s="95" t="s">
        <v>109</v>
      </c>
      <c r="N140" s="3" t="s">
        <v>110</v>
      </c>
      <c r="O140" s="3" t="s">
        <v>651</v>
      </c>
      <c r="P140" s="3" t="s">
        <v>6</v>
      </c>
      <c r="Q140" s="3" t="s">
        <v>6</v>
      </c>
      <c r="R140" s="95" t="s">
        <v>652</v>
      </c>
      <c r="S140" s="223" t="s">
        <v>5</v>
      </c>
      <c r="T140" s="223" t="s">
        <v>5</v>
      </c>
      <c r="U140" s="223" t="s">
        <v>5</v>
      </c>
      <c r="V140" s="223" t="s">
        <v>5</v>
      </c>
      <c r="W140" s="223" t="s">
        <v>5</v>
      </c>
      <c r="X140" s="3" t="s">
        <v>5</v>
      </c>
      <c r="Y140" s="3" t="s">
        <v>651</v>
      </c>
      <c r="Z140" s="3" t="s">
        <v>651</v>
      </c>
      <c r="AA140" s="3" t="s">
        <v>10</v>
      </c>
      <c r="AB140" s="223" t="s">
        <v>5</v>
      </c>
      <c r="AC140" s="3" t="s">
        <v>6</v>
      </c>
      <c r="AD140" s="3" t="s">
        <v>10</v>
      </c>
      <c r="AE140" s="95" t="s">
        <v>2265</v>
      </c>
    </row>
    <row r="141" spans="1:31" x14ac:dyDescent="0.35">
      <c r="A141" s="3" t="s">
        <v>885</v>
      </c>
      <c r="B141" s="3" t="s">
        <v>46</v>
      </c>
      <c r="C141" s="3">
        <v>8</v>
      </c>
      <c r="D141" s="95" t="s">
        <v>886</v>
      </c>
      <c r="E141" s="95" t="s">
        <v>2282</v>
      </c>
      <c r="F141" s="95" t="s">
        <v>2283</v>
      </c>
      <c r="G141" s="223">
        <v>40758</v>
      </c>
      <c r="H141" s="223">
        <v>40817</v>
      </c>
      <c r="I141" s="223">
        <v>42643</v>
      </c>
      <c r="J141" s="3">
        <v>0</v>
      </c>
      <c r="K141" s="3" t="s">
        <v>10</v>
      </c>
      <c r="L141" s="3" t="s">
        <v>10</v>
      </c>
      <c r="M141" s="95" t="s">
        <v>851</v>
      </c>
      <c r="N141" s="3" t="s">
        <v>68</v>
      </c>
      <c r="O141" s="3" t="s">
        <v>651</v>
      </c>
      <c r="P141" s="3" t="s">
        <v>6</v>
      </c>
      <c r="Q141" s="3" t="s">
        <v>6</v>
      </c>
      <c r="R141" s="95" t="s">
        <v>652</v>
      </c>
      <c r="S141" s="223" t="s">
        <v>5</v>
      </c>
      <c r="T141" s="223" t="s">
        <v>5</v>
      </c>
      <c r="U141" s="223" t="s">
        <v>5</v>
      </c>
      <c r="V141" s="223" t="s">
        <v>5</v>
      </c>
      <c r="W141" s="223" t="s">
        <v>5</v>
      </c>
      <c r="X141" s="3" t="s">
        <v>5</v>
      </c>
      <c r="Y141" s="3" t="s">
        <v>651</v>
      </c>
      <c r="Z141" s="3" t="s">
        <v>651</v>
      </c>
      <c r="AA141" s="3" t="s">
        <v>6</v>
      </c>
      <c r="AB141" s="223">
        <v>43770</v>
      </c>
      <c r="AC141" s="3" t="s">
        <v>6</v>
      </c>
      <c r="AD141" s="3" t="s">
        <v>10</v>
      </c>
      <c r="AE141" s="95" t="s">
        <v>2263</v>
      </c>
    </row>
    <row r="142" spans="1:31" x14ac:dyDescent="0.35">
      <c r="A142" s="3" t="s">
        <v>2287</v>
      </c>
      <c r="B142" s="3" t="s">
        <v>46</v>
      </c>
      <c r="C142" s="3">
        <v>8</v>
      </c>
      <c r="D142" s="95" t="s">
        <v>2288</v>
      </c>
      <c r="E142" s="95" t="s">
        <v>2282</v>
      </c>
      <c r="F142" s="95" t="s">
        <v>2283</v>
      </c>
      <c r="G142" s="223">
        <v>43921</v>
      </c>
      <c r="H142" s="223">
        <v>43983</v>
      </c>
      <c r="I142" s="223">
        <v>45808</v>
      </c>
      <c r="J142" s="3">
        <v>52</v>
      </c>
      <c r="K142" s="3" t="s">
        <v>10</v>
      </c>
      <c r="L142" s="3" t="s">
        <v>10</v>
      </c>
      <c r="M142" s="95" t="s">
        <v>2289</v>
      </c>
      <c r="N142" s="3" t="s">
        <v>68</v>
      </c>
      <c r="O142" s="3" t="s">
        <v>651</v>
      </c>
      <c r="P142" s="3" t="s">
        <v>6</v>
      </c>
      <c r="Q142" s="3" t="s">
        <v>6</v>
      </c>
      <c r="R142" s="95" t="s">
        <v>652</v>
      </c>
      <c r="S142" s="223" t="s">
        <v>5</v>
      </c>
      <c r="T142" s="223" t="s">
        <v>5</v>
      </c>
      <c r="U142" s="223" t="s">
        <v>5</v>
      </c>
      <c r="V142" s="223" t="s">
        <v>5</v>
      </c>
      <c r="W142" s="223" t="s">
        <v>5</v>
      </c>
      <c r="X142" s="3" t="s">
        <v>5</v>
      </c>
      <c r="Y142" s="3" t="s">
        <v>651</v>
      </c>
      <c r="Z142" s="3" t="s">
        <v>651</v>
      </c>
      <c r="AA142" s="3" t="s">
        <v>6</v>
      </c>
      <c r="AB142" s="223">
        <v>43770</v>
      </c>
      <c r="AC142" s="3" t="s">
        <v>6</v>
      </c>
      <c r="AD142" s="3" t="s">
        <v>10</v>
      </c>
      <c r="AE142" s="95" t="s">
        <v>2263</v>
      </c>
    </row>
    <row r="143" spans="1:31" x14ac:dyDescent="0.35">
      <c r="A143" s="3" t="s">
        <v>2290</v>
      </c>
      <c r="B143" s="3" t="s">
        <v>46</v>
      </c>
      <c r="C143" s="3">
        <v>8</v>
      </c>
      <c r="D143" s="95" t="s">
        <v>3109</v>
      </c>
      <c r="E143" s="95" t="s">
        <v>2282</v>
      </c>
      <c r="F143" s="95" t="s">
        <v>2283</v>
      </c>
      <c r="G143" s="223">
        <v>43921</v>
      </c>
      <c r="H143" s="223">
        <v>43983</v>
      </c>
      <c r="I143" s="223">
        <v>45808</v>
      </c>
      <c r="J143" s="3">
        <v>113</v>
      </c>
      <c r="K143" s="3" t="s">
        <v>10</v>
      </c>
      <c r="L143" s="3" t="s">
        <v>10</v>
      </c>
      <c r="M143" s="95" t="s">
        <v>2289</v>
      </c>
      <c r="N143" s="3" t="s">
        <v>68</v>
      </c>
      <c r="O143" s="3" t="s">
        <v>651</v>
      </c>
      <c r="P143" s="3" t="s">
        <v>6</v>
      </c>
      <c r="Q143" s="3" t="s">
        <v>6</v>
      </c>
      <c r="R143" s="95" t="s">
        <v>652</v>
      </c>
      <c r="S143" s="223" t="s">
        <v>5</v>
      </c>
      <c r="T143" s="223" t="s">
        <v>5</v>
      </c>
      <c r="U143" s="223" t="s">
        <v>5</v>
      </c>
      <c r="V143" s="223" t="s">
        <v>5</v>
      </c>
      <c r="W143" s="223" t="s">
        <v>5</v>
      </c>
      <c r="X143" s="3" t="s">
        <v>5</v>
      </c>
      <c r="Y143" s="3" t="s">
        <v>651</v>
      </c>
      <c r="Z143" s="3" t="s">
        <v>651</v>
      </c>
      <c r="AA143" s="3" t="s">
        <v>6</v>
      </c>
      <c r="AB143" s="223">
        <v>43770</v>
      </c>
      <c r="AC143" s="3" t="s">
        <v>6</v>
      </c>
      <c r="AD143" s="3" t="s">
        <v>10</v>
      </c>
      <c r="AE143" s="95" t="s">
        <v>2263</v>
      </c>
    </row>
    <row r="144" spans="1:31" x14ac:dyDescent="0.35">
      <c r="A144" s="3" t="s">
        <v>887</v>
      </c>
      <c r="B144" s="3" t="s">
        <v>46</v>
      </c>
      <c r="C144" s="3">
        <v>8</v>
      </c>
      <c r="D144" s="95" t="s">
        <v>888</v>
      </c>
      <c r="E144" s="95" t="s">
        <v>2286</v>
      </c>
      <c r="F144" s="95" t="s">
        <v>4</v>
      </c>
      <c r="G144" s="223">
        <v>42656</v>
      </c>
      <c r="H144" s="223">
        <v>42736</v>
      </c>
      <c r="I144" s="223">
        <v>44561</v>
      </c>
      <c r="J144" s="3">
        <v>522</v>
      </c>
      <c r="K144" s="3" t="s">
        <v>10</v>
      </c>
      <c r="L144" s="3" t="s">
        <v>10</v>
      </c>
      <c r="M144" s="95" t="s">
        <v>114</v>
      </c>
      <c r="N144" s="3" t="s">
        <v>115</v>
      </c>
      <c r="O144" s="3" t="s">
        <v>651</v>
      </c>
      <c r="P144" s="3" t="s">
        <v>6</v>
      </c>
      <c r="Q144" s="3" t="s">
        <v>6</v>
      </c>
      <c r="R144" s="95" t="s">
        <v>652</v>
      </c>
      <c r="S144" s="223" t="s">
        <v>5</v>
      </c>
      <c r="T144" s="223" t="s">
        <v>5</v>
      </c>
      <c r="U144" s="223" t="s">
        <v>5</v>
      </c>
      <c r="V144" s="223" t="s">
        <v>5</v>
      </c>
      <c r="W144" s="223" t="s">
        <v>5</v>
      </c>
      <c r="X144" s="3" t="s">
        <v>5</v>
      </c>
      <c r="Y144" s="3" t="s">
        <v>651</v>
      </c>
      <c r="Z144" s="3" t="s">
        <v>651</v>
      </c>
      <c r="AA144" s="3" t="s">
        <v>10</v>
      </c>
      <c r="AB144" s="223" t="s">
        <v>5</v>
      </c>
      <c r="AC144" s="3" t="s">
        <v>6</v>
      </c>
      <c r="AD144" s="3" t="s">
        <v>10</v>
      </c>
      <c r="AE144" s="95" t="s">
        <v>2263</v>
      </c>
    </row>
    <row r="145" spans="1:31" x14ac:dyDescent="0.35">
      <c r="A145" s="3" t="s">
        <v>889</v>
      </c>
      <c r="B145" s="3" t="s">
        <v>46</v>
      </c>
      <c r="C145" s="3">
        <v>8</v>
      </c>
      <c r="D145" s="95" t="s">
        <v>2291</v>
      </c>
      <c r="E145" s="95" t="s">
        <v>2292</v>
      </c>
      <c r="F145" s="95" t="s">
        <v>4</v>
      </c>
      <c r="G145" s="223">
        <v>44628</v>
      </c>
      <c r="H145" s="223">
        <v>44652</v>
      </c>
      <c r="I145" s="223">
        <v>46477</v>
      </c>
      <c r="J145" s="3">
        <v>3</v>
      </c>
      <c r="K145" s="3" t="s">
        <v>6</v>
      </c>
      <c r="L145" s="3" t="s">
        <v>6</v>
      </c>
      <c r="M145" s="95" t="s">
        <v>47</v>
      </c>
      <c r="N145" s="3" t="s">
        <v>48</v>
      </c>
      <c r="O145" s="3" t="s">
        <v>49</v>
      </c>
      <c r="P145" s="3" t="s">
        <v>6</v>
      </c>
      <c r="Q145" s="3" t="s">
        <v>6</v>
      </c>
      <c r="R145" s="95" t="s">
        <v>9</v>
      </c>
      <c r="S145" s="223">
        <v>43437</v>
      </c>
      <c r="T145" s="223">
        <v>43747</v>
      </c>
      <c r="U145" s="223">
        <v>43405</v>
      </c>
      <c r="V145" s="223">
        <v>43405</v>
      </c>
      <c r="W145" s="223" t="s">
        <v>6</v>
      </c>
      <c r="X145" s="3" t="s">
        <v>26</v>
      </c>
      <c r="Y145" s="3" t="s">
        <v>2928</v>
      </c>
      <c r="Z145" s="3" t="s">
        <v>2924</v>
      </c>
      <c r="AA145" s="3" t="s">
        <v>10</v>
      </c>
      <c r="AB145" s="223" t="s">
        <v>5</v>
      </c>
      <c r="AC145" s="3" t="s">
        <v>6</v>
      </c>
      <c r="AD145" s="3" t="s">
        <v>6</v>
      </c>
      <c r="AE145" s="95" t="s">
        <v>2265</v>
      </c>
    </row>
    <row r="146" spans="1:31" x14ac:dyDescent="0.35">
      <c r="A146" s="3" t="s">
        <v>890</v>
      </c>
      <c r="B146" s="3" t="s">
        <v>46</v>
      </c>
      <c r="C146" s="3">
        <v>8</v>
      </c>
      <c r="D146" s="95" t="s">
        <v>891</v>
      </c>
      <c r="E146" s="95" t="s">
        <v>2293</v>
      </c>
      <c r="F146" s="95" t="s">
        <v>651</v>
      </c>
      <c r="G146" s="223">
        <v>41358</v>
      </c>
      <c r="H146" s="223">
        <v>41426</v>
      </c>
      <c r="I146" s="223">
        <v>43251</v>
      </c>
      <c r="J146" s="3">
        <v>31</v>
      </c>
      <c r="K146" s="3" t="s">
        <v>10</v>
      </c>
      <c r="L146" s="3" t="s">
        <v>10</v>
      </c>
      <c r="M146" s="95" t="s">
        <v>47</v>
      </c>
      <c r="N146" s="3" t="s">
        <v>48</v>
      </c>
      <c r="O146" s="3" t="s">
        <v>651</v>
      </c>
      <c r="P146" s="3" t="s">
        <v>6</v>
      </c>
      <c r="Q146" s="3" t="s">
        <v>10</v>
      </c>
      <c r="R146" s="95" t="s">
        <v>3235</v>
      </c>
      <c r="S146" s="223" t="s">
        <v>5</v>
      </c>
      <c r="T146" s="223" t="s">
        <v>5</v>
      </c>
      <c r="U146" s="223" t="s">
        <v>5</v>
      </c>
      <c r="V146" s="223" t="s">
        <v>5</v>
      </c>
      <c r="W146" s="223" t="s">
        <v>5</v>
      </c>
      <c r="X146" s="3" t="s">
        <v>5</v>
      </c>
      <c r="Y146" s="3" t="s">
        <v>651</v>
      </c>
      <c r="Z146" s="3" t="s">
        <v>651</v>
      </c>
      <c r="AA146" s="3" t="s">
        <v>651</v>
      </c>
      <c r="AB146" s="223" t="s">
        <v>5</v>
      </c>
      <c r="AC146" s="3" t="s">
        <v>651</v>
      </c>
      <c r="AD146" s="3" t="s">
        <v>651</v>
      </c>
      <c r="AE146" s="95" t="s">
        <v>651</v>
      </c>
    </row>
    <row r="147" spans="1:31" x14ac:dyDescent="0.35">
      <c r="A147" s="3" t="s">
        <v>892</v>
      </c>
      <c r="B147" s="3" t="s">
        <v>46</v>
      </c>
      <c r="C147" s="3">
        <v>8</v>
      </c>
      <c r="D147" s="95" t="s">
        <v>893</v>
      </c>
      <c r="E147" s="95" t="s">
        <v>2293</v>
      </c>
      <c r="F147" s="95" t="s">
        <v>651</v>
      </c>
      <c r="G147" s="223">
        <v>41457</v>
      </c>
      <c r="H147" s="223">
        <v>41548</v>
      </c>
      <c r="I147" s="223">
        <v>43373</v>
      </c>
      <c r="J147" s="3">
        <v>35</v>
      </c>
      <c r="K147" s="3" t="s">
        <v>10</v>
      </c>
      <c r="L147" s="3" t="s">
        <v>10</v>
      </c>
      <c r="M147" s="95" t="s">
        <v>47</v>
      </c>
      <c r="N147" s="3" t="s">
        <v>48</v>
      </c>
      <c r="O147" s="3" t="s">
        <v>651</v>
      </c>
      <c r="P147" s="3" t="s">
        <v>6</v>
      </c>
      <c r="Q147" s="3" t="s">
        <v>10</v>
      </c>
      <c r="R147" s="95" t="s">
        <v>3235</v>
      </c>
      <c r="S147" s="223" t="s">
        <v>5</v>
      </c>
      <c r="T147" s="223" t="s">
        <v>5</v>
      </c>
      <c r="U147" s="223" t="s">
        <v>5</v>
      </c>
      <c r="V147" s="223" t="s">
        <v>5</v>
      </c>
      <c r="W147" s="223" t="s">
        <v>5</v>
      </c>
      <c r="X147" s="3" t="s">
        <v>5</v>
      </c>
      <c r="Y147" s="3" t="s">
        <v>651</v>
      </c>
      <c r="Z147" s="3" t="s">
        <v>651</v>
      </c>
      <c r="AA147" s="3" t="s">
        <v>651</v>
      </c>
      <c r="AB147" s="223" t="s">
        <v>5</v>
      </c>
      <c r="AC147" s="3" t="s">
        <v>651</v>
      </c>
      <c r="AD147" s="3" t="s">
        <v>651</v>
      </c>
      <c r="AE147" s="95" t="s">
        <v>651</v>
      </c>
    </row>
    <row r="148" spans="1:31" x14ac:dyDescent="0.35">
      <c r="A148" s="3" t="s">
        <v>3236</v>
      </c>
      <c r="B148" s="3" t="s">
        <v>46</v>
      </c>
      <c r="C148" s="3">
        <v>8</v>
      </c>
      <c r="D148" s="95" t="s">
        <v>3237</v>
      </c>
      <c r="E148" s="95" t="s">
        <v>3238</v>
      </c>
      <c r="F148" s="95" t="s">
        <v>4</v>
      </c>
      <c r="G148" s="223">
        <v>44253</v>
      </c>
      <c r="H148" s="223">
        <v>44287</v>
      </c>
      <c r="I148" s="223">
        <v>46112</v>
      </c>
      <c r="J148" s="3">
        <v>49</v>
      </c>
      <c r="K148" s="3" t="s">
        <v>10</v>
      </c>
      <c r="L148" s="3" t="s">
        <v>10</v>
      </c>
      <c r="M148" s="95" t="s">
        <v>47</v>
      </c>
      <c r="N148" s="3" t="s">
        <v>48</v>
      </c>
      <c r="O148" s="3" t="s">
        <v>651</v>
      </c>
      <c r="P148" s="3" t="s">
        <v>6</v>
      </c>
      <c r="Q148" s="3" t="s">
        <v>6</v>
      </c>
      <c r="R148" s="95" t="s">
        <v>652</v>
      </c>
      <c r="S148" s="223" t="s">
        <v>5</v>
      </c>
      <c r="T148" s="223" t="s">
        <v>5</v>
      </c>
      <c r="U148" s="223" t="s">
        <v>5</v>
      </c>
      <c r="V148" s="223" t="s">
        <v>5</v>
      </c>
      <c r="W148" s="223" t="s">
        <v>5</v>
      </c>
      <c r="X148" s="3" t="s">
        <v>5</v>
      </c>
      <c r="Y148" s="3" t="s">
        <v>651</v>
      </c>
      <c r="Z148" s="3" t="s">
        <v>651</v>
      </c>
      <c r="AA148" s="3" t="s">
        <v>10</v>
      </c>
      <c r="AB148" s="223" t="s">
        <v>5</v>
      </c>
      <c r="AC148" s="3" t="s">
        <v>6</v>
      </c>
      <c r="AD148" s="3" t="s">
        <v>10</v>
      </c>
      <c r="AE148" s="95" t="s">
        <v>2263</v>
      </c>
    </row>
    <row r="149" spans="1:31" x14ac:dyDescent="0.35">
      <c r="A149" s="3" t="s">
        <v>3239</v>
      </c>
      <c r="B149" s="3" t="s">
        <v>46</v>
      </c>
      <c r="C149" s="3">
        <v>8</v>
      </c>
      <c r="D149" s="95" t="s">
        <v>3240</v>
      </c>
      <c r="E149" s="95" t="s">
        <v>3241</v>
      </c>
      <c r="F149" s="95" t="s">
        <v>4</v>
      </c>
      <c r="G149" s="223">
        <v>44681</v>
      </c>
      <c r="H149" s="223">
        <v>44713</v>
      </c>
      <c r="I149" s="223">
        <v>46538</v>
      </c>
      <c r="J149" s="3">
        <v>65</v>
      </c>
      <c r="K149" s="3" t="s">
        <v>10</v>
      </c>
      <c r="L149" s="3" t="s">
        <v>10</v>
      </c>
      <c r="M149" s="95" t="s">
        <v>47</v>
      </c>
      <c r="N149" s="3" t="s">
        <v>48</v>
      </c>
      <c r="O149" s="3" t="s">
        <v>651</v>
      </c>
      <c r="P149" s="3" t="s">
        <v>6</v>
      </c>
      <c r="Q149" s="3" t="s">
        <v>6</v>
      </c>
      <c r="R149" s="95" t="s">
        <v>652</v>
      </c>
      <c r="S149" s="223" t="s">
        <v>5</v>
      </c>
      <c r="T149" s="223" t="s">
        <v>5</v>
      </c>
      <c r="U149" s="223" t="s">
        <v>5</v>
      </c>
      <c r="V149" s="223" t="s">
        <v>5</v>
      </c>
      <c r="W149" s="223" t="s">
        <v>5</v>
      </c>
      <c r="X149" s="3" t="s">
        <v>5</v>
      </c>
      <c r="Y149" s="3" t="s">
        <v>651</v>
      </c>
      <c r="Z149" s="3" t="s">
        <v>651</v>
      </c>
      <c r="AA149" s="3" t="s">
        <v>10</v>
      </c>
      <c r="AB149" s="223" t="s">
        <v>5</v>
      </c>
      <c r="AC149" s="3" t="s">
        <v>6</v>
      </c>
      <c r="AD149" s="3" t="s">
        <v>10</v>
      </c>
      <c r="AE149" s="95" t="s">
        <v>2263</v>
      </c>
    </row>
    <row r="150" spans="1:31" x14ac:dyDescent="0.35">
      <c r="A150" s="3" t="s">
        <v>894</v>
      </c>
      <c r="B150" s="3" t="s">
        <v>46</v>
      </c>
      <c r="C150" s="3">
        <v>8</v>
      </c>
      <c r="D150" s="95" t="s">
        <v>895</v>
      </c>
      <c r="E150" s="95" t="s">
        <v>3242</v>
      </c>
      <c r="F150" s="95" t="s">
        <v>4</v>
      </c>
      <c r="G150" s="223">
        <v>37046</v>
      </c>
      <c r="H150" s="223">
        <v>37104</v>
      </c>
      <c r="I150" s="223">
        <v>38929</v>
      </c>
      <c r="J150" s="3">
        <v>2</v>
      </c>
      <c r="K150" s="3" t="s">
        <v>10</v>
      </c>
      <c r="L150" s="3" t="s">
        <v>10</v>
      </c>
      <c r="M150" s="95" t="s">
        <v>350</v>
      </c>
      <c r="N150" s="3" t="s">
        <v>351</v>
      </c>
      <c r="O150" s="3" t="s">
        <v>651</v>
      </c>
      <c r="P150" s="3" t="s">
        <v>6</v>
      </c>
      <c r="Q150" s="3" t="s">
        <v>6</v>
      </c>
      <c r="R150" s="95" t="s">
        <v>652</v>
      </c>
      <c r="S150" s="223" t="s">
        <v>5</v>
      </c>
      <c r="T150" s="223" t="s">
        <v>5</v>
      </c>
      <c r="U150" s="223" t="s">
        <v>5</v>
      </c>
      <c r="V150" s="223" t="s">
        <v>5</v>
      </c>
      <c r="W150" s="223" t="s">
        <v>5</v>
      </c>
      <c r="X150" s="3" t="s">
        <v>5</v>
      </c>
      <c r="Y150" s="3" t="s">
        <v>651</v>
      </c>
      <c r="Z150" s="3" t="s">
        <v>651</v>
      </c>
      <c r="AA150" s="3" t="s">
        <v>10</v>
      </c>
      <c r="AB150" s="223" t="s">
        <v>5</v>
      </c>
      <c r="AC150" s="3" t="s">
        <v>10</v>
      </c>
      <c r="AD150" s="3" t="s">
        <v>10</v>
      </c>
      <c r="AE150" s="95" t="s">
        <v>2263</v>
      </c>
    </row>
    <row r="151" spans="1:31" x14ac:dyDescent="0.35">
      <c r="A151" s="3" t="s">
        <v>896</v>
      </c>
      <c r="B151" s="3" t="s">
        <v>46</v>
      </c>
      <c r="C151" s="3">
        <v>8</v>
      </c>
      <c r="D151" s="95" t="s">
        <v>3243</v>
      </c>
      <c r="E151" s="95" t="s">
        <v>3244</v>
      </c>
      <c r="F151" s="95" t="s">
        <v>2283</v>
      </c>
      <c r="G151" s="223">
        <v>43921</v>
      </c>
      <c r="H151" s="223">
        <v>44713</v>
      </c>
      <c r="I151" s="223">
        <v>46538</v>
      </c>
      <c r="J151" s="3">
        <v>1</v>
      </c>
      <c r="K151" s="3" t="s">
        <v>10</v>
      </c>
      <c r="L151" s="3" t="s">
        <v>10</v>
      </c>
      <c r="M151" s="95" t="s">
        <v>169</v>
      </c>
      <c r="N151" s="3" t="s">
        <v>170</v>
      </c>
      <c r="O151" s="3" t="s">
        <v>651</v>
      </c>
      <c r="P151" s="3" t="s">
        <v>6</v>
      </c>
      <c r="Q151" s="3" t="s">
        <v>6</v>
      </c>
      <c r="R151" s="95" t="s">
        <v>652</v>
      </c>
      <c r="S151" s="223" t="s">
        <v>5</v>
      </c>
      <c r="T151" s="223" t="s">
        <v>5</v>
      </c>
      <c r="U151" s="223" t="s">
        <v>5</v>
      </c>
      <c r="V151" s="223" t="s">
        <v>5</v>
      </c>
      <c r="W151" s="223" t="s">
        <v>5</v>
      </c>
      <c r="X151" s="3" t="s">
        <v>5</v>
      </c>
      <c r="Y151" s="3" t="s">
        <v>651</v>
      </c>
      <c r="Z151" s="3" t="s">
        <v>651</v>
      </c>
      <c r="AA151" s="3" t="s">
        <v>6</v>
      </c>
      <c r="AB151" s="223">
        <v>44378</v>
      </c>
      <c r="AC151" s="3" t="s">
        <v>6</v>
      </c>
      <c r="AD151" s="3" t="s">
        <v>10</v>
      </c>
      <c r="AE151" s="95" t="s">
        <v>2263</v>
      </c>
    </row>
    <row r="152" spans="1:31" x14ac:dyDescent="0.35">
      <c r="A152" s="3" t="s">
        <v>897</v>
      </c>
      <c r="B152" s="3" t="s">
        <v>46</v>
      </c>
      <c r="C152" s="3">
        <v>8</v>
      </c>
      <c r="D152" s="95" t="s">
        <v>136</v>
      </c>
      <c r="E152" s="95" t="s">
        <v>2294</v>
      </c>
      <c r="F152" s="95" t="s">
        <v>4</v>
      </c>
      <c r="G152" s="223">
        <v>42331</v>
      </c>
      <c r="H152" s="223">
        <v>42461</v>
      </c>
      <c r="I152" s="223">
        <v>44286</v>
      </c>
      <c r="J152" s="3">
        <v>23</v>
      </c>
      <c r="K152" s="3" t="s">
        <v>10</v>
      </c>
      <c r="L152" s="3" t="s">
        <v>10</v>
      </c>
      <c r="M152" s="95" t="s">
        <v>136</v>
      </c>
      <c r="N152" s="3" t="s">
        <v>138</v>
      </c>
      <c r="O152" s="3" t="s">
        <v>651</v>
      </c>
      <c r="P152" s="3" t="s">
        <v>6</v>
      </c>
      <c r="Q152" s="3" t="s">
        <v>6</v>
      </c>
      <c r="R152" s="95" t="s">
        <v>652</v>
      </c>
      <c r="S152" s="223" t="s">
        <v>5</v>
      </c>
      <c r="T152" s="223" t="s">
        <v>5</v>
      </c>
      <c r="U152" s="223" t="s">
        <v>5</v>
      </c>
      <c r="V152" s="223" t="s">
        <v>5</v>
      </c>
      <c r="W152" s="223" t="s">
        <v>5</v>
      </c>
      <c r="X152" s="3" t="s">
        <v>5</v>
      </c>
      <c r="Y152" s="3" t="s">
        <v>651</v>
      </c>
      <c r="Z152" s="3" t="s">
        <v>651</v>
      </c>
      <c r="AA152" s="3" t="s">
        <v>10</v>
      </c>
      <c r="AB152" s="223" t="s">
        <v>5</v>
      </c>
      <c r="AC152" s="3" t="s">
        <v>6</v>
      </c>
      <c r="AD152" s="3" t="s">
        <v>10</v>
      </c>
      <c r="AE152" s="95" t="s">
        <v>2263</v>
      </c>
    </row>
    <row r="153" spans="1:31" x14ac:dyDescent="0.35">
      <c r="A153" s="3" t="s">
        <v>898</v>
      </c>
      <c r="B153" s="3" t="s">
        <v>46</v>
      </c>
      <c r="C153" s="3">
        <v>8</v>
      </c>
      <c r="D153" s="95" t="s">
        <v>899</v>
      </c>
      <c r="E153" s="95" t="s">
        <v>2286</v>
      </c>
      <c r="F153" s="95" t="s">
        <v>4</v>
      </c>
      <c r="G153" s="223">
        <v>39598</v>
      </c>
      <c r="H153" s="223">
        <v>39630</v>
      </c>
      <c r="I153" s="223">
        <v>41455</v>
      </c>
      <c r="J153" s="3">
        <v>8</v>
      </c>
      <c r="K153" s="3" t="s">
        <v>10</v>
      </c>
      <c r="L153" s="3" t="s">
        <v>10</v>
      </c>
      <c r="M153" s="95" t="s">
        <v>173</v>
      </c>
      <c r="N153" s="3" t="s">
        <v>174</v>
      </c>
      <c r="O153" s="3" t="s">
        <v>651</v>
      </c>
      <c r="P153" s="3" t="s">
        <v>6</v>
      </c>
      <c r="Q153" s="3" t="s">
        <v>6</v>
      </c>
      <c r="R153" s="95" t="s">
        <v>652</v>
      </c>
      <c r="S153" s="223" t="s">
        <v>5</v>
      </c>
      <c r="T153" s="223" t="s">
        <v>5</v>
      </c>
      <c r="U153" s="223" t="s">
        <v>5</v>
      </c>
      <c r="V153" s="223" t="s">
        <v>5</v>
      </c>
      <c r="W153" s="223" t="s">
        <v>5</v>
      </c>
      <c r="X153" s="3" t="s">
        <v>5</v>
      </c>
      <c r="Y153" s="3" t="s">
        <v>651</v>
      </c>
      <c r="Z153" s="3" t="s">
        <v>651</v>
      </c>
      <c r="AA153" s="3" t="s">
        <v>10</v>
      </c>
      <c r="AB153" s="223" t="s">
        <v>5</v>
      </c>
      <c r="AC153" s="3" t="s">
        <v>6</v>
      </c>
      <c r="AD153" s="3" t="s">
        <v>10</v>
      </c>
      <c r="AE153" s="95" t="s">
        <v>2265</v>
      </c>
    </row>
    <row r="154" spans="1:31" x14ac:dyDescent="0.35">
      <c r="A154" s="3" t="s">
        <v>900</v>
      </c>
      <c r="B154" s="3" t="s">
        <v>46</v>
      </c>
      <c r="C154" s="3">
        <v>8</v>
      </c>
      <c r="D154" s="95" t="s">
        <v>901</v>
      </c>
      <c r="E154" s="95" t="s">
        <v>2286</v>
      </c>
      <c r="F154" s="95" t="s">
        <v>4</v>
      </c>
      <c r="G154" s="223">
        <v>39350</v>
      </c>
      <c r="H154" s="223">
        <v>39387</v>
      </c>
      <c r="I154" s="223">
        <v>41213</v>
      </c>
      <c r="J154" s="3">
        <v>13</v>
      </c>
      <c r="K154" s="3" t="s">
        <v>10</v>
      </c>
      <c r="L154" s="3" t="s">
        <v>10</v>
      </c>
      <c r="M154" s="95" t="s">
        <v>60</v>
      </c>
      <c r="N154" s="3" t="s">
        <v>351</v>
      </c>
      <c r="O154" s="3" t="s">
        <v>651</v>
      </c>
      <c r="P154" s="3" t="s">
        <v>6</v>
      </c>
      <c r="Q154" s="3" t="s">
        <v>6</v>
      </c>
      <c r="R154" s="95" t="s">
        <v>652</v>
      </c>
      <c r="S154" s="223" t="s">
        <v>5</v>
      </c>
      <c r="T154" s="223" t="s">
        <v>5</v>
      </c>
      <c r="U154" s="223" t="s">
        <v>5</v>
      </c>
      <c r="V154" s="223" t="s">
        <v>5</v>
      </c>
      <c r="W154" s="223" t="s">
        <v>5</v>
      </c>
      <c r="X154" s="3" t="s">
        <v>5</v>
      </c>
      <c r="Y154" s="3" t="s">
        <v>651</v>
      </c>
      <c r="Z154" s="3" t="s">
        <v>651</v>
      </c>
      <c r="AA154" s="3" t="s">
        <v>10</v>
      </c>
      <c r="AB154" s="223" t="s">
        <v>5</v>
      </c>
      <c r="AC154" s="3" t="s">
        <v>6</v>
      </c>
      <c r="AD154" s="3" t="s">
        <v>10</v>
      </c>
      <c r="AE154" s="95" t="s">
        <v>2263</v>
      </c>
    </row>
    <row r="155" spans="1:31" x14ac:dyDescent="0.35">
      <c r="A155" s="3" t="s">
        <v>2295</v>
      </c>
      <c r="B155" s="3" t="s">
        <v>46</v>
      </c>
      <c r="C155" s="3">
        <v>8</v>
      </c>
      <c r="D155" s="95" t="s">
        <v>2296</v>
      </c>
      <c r="E155" s="95" t="s">
        <v>3245</v>
      </c>
      <c r="F155" s="95" t="s">
        <v>2283</v>
      </c>
      <c r="G155" s="223">
        <v>43921</v>
      </c>
      <c r="H155" s="223">
        <v>43983</v>
      </c>
      <c r="I155" s="223">
        <v>45808</v>
      </c>
      <c r="J155" s="3">
        <v>15</v>
      </c>
      <c r="K155" s="3" t="s">
        <v>10</v>
      </c>
      <c r="L155" s="3" t="s">
        <v>10</v>
      </c>
      <c r="M155" s="95" t="s">
        <v>2289</v>
      </c>
      <c r="N155" s="3" t="s">
        <v>68</v>
      </c>
      <c r="O155" s="3" t="s">
        <v>651</v>
      </c>
      <c r="P155" s="3" t="s">
        <v>6</v>
      </c>
      <c r="Q155" s="3" t="s">
        <v>6</v>
      </c>
      <c r="R155" s="95" t="s">
        <v>652</v>
      </c>
      <c r="S155" s="223" t="s">
        <v>5</v>
      </c>
      <c r="T155" s="223" t="s">
        <v>5</v>
      </c>
      <c r="U155" s="223" t="s">
        <v>5</v>
      </c>
      <c r="V155" s="223" t="s">
        <v>5</v>
      </c>
      <c r="W155" s="223" t="s">
        <v>5</v>
      </c>
      <c r="X155" s="3" t="s">
        <v>5</v>
      </c>
      <c r="Y155" s="3" t="s">
        <v>651</v>
      </c>
      <c r="Z155" s="3" t="s">
        <v>651</v>
      </c>
      <c r="AA155" s="3" t="s">
        <v>6</v>
      </c>
      <c r="AB155" s="223">
        <v>43770</v>
      </c>
      <c r="AC155" s="3" t="s">
        <v>6</v>
      </c>
      <c r="AD155" s="3" t="s">
        <v>10</v>
      </c>
      <c r="AE155" s="95" t="s">
        <v>2263</v>
      </c>
    </row>
    <row r="156" spans="1:31" x14ac:dyDescent="0.35">
      <c r="A156" s="3" t="s">
        <v>902</v>
      </c>
      <c r="B156" s="3" t="s">
        <v>46</v>
      </c>
      <c r="C156" s="3">
        <v>8</v>
      </c>
      <c r="D156" s="95" t="s">
        <v>903</v>
      </c>
      <c r="E156" s="95" t="s">
        <v>2286</v>
      </c>
      <c r="F156" s="95" t="s">
        <v>4</v>
      </c>
      <c r="G156" s="223">
        <v>38625</v>
      </c>
      <c r="H156" s="223">
        <v>38657</v>
      </c>
      <c r="I156" s="223">
        <v>40482</v>
      </c>
      <c r="J156" s="3">
        <v>98</v>
      </c>
      <c r="K156" s="3" t="s">
        <v>10</v>
      </c>
      <c r="L156" s="3" t="s">
        <v>10</v>
      </c>
      <c r="M156" s="95" t="s">
        <v>116</v>
      </c>
      <c r="N156" s="3" t="s">
        <v>117</v>
      </c>
      <c r="O156" s="3" t="s">
        <v>651</v>
      </c>
      <c r="P156" s="3" t="s">
        <v>6</v>
      </c>
      <c r="Q156" s="3" t="s">
        <v>6</v>
      </c>
      <c r="R156" s="95" t="s">
        <v>652</v>
      </c>
      <c r="S156" s="223" t="s">
        <v>5</v>
      </c>
      <c r="T156" s="223" t="s">
        <v>5</v>
      </c>
      <c r="U156" s="223" t="s">
        <v>5</v>
      </c>
      <c r="V156" s="223" t="s">
        <v>5</v>
      </c>
      <c r="W156" s="223" t="s">
        <v>5</v>
      </c>
      <c r="X156" s="3" t="s">
        <v>5</v>
      </c>
      <c r="Y156" s="3" t="s">
        <v>651</v>
      </c>
      <c r="Z156" s="3" t="s">
        <v>651</v>
      </c>
      <c r="AA156" s="3" t="s">
        <v>10</v>
      </c>
      <c r="AB156" s="223" t="s">
        <v>5</v>
      </c>
      <c r="AC156" s="3" t="s">
        <v>6</v>
      </c>
      <c r="AD156" s="3" t="s">
        <v>10</v>
      </c>
      <c r="AE156" s="95" t="s">
        <v>2265</v>
      </c>
    </row>
    <row r="157" spans="1:31" x14ac:dyDescent="0.35">
      <c r="A157" s="3" t="s">
        <v>904</v>
      </c>
      <c r="B157" s="3" t="s">
        <v>46</v>
      </c>
      <c r="C157" s="3">
        <v>8</v>
      </c>
      <c r="D157" s="95" t="s">
        <v>905</v>
      </c>
      <c r="E157" s="95" t="s">
        <v>2286</v>
      </c>
      <c r="F157" s="95" t="s">
        <v>4</v>
      </c>
      <c r="G157" s="223">
        <v>40025</v>
      </c>
      <c r="H157" s="223">
        <v>40057</v>
      </c>
      <c r="I157" s="223">
        <v>41882</v>
      </c>
      <c r="J157" s="3">
        <v>7</v>
      </c>
      <c r="K157" s="3" t="s">
        <v>10</v>
      </c>
      <c r="L157" s="3" t="s">
        <v>10</v>
      </c>
      <c r="M157" s="95" t="s">
        <v>11</v>
      </c>
      <c r="N157" s="3" t="s">
        <v>7</v>
      </c>
      <c r="O157" s="3" t="s">
        <v>651</v>
      </c>
      <c r="P157" s="3" t="s">
        <v>6</v>
      </c>
      <c r="Q157" s="3" t="s">
        <v>6</v>
      </c>
      <c r="R157" s="95" t="s">
        <v>652</v>
      </c>
      <c r="S157" s="223" t="s">
        <v>5</v>
      </c>
      <c r="T157" s="223" t="s">
        <v>5</v>
      </c>
      <c r="U157" s="223" t="s">
        <v>5</v>
      </c>
      <c r="V157" s="223" t="s">
        <v>5</v>
      </c>
      <c r="W157" s="223" t="s">
        <v>5</v>
      </c>
      <c r="X157" s="3" t="s">
        <v>5</v>
      </c>
      <c r="Y157" s="3" t="s">
        <v>651</v>
      </c>
      <c r="Z157" s="3" t="s">
        <v>651</v>
      </c>
      <c r="AA157" s="3" t="s">
        <v>10</v>
      </c>
      <c r="AB157" s="223" t="s">
        <v>5</v>
      </c>
      <c r="AC157" s="3" t="s">
        <v>6</v>
      </c>
      <c r="AD157" s="3" t="s">
        <v>10</v>
      </c>
      <c r="AE157" s="95" t="s">
        <v>2263</v>
      </c>
    </row>
    <row r="158" spans="1:31" x14ac:dyDescent="0.35">
      <c r="A158" s="3" t="s">
        <v>906</v>
      </c>
      <c r="B158" s="3" t="s">
        <v>46</v>
      </c>
      <c r="C158" s="3">
        <v>8</v>
      </c>
      <c r="D158" s="95" t="s">
        <v>371</v>
      </c>
      <c r="E158" s="95" t="s">
        <v>2286</v>
      </c>
      <c r="F158" s="95" t="s">
        <v>4</v>
      </c>
      <c r="G158" s="223">
        <v>39598</v>
      </c>
      <c r="H158" s="223">
        <v>39630</v>
      </c>
      <c r="I158" s="223">
        <v>41455</v>
      </c>
      <c r="J158" s="3">
        <v>4</v>
      </c>
      <c r="K158" s="3" t="s">
        <v>10</v>
      </c>
      <c r="L158" s="3" t="s">
        <v>10</v>
      </c>
      <c r="M158" s="95" t="s">
        <v>114</v>
      </c>
      <c r="N158" s="3" t="s">
        <v>115</v>
      </c>
      <c r="O158" s="3" t="s">
        <v>651</v>
      </c>
      <c r="P158" s="3" t="s">
        <v>6</v>
      </c>
      <c r="Q158" s="3" t="s">
        <v>6</v>
      </c>
      <c r="R158" s="95" t="s">
        <v>652</v>
      </c>
      <c r="S158" s="223" t="s">
        <v>5</v>
      </c>
      <c r="T158" s="223" t="s">
        <v>5</v>
      </c>
      <c r="U158" s="223" t="s">
        <v>5</v>
      </c>
      <c r="V158" s="223" t="s">
        <v>5</v>
      </c>
      <c r="W158" s="223" t="s">
        <v>5</v>
      </c>
      <c r="X158" s="3" t="s">
        <v>5</v>
      </c>
      <c r="Y158" s="3" t="s">
        <v>651</v>
      </c>
      <c r="Z158" s="3" t="s">
        <v>651</v>
      </c>
      <c r="AA158" s="3" t="s">
        <v>10</v>
      </c>
      <c r="AB158" s="223" t="s">
        <v>5</v>
      </c>
      <c r="AC158" s="3" t="s">
        <v>6</v>
      </c>
      <c r="AD158" s="3" t="s">
        <v>10</v>
      </c>
      <c r="AE158" s="95" t="s">
        <v>2263</v>
      </c>
    </row>
    <row r="159" spans="1:31" x14ac:dyDescent="0.35">
      <c r="A159" s="3" t="s">
        <v>907</v>
      </c>
      <c r="B159" s="3" t="s">
        <v>46</v>
      </c>
      <c r="C159" s="3">
        <v>8</v>
      </c>
      <c r="D159" s="95" t="s">
        <v>908</v>
      </c>
      <c r="E159" s="95" t="s">
        <v>2297</v>
      </c>
      <c r="F159" s="95" t="s">
        <v>4</v>
      </c>
      <c r="G159" s="223">
        <v>43796</v>
      </c>
      <c r="H159" s="223">
        <v>43831</v>
      </c>
      <c r="I159" s="223">
        <v>45657</v>
      </c>
      <c r="J159" s="3">
        <v>78</v>
      </c>
      <c r="K159" s="3" t="s">
        <v>10</v>
      </c>
      <c r="L159" s="3" t="s">
        <v>10</v>
      </c>
      <c r="M159" s="95" t="s">
        <v>19</v>
      </c>
      <c r="N159" s="3" t="s">
        <v>20</v>
      </c>
      <c r="O159" s="3" t="s">
        <v>651</v>
      </c>
      <c r="P159" s="3" t="s">
        <v>6</v>
      </c>
      <c r="Q159" s="3" t="s">
        <v>6</v>
      </c>
      <c r="R159" s="95" t="s">
        <v>652</v>
      </c>
      <c r="S159" s="223" t="s">
        <v>5</v>
      </c>
      <c r="T159" s="223" t="s">
        <v>5</v>
      </c>
      <c r="U159" s="223" t="s">
        <v>5</v>
      </c>
      <c r="V159" s="223" t="s">
        <v>5</v>
      </c>
      <c r="W159" s="223" t="s">
        <v>5</v>
      </c>
      <c r="X159" s="3" t="s">
        <v>5</v>
      </c>
      <c r="Y159" s="3" t="s">
        <v>651</v>
      </c>
      <c r="Z159" s="3" t="s">
        <v>651</v>
      </c>
      <c r="AA159" s="3" t="s">
        <v>10</v>
      </c>
      <c r="AB159" s="223" t="s">
        <v>5</v>
      </c>
      <c r="AC159" s="3" t="s">
        <v>10</v>
      </c>
      <c r="AD159" s="3" t="s">
        <v>10</v>
      </c>
      <c r="AE159" s="95" t="s">
        <v>2263</v>
      </c>
    </row>
    <row r="160" spans="1:31" x14ac:dyDescent="0.35">
      <c r="A160" s="3" t="s">
        <v>909</v>
      </c>
      <c r="B160" s="3" t="s">
        <v>46</v>
      </c>
      <c r="C160" s="3">
        <v>8</v>
      </c>
      <c r="D160" s="95" t="s">
        <v>315</v>
      </c>
      <c r="E160" s="95" t="s">
        <v>910</v>
      </c>
      <c r="F160" s="95" t="s">
        <v>651</v>
      </c>
      <c r="G160" s="223">
        <v>40987</v>
      </c>
      <c r="H160" s="223">
        <v>41017</v>
      </c>
      <c r="I160" s="223">
        <v>42842</v>
      </c>
      <c r="J160" s="3">
        <v>71</v>
      </c>
      <c r="K160" s="3" t="s">
        <v>10</v>
      </c>
      <c r="L160" s="3" t="s">
        <v>10</v>
      </c>
      <c r="M160" s="95" t="s">
        <v>105</v>
      </c>
      <c r="N160" s="3" t="s">
        <v>106</v>
      </c>
      <c r="O160" s="3" t="s">
        <v>651</v>
      </c>
      <c r="P160" s="3" t="s">
        <v>6</v>
      </c>
      <c r="Q160" s="3" t="s">
        <v>10</v>
      </c>
      <c r="R160" s="95" t="s">
        <v>3235</v>
      </c>
      <c r="S160" s="223" t="s">
        <v>5</v>
      </c>
      <c r="T160" s="223" t="s">
        <v>5</v>
      </c>
      <c r="U160" s="223" t="s">
        <v>5</v>
      </c>
      <c r="V160" s="223" t="s">
        <v>5</v>
      </c>
      <c r="W160" s="223" t="s">
        <v>5</v>
      </c>
      <c r="X160" s="3" t="s">
        <v>5</v>
      </c>
      <c r="Y160" s="3" t="s">
        <v>651</v>
      </c>
      <c r="Z160" s="3" t="s">
        <v>651</v>
      </c>
      <c r="AA160" s="3" t="s">
        <v>651</v>
      </c>
      <c r="AB160" s="223" t="s">
        <v>5</v>
      </c>
      <c r="AC160" s="3" t="s">
        <v>651</v>
      </c>
      <c r="AD160" s="3" t="s">
        <v>651</v>
      </c>
      <c r="AE160" s="95" t="s">
        <v>651</v>
      </c>
    </row>
    <row r="161" spans="1:31" x14ac:dyDescent="0.35">
      <c r="A161" s="3" t="s">
        <v>1922</v>
      </c>
      <c r="B161" s="3" t="s">
        <v>46</v>
      </c>
      <c r="C161" s="3">
        <v>8</v>
      </c>
      <c r="D161" s="95" t="s">
        <v>1923</v>
      </c>
      <c r="E161" s="95" t="s">
        <v>2272</v>
      </c>
      <c r="F161" s="95" t="s">
        <v>437</v>
      </c>
      <c r="G161" s="223">
        <v>44211</v>
      </c>
      <c r="H161" s="223">
        <v>44256</v>
      </c>
      <c r="I161" s="223">
        <v>46081</v>
      </c>
      <c r="J161" s="3">
        <v>5</v>
      </c>
      <c r="K161" s="3" t="s">
        <v>6</v>
      </c>
      <c r="L161" s="3" t="s">
        <v>6</v>
      </c>
      <c r="M161" s="95" t="s">
        <v>27</v>
      </c>
      <c r="N161" s="3" t="s">
        <v>28</v>
      </c>
      <c r="O161" s="3" t="s">
        <v>25</v>
      </c>
      <c r="P161" s="3" t="s">
        <v>6</v>
      </c>
      <c r="Q161" s="3" t="s">
        <v>6</v>
      </c>
      <c r="R161" s="95" t="s">
        <v>22</v>
      </c>
      <c r="S161" s="223">
        <v>43374</v>
      </c>
      <c r="T161" s="223">
        <v>43553</v>
      </c>
      <c r="U161" s="223">
        <v>43009</v>
      </c>
      <c r="V161" s="223">
        <v>43009</v>
      </c>
      <c r="W161" s="223" t="s">
        <v>6</v>
      </c>
      <c r="X161" s="3" t="s">
        <v>26</v>
      </c>
      <c r="Y161" s="3" t="s">
        <v>2100</v>
      </c>
      <c r="Z161" s="3" t="s">
        <v>28</v>
      </c>
      <c r="AA161" s="3" t="s">
        <v>6</v>
      </c>
      <c r="AB161" s="223">
        <v>42159</v>
      </c>
      <c r="AC161" s="3" t="s">
        <v>6</v>
      </c>
      <c r="AD161" s="3" t="s">
        <v>10</v>
      </c>
      <c r="AE161" s="95" t="s">
        <v>2263</v>
      </c>
    </row>
    <row r="162" spans="1:31" x14ac:dyDescent="0.35">
      <c r="A162" s="3" t="s">
        <v>1924</v>
      </c>
      <c r="B162" s="3" t="s">
        <v>46</v>
      </c>
      <c r="C162" s="3">
        <v>8</v>
      </c>
      <c r="D162" s="95" t="s">
        <v>1925</v>
      </c>
      <c r="E162" s="95" t="s">
        <v>2272</v>
      </c>
      <c r="F162" s="95" t="s">
        <v>437</v>
      </c>
      <c r="G162" s="223">
        <v>44211</v>
      </c>
      <c r="H162" s="223">
        <v>44256</v>
      </c>
      <c r="I162" s="223">
        <v>46081</v>
      </c>
      <c r="J162" s="3">
        <v>3</v>
      </c>
      <c r="K162" s="3" t="s">
        <v>6</v>
      </c>
      <c r="L162" s="3" t="s">
        <v>6</v>
      </c>
      <c r="M162" s="95" t="s">
        <v>27</v>
      </c>
      <c r="N162" s="3" t="s">
        <v>28</v>
      </c>
      <c r="O162" s="3" t="s">
        <v>25</v>
      </c>
      <c r="P162" s="3" t="s">
        <v>6</v>
      </c>
      <c r="Q162" s="3" t="s">
        <v>6</v>
      </c>
      <c r="R162" s="95" t="s">
        <v>22</v>
      </c>
      <c r="S162" s="223">
        <v>43374</v>
      </c>
      <c r="T162" s="223">
        <v>43553</v>
      </c>
      <c r="U162" s="223">
        <v>43009</v>
      </c>
      <c r="V162" s="223">
        <v>43009</v>
      </c>
      <c r="W162" s="223" t="s">
        <v>6</v>
      </c>
      <c r="X162" s="3" t="s">
        <v>26</v>
      </c>
      <c r="Y162" s="3" t="s">
        <v>2100</v>
      </c>
      <c r="Z162" s="3" t="s">
        <v>28</v>
      </c>
      <c r="AA162" s="3" t="s">
        <v>6</v>
      </c>
      <c r="AB162" s="223">
        <v>42159</v>
      </c>
      <c r="AC162" s="3" t="s">
        <v>6</v>
      </c>
      <c r="AD162" s="3" t="s">
        <v>10</v>
      </c>
      <c r="AE162" s="95" t="s">
        <v>2263</v>
      </c>
    </row>
    <row r="163" spans="1:31" x14ac:dyDescent="0.35">
      <c r="A163" s="3" t="s">
        <v>1926</v>
      </c>
      <c r="B163" s="3" t="s">
        <v>46</v>
      </c>
      <c r="C163" s="3">
        <v>8</v>
      </c>
      <c r="D163" s="95" t="s">
        <v>1927</v>
      </c>
      <c r="E163" s="95" t="s">
        <v>1912</v>
      </c>
      <c r="F163" s="95" t="s">
        <v>437</v>
      </c>
      <c r="G163" s="223">
        <v>44609</v>
      </c>
      <c r="H163" s="223">
        <v>44609</v>
      </c>
      <c r="I163" s="223">
        <v>46434</v>
      </c>
      <c r="J163" s="3">
        <v>93</v>
      </c>
      <c r="K163" s="3" t="s">
        <v>6</v>
      </c>
      <c r="L163" s="3" t="s">
        <v>6</v>
      </c>
      <c r="M163" s="95" t="s">
        <v>23</v>
      </c>
      <c r="N163" s="3" t="s">
        <v>24</v>
      </c>
      <c r="O163" s="3" t="s">
        <v>25</v>
      </c>
      <c r="P163" s="3" t="s">
        <v>6</v>
      </c>
      <c r="Q163" s="3" t="s">
        <v>6</v>
      </c>
      <c r="R163" s="95" t="s">
        <v>22</v>
      </c>
      <c r="S163" s="223">
        <v>43374</v>
      </c>
      <c r="T163" s="223">
        <v>43497</v>
      </c>
      <c r="U163" s="223">
        <v>42644</v>
      </c>
      <c r="V163" s="223">
        <v>42644</v>
      </c>
      <c r="W163" s="223" t="s">
        <v>6</v>
      </c>
      <c r="X163" s="3" t="s">
        <v>26</v>
      </c>
      <c r="Y163" s="3" t="s">
        <v>2093</v>
      </c>
      <c r="Z163" s="3" t="s">
        <v>24</v>
      </c>
      <c r="AA163" s="3" t="s">
        <v>6</v>
      </c>
      <c r="AB163" s="223">
        <v>42782</v>
      </c>
      <c r="AC163" s="3" t="s">
        <v>10</v>
      </c>
      <c r="AD163" s="3" t="s">
        <v>10</v>
      </c>
      <c r="AE163" s="95" t="s">
        <v>2263</v>
      </c>
    </row>
    <row r="164" spans="1:31" x14ac:dyDescent="0.35">
      <c r="A164" s="3" t="s">
        <v>1928</v>
      </c>
      <c r="B164" s="3" t="s">
        <v>46</v>
      </c>
      <c r="C164" s="3">
        <v>8</v>
      </c>
      <c r="D164" s="95" t="s">
        <v>1929</v>
      </c>
      <c r="E164" s="95" t="s">
        <v>1912</v>
      </c>
      <c r="F164" s="95" t="s">
        <v>437</v>
      </c>
      <c r="G164" s="223">
        <v>44609</v>
      </c>
      <c r="H164" s="223">
        <v>44609</v>
      </c>
      <c r="I164" s="223">
        <v>46434</v>
      </c>
      <c r="J164" s="3">
        <v>10</v>
      </c>
      <c r="K164" s="3" t="s">
        <v>6</v>
      </c>
      <c r="L164" s="3" t="s">
        <v>6</v>
      </c>
      <c r="M164" s="95" t="s">
        <v>23</v>
      </c>
      <c r="N164" s="3" t="s">
        <v>24</v>
      </c>
      <c r="O164" s="3" t="s">
        <v>25</v>
      </c>
      <c r="P164" s="3" t="s">
        <v>6</v>
      </c>
      <c r="Q164" s="3" t="s">
        <v>6</v>
      </c>
      <c r="R164" s="95" t="s">
        <v>22</v>
      </c>
      <c r="S164" s="223">
        <v>43374</v>
      </c>
      <c r="T164" s="223">
        <v>43497</v>
      </c>
      <c r="U164" s="223">
        <v>42644</v>
      </c>
      <c r="V164" s="223">
        <v>42644</v>
      </c>
      <c r="W164" s="223" t="s">
        <v>6</v>
      </c>
      <c r="X164" s="3" t="s">
        <v>26</v>
      </c>
      <c r="Y164" s="3" t="s">
        <v>2093</v>
      </c>
      <c r="Z164" s="3" t="s">
        <v>24</v>
      </c>
      <c r="AA164" s="3" t="s">
        <v>6</v>
      </c>
      <c r="AB164" s="223">
        <v>42782</v>
      </c>
      <c r="AC164" s="3" t="s">
        <v>10</v>
      </c>
      <c r="AD164" s="3" t="s">
        <v>10</v>
      </c>
      <c r="AE164" s="95" t="s">
        <v>2263</v>
      </c>
    </row>
    <row r="165" spans="1:31" x14ac:dyDescent="0.35">
      <c r="A165" s="3" t="s">
        <v>912</v>
      </c>
      <c r="B165" s="3" t="s">
        <v>46</v>
      </c>
      <c r="C165" s="3">
        <v>8</v>
      </c>
      <c r="D165" s="95" t="s">
        <v>913</v>
      </c>
      <c r="E165" s="95" t="s">
        <v>2286</v>
      </c>
      <c r="F165" s="95" t="s">
        <v>4</v>
      </c>
      <c r="G165" s="223">
        <v>38957</v>
      </c>
      <c r="H165" s="223">
        <v>38991</v>
      </c>
      <c r="I165" s="223">
        <v>40816</v>
      </c>
      <c r="J165" s="3">
        <v>74</v>
      </c>
      <c r="K165" s="3" t="s">
        <v>10</v>
      </c>
      <c r="L165" s="3" t="s">
        <v>10</v>
      </c>
      <c r="M165" s="95" t="s">
        <v>27</v>
      </c>
      <c r="N165" s="3" t="s">
        <v>115</v>
      </c>
      <c r="O165" s="3" t="s">
        <v>651</v>
      </c>
      <c r="P165" s="3" t="s">
        <v>6</v>
      </c>
      <c r="Q165" s="3" t="s">
        <v>6</v>
      </c>
      <c r="R165" s="95" t="s">
        <v>652</v>
      </c>
      <c r="S165" s="223" t="s">
        <v>5</v>
      </c>
      <c r="T165" s="223" t="s">
        <v>5</v>
      </c>
      <c r="U165" s="223" t="s">
        <v>5</v>
      </c>
      <c r="V165" s="223" t="s">
        <v>5</v>
      </c>
      <c r="W165" s="223" t="s">
        <v>5</v>
      </c>
      <c r="X165" s="3" t="s">
        <v>5</v>
      </c>
      <c r="Y165" s="3" t="s">
        <v>651</v>
      </c>
      <c r="Z165" s="3" t="s">
        <v>651</v>
      </c>
      <c r="AA165" s="3" t="s">
        <v>10</v>
      </c>
      <c r="AB165" s="223" t="s">
        <v>5</v>
      </c>
      <c r="AC165" s="3" t="s">
        <v>10</v>
      </c>
      <c r="AD165" s="3" t="s">
        <v>10</v>
      </c>
      <c r="AE165" s="95" t="s">
        <v>2265</v>
      </c>
    </row>
    <row r="166" spans="1:31" x14ac:dyDescent="0.35">
      <c r="A166" s="3" t="s">
        <v>914</v>
      </c>
      <c r="B166" s="3" t="s">
        <v>46</v>
      </c>
      <c r="C166" s="3">
        <v>8</v>
      </c>
      <c r="D166" s="95" t="s">
        <v>915</v>
      </c>
      <c r="E166" s="95" t="s">
        <v>2298</v>
      </c>
      <c r="F166" s="95" t="s">
        <v>4</v>
      </c>
      <c r="G166" s="223">
        <v>44316</v>
      </c>
      <c r="H166" s="223">
        <v>44501</v>
      </c>
      <c r="I166" s="223">
        <v>46326</v>
      </c>
      <c r="J166" s="3">
        <v>59</v>
      </c>
      <c r="K166" s="3" t="s">
        <v>10</v>
      </c>
      <c r="L166" s="3" t="s">
        <v>10</v>
      </c>
      <c r="M166" s="95" t="s">
        <v>2555</v>
      </c>
      <c r="N166" s="3" t="s">
        <v>52</v>
      </c>
      <c r="O166" s="3" t="s">
        <v>651</v>
      </c>
      <c r="P166" s="3" t="s">
        <v>6</v>
      </c>
      <c r="Q166" s="3" t="s">
        <v>6</v>
      </c>
      <c r="R166" s="95" t="s">
        <v>652</v>
      </c>
      <c r="S166" s="223" t="s">
        <v>5</v>
      </c>
      <c r="T166" s="223" t="s">
        <v>5</v>
      </c>
      <c r="U166" s="223" t="s">
        <v>5</v>
      </c>
      <c r="V166" s="223" t="s">
        <v>5</v>
      </c>
      <c r="W166" s="223" t="s">
        <v>5</v>
      </c>
      <c r="X166" s="3" t="s">
        <v>5</v>
      </c>
      <c r="Y166" s="3" t="s">
        <v>651</v>
      </c>
      <c r="Z166" s="3" t="s">
        <v>651</v>
      </c>
      <c r="AA166" s="3" t="s">
        <v>10</v>
      </c>
      <c r="AB166" s="223" t="s">
        <v>5</v>
      </c>
      <c r="AC166" s="3" t="s">
        <v>10</v>
      </c>
      <c r="AD166" s="3" t="s">
        <v>6</v>
      </c>
      <c r="AE166" s="95" t="s">
        <v>2265</v>
      </c>
    </row>
    <row r="167" spans="1:31" x14ac:dyDescent="0.35">
      <c r="A167" s="3" t="s">
        <v>916</v>
      </c>
      <c r="B167" s="3" t="s">
        <v>46</v>
      </c>
      <c r="C167" s="3">
        <v>8</v>
      </c>
      <c r="D167" s="95" t="s">
        <v>917</v>
      </c>
      <c r="E167" s="95" t="s">
        <v>2298</v>
      </c>
      <c r="F167" s="95" t="s">
        <v>4</v>
      </c>
      <c r="G167" s="223">
        <v>42475</v>
      </c>
      <c r="H167" s="223">
        <v>42552</v>
      </c>
      <c r="I167" s="223">
        <v>44377</v>
      </c>
      <c r="J167" s="3">
        <v>8</v>
      </c>
      <c r="K167" s="3" t="s">
        <v>10</v>
      </c>
      <c r="L167" s="3" t="s">
        <v>10</v>
      </c>
      <c r="M167" s="95" t="s">
        <v>2555</v>
      </c>
      <c r="N167" s="3" t="s">
        <v>52</v>
      </c>
      <c r="O167" s="3" t="s">
        <v>651</v>
      </c>
      <c r="P167" s="3" t="s">
        <v>6</v>
      </c>
      <c r="Q167" s="3" t="s">
        <v>6</v>
      </c>
      <c r="R167" s="95" t="s">
        <v>652</v>
      </c>
      <c r="S167" s="223" t="s">
        <v>5</v>
      </c>
      <c r="T167" s="223" t="s">
        <v>5</v>
      </c>
      <c r="U167" s="223" t="s">
        <v>5</v>
      </c>
      <c r="V167" s="223" t="s">
        <v>5</v>
      </c>
      <c r="W167" s="223" t="s">
        <v>5</v>
      </c>
      <c r="X167" s="3" t="s">
        <v>5</v>
      </c>
      <c r="Y167" s="3" t="s">
        <v>651</v>
      </c>
      <c r="Z167" s="3" t="s">
        <v>651</v>
      </c>
      <c r="AA167" s="3" t="s">
        <v>10</v>
      </c>
      <c r="AB167" s="223" t="s">
        <v>5</v>
      </c>
      <c r="AC167" s="3" t="s">
        <v>10</v>
      </c>
      <c r="AD167" s="3" t="s">
        <v>6</v>
      </c>
      <c r="AE167" s="95" t="s">
        <v>2265</v>
      </c>
    </row>
    <row r="168" spans="1:31" x14ac:dyDescent="0.35">
      <c r="A168" s="3" t="s">
        <v>918</v>
      </c>
      <c r="B168" s="3" t="s">
        <v>46</v>
      </c>
      <c r="C168" s="3">
        <v>8</v>
      </c>
      <c r="D168" s="95" t="s">
        <v>919</v>
      </c>
      <c r="E168" s="95" t="s">
        <v>2298</v>
      </c>
      <c r="F168" s="95" t="s">
        <v>4</v>
      </c>
      <c r="G168" s="223">
        <v>42475</v>
      </c>
      <c r="H168" s="223">
        <v>42552</v>
      </c>
      <c r="I168" s="223">
        <v>44377</v>
      </c>
      <c r="J168" s="3">
        <v>49</v>
      </c>
      <c r="K168" s="3" t="s">
        <v>10</v>
      </c>
      <c r="L168" s="3" t="s">
        <v>10</v>
      </c>
      <c r="M168" s="95" t="s">
        <v>2555</v>
      </c>
      <c r="N168" s="3" t="s">
        <v>52</v>
      </c>
      <c r="O168" s="3" t="s">
        <v>651</v>
      </c>
      <c r="P168" s="3" t="s">
        <v>6</v>
      </c>
      <c r="Q168" s="3" t="s">
        <v>6</v>
      </c>
      <c r="R168" s="95" t="s">
        <v>652</v>
      </c>
      <c r="S168" s="223" t="s">
        <v>5</v>
      </c>
      <c r="T168" s="223" t="s">
        <v>5</v>
      </c>
      <c r="U168" s="223" t="s">
        <v>5</v>
      </c>
      <c r="V168" s="223" t="s">
        <v>5</v>
      </c>
      <c r="W168" s="223" t="s">
        <v>5</v>
      </c>
      <c r="X168" s="3" t="s">
        <v>5</v>
      </c>
      <c r="Y168" s="3" t="s">
        <v>651</v>
      </c>
      <c r="Z168" s="3" t="s">
        <v>651</v>
      </c>
      <c r="AA168" s="3" t="s">
        <v>10</v>
      </c>
      <c r="AB168" s="223" t="s">
        <v>5</v>
      </c>
      <c r="AC168" s="3" t="s">
        <v>10</v>
      </c>
      <c r="AD168" s="3" t="s">
        <v>6</v>
      </c>
      <c r="AE168" s="95" t="s">
        <v>2265</v>
      </c>
    </row>
    <row r="169" spans="1:31" x14ac:dyDescent="0.35">
      <c r="A169" s="3" t="s">
        <v>2299</v>
      </c>
      <c r="B169" s="3" t="s">
        <v>46</v>
      </c>
      <c r="C169" s="3">
        <v>8</v>
      </c>
      <c r="D169" s="95" t="s">
        <v>911</v>
      </c>
      <c r="E169" s="95" t="s">
        <v>2300</v>
      </c>
      <c r="F169" s="95" t="s">
        <v>2283</v>
      </c>
      <c r="G169" s="223">
        <v>45322</v>
      </c>
      <c r="H169" s="223">
        <v>45383</v>
      </c>
      <c r="I169" s="223">
        <v>47208</v>
      </c>
      <c r="J169" s="3">
        <v>6473</v>
      </c>
      <c r="K169" s="3" t="s">
        <v>10</v>
      </c>
      <c r="L169" s="3" t="s">
        <v>10</v>
      </c>
      <c r="M169" s="95" t="s">
        <v>23</v>
      </c>
      <c r="N169" s="3" t="s">
        <v>24</v>
      </c>
      <c r="O169" s="3" t="s">
        <v>651</v>
      </c>
      <c r="P169" s="3" t="s">
        <v>6</v>
      </c>
      <c r="Q169" s="3" t="s">
        <v>6</v>
      </c>
      <c r="R169" s="95" t="s">
        <v>652</v>
      </c>
      <c r="S169" s="223" t="s">
        <v>5</v>
      </c>
      <c r="T169" s="223" t="s">
        <v>5</v>
      </c>
      <c r="U169" s="223" t="s">
        <v>5</v>
      </c>
      <c r="V169" s="223" t="s">
        <v>5</v>
      </c>
      <c r="W169" s="223" t="s">
        <v>5</v>
      </c>
      <c r="X169" s="3" t="s">
        <v>5</v>
      </c>
      <c r="Y169" s="3" t="s">
        <v>651</v>
      </c>
      <c r="Z169" s="3" t="s">
        <v>651</v>
      </c>
      <c r="AA169" s="3" t="s">
        <v>6</v>
      </c>
      <c r="AB169" s="223">
        <v>43556</v>
      </c>
      <c r="AC169" s="3" t="s">
        <v>10</v>
      </c>
      <c r="AD169" s="3" t="s">
        <v>10</v>
      </c>
      <c r="AE169" s="95" t="s">
        <v>2263</v>
      </c>
    </row>
    <row r="170" spans="1:31" x14ac:dyDescent="0.35">
      <c r="A170" s="3" t="s">
        <v>920</v>
      </c>
      <c r="B170" s="3" t="s">
        <v>46</v>
      </c>
      <c r="C170" s="3">
        <v>8</v>
      </c>
      <c r="D170" s="95" t="s">
        <v>921</v>
      </c>
      <c r="E170" s="95" t="s">
        <v>2286</v>
      </c>
      <c r="F170" s="95" t="s">
        <v>4</v>
      </c>
      <c r="G170" s="223">
        <v>45044</v>
      </c>
      <c r="H170" s="223">
        <v>45474</v>
      </c>
      <c r="I170" s="223">
        <v>47299</v>
      </c>
      <c r="J170" s="3">
        <v>887</v>
      </c>
      <c r="K170" s="3" t="s">
        <v>10</v>
      </c>
      <c r="L170" s="3" t="s">
        <v>10</v>
      </c>
      <c r="M170" s="95" t="s">
        <v>27</v>
      </c>
      <c r="N170" s="3" t="s">
        <v>28</v>
      </c>
      <c r="O170" s="3" t="s">
        <v>651</v>
      </c>
      <c r="P170" s="3" t="s">
        <v>6</v>
      </c>
      <c r="Q170" s="3" t="s">
        <v>6</v>
      </c>
      <c r="R170" s="95" t="s">
        <v>652</v>
      </c>
      <c r="S170" s="223" t="s">
        <v>5</v>
      </c>
      <c r="T170" s="223" t="s">
        <v>5</v>
      </c>
      <c r="U170" s="223" t="s">
        <v>5</v>
      </c>
      <c r="V170" s="223" t="s">
        <v>5</v>
      </c>
      <c r="W170" s="223" t="s">
        <v>5</v>
      </c>
      <c r="X170" s="3" t="s">
        <v>5</v>
      </c>
      <c r="Y170" s="3" t="s">
        <v>651</v>
      </c>
      <c r="Z170" s="3" t="s">
        <v>651</v>
      </c>
      <c r="AA170" s="3" t="s">
        <v>10</v>
      </c>
      <c r="AB170" s="223" t="s">
        <v>5</v>
      </c>
      <c r="AC170" s="3" t="s">
        <v>6</v>
      </c>
      <c r="AD170" s="3" t="s">
        <v>10</v>
      </c>
      <c r="AE170" s="95" t="s">
        <v>2263</v>
      </c>
    </row>
    <row r="171" spans="1:31" x14ac:dyDescent="0.35">
      <c r="A171" s="3" t="s">
        <v>2247</v>
      </c>
      <c r="B171" s="3" t="s">
        <v>53</v>
      </c>
      <c r="C171" s="3">
        <v>1</v>
      </c>
      <c r="D171" s="95" t="s">
        <v>69</v>
      </c>
      <c r="E171" s="95" t="s">
        <v>3110</v>
      </c>
      <c r="F171" s="95" t="s">
        <v>4</v>
      </c>
      <c r="G171" s="223">
        <v>45000</v>
      </c>
      <c r="H171" s="223">
        <v>45017</v>
      </c>
      <c r="I171" s="223">
        <v>45748</v>
      </c>
      <c r="J171" s="3">
        <v>94</v>
      </c>
      <c r="K171" s="3" t="s">
        <v>10</v>
      </c>
      <c r="L171" s="3" t="s">
        <v>6</v>
      </c>
      <c r="M171" s="95" t="s">
        <v>60</v>
      </c>
      <c r="N171" s="3" t="s">
        <v>62</v>
      </c>
      <c r="O171" s="3" t="s">
        <v>56</v>
      </c>
      <c r="P171" s="3" t="s">
        <v>6</v>
      </c>
      <c r="Q171" s="3" t="s">
        <v>6</v>
      </c>
      <c r="R171" s="95" t="s">
        <v>50</v>
      </c>
      <c r="S171" s="223">
        <v>43815</v>
      </c>
      <c r="T171" s="223">
        <v>43875</v>
      </c>
      <c r="U171" s="223">
        <v>43794</v>
      </c>
      <c r="V171" s="223">
        <v>43794</v>
      </c>
      <c r="W171" s="223" t="s">
        <v>6</v>
      </c>
      <c r="X171" s="3" t="s">
        <v>51</v>
      </c>
      <c r="Y171" s="3" t="s">
        <v>2144</v>
      </c>
      <c r="Z171" s="3" t="s">
        <v>62</v>
      </c>
      <c r="AA171" s="3" t="s">
        <v>10</v>
      </c>
      <c r="AB171" s="223" t="s">
        <v>5</v>
      </c>
      <c r="AC171" s="3" t="s">
        <v>6</v>
      </c>
      <c r="AD171" s="3" t="s">
        <v>10</v>
      </c>
      <c r="AE171" s="95" t="s">
        <v>2263</v>
      </c>
    </row>
    <row r="172" spans="1:31" x14ac:dyDescent="0.35">
      <c r="A172" s="3" t="s">
        <v>57</v>
      </c>
      <c r="B172" s="3" t="s">
        <v>53</v>
      </c>
      <c r="C172" s="3">
        <v>1</v>
      </c>
      <c r="D172" s="95" t="s">
        <v>3141</v>
      </c>
      <c r="E172" s="95" t="s">
        <v>422</v>
      </c>
      <c r="F172" s="95" t="s">
        <v>437</v>
      </c>
      <c r="G172" s="223">
        <v>44455</v>
      </c>
      <c r="H172" s="223">
        <v>44500</v>
      </c>
      <c r="I172" s="223">
        <v>46326</v>
      </c>
      <c r="J172" s="3">
        <v>0</v>
      </c>
      <c r="K172" s="3" t="s">
        <v>6</v>
      </c>
      <c r="L172" s="3" t="s">
        <v>6</v>
      </c>
      <c r="M172" s="95" t="s">
        <v>19</v>
      </c>
      <c r="N172" s="3" t="s">
        <v>20</v>
      </c>
      <c r="O172" s="3" t="s">
        <v>21</v>
      </c>
      <c r="P172" s="3" t="s">
        <v>6</v>
      </c>
      <c r="Q172" s="3" t="s">
        <v>6</v>
      </c>
      <c r="R172" s="95" t="s">
        <v>22</v>
      </c>
      <c r="S172" s="223">
        <v>43675</v>
      </c>
      <c r="T172" s="223">
        <v>43756</v>
      </c>
      <c r="U172" s="223">
        <v>43647</v>
      </c>
      <c r="V172" s="223">
        <v>43647</v>
      </c>
      <c r="W172" s="223" t="s">
        <v>6</v>
      </c>
      <c r="X172" s="3" t="s">
        <v>26</v>
      </c>
      <c r="Y172" s="3" t="s">
        <v>2116</v>
      </c>
      <c r="Z172" s="3" t="s">
        <v>20</v>
      </c>
      <c r="AA172" s="3" t="s">
        <v>6</v>
      </c>
      <c r="AB172" s="223">
        <v>44442</v>
      </c>
      <c r="AC172" s="3" t="s">
        <v>10</v>
      </c>
      <c r="AD172" s="3" t="s">
        <v>10</v>
      </c>
      <c r="AE172" s="95" t="s">
        <v>2263</v>
      </c>
    </row>
    <row r="173" spans="1:31" x14ac:dyDescent="0.35">
      <c r="A173" s="3" t="s">
        <v>58</v>
      </c>
      <c r="B173" s="3" t="s">
        <v>53</v>
      </c>
      <c r="C173" s="3">
        <v>1</v>
      </c>
      <c r="D173" s="95" t="s">
        <v>59</v>
      </c>
      <c r="E173" s="95" t="s">
        <v>3111</v>
      </c>
      <c r="F173" s="95" t="s">
        <v>4</v>
      </c>
      <c r="G173" s="223">
        <v>42870</v>
      </c>
      <c r="H173" s="223">
        <v>42870</v>
      </c>
      <c r="I173" s="223">
        <v>44695</v>
      </c>
      <c r="J173" s="3">
        <v>18</v>
      </c>
      <c r="K173" s="3" t="s">
        <v>10</v>
      </c>
      <c r="L173" s="3" t="s">
        <v>6</v>
      </c>
      <c r="M173" s="95" t="s">
        <v>19</v>
      </c>
      <c r="N173" s="3" t="s">
        <v>20</v>
      </c>
      <c r="O173" s="3" t="s">
        <v>21</v>
      </c>
      <c r="P173" s="3" t="s">
        <v>6</v>
      </c>
      <c r="Q173" s="3" t="s">
        <v>6</v>
      </c>
      <c r="R173" s="95" t="s">
        <v>50</v>
      </c>
      <c r="S173" s="223">
        <v>43675</v>
      </c>
      <c r="T173" s="223">
        <v>43756</v>
      </c>
      <c r="U173" s="223">
        <v>43647</v>
      </c>
      <c r="V173" s="223">
        <v>43647</v>
      </c>
      <c r="W173" s="223" t="s">
        <v>6</v>
      </c>
      <c r="X173" s="3" t="s">
        <v>26</v>
      </c>
      <c r="Y173" s="3" t="s">
        <v>2117</v>
      </c>
      <c r="Z173" s="3" t="s">
        <v>20</v>
      </c>
      <c r="AA173" s="3" t="s">
        <v>10</v>
      </c>
      <c r="AB173" s="223" t="s">
        <v>5</v>
      </c>
      <c r="AC173" s="3" t="s">
        <v>10</v>
      </c>
      <c r="AD173" s="3" t="s">
        <v>10</v>
      </c>
      <c r="AE173" s="95" t="s">
        <v>2263</v>
      </c>
    </row>
    <row r="174" spans="1:31" x14ac:dyDescent="0.35">
      <c r="A174" s="3" t="s">
        <v>2788</v>
      </c>
      <c r="B174" s="3" t="s">
        <v>53</v>
      </c>
      <c r="C174" s="3">
        <v>1</v>
      </c>
      <c r="D174" s="95" t="s">
        <v>2789</v>
      </c>
      <c r="E174" s="95" t="s">
        <v>509</v>
      </c>
      <c r="F174" s="95" t="s">
        <v>437</v>
      </c>
      <c r="G174" s="223">
        <v>44775</v>
      </c>
      <c r="H174" s="223">
        <v>44775</v>
      </c>
      <c r="I174" s="223">
        <v>46600</v>
      </c>
      <c r="J174" s="3">
        <v>2</v>
      </c>
      <c r="K174" s="3" t="s">
        <v>6</v>
      </c>
      <c r="L174" s="3" t="s">
        <v>6</v>
      </c>
      <c r="M174" s="95" t="s">
        <v>184</v>
      </c>
      <c r="N174" s="3" t="s">
        <v>68</v>
      </c>
      <c r="O174" s="3" t="s">
        <v>49</v>
      </c>
      <c r="P174" s="3" t="s">
        <v>6</v>
      </c>
      <c r="Q174" s="3" t="s">
        <v>6</v>
      </c>
      <c r="R174" s="95" t="s">
        <v>9</v>
      </c>
      <c r="S174" s="223">
        <v>43528</v>
      </c>
      <c r="T174" s="223">
        <v>43588</v>
      </c>
      <c r="U174" s="223">
        <v>43221</v>
      </c>
      <c r="V174" s="223">
        <v>43221</v>
      </c>
      <c r="W174" s="223" t="s">
        <v>6</v>
      </c>
      <c r="X174" s="3" t="s">
        <v>26</v>
      </c>
      <c r="Y174" s="3" t="s">
        <v>2137</v>
      </c>
      <c r="Z174" s="3" t="s">
        <v>2249</v>
      </c>
      <c r="AA174" s="3" t="s">
        <v>6</v>
      </c>
      <c r="AB174" s="223">
        <v>44901</v>
      </c>
      <c r="AC174" s="3" t="s">
        <v>6</v>
      </c>
      <c r="AD174" s="3" t="s">
        <v>10</v>
      </c>
      <c r="AE174" s="95" t="s">
        <v>2263</v>
      </c>
    </row>
    <row r="175" spans="1:31" x14ac:dyDescent="0.35">
      <c r="A175" s="3" t="s">
        <v>502</v>
      </c>
      <c r="B175" s="3" t="s">
        <v>53</v>
      </c>
      <c r="C175" s="3">
        <v>1</v>
      </c>
      <c r="D175" s="95" t="s">
        <v>503</v>
      </c>
      <c r="E175" s="95" t="s">
        <v>3112</v>
      </c>
      <c r="F175" s="95" t="s">
        <v>4</v>
      </c>
      <c r="G175" s="223">
        <v>43244</v>
      </c>
      <c r="H175" s="223">
        <v>43647</v>
      </c>
      <c r="I175" s="223">
        <v>45473</v>
      </c>
      <c r="J175" s="3">
        <v>1</v>
      </c>
      <c r="K175" s="3" t="s">
        <v>10</v>
      </c>
      <c r="L175" s="3" t="s">
        <v>6</v>
      </c>
      <c r="M175" s="95" t="s">
        <v>2555</v>
      </c>
      <c r="N175" s="3" t="s">
        <v>52</v>
      </c>
      <c r="O175" s="3" t="s">
        <v>17</v>
      </c>
      <c r="P175" s="3" t="s">
        <v>6</v>
      </c>
      <c r="Q175" s="3" t="s">
        <v>6</v>
      </c>
      <c r="R175" s="95" t="s">
        <v>50</v>
      </c>
      <c r="S175" s="223">
        <v>43591</v>
      </c>
      <c r="T175" s="223">
        <v>43749</v>
      </c>
      <c r="U175" s="223">
        <v>43679</v>
      </c>
      <c r="V175" s="223">
        <v>43679</v>
      </c>
      <c r="W175" s="223" t="s">
        <v>6</v>
      </c>
      <c r="X175" s="3" t="s">
        <v>26</v>
      </c>
      <c r="Y175" s="3" t="s">
        <v>2124</v>
      </c>
      <c r="Z175" s="3" t="s">
        <v>52</v>
      </c>
      <c r="AA175" s="3" t="s">
        <v>10</v>
      </c>
      <c r="AB175" s="223" t="s">
        <v>5</v>
      </c>
      <c r="AC175" s="3" t="s">
        <v>10</v>
      </c>
      <c r="AD175" s="3" t="s">
        <v>6</v>
      </c>
      <c r="AE175" s="95" t="s">
        <v>2265</v>
      </c>
    </row>
    <row r="176" spans="1:31" x14ac:dyDescent="0.35">
      <c r="A176" s="3" t="s">
        <v>2246</v>
      </c>
      <c r="B176" s="3" t="s">
        <v>53</v>
      </c>
      <c r="C176" s="3">
        <v>1</v>
      </c>
      <c r="D176" s="95" t="s">
        <v>63</v>
      </c>
      <c r="E176" s="95" t="s">
        <v>3113</v>
      </c>
      <c r="F176" s="95" t="s">
        <v>4</v>
      </c>
      <c r="G176" s="223">
        <v>44084</v>
      </c>
      <c r="H176" s="223">
        <v>44084</v>
      </c>
      <c r="I176" s="223">
        <v>44695</v>
      </c>
      <c r="J176" s="3">
        <v>221</v>
      </c>
      <c r="K176" s="3" t="s">
        <v>10</v>
      </c>
      <c r="L176" s="3" t="s">
        <v>6</v>
      </c>
      <c r="M176" s="95" t="s">
        <v>60</v>
      </c>
      <c r="N176" s="3" t="s">
        <v>62</v>
      </c>
      <c r="O176" s="3" t="s">
        <v>56</v>
      </c>
      <c r="P176" s="3" t="s">
        <v>6</v>
      </c>
      <c r="Q176" s="3" t="s">
        <v>6</v>
      </c>
      <c r="R176" s="95" t="s">
        <v>50</v>
      </c>
      <c r="S176" s="223">
        <v>43815</v>
      </c>
      <c r="T176" s="223">
        <v>43875</v>
      </c>
      <c r="U176" s="223">
        <v>43794</v>
      </c>
      <c r="V176" s="223">
        <v>43794</v>
      </c>
      <c r="W176" s="223" t="s">
        <v>6</v>
      </c>
      <c r="X176" s="3" t="s">
        <v>51</v>
      </c>
      <c r="Y176" s="3" t="s">
        <v>2144</v>
      </c>
      <c r="Z176" s="3" t="s">
        <v>62</v>
      </c>
      <c r="AA176" s="3" t="s">
        <v>10</v>
      </c>
      <c r="AB176" s="223" t="s">
        <v>5</v>
      </c>
      <c r="AC176" s="3" t="s">
        <v>10</v>
      </c>
      <c r="AD176" s="3" t="s">
        <v>10</v>
      </c>
      <c r="AE176" s="95" t="s">
        <v>2263</v>
      </c>
    </row>
    <row r="177" spans="1:31" x14ac:dyDescent="0.35">
      <c r="A177" s="3" t="s">
        <v>2301</v>
      </c>
      <c r="B177" s="3" t="s">
        <v>53</v>
      </c>
      <c r="C177" s="3">
        <v>1</v>
      </c>
      <c r="D177" s="95" t="s">
        <v>423</v>
      </c>
      <c r="E177" s="95" t="s">
        <v>3114</v>
      </c>
      <c r="F177" s="95" t="s">
        <v>4</v>
      </c>
      <c r="G177" s="223">
        <v>44470</v>
      </c>
      <c r="H177" s="223">
        <v>44470</v>
      </c>
      <c r="I177" s="223">
        <v>45565</v>
      </c>
      <c r="J177" s="3">
        <v>1960</v>
      </c>
      <c r="K177" s="3" t="s">
        <v>10</v>
      </c>
      <c r="L177" s="3" t="s">
        <v>6</v>
      </c>
      <c r="M177" s="95" t="s">
        <v>27</v>
      </c>
      <c r="N177" s="3" t="s">
        <v>28</v>
      </c>
      <c r="O177" s="3" t="s">
        <v>25</v>
      </c>
      <c r="P177" s="3" t="s">
        <v>6</v>
      </c>
      <c r="Q177" s="3" t="s">
        <v>6</v>
      </c>
      <c r="R177" s="95" t="s">
        <v>50</v>
      </c>
      <c r="S177" s="223">
        <v>43374</v>
      </c>
      <c r="T177" s="223">
        <v>43553</v>
      </c>
      <c r="U177" s="223">
        <v>43433</v>
      </c>
      <c r="V177" s="223">
        <v>43433</v>
      </c>
      <c r="W177" s="223" t="s">
        <v>6</v>
      </c>
      <c r="X177" s="3" t="s">
        <v>26</v>
      </c>
      <c r="Y177" s="3" t="s">
        <v>2101</v>
      </c>
      <c r="Z177" s="3" t="s">
        <v>28</v>
      </c>
      <c r="AA177" s="3" t="s">
        <v>2254</v>
      </c>
      <c r="AB177" s="223" t="s">
        <v>5</v>
      </c>
      <c r="AC177" s="3" t="s">
        <v>6</v>
      </c>
      <c r="AD177" s="3" t="s">
        <v>10</v>
      </c>
      <c r="AE177" s="95" t="s">
        <v>2263</v>
      </c>
    </row>
    <row r="178" spans="1:31" x14ac:dyDescent="0.35">
      <c r="A178" s="3" t="s">
        <v>2302</v>
      </c>
      <c r="B178" s="3" t="s">
        <v>53</v>
      </c>
      <c r="C178" s="3">
        <v>1</v>
      </c>
      <c r="D178" s="95" t="s">
        <v>64</v>
      </c>
      <c r="E178" s="95" t="s">
        <v>2303</v>
      </c>
      <c r="F178" s="95" t="s">
        <v>4</v>
      </c>
      <c r="G178" s="223">
        <v>44196</v>
      </c>
      <c r="H178" s="223">
        <v>44196</v>
      </c>
      <c r="I178" s="223">
        <v>46021</v>
      </c>
      <c r="J178" s="3">
        <v>180</v>
      </c>
      <c r="K178" s="3" t="s">
        <v>10</v>
      </c>
      <c r="L178" s="3" t="s">
        <v>6</v>
      </c>
      <c r="M178" s="95" t="s">
        <v>23</v>
      </c>
      <c r="N178" s="3" t="s">
        <v>24</v>
      </c>
      <c r="O178" s="3" t="s">
        <v>25</v>
      </c>
      <c r="P178" s="3" t="s">
        <v>6</v>
      </c>
      <c r="Q178" s="3" t="s">
        <v>6</v>
      </c>
      <c r="R178" s="95" t="s">
        <v>50</v>
      </c>
      <c r="S178" s="223">
        <v>43374</v>
      </c>
      <c r="T178" s="223">
        <v>43497</v>
      </c>
      <c r="U178" s="223">
        <v>43433</v>
      </c>
      <c r="V178" s="223">
        <v>43433</v>
      </c>
      <c r="W178" s="223" t="s">
        <v>6</v>
      </c>
      <c r="X178" s="3" t="s">
        <v>26</v>
      </c>
      <c r="Y178" s="3" t="s">
        <v>2094</v>
      </c>
      <c r="Z178" s="3" t="s">
        <v>24</v>
      </c>
      <c r="AA178" s="3" t="s">
        <v>10</v>
      </c>
      <c r="AB178" s="223" t="s">
        <v>5</v>
      </c>
      <c r="AC178" s="3" t="s">
        <v>10</v>
      </c>
      <c r="AD178" s="3" t="s">
        <v>10</v>
      </c>
      <c r="AE178" s="95" t="s">
        <v>2263</v>
      </c>
    </row>
    <row r="179" spans="1:31" x14ac:dyDescent="0.35">
      <c r="A179" s="3" t="s">
        <v>1930</v>
      </c>
      <c r="B179" s="3" t="s">
        <v>53</v>
      </c>
      <c r="C179" s="3">
        <v>1</v>
      </c>
      <c r="D179" s="95" t="s">
        <v>71</v>
      </c>
      <c r="E179" s="95" t="s">
        <v>2272</v>
      </c>
      <c r="F179" s="95" t="s">
        <v>437</v>
      </c>
      <c r="G179" s="223">
        <v>44211</v>
      </c>
      <c r="H179" s="223">
        <v>44256</v>
      </c>
      <c r="I179" s="223">
        <v>46081</v>
      </c>
      <c r="J179" s="3">
        <v>0</v>
      </c>
      <c r="K179" s="3" t="s">
        <v>6</v>
      </c>
      <c r="L179" s="3" t="s">
        <v>6</v>
      </c>
      <c r="M179" s="95" t="s">
        <v>27</v>
      </c>
      <c r="N179" s="3" t="s">
        <v>28</v>
      </c>
      <c r="O179" s="3" t="s">
        <v>25</v>
      </c>
      <c r="P179" s="3" t="s">
        <v>6</v>
      </c>
      <c r="Q179" s="3" t="s">
        <v>6</v>
      </c>
      <c r="R179" s="95" t="s">
        <v>22</v>
      </c>
      <c r="S179" s="223">
        <v>43374</v>
      </c>
      <c r="T179" s="223">
        <v>43553</v>
      </c>
      <c r="U179" s="223">
        <v>43009</v>
      </c>
      <c r="V179" s="223">
        <v>43009</v>
      </c>
      <c r="W179" s="223" t="s">
        <v>6</v>
      </c>
      <c r="X179" s="3" t="s">
        <v>26</v>
      </c>
      <c r="Y179" s="3" t="s">
        <v>2100</v>
      </c>
      <c r="Z179" s="3" t="s">
        <v>28</v>
      </c>
      <c r="AA179" s="3" t="s">
        <v>6</v>
      </c>
      <c r="AB179" s="223">
        <v>42159</v>
      </c>
      <c r="AC179" s="3" t="s">
        <v>6</v>
      </c>
      <c r="AD179" s="3" t="s">
        <v>10</v>
      </c>
      <c r="AE179" s="95" t="s">
        <v>2263</v>
      </c>
    </row>
    <row r="180" spans="1:31" x14ac:dyDescent="0.35">
      <c r="A180" s="3" t="s">
        <v>70</v>
      </c>
      <c r="B180" s="3" t="s">
        <v>53</v>
      </c>
      <c r="C180" s="3">
        <v>1</v>
      </c>
      <c r="D180" s="95" t="s">
        <v>1931</v>
      </c>
      <c r="E180" s="95" t="s">
        <v>1912</v>
      </c>
      <c r="F180" s="95" t="s">
        <v>437</v>
      </c>
      <c r="G180" s="223">
        <v>44609</v>
      </c>
      <c r="H180" s="223">
        <v>44609</v>
      </c>
      <c r="I180" s="223">
        <v>46434</v>
      </c>
      <c r="J180" s="3">
        <v>0</v>
      </c>
      <c r="K180" s="3" t="s">
        <v>6</v>
      </c>
      <c r="L180" s="3" t="s">
        <v>6</v>
      </c>
      <c r="M180" s="95" t="s">
        <v>23</v>
      </c>
      <c r="N180" s="3" t="s">
        <v>24</v>
      </c>
      <c r="O180" s="3" t="s">
        <v>25</v>
      </c>
      <c r="P180" s="3" t="s">
        <v>6</v>
      </c>
      <c r="Q180" s="3" t="s">
        <v>6</v>
      </c>
      <c r="R180" s="95" t="s">
        <v>22</v>
      </c>
      <c r="S180" s="223">
        <v>43374</v>
      </c>
      <c r="T180" s="223">
        <v>43497</v>
      </c>
      <c r="U180" s="223">
        <v>42644</v>
      </c>
      <c r="V180" s="223">
        <v>42644</v>
      </c>
      <c r="W180" s="223" t="s">
        <v>6</v>
      </c>
      <c r="X180" s="3" t="s">
        <v>26</v>
      </c>
      <c r="Y180" s="3" t="s">
        <v>2093</v>
      </c>
      <c r="Z180" s="3" t="s">
        <v>24</v>
      </c>
      <c r="AA180" s="3" t="s">
        <v>6</v>
      </c>
      <c r="AB180" s="223">
        <v>42782</v>
      </c>
      <c r="AC180" s="3" t="s">
        <v>10</v>
      </c>
      <c r="AD180" s="3" t="s">
        <v>10</v>
      </c>
      <c r="AE180" s="95" t="s">
        <v>2263</v>
      </c>
    </row>
    <row r="181" spans="1:31" x14ac:dyDescent="0.35">
      <c r="A181" s="3" t="s">
        <v>2245</v>
      </c>
      <c r="B181" s="3" t="s">
        <v>53</v>
      </c>
      <c r="C181" s="3">
        <v>1</v>
      </c>
      <c r="D181" s="95" t="s">
        <v>65</v>
      </c>
      <c r="E181" s="95" t="s">
        <v>3115</v>
      </c>
      <c r="F181" s="95" t="s">
        <v>4</v>
      </c>
      <c r="G181" s="223">
        <v>45198</v>
      </c>
      <c r="H181" s="223">
        <v>45200</v>
      </c>
      <c r="I181" s="223">
        <v>45930</v>
      </c>
      <c r="J181" s="3">
        <v>133</v>
      </c>
      <c r="K181" s="3" t="s">
        <v>10</v>
      </c>
      <c r="L181" s="3" t="s">
        <v>6</v>
      </c>
      <c r="M181" s="95" t="s">
        <v>2555</v>
      </c>
      <c r="N181" s="3" t="s">
        <v>52</v>
      </c>
      <c r="O181" s="3" t="s">
        <v>17</v>
      </c>
      <c r="P181" s="3" t="s">
        <v>6</v>
      </c>
      <c r="Q181" s="3" t="s">
        <v>6</v>
      </c>
      <c r="R181" s="95" t="s">
        <v>50</v>
      </c>
      <c r="S181" s="223">
        <v>43591</v>
      </c>
      <c r="T181" s="223">
        <v>43749</v>
      </c>
      <c r="U181" s="223">
        <v>43679</v>
      </c>
      <c r="V181" s="223">
        <v>43679</v>
      </c>
      <c r="W181" s="223" t="s">
        <v>6</v>
      </c>
      <c r="X181" s="3" t="s">
        <v>26</v>
      </c>
      <c r="Y181" s="3" t="s">
        <v>2124</v>
      </c>
      <c r="Z181" s="3" t="s">
        <v>52</v>
      </c>
      <c r="AA181" s="3" t="s">
        <v>10</v>
      </c>
      <c r="AB181" s="223" t="s">
        <v>5</v>
      </c>
      <c r="AC181" s="3" t="s">
        <v>10</v>
      </c>
      <c r="AD181" s="3" t="s">
        <v>6</v>
      </c>
      <c r="AE181" s="95" t="s">
        <v>2265</v>
      </c>
    </row>
    <row r="182" spans="1:31" x14ac:dyDescent="0.35">
      <c r="A182" s="3" t="s">
        <v>2304</v>
      </c>
      <c r="B182" s="3" t="s">
        <v>53</v>
      </c>
      <c r="C182" s="3">
        <v>1</v>
      </c>
      <c r="D182" s="95" t="s">
        <v>66</v>
      </c>
      <c r="E182" s="95" t="s">
        <v>3116</v>
      </c>
      <c r="F182" s="95" t="s">
        <v>4</v>
      </c>
      <c r="G182" s="223">
        <v>44974</v>
      </c>
      <c r="H182" s="223">
        <v>44986</v>
      </c>
      <c r="I182" s="223">
        <v>45717</v>
      </c>
      <c r="J182" s="3">
        <v>105</v>
      </c>
      <c r="K182" s="3" t="s">
        <v>10</v>
      </c>
      <c r="L182" s="3" t="s">
        <v>6</v>
      </c>
      <c r="M182" s="95" t="s">
        <v>67</v>
      </c>
      <c r="N182" s="3" t="s">
        <v>68</v>
      </c>
      <c r="O182" s="3" t="s">
        <v>49</v>
      </c>
      <c r="P182" s="3" t="s">
        <v>6</v>
      </c>
      <c r="Q182" s="3" t="s">
        <v>6</v>
      </c>
      <c r="R182" s="95" t="s">
        <v>50</v>
      </c>
      <c r="S182" s="223">
        <v>43528</v>
      </c>
      <c r="T182" s="223">
        <v>43588</v>
      </c>
      <c r="U182" s="223">
        <v>43221</v>
      </c>
      <c r="V182" s="223">
        <v>43221</v>
      </c>
      <c r="W182" s="223" t="s">
        <v>6</v>
      </c>
      <c r="X182" s="3" t="s">
        <v>26</v>
      </c>
      <c r="Y182" s="3" t="s">
        <v>2138</v>
      </c>
      <c r="Z182" s="3" t="s">
        <v>2249</v>
      </c>
      <c r="AA182" s="3" t="s">
        <v>10</v>
      </c>
      <c r="AB182" s="223" t="s">
        <v>5</v>
      </c>
      <c r="AC182" s="3" t="s">
        <v>6</v>
      </c>
      <c r="AD182" s="3" t="s">
        <v>10</v>
      </c>
      <c r="AE182" s="95" t="s">
        <v>2263</v>
      </c>
    </row>
    <row r="183" spans="1:31" x14ac:dyDescent="0.35">
      <c r="A183" s="3" t="s">
        <v>72</v>
      </c>
      <c r="B183" s="3" t="s">
        <v>73</v>
      </c>
      <c r="C183" s="3">
        <v>3</v>
      </c>
      <c r="D183" s="95" t="s">
        <v>3142</v>
      </c>
      <c r="E183" s="95" t="s">
        <v>422</v>
      </c>
      <c r="F183" s="95" t="s">
        <v>437</v>
      </c>
      <c r="G183" s="223">
        <v>44455</v>
      </c>
      <c r="H183" s="223">
        <v>44500</v>
      </c>
      <c r="I183" s="223">
        <v>46326</v>
      </c>
      <c r="J183" s="3">
        <v>1</v>
      </c>
      <c r="K183" s="3" t="s">
        <v>6</v>
      </c>
      <c r="L183" s="3" t="s">
        <v>6</v>
      </c>
      <c r="M183" s="95" t="s">
        <v>19</v>
      </c>
      <c r="N183" s="3" t="s">
        <v>20</v>
      </c>
      <c r="O183" s="3" t="s">
        <v>21</v>
      </c>
      <c r="P183" s="3" t="s">
        <v>6</v>
      </c>
      <c r="Q183" s="3" t="s">
        <v>6</v>
      </c>
      <c r="R183" s="95" t="s">
        <v>22</v>
      </c>
      <c r="S183" s="223">
        <v>43675</v>
      </c>
      <c r="T183" s="223">
        <v>43756</v>
      </c>
      <c r="U183" s="223">
        <v>43647</v>
      </c>
      <c r="V183" s="223">
        <v>43647</v>
      </c>
      <c r="W183" s="223" t="s">
        <v>6</v>
      </c>
      <c r="X183" s="3" t="s">
        <v>26</v>
      </c>
      <c r="Y183" s="3" t="s">
        <v>2116</v>
      </c>
      <c r="Z183" s="3" t="s">
        <v>20</v>
      </c>
      <c r="AA183" s="3" t="s">
        <v>6</v>
      </c>
      <c r="AB183" s="223">
        <v>44442</v>
      </c>
      <c r="AC183" s="3" t="s">
        <v>10</v>
      </c>
      <c r="AD183" s="3" t="s">
        <v>10</v>
      </c>
      <c r="AE183" s="95" t="s">
        <v>2263</v>
      </c>
    </row>
    <row r="184" spans="1:31" x14ac:dyDescent="0.35">
      <c r="A184" s="3" t="s">
        <v>74</v>
      </c>
      <c r="B184" s="3" t="s">
        <v>73</v>
      </c>
      <c r="C184" s="3">
        <v>3</v>
      </c>
      <c r="D184" s="95" t="s">
        <v>75</v>
      </c>
      <c r="E184" s="95" t="s">
        <v>2272</v>
      </c>
      <c r="F184" s="95" t="s">
        <v>437</v>
      </c>
      <c r="G184" s="223">
        <v>44211</v>
      </c>
      <c r="H184" s="223">
        <v>44256</v>
      </c>
      <c r="I184" s="223">
        <v>46081</v>
      </c>
      <c r="J184" s="3">
        <v>67</v>
      </c>
      <c r="K184" s="3" t="s">
        <v>6</v>
      </c>
      <c r="L184" s="3" t="s">
        <v>6</v>
      </c>
      <c r="M184" s="95" t="s">
        <v>27</v>
      </c>
      <c r="N184" s="3" t="s">
        <v>28</v>
      </c>
      <c r="O184" s="3" t="s">
        <v>25</v>
      </c>
      <c r="P184" s="3" t="s">
        <v>6</v>
      </c>
      <c r="Q184" s="3" t="s">
        <v>6</v>
      </c>
      <c r="R184" s="95" t="s">
        <v>22</v>
      </c>
      <c r="S184" s="223">
        <v>43374</v>
      </c>
      <c r="T184" s="223">
        <v>43553</v>
      </c>
      <c r="U184" s="223">
        <v>43009</v>
      </c>
      <c r="V184" s="223">
        <v>43009</v>
      </c>
      <c r="W184" s="223" t="s">
        <v>6</v>
      </c>
      <c r="X184" s="3" t="s">
        <v>26</v>
      </c>
      <c r="Y184" s="3" t="s">
        <v>2100</v>
      </c>
      <c r="Z184" s="3" t="s">
        <v>28</v>
      </c>
      <c r="AA184" s="3" t="s">
        <v>6</v>
      </c>
      <c r="AB184" s="223">
        <v>42159</v>
      </c>
      <c r="AC184" s="3" t="s">
        <v>6</v>
      </c>
      <c r="AD184" s="3" t="s">
        <v>10</v>
      </c>
      <c r="AE184" s="95" t="s">
        <v>2263</v>
      </c>
    </row>
    <row r="185" spans="1:31" x14ac:dyDescent="0.35">
      <c r="A185" s="3" t="s">
        <v>76</v>
      </c>
      <c r="B185" s="3" t="s">
        <v>73</v>
      </c>
      <c r="C185" s="3">
        <v>3</v>
      </c>
      <c r="D185" s="95" t="s">
        <v>1932</v>
      </c>
      <c r="E185" s="95" t="s">
        <v>1912</v>
      </c>
      <c r="F185" s="95" t="s">
        <v>437</v>
      </c>
      <c r="G185" s="223">
        <v>44609</v>
      </c>
      <c r="H185" s="223">
        <v>44609</v>
      </c>
      <c r="I185" s="223">
        <v>46434</v>
      </c>
      <c r="J185" s="3">
        <v>241</v>
      </c>
      <c r="K185" s="3" t="s">
        <v>6</v>
      </c>
      <c r="L185" s="3" t="s">
        <v>6</v>
      </c>
      <c r="M185" s="95" t="s">
        <v>23</v>
      </c>
      <c r="N185" s="3" t="s">
        <v>24</v>
      </c>
      <c r="O185" s="3" t="s">
        <v>25</v>
      </c>
      <c r="P185" s="3" t="s">
        <v>6</v>
      </c>
      <c r="Q185" s="3" t="s">
        <v>6</v>
      </c>
      <c r="R185" s="95" t="s">
        <v>22</v>
      </c>
      <c r="S185" s="223">
        <v>43374</v>
      </c>
      <c r="T185" s="223">
        <v>43497</v>
      </c>
      <c r="U185" s="223">
        <v>42644</v>
      </c>
      <c r="V185" s="223">
        <v>42644</v>
      </c>
      <c r="W185" s="223" t="s">
        <v>6</v>
      </c>
      <c r="X185" s="3" t="s">
        <v>26</v>
      </c>
      <c r="Y185" s="3" t="s">
        <v>2093</v>
      </c>
      <c r="Z185" s="3" t="s">
        <v>24</v>
      </c>
      <c r="AA185" s="3" t="s">
        <v>6</v>
      </c>
      <c r="AB185" s="223">
        <v>42782</v>
      </c>
      <c r="AC185" s="3" t="s">
        <v>10</v>
      </c>
      <c r="AD185" s="3" t="s">
        <v>10</v>
      </c>
      <c r="AE185" s="95" t="s">
        <v>2263</v>
      </c>
    </row>
    <row r="186" spans="1:31" x14ac:dyDescent="0.35">
      <c r="A186" s="3" t="s">
        <v>2305</v>
      </c>
      <c r="B186" s="3" t="s">
        <v>78</v>
      </c>
      <c r="C186" s="3">
        <v>3</v>
      </c>
      <c r="D186" s="95" t="s">
        <v>922</v>
      </c>
      <c r="E186" s="95" t="s">
        <v>2306</v>
      </c>
      <c r="F186" s="95" t="s">
        <v>4</v>
      </c>
      <c r="G186" s="223">
        <v>42459</v>
      </c>
      <c r="H186" s="223">
        <v>42461</v>
      </c>
      <c r="I186" s="223">
        <v>44286</v>
      </c>
      <c r="J186" s="3">
        <v>558</v>
      </c>
      <c r="K186" s="3" t="s">
        <v>10</v>
      </c>
      <c r="L186" s="3" t="s">
        <v>10</v>
      </c>
      <c r="M186" s="95" t="s">
        <v>105</v>
      </c>
      <c r="N186" s="3" t="s">
        <v>106</v>
      </c>
      <c r="O186" s="3" t="s">
        <v>651</v>
      </c>
      <c r="P186" s="3" t="s">
        <v>6</v>
      </c>
      <c r="Q186" s="3" t="s">
        <v>6</v>
      </c>
      <c r="R186" s="95" t="s">
        <v>652</v>
      </c>
      <c r="S186" s="223" t="s">
        <v>5</v>
      </c>
      <c r="T186" s="223" t="s">
        <v>5</v>
      </c>
      <c r="U186" s="223" t="s">
        <v>5</v>
      </c>
      <c r="V186" s="223" t="s">
        <v>5</v>
      </c>
      <c r="W186" s="223" t="s">
        <v>5</v>
      </c>
      <c r="X186" s="3" t="s">
        <v>5</v>
      </c>
      <c r="Y186" s="3" t="s">
        <v>651</v>
      </c>
      <c r="Z186" s="3" t="s">
        <v>651</v>
      </c>
      <c r="AA186" s="3" t="s">
        <v>10</v>
      </c>
      <c r="AB186" s="223" t="s">
        <v>5</v>
      </c>
      <c r="AC186" s="3" t="s">
        <v>10</v>
      </c>
      <c r="AD186" s="3" t="s">
        <v>6</v>
      </c>
      <c r="AE186" s="95" t="s">
        <v>2265</v>
      </c>
    </row>
    <row r="187" spans="1:31" x14ac:dyDescent="0.35">
      <c r="A187" s="3" t="s">
        <v>2307</v>
      </c>
      <c r="B187" s="3" t="s">
        <v>78</v>
      </c>
      <c r="C187" s="3">
        <v>3</v>
      </c>
      <c r="D187" s="95" t="s">
        <v>924</v>
      </c>
      <c r="E187" s="95" t="s">
        <v>2308</v>
      </c>
      <c r="F187" s="95" t="s">
        <v>4</v>
      </c>
      <c r="G187" s="223">
        <v>38759</v>
      </c>
      <c r="H187" s="223" t="s">
        <v>5</v>
      </c>
      <c r="I187" s="223">
        <v>40585</v>
      </c>
      <c r="J187" s="3">
        <v>387</v>
      </c>
      <c r="K187" s="3" t="s">
        <v>10</v>
      </c>
      <c r="L187" s="3" t="s">
        <v>6</v>
      </c>
      <c r="M187" s="95" t="s">
        <v>27</v>
      </c>
      <c r="N187" s="3" t="s">
        <v>28</v>
      </c>
      <c r="O187" s="3" t="s">
        <v>25</v>
      </c>
      <c r="P187" s="3" t="s">
        <v>6</v>
      </c>
      <c r="Q187" s="3" t="s">
        <v>6</v>
      </c>
      <c r="R187" s="95" t="s">
        <v>50</v>
      </c>
      <c r="S187" s="223">
        <v>43374</v>
      </c>
      <c r="T187" s="223">
        <v>43553</v>
      </c>
      <c r="U187" s="223">
        <v>43433</v>
      </c>
      <c r="V187" s="223">
        <v>43433</v>
      </c>
      <c r="W187" s="223" t="s">
        <v>6</v>
      </c>
      <c r="X187" s="3" t="s">
        <v>26</v>
      </c>
      <c r="Y187" s="3" t="s">
        <v>3213</v>
      </c>
      <c r="Z187" s="3" t="s">
        <v>28</v>
      </c>
      <c r="AA187" s="3" t="s">
        <v>2254</v>
      </c>
      <c r="AB187" s="223" t="s">
        <v>5</v>
      </c>
      <c r="AC187" s="3" t="s">
        <v>6</v>
      </c>
      <c r="AD187" s="3" t="s">
        <v>10</v>
      </c>
      <c r="AE187" s="95" t="s">
        <v>2263</v>
      </c>
    </row>
    <row r="188" spans="1:31" x14ac:dyDescent="0.35">
      <c r="A188" s="3" t="s">
        <v>2309</v>
      </c>
      <c r="B188" s="3" t="s">
        <v>78</v>
      </c>
      <c r="C188" s="3">
        <v>3</v>
      </c>
      <c r="D188" s="95" t="s">
        <v>2310</v>
      </c>
      <c r="E188" s="95" t="s">
        <v>2311</v>
      </c>
      <c r="F188" s="95" t="s">
        <v>4</v>
      </c>
      <c r="G188" s="223">
        <v>43585</v>
      </c>
      <c r="H188" s="223">
        <v>43586</v>
      </c>
      <c r="I188" s="223">
        <v>45412</v>
      </c>
      <c r="J188" s="3">
        <v>91</v>
      </c>
      <c r="K188" s="3" t="s">
        <v>10</v>
      </c>
      <c r="L188" s="3" t="s">
        <v>10</v>
      </c>
      <c r="M188" s="95" t="s">
        <v>105</v>
      </c>
      <c r="N188" s="3" t="s">
        <v>106</v>
      </c>
      <c r="O188" s="3" t="s">
        <v>651</v>
      </c>
      <c r="P188" s="3" t="s">
        <v>6</v>
      </c>
      <c r="Q188" s="3" t="s">
        <v>6</v>
      </c>
      <c r="R188" s="95" t="s">
        <v>652</v>
      </c>
      <c r="S188" s="223" t="s">
        <v>5</v>
      </c>
      <c r="T188" s="223" t="s">
        <v>5</v>
      </c>
      <c r="U188" s="223" t="s">
        <v>5</v>
      </c>
      <c r="V188" s="223" t="s">
        <v>5</v>
      </c>
      <c r="W188" s="223" t="s">
        <v>5</v>
      </c>
      <c r="X188" s="3" t="s">
        <v>5</v>
      </c>
      <c r="Y188" s="3" t="s">
        <v>651</v>
      </c>
      <c r="Z188" s="3" t="s">
        <v>651</v>
      </c>
      <c r="AA188" s="3" t="s">
        <v>10</v>
      </c>
      <c r="AB188" s="223" t="s">
        <v>5</v>
      </c>
      <c r="AC188" s="3" t="s">
        <v>10</v>
      </c>
      <c r="AD188" s="3" t="s">
        <v>6</v>
      </c>
      <c r="AE188" s="95" t="s">
        <v>2265</v>
      </c>
    </row>
    <row r="189" spans="1:31" x14ac:dyDescent="0.35">
      <c r="A189" s="3" t="s">
        <v>2312</v>
      </c>
      <c r="B189" s="3" t="s">
        <v>78</v>
      </c>
      <c r="C189" s="3">
        <v>3</v>
      </c>
      <c r="D189" s="95" t="s">
        <v>740</v>
      </c>
      <c r="E189" s="95" t="s">
        <v>2313</v>
      </c>
      <c r="F189" s="95" t="s">
        <v>2314</v>
      </c>
      <c r="G189" s="223">
        <v>43886</v>
      </c>
      <c r="H189" s="223">
        <v>43891</v>
      </c>
      <c r="I189" s="223">
        <v>45716</v>
      </c>
      <c r="J189" s="3">
        <v>30</v>
      </c>
      <c r="K189" s="3" t="s">
        <v>10</v>
      </c>
      <c r="L189" s="3" t="s">
        <v>10</v>
      </c>
      <c r="M189" s="95" t="s">
        <v>19</v>
      </c>
      <c r="N189" s="3" t="s">
        <v>20</v>
      </c>
      <c r="O189" s="3" t="s">
        <v>651</v>
      </c>
      <c r="P189" s="3" t="s">
        <v>6</v>
      </c>
      <c r="Q189" s="3" t="s">
        <v>6</v>
      </c>
      <c r="R189" s="95" t="s">
        <v>652</v>
      </c>
      <c r="S189" s="223" t="s">
        <v>5</v>
      </c>
      <c r="T189" s="223" t="s">
        <v>5</v>
      </c>
      <c r="U189" s="223" t="s">
        <v>5</v>
      </c>
      <c r="V189" s="223" t="s">
        <v>5</v>
      </c>
      <c r="W189" s="223" t="s">
        <v>5</v>
      </c>
      <c r="X189" s="3" t="s">
        <v>5</v>
      </c>
      <c r="Y189" s="3" t="s">
        <v>651</v>
      </c>
      <c r="Z189" s="3" t="s">
        <v>651</v>
      </c>
      <c r="AA189" s="3" t="s">
        <v>6</v>
      </c>
      <c r="AB189" s="223">
        <v>40179</v>
      </c>
      <c r="AC189" s="3" t="s">
        <v>10</v>
      </c>
      <c r="AD189" s="3" t="s">
        <v>10</v>
      </c>
      <c r="AE189" s="95" t="s">
        <v>2263</v>
      </c>
    </row>
    <row r="190" spans="1:31" x14ac:dyDescent="0.35">
      <c r="A190" s="3" t="s">
        <v>2315</v>
      </c>
      <c r="B190" s="3" t="s">
        <v>78</v>
      </c>
      <c r="C190" s="3">
        <v>3</v>
      </c>
      <c r="D190" s="95" t="s">
        <v>2316</v>
      </c>
      <c r="E190" s="95" t="s">
        <v>4</v>
      </c>
      <c r="F190" s="95" t="s">
        <v>4</v>
      </c>
      <c r="G190" s="223" t="s">
        <v>5</v>
      </c>
      <c r="H190" s="223" t="s">
        <v>5</v>
      </c>
      <c r="I190" s="223" t="s">
        <v>5</v>
      </c>
      <c r="J190" s="3">
        <v>36</v>
      </c>
      <c r="K190" s="3" t="s">
        <v>10</v>
      </c>
      <c r="L190" s="3" t="s">
        <v>10</v>
      </c>
      <c r="M190" s="95" t="s">
        <v>105</v>
      </c>
      <c r="N190" s="3" t="s">
        <v>106</v>
      </c>
      <c r="O190" s="3" t="s">
        <v>651</v>
      </c>
      <c r="P190" s="3" t="s">
        <v>6</v>
      </c>
      <c r="Q190" s="3" t="s">
        <v>6</v>
      </c>
      <c r="R190" s="95" t="s">
        <v>652</v>
      </c>
      <c r="S190" s="223" t="s">
        <v>5</v>
      </c>
      <c r="T190" s="223" t="s">
        <v>5</v>
      </c>
      <c r="U190" s="223" t="s">
        <v>5</v>
      </c>
      <c r="V190" s="223" t="s">
        <v>5</v>
      </c>
      <c r="W190" s="223" t="s">
        <v>5</v>
      </c>
      <c r="X190" s="3" t="s">
        <v>5</v>
      </c>
      <c r="Y190" s="3" t="s">
        <v>651</v>
      </c>
      <c r="Z190" s="3" t="s">
        <v>651</v>
      </c>
      <c r="AA190" s="3" t="s">
        <v>10</v>
      </c>
      <c r="AB190" s="223" t="s">
        <v>5</v>
      </c>
      <c r="AC190" s="3" t="s">
        <v>10</v>
      </c>
      <c r="AD190" s="3" t="s">
        <v>6</v>
      </c>
      <c r="AE190" s="95" t="s">
        <v>2265</v>
      </c>
    </row>
    <row r="191" spans="1:31" x14ac:dyDescent="0.35">
      <c r="A191" s="3" t="s">
        <v>2317</v>
      </c>
      <c r="B191" s="3" t="s">
        <v>78</v>
      </c>
      <c r="C191" s="3">
        <v>3</v>
      </c>
      <c r="D191" s="95" t="s">
        <v>923</v>
      </c>
      <c r="E191" s="95" t="s">
        <v>2318</v>
      </c>
      <c r="F191" s="95" t="s">
        <v>2314</v>
      </c>
      <c r="G191" s="223">
        <v>44256</v>
      </c>
      <c r="H191" s="223">
        <v>44266</v>
      </c>
      <c r="I191" s="223">
        <v>46091</v>
      </c>
      <c r="J191" s="3">
        <v>3487</v>
      </c>
      <c r="K191" s="3" t="s">
        <v>10</v>
      </c>
      <c r="L191" s="3" t="s">
        <v>10</v>
      </c>
      <c r="M191" s="95" t="s">
        <v>23</v>
      </c>
      <c r="N191" s="3" t="s">
        <v>24</v>
      </c>
      <c r="O191" s="3" t="s">
        <v>651</v>
      </c>
      <c r="P191" s="3" t="s">
        <v>6</v>
      </c>
      <c r="Q191" s="3" t="s">
        <v>6</v>
      </c>
      <c r="R191" s="95" t="s">
        <v>652</v>
      </c>
      <c r="S191" s="223" t="s">
        <v>5</v>
      </c>
      <c r="T191" s="223" t="s">
        <v>5</v>
      </c>
      <c r="U191" s="223" t="s">
        <v>5</v>
      </c>
      <c r="V191" s="223" t="s">
        <v>5</v>
      </c>
      <c r="W191" s="223" t="s">
        <v>5</v>
      </c>
      <c r="X191" s="3" t="s">
        <v>5</v>
      </c>
      <c r="Y191" s="3" t="s">
        <v>651</v>
      </c>
      <c r="Z191" s="3" t="s">
        <v>651</v>
      </c>
      <c r="AA191" s="3" t="s">
        <v>6</v>
      </c>
      <c r="AB191" s="223">
        <v>40179</v>
      </c>
      <c r="AC191" s="3" t="s">
        <v>10</v>
      </c>
      <c r="AD191" s="3" t="s">
        <v>10</v>
      </c>
      <c r="AE191" s="95" t="s">
        <v>2263</v>
      </c>
    </row>
    <row r="192" spans="1:31" x14ac:dyDescent="0.35">
      <c r="A192" s="3" t="s">
        <v>77</v>
      </c>
      <c r="B192" s="3" t="s">
        <v>78</v>
      </c>
      <c r="C192" s="3">
        <v>3</v>
      </c>
      <c r="D192" s="95" t="s">
        <v>3143</v>
      </c>
      <c r="E192" s="95" t="s">
        <v>422</v>
      </c>
      <c r="F192" s="95" t="s">
        <v>437</v>
      </c>
      <c r="G192" s="223">
        <v>44455</v>
      </c>
      <c r="H192" s="223">
        <v>44500</v>
      </c>
      <c r="I192" s="223">
        <v>46326</v>
      </c>
      <c r="J192" s="3">
        <v>1</v>
      </c>
      <c r="K192" s="3" t="s">
        <v>6</v>
      </c>
      <c r="L192" s="3" t="s">
        <v>6</v>
      </c>
      <c r="M192" s="95" t="s">
        <v>19</v>
      </c>
      <c r="N192" s="3" t="s">
        <v>20</v>
      </c>
      <c r="O192" s="3" t="s">
        <v>21</v>
      </c>
      <c r="P192" s="3" t="s">
        <v>6</v>
      </c>
      <c r="Q192" s="3" t="s">
        <v>6</v>
      </c>
      <c r="R192" s="95" t="s">
        <v>22</v>
      </c>
      <c r="S192" s="223">
        <v>43675</v>
      </c>
      <c r="T192" s="223">
        <v>43756</v>
      </c>
      <c r="U192" s="223">
        <v>43647</v>
      </c>
      <c r="V192" s="223">
        <v>43647</v>
      </c>
      <c r="W192" s="223" t="s">
        <v>6</v>
      </c>
      <c r="X192" s="3" t="s">
        <v>26</v>
      </c>
      <c r="Y192" s="3" t="s">
        <v>2116</v>
      </c>
      <c r="Z192" s="3" t="s">
        <v>20</v>
      </c>
      <c r="AA192" s="3" t="s">
        <v>6</v>
      </c>
      <c r="AB192" s="223">
        <v>44442</v>
      </c>
      <c r="AC192" s="3" t="s">
        <v>10</v>
      </c>
      <c r="AD192" s="3" t="s">
        <v>10</v>
      </c>
      <c r="AE192" s="95" t="s">
        <v>2263</v>
      </c>
    </row>
    <row r="193" spans="1:31" x14ac:dyDescent="0.35">
      <c r="A193" s="3" t="s">
        <v>925</v>
      </c>
      <c r="B193" s="3" t="s">
        <v>78</v>
      </c>
      <c r="C193" s="3">
        <v>3</v>
      </c>
      <c r="D193" s="95" t="s">
        <v>926</v>
      </c>
      <c r="E193" s="95" t="s">
        <v>1933</v>
      </c>
      <c r="F193" s="95" t="s">
        <v>437</v>
      </c>
      <c r="G193" s="223">
        <v>38759</v>
      </c>
      <c r="H193" s="223" t="s">
        <v>5</v>
      </c>
      <c r="I193" s="223">
        <v>40585</v>
      </c>
      <c r="J193" s="3">
        <v>3</v>
      </c>
      <c r="K193" s="3" t="s">
        <v>10</v>
      </c>
      <c r="L193" s="3" t="s">
        <v>6</v>
      </c>
      <c r="M193" s="95" t="s">
        <v>2555</v>
      </c>
      <c r="N193" s="3" t="s">
        <v>52</v>
      </c>
      <c r="O193" s="3" t="s">
        <v>17</v>
      </c>
      <c r="P193" s="3" t="s">
        <v>6</v>
      </c>
      <c r="Q193" s="3" t="s">
        <v>6</v>
      </c>
      <c r="R193" s="95" t="s">
        <v>50</v>
      </c>
      <c r="S193" s="223">
        <v>43591</v>
      </c>
      <c r="T193" s="223">
        <v>43749</v>
      </c>
      <c r="U193" s="223">
        <v>43679</v>
      </c>
      <c r="V193" s="223">
        <v>43679</v>
      </c>
      <c r="W193" s="223" t="s">
        <v>6</v>
      </c>
      <c r="X193" s="3" t="s">
        <v>26</v>
      </c>
      <c r="Y193" s="3" t="s">
        <v>2243</v>
      </c>
      <c r="Z193" s="3" t="s">
        <v>52</v>
      </c>
      <c r="AA193" s="3" t="s">
        <v>6</v>
      </c>
      <c r="AB193" s="223">
        <v>45261</v>
      </c>
      <c r="AC193" s="3" t="s">
        <v>10</v>
      </c>
      <c r="AD193" s="3" t="s">
        <v>6</v>
      </c>
      <c r="AE193" s="95" t="s">
        <v>2265</v>
      </c>
    </row>
    <row r="194" spans="1:31" x14ac:dyDescent="0.35">
      <c r="A194" s="3" t="s">
        <v>1934</v>
      </c>
      <c r="B194" s="3" t="s">
        <v>78</v>
      </c>
      <c r="C194" s="3">
        <v>3</v>
      </c>
      <c r="D194" s="95" t="s">
        <v>83</v>
      </c>
      <c r="E194" s="95" t="s">
        <v>2272</v>
      </c>
      <c r="F194" s="95" t="s">
        <v>437</v>
      </c>
      <c r="G194" s="223">
        <v>44211</v>
      </c>
      <c r="H194" s="223">
        <v>44256</v>
      </c>
      <c r="I194" s="223">
        <v>46081</v>
      </c>
      <c r="J194" s="3">
        <v>2</v>
      </c>
      <c r="K194" s="3" t="s">
        <v>6</v>
      </c>
      <c r="L194" s="3" t="s">
        <v>6</v>
      </c>
      <c r="M194" s="95" t="s">
        <v>27</v>
      </c>
      <c r="N194" s="3" t="s">
        <v>28</v>
      </c>
      <c r="O194" s="3" t="s">
        <v>25</v>
      </c>
      <c r="P194" s="3" t="s">
        <v>6</v>
      </c>
      <c r="Q194" s="3" t="s">
        <v>6</v>
      </c>
      <c r="R194" s="95" t="s">
        <v>22</v>
      </c>
      <c r="S194" s="223">
        <v>43374</v>
      </c>
      <c r="T194" s="223">
        <v>43553</v>
      </c>
      <c r="U194" s="223">
        <v>43009</v>
      </c>
      <c r="V194" s="223">
        <v>43009</v>
      </c>
      <c r="W194" s="223" t="s">
        <v>6</v>
      </c>
      <c r="X194" s="3" t="s">
        <v>26</v>
      </c>
      <c r="Y194" s="3" t="s">
        <v>2100</v>
      </c>
      <c r="Z194" s="3" t="s">
        <v>28</v>
      </c>
      <c r="AA194" s="3" t="s">
        <v>6</v>
      </c>
      <c r="AB194" s="223">
        <v>42159</v>
      </c>
      <c r="AC194" s="3" t="s">
        <v>6</v>
      </c>
      <c r="AD194" s="3" t="s">
        <v>10</v>
      </c>
      <c r="AE194" s="95" t="s">
        <v>2263</v>
      </c>
    </row>
    <row r="195" spans="1:31" x14ac:dyDescent="0.35">
      <c r="A195" s="3" t="s">
        <v>82</v>
      </c>
      <c r="B195" s="3" t="s">
        <v>78</v>
      </c>
      <c r="C195" s="3">
        <v>3</v>
      </c>
      <c r="D195" s="95" t="s">
        <v>1935</v>
      </c>
      <c r="E195" s="95" t="s">
        <v>1912</v>
      </c>
      <c r="F195" s="95" t="s">
        <v>437</v>
      </c>
      <c r="G195" s="223">
        <v>44609</v>
      </c>
      <c r="H195" s="223">
        <v>44609</v>
      </c>
      <c r="I195" s="223">
        <v>46434</v>
      </c>
      <c r="J195" s="3">
        <v>5</v>
      </c>
      <c r="K195" s="3" t="s">
        <v>6</v>
      </c>
      <c r="L195" s="3" t="s">
        <v>6</v>
      </c>
      <c r="M195" s="95" t="s">
        <v>23</v>
      </c>
      <c r="N195" s="3" t="s">
        <v>24</v>
      </c>
      <c r="O195" s="3" t="s">
        <v>25</v>
      </c>
      <c r="P195" s="3" t="s">
        <v>6</v>
      </c>
      <c r="Q195" s="3" t="s">
        <v>6</v>
      </c>
      <c r="R195" s="95" t="s">
        <v>22</v>
      </c>
      <c r="S195" s="223">
        <v>43374</v>
      </c>
      <c r="T195" s="223">
        <v>43497</v>
      </c>
      <c r="U195" s="223">
        <v>42644</v>
      </c>
      <c r="V195" s="223">
        <v>42644</v>
      </c>
      <c r="W195" s="223" t="s">
        <v>6</v>
      </c>
      <c r="X195" s="3" t="s">
        <v>26</v>
      </c>
      <c r="Y195" s="3" t="s">
        <v>2093</v>
      </c>
      <c r="Z195" s="3" t="s">
        <v>24</v>
      </c>
      <c r="AA195" s="3" t="s">
        <v>6</v>
      </c>
      <c r="AB195" s="223">
        <v>42782</v>
      </c>
      <c r="AC195" s="3" t="s">
        <v>10</v>
      </c>
      <c r="AD195" s="3" t="s">
        <v>10</v>
      </c>
      <c r="AE195" s="95" t="s">
        <v>2263</v>
      </c>
    </row>
    <row r="196" spans="1:31" x14ac:dyDescent="0.35">
      <c r="A196" s="3" t="s">
        <v>927</v>
      </c>
      <c r="B196" s="3" t="s">
        <v>85</v>
      </c>
      <c r="C196" s="3">
        <v>4</v>
      </c>
      <c r="D196" s="95" t="s">
        <v>2319</v>
      </c>
      <c r="E196" s="95" t="s">
        <v>928</v>
      </c>
      <c r="F196" s="95" t="s">
        <v>2320</v>
      </c>
      <c r="G196" s="223">
        <v>43871</v>
      </c>
      <c r="H196" s="223" t="s">
        <v>5</v>
      </c>
      <c r="I196" s="223">
        <v>45697</v>
      </c>
      <c r="J196" s="3">
        <v>1296</v>
      </c>
      <c r="K196" s="3" t="s">
        <v>10</v>
      </c>
      <c r="L196" s="3" t="s">
        <v>10</v>
      </c>
      <c r="M196" s="95" t="s">
        <v>929</v>
      </c>
      <c r="N196" s="3" t="s">
        <v>24</v>
      </c>
      <c r="O196" s="3" t="s">
        <v>651</v>
      </c>
      <c r="P196" s="3" t="s">
        <v>6</v>
      </c>
      <c r="Q196" s="3" t="s">
        <v>6</v>
      </c>
      <c r="R196" s="95" t="s">
        <v>652</v>
      </c>
      <c r="S196" s="223" t="s">
        <v>5</v>
      </c>
      <c r="T196" s="223" t="s">
        <v>5</v>
      </c>
      <c r="U196" s="223" t="s">
        <v>5</v>
      </c>
      <c r="V196" s="223" t="s">
        <v>5</v>
      </c>
      <c r="W196" s="223" t="s">
        <v>5</v>
      </c>
      <c r="X196" s="3" t="s">
        <v>5</v>
      </c>
      <c r="Y196" s="3" t="s">
        <v>651</v>
      </c>
      <c r="Z196" s="3" t="s">
        <v>651</v>
      </c>
      <c r="AA196" s="3" t="s">
        <v>6</v>
      </c>
      <c r="AB196" s="223">
        <v>42677</v>
      </c>
      <c r="AC196" s="3" t="s">
        <v>10</v>
      </c>
      <c r="AD196" s="3" t="s">
        <v>10</v>
      </c>
      <c r="AE196" s="95" t="s">
        <v>2263</v>
      </c>
    </row>
    <row r="197" spans="1:31" x14ac:dyDescent="0.35">
      <c r="A197" s="3" t="s">
        <v>84</v>
      </c>
      <c r="B197" s="3" t="s">
        <v>85</v>
      </c>
      <c r="C197" s="3">
        <v>4</v>
      </c>
      <c r="D197" s="95" t="s">
        <v>3144</v>
      </c>
      <c r="E197" s="95" t="s">
        <v>422</v>
      </c>
      <c r="F197" s="95" t="s">
        <v>437</v>
      </c>
      <c r="G197" s="223">
        <v>44455</v>
      </c>
      <c r="H197" s="223">
        <v>44500</v>
      </c>
      <c r="I197" s="223">
        <v>46326</v>
      </c>
      <c r="J197" s="3">
        <v>0</v>
      </c>
      <c r="K197" s="3" t="s">
        <v>6</v>
      </c>
      <c r="L197" s="3" t="s">
        <v>6</v>
      </c>
      <c r="M197" s="95" t="s">
        <v>19</v>
      </c>
      <c r="N197" s="3" t="s">
        <v>20</v>
      </c>
      <c r="O197" s="3" t="s">
        <v>21</v>
      </c>
      <c r="P197" s="3" t="s">
        <v>6</v>
      </c>
      <c r="Q197" s="3" t="s">
        <v>6</v>
      </c>
      <c r="R197" s="95" t="s">
        <v>22</v>
      </c>
      <c r="S197" s="223">
        <v>43675</v>
      </c>
      <c r="T197" s="223">
        <v>43756</v>
      </c>
      <c r="U197" s="223">
        <v>43647</v>
      </c>
      <c r="V197" s="223">
        <v>43647</v>
      </c>
      <c r="W197" s="223" t="s">
        <v>6</v>
      </c>
      <c r="X197" s="3" t="s">
        <v>26</v>
      </c>
      <c r="Y197" s="3" t="s">
        <v>2116</v>
      </c>
      <c r="Z197" s="3" t="s">
        <v>20</v>
      </c>
      <c r="AA197" s="3" t="s">
        <v>6</v>
      </c>
      <c r="AB197" s="223">
        <v>44442</v>
      </c>
      <c r="AC197" s="3" t="s">
        <v>10</v>
      </c>
      <c r="AD197" s="3" t="s">
        <v>10</v>
      </c>
      <c r="AE197" s="95" t="s">
        <v>2263</v>
      </c>
    </row>
    <row r="198" spans="1:31" x14ac:dyDescent="0.35">
      <c r="A198" s="3" t="s">
        <v>930</v>
      </c>
      <c r="B198" s="3" t="s">
        <v>85</v>
      </c>
      <c r="C198" s="3">
        <v>4</v>
      </c>
      <c r="D198" s="95" t="s">
        <v>931</v>
      </c>
      <c r="E198" s="95" t="s">
        <v>2321</v>
      </c>
      <c r="F198" s="95" t="s">
        <v>2320</v>
      </c>
      <c r="G198" s="223">
        <v>44630</v>
      </c>
      <c r="H198" s="223">
        <v>44630</v>
      </c>
      <c r="I198" s="223">
        <v>46455</v>
      </c>
      <c r="J198" s="3">
        <v>421</v>
      </c>
      <c r="K198" s="3" t="s">
        <v>10</v>
      </c>
      <c r="L198" s="3" t="s">
        <v>10</v>
      </c>
      <c r="M198" s="95" t="s">
        <v>230</v>
      </c>
      <c r="N198" s="3" t="s">
        <v>28</v>
      </c>
      <c r="O198" s="3" t="s">
        <v>651</v>
      </c>
      <c r="P198" s="3" t="s">
        <v>6</v>
      </c>
      <c r="Q198" s="3" t="s">
        <v>6</v>
      </c>
      <c r="R198" s="95" t="s">
        <v>652</v>
      </c>
      <c r="S198" s="223" t="s">
        <v>5</v>
      </c>
      <c r="T198" s="223" t="s">
        <v>5</v>
      </c>
      <c r="U198" s="223" t="s">
        <v>5</v>
      </c>
      <c r="V198" s="223" t="s">
        <v>5</v>
      </c>
      <c r="W198" s="223" t="s">
        <v>5</v>
      </c>
      <c r="X198" s="3" t="s">
        <v>5</v>
      </c>
      <c r="Y198" s="3" t="s">
        <v>651</v>
      </c>
      <c r="Z198" s="3" t="s">
        <v>651</v>
      </c>
      <c r="AA198" s="3" t="s">
        <v>6</v>
      </c>
      <c r="AB198" s="223">
        <v>44153</v>
      </c>
      <c r="AC198" s="3" t="s">
        <v>10</v>
      </c>
      <c r="AD198" s="3" t="s">
        <v>10</v>
      </c>
      <c r="AE198" s="95" t="s">
        <v>2263</v>
      </c>
    </row>
    <row r="199" spans="1:31" x14ac:dyDescent="0.35">
      <c r="A199" s="3" t="s">
        <v>932</v>
      </c>
      <c r="B199" s="3" t="s">
        <v>85</v>
      </c>
      <c r="C199" s="3">
        <v>4</v>
      </c>
      <c r="D199" s="95" t="s">
        <v>2322</v>
      </c>
      <c r="E199" s="95" t="s">
        <v>2323</v>
      </c>
      <c r="F199" s="95" t="s">
        <v>2320</v>
      </c>
      <c r="G199" s="223">
        <v>44550</v>
      </c>
      <c r="H199" s="223">
        <v>44550</v>
      </c>
      <c r="I199" s="223">
        <v>46375</v>
      </c>
      <c r="J199" s="3">
        <v>73</v>
      </c>
      <c r="K199" s="3" t="s">
        <v>10</v>
      </c>
      <c r="L199" s="3" t="s">
        <v>10</v>
      </c>
      <c r="M199" s="95" t="s">
        <v>19</v>
      </c>
      <c r="N199" s="3" t="s">
        <v>20</v>
      </c>
      <c r="O199" s="3" t="s">
        <v>651</v>
      </c>
      <c r="P199" s="3" t="s">
        <v>6</v>
      </c>
      <c r="Q199" s="3" t="s">
        <v>6</v>
      </c>
      <c r="R199" s="95" t="s">
        <v>652</v>
      </c>
      <c r="S199" s="223" t="s">
        <v>5</v>
      </c>
      <c r="T199" s="223" t="s">
        <v>5</v>
      </c>
      <c r="U199" s="223" t="s">
        <v>5</v>
      </c>
      <c r="V199" s="223" t="s">
        <v>5</v>
      </c>
      <c r="W199" s="223" t="s">
        <v>5</v>
      </c>
      <c r="X199" s="3" t="s">
        <v>5</v>
      </c>
      <c r="Y199" s="3" t="s">
        <v>651</v>
      </c>
      <c r="Z199" s="3" t="s">
        <v>651</v>
      </c>
      <c r="AA199" s="3" t="s">
        <v>6</v>
      </c>
      <c r="AB199" s="223">
        <v>43752</v>
      </c>
      <c r="AC199" s="3" t="s">
        <v>10</v>
      </c>
      <c r="AD199" s="3" t="s">
        <v>10</v>
      </c>
      <c r="AE199" s="95" t="s">
        <v>2263</v>
      </c>
    </row>
    <row r="200" spans="1:31" x14ac:dyDescent="0.35">
      <c r="A200" s="3" t="s">
        <v>934</v>
      </c>
      <c r="B200" s="3" t="s">
        <v>85</v>
      </c>
      <c r="C200" s="3">
        <v>4</v>
      </c>
      <c r="D200" s="95" t="s">
        <v>935</v>
      </c>
      <c r="E200" s="95" t="s">
        <v>2790</v>
      </c>
      <c r="F200" s="95" t="s">
        <v>2320</v>
      </c>
      <c r="G200" s="223">
        <v>43875</v>
      </c>
      <c r="H200" s="223" t="s">
        <v>5</v>
      </c>
      <c r="I200" s="223">
        <v>45701</v>
      </c>
      <c r="J200" s="3">
        <v>302</v>
      </c>
      <c r="K200" s="3" t="s">
        <v>10</v>
      </c>
      <c r="L200" s="3" t="s">
        <v>10</v>
      </c>
      <c r="M200" s="95" t="s">
        <v>201</v>
      </c>
      <c r="N200" s="3" t="s">
        <v>68</v>
      </c>
      <c r="O200" s="3" t="s">
        <v>651</v>
      </c>
      <c r="P200" s="3" t="s">
        <v>6</v>
      </c>
      <c r="Q200" s="3" t="s">
        <v>6</v>
      </c>
      <c r="R200" s="95" t="s">
        <v>652</v>
      </c>
      <c r="S200" s="223" t="s">
        <v>5</v>
      </c>
      <c r="T200" s="223" t="s">
        <v>5</v>
      </c>
      <c r="U200" s="223" t="s">
        <v>5</v>
      </c>
      <c r="V200" s="223" t="s">
        <v>5</v>
      </c>
      <c r="W200" s="223" t="s">
        <v>5</v>
      </c>
      <c r="X200" s="3" t="s">
        <v>5</v>
      </c>
      <c r="Y200" s="3" t="s">
        <v>651</v>
      </c>
      <c r="Z200" s="3" t="s">
        <v>651</v>
      </c>
      <c r="AA200" s="3" t="s">
        <v>6</v>
      </c>
      <c r="AB200" s="223">
        <v>43363</v>
      </c>
      <c r="AC200" s="3" t="s">
        <v>6</v>
      </c>
      <c r="AD200" s="3" t="s">
        <v>10</v>
      </c>
      <c r="AE200" s="95" t="s">
        <v>2263</v>
      </c>
    </row>
    <row r="201" spans="1:31" x14ac:dyDescent="0.35">
      <c r="A201" s="3" t="s">
        <v>2231</v>
      </c>
      <c r="B201" s="3" t="s">
        <v>85</v>
      </c>
      <c r="C201" s="3">
        <v>4</v>
      </c>
      <c r="D201" s="95" t="s">
        <v>2237</v>
      </c>
      <c r="E201" s="95" t="s">
        <v>2272</v>
      </c>
      <c r="F201" s="95" t="s">
        <v>437</v>
      </c>
      <c r="G201" s="223">
        <v>44211</v>
      </c>
      <c r="H201" s="223">
        <v>44256</v>
      </c>
      <c r="I201" s="223">
        <v>46081</v>
      </c>
      <c r="J201" s="3">
        <v>0</v>
      </c>
      <c r="K201" s="3" t="s">
        <v>6</v>
      </c>
      <c r="L201" s="3" t="s">
        <v>6</v>
      </c>
      <c r="M201" s="95" t="s">
        <v>27</v>
      </c>
      <c r="N201" s="3" t="s">
        <v>28</v>
      </c>
      <c r="O201" s="3" t="s">
        <v>25</v>
      </c>
      <c r="P201" s="3" t="s">
        <v>6</v>
      </c>
      <c r="Q201" s="3" t="s">
        <v>6</v>
      </c>
      <c r="R201" s="95" t="s">
        <v>22</v>
      </c>
      <c r="S201" s="223">
        <v>43374</v>
      </c>
      <c r="T201" s="223">
        <v>43553</v>
      </c>
      <c r="U201" s="223">
        <v>43009</v>
      </c>
      <c r="V201" s="223">
        <v>43009</v>
      </c>
      <c r="W201" s="223" t="s">
        <v>6</v>
      </c>
      <c r="X201" s="3" t="s">
        <v>26</v>
      </c>
      <c r="Y201" s="3" t="s">
        <v>2100</v>
      </c>
      <c r="Z201" s="3" t="s">
        <v>28</v>
      </c>
      <c r="AA201" s="3" t="s">
        <v>6</v>
      </c>
      <c r="AB201" s="223">
        <v>42159</v>
      </c>
      <c r="AC201" s="3" t="s">
        <v>6</v>
      </c>
      <c r="AD201" s="3" t="s">
        <v>10</v>
      </c>
      <c r="AE201" s="95" t="s">
        <v>2263</v>
      </c>
    </row>
    <row r="202" spans="1:31" x14ac:dyDescent="0.35">
      <c r="A202" s="3" t="s">
        <v>86</v>
      </c>
      <c r="B202" s="3" t="s">
        <v>85</v>
      </c>
      <c r="C202" s="3">
        <v>4</v>
      </c>
      <c r="D202" s="95" t="s">
        <v>1936</v>
      </c>
      <c r="E202" s="209" t="s">
        <v>1912</v>
      </c>
      <c r="F202" s="95" t="s">
        <v>437</v>
      </c>
      <c r="G202" s="223">
        <v>42746</v>
      </c>
      <c r="H202" s="223">
        <v>42782</v>
      </c>
      <c r="I202" s="223">
        <v>44607</v>
      </c>
      <c r="J202" s="3">
        <v>3</v>
      </c>
      <c r="K202" s="3" t="s">
        <v>6</v>
      </c>
      <c r="L202" s="3" t="s">
        <v>6</v>
      </c>
      <c r="M202" s="95" t="s">
        <v>23</v>
      </c>
      <c r="N202" s="3" t="s">
        <v>24</v>
      </c>
      <c r="O202" s="3" t="s">
        <v>25</v>
      </c>
      <c r="P202" s="3" t="s">
        <v>6</v>
      </c>
      <c r="Q202" s="3" t="s">
        <v>6</v>
      </c>
      <c r="R202" s="95" t="s">
        <v>22</v>
      </c>
      <c r="S202" s="223">
        <v>43374</v>
      </c>
      <c r="T202" s="223">
        <v>43497</v>
      </c>
      <c r="U202" s="223">
        <v>42644</v>
      </c>
      <c r="V202" s="223">
        <v>42644</v>
      </c>
      <c r="W202" s="223" t="s">
        <v>6</v>
      </c>
      <c r="X202" s="3" t="s">
        <v>26</v>
      </c>
      <c r="Y202" s="3" t="s">
        <v>2093</v>
      </c>
      <c r="Z202" s="3" t="s">
        <v>24</v>
      </c>
      <c r="AA202" s="3" t="s">
        <v>6</v>
      </c>
      <c r="AB202" s="223">
        <v>42782</v>
      </c>
      <c r="AC202" s="3" t="s">
        <v>10</v>
      </c>
      <c r="AD202" s="3" t="s">
        <v>10</v>
      </c>
      <c r="AE202" s="95" t="s">
        <v>2263</v>
      </c>
    </row>
    <row r="203" spans="1:31" x14ac:dyDescent="0.35">
      <c r="A203" s="3" t="s">
        <v>936</v>
      </c>
      <c r="B203" s="3" t="s">
        <v>85</v>
      </c>
      <c r="C203" s="3">
        <v>4</v>
      </c>
      <c r="D203" s="95" t="s">
        <v>937</v>
      </c>
      <c r="E203" s="95" t="s">
        <v>2791</v>
      </c>
      <c r="F203" s="95" t="s">
        <v>3117</v>
      </c>
      <c r="G203" s="223">
        <v>44123</v>
      </c>
      <c r="H203" s="223">
        <v>44197</v>
      </c>
      <c r="I203" s="223">
        <v>46022</v>
      </c>
      <c r="J203" s="3">
        <v>151</v>
      </c>
      <c r="K203" s="3" t="s">
        <v>10</v>
      </c>
      <c r="L203" s="3" t="s">
        <v>10</v>
      </c>
      <c r="M203" s="95" t="s">
        <v>2555</v>
      </c>
      <c r="N203" s="3" t="s">
        <v>52</v>
      </c>
      <c r="O203" s="3" t="s">
        <v>651</v>
      </c>
      <c r="P203" s="3" t="s">
        <v>6</v>
      </c>
      <c r="Q203" s="3" t="s">
        <v>6</v>
      </c>
      <c r="R203" s="95" t="s">
        <v>652</v>
      </c>
      <c r="S203" s="223" t="s">
        <v>5</v>
      </c>
      <c r="T203" s="223" t="s">
        <v>5</v>
      </c>
      <c r="U203" s="223" t="s">
        <v>5</v>
      </c>
      <c r="V203" s="223" t="s">
        <v>5</v>
      </c>
      <c r="W203" s="223" t="s">
        <v>5</v>
      </c>
      <c r="X203" s="3" t="s">
        <v>5</v>
      </c>
      <c r="Y203" s="3" t="s">
        <v>651</v>
      </c>
      <c r="Z203" s="3" t="s">
        <v>651</v>
      </c>
      <c r="AA203" s="3" t="s">
        <v>10</v>
      </c>
      <c r="AB203" s="223" t="s">
        <v>5</v>
      </c>
      <c r="AC203" s="3" t="s">
        <v>10</v>
      </c>
      <c r="AD203" s="3" t="s">
        <v>6</v>
      </c>
      <c r="AE203" s="95" t="s">
        <v>2265</v>
      </c>
    </row>
    <row r="204" spans="1:31" x14ac:dyDescent="0.35">
      <c r="A204" s="3" t="s">
        <v>2324</v>
      </c>
      <c r="B204" s="3" t="s">
        <v>85</v>
      </c>
      <c r="C204" s="3">
        <v>4</v>
      </c>
      <c r="D204" s="95" t="s">
        <v>963</v>
      </c>
      <c r="E204" s="95" t="s">
        <v>2792</v>
      </c>
      <c r="F204" s="95" t="s">
        <v>2320</v>
      </c>
      <c r="G204" s="223">
        <v>44026</v>
      </c>
      <c r="H204" s="223" t="s">
        <v>5</v>
      </c>
      <c r="I204" s="223">
        <v>45851</v>
      </c>
      <c r="J204" s="3">
        <v>2911</v>
      </c>
      <c r="K204" s="3" t="s">
        <v>10</v>
      </c>
      <c r="L204" s="3" t="s">
        <v>10</v>
      </c>
      <c r="M204" s="95" t="s">
        <v>23</v>
      </c>
      <c r="N204" s="3" t="s">
        <v>24</v>
      </c>
      <c r="O204" s="3" t="s">
        <v>651</v>
      </c>
      <c r="P204" s="3" t="s">
        <v>6</v>
      </c>
      <c r="Q204" s="3" t="s">
        <v>6</v>
      </c>
      <c r="R204" s="95" t="s">
        <v>652</v>
      </c>
      <c r="S204" s="223" t="s">
        <v>5</v>
      </c>
      <c r="T204" s="223" t="s">
        <v>5</v>
      </c>
      <c r="U204" s="223" t="s">
        <v>5</v>
      </c>
      <c r="V204" s="223" t="s">
        <v>5</v>
      </c>
      <c r="W204" s="223" t="s">
        <v>5</v>
      </c>
      <c r="X204" s="3" t="s">
        <v>5</v>
      </c>
      <c r="Y204" s="3" t="s">
        <v>651</v>
      </c>
      <c r="Z204" s="3" t="s">
        <v>651</v>
      </c>
      <c r="AA204" s="3" t="s">
        <v>6</v>
      </c>
      <c r="AB204" s="223">
        <v>40179</v>
      </c>
      <c r="AC204" s="3" t="s">
        <v>6</v>
      </c>
      <c r="AD204" s="3" t="s">
        <v>10</v>
      </c>
      <c r="AE204" s="95" t="s">
        <v>2263</v>
      </c>
    </row>
    <row r="205" spans="1:31" x14ac:dyDescent="0.35">
      <c r="A205" s="3" t="s">
        <v>2325</v>
      </c>
      <c r="B205" s="3" t="s">
        <v>85</v>
      </c>
      <c r="C205" s="3">
        <v>4</v>
      </c>
      <c r="D205" s="95" t="s">
        <v>2326</v>
      </c>
      <c r="E205" s="95" t="s">
        <v>2792</v>
      </c>
      <c r="F205" s="95" t="s">
        <v>2320</v>
      </c>
      <c r="G205" s="223">
        <v>43871</v>
      </c>
      <c r="H205" s="223" t="s">
        <v>5</v>
      </c>
      <c r="I205" s="223">
        <v>45697</v>
      </c>
      <c r="J205" s="3">
        <v>9599</v>
      </c>
      <c r="K205" s="3" t="s">
        <v>10</v>
      </c>
      <c r="L205" s="3" t="s">
        <v>10</v>
      </c>
      <c r="M205" s="95" t="s">
        <v>23</v>
      </c>
      <c r="N205" s="3" t="s">
        <v>24</v>
      </c>
      <c r="O205" s="3" t="s">
        <v>651</v>
      </c>
      <c r="P205" s="3" t="s">
        <v>6</v>
      </c>
      <c r="Q205" s="3" t="s">
        <v>6</v>
      </c>
      <c r="R205" s="95" t="s">
        <v>652</v>
      </c>
      <c r="S205" s="223" t="s">
        <v>5</v>
      </c>
      <c r="T205" s="223" t="s">
        <v>5</v>
      </c>
      <c r="U205" s="223" t="s">
        <v>5</v>
      </c>
      <c r="V205" s="223" t="s">
        <v>5</v>
      </c>
      <c r="W205" s="223" t="s">
        <v>5</v>
      </c>
      <c r="X205" s="3" t="s">
        <v>5</v>
      </c>
      <c r="Y205" s="3" t="s">
        <v>651</v>
      </c>
      <c r="Z205" s="3" t="s">
        <v>651</v>
      </c>
      <c r="AA205" s="3" t="s">
        <v>6</v>
      </c>
      <c r="AB205" s="223">
        <v>40179</v>
      </c>
      <c r="AC205" s="3" t="s">
        <v>10</v>
      </c>
      <c r="AD205" s="3" t="s">
        <v>10</v>
      </c>
      <c r="AE205" s="95" t="s">
        <v>2263</v>
      </c>
    </row>
    <row r="206" spans="1:31" x14ac:dyDescent="0.35">
      <c r="A206" s="3" t="s">
        <v>2327</v>
      </c>
      <c r="B206" s="3" t="s">
        <v>85</v>
      </c>
      <c r="C206" s="3">
        <v>4</v>
      </c>
      <c r="D206" s="95" t="s">
        <v>2328</v>
      </c>
      <c r="E206" s="95" t="s">
        <v>2792</v>
      </c>
      <c r="F206" s="95" t="s">
        <v>2320</v>
      </c>
      <c r="G206" s="223">
        <v>43876</v>
      </c>
      <c r="H206" s="223" t="s">
        <v>5</v>
      </c>
      <c r="I206" s="223">
        <v>45702</v>
      </c>
      <c r="J206" s="3">
        <v>8926</v>
      </c>
      <c r="K206" s="3" t="s">
        <v>10</v>
      </c>
      <c r="L206" s="3" t="s">
        <v>10</v>
      </c>
      <c r="M206" s="95" t="s">
        <v>23</v>
      </c>
      <c r="N206" s="3" t="s">
        <v>24</v>
      </c>
      <c r="O206" s="3" t="s">
        <v>651</v>
      </c>
      <c r="P206" s="3" t="s">
        <v>6</v>
      </c>
      <c r="Q206" s="3" t="s">
        <v>6</v>
      </c>
      <c r="R206" s="95" t="s">
        <v>652</v>
      </c>
      <c r="S206" s="223" t="s">
        <v>5</v>
      </c>
      <c r="T206" s="223" t="s">
        <v>5</v>
      </c>
      <c r="U206" s="223" t="s">
        <v>5</v>
      </c>
      <c r="V206" s="223" t="s">
        <v>5</v>
      </c>
      <c r="W206" s="223" t="s">
        <v>5</v>
      </c>
      <c r="X206" s="3" t="s">
        <v>5</v>
      </c>
      <c r="Y206" s="3" t="s">
        <v>651</v>
      </c>
      <c r="Z206" s="3" t="s">
        <v>651</v>
      </c>
      <c r="AA206" s="3" t="s">
        <v>6</v>
      </c>
      <c r="AB206" s="223">
        <v>40179</v>
      </c>
      <c r="AC206" s="3" t="s">
        <v>10</v>
      </c>
      <c r="AD206" s="3" t="s">
        <v>10</v>
      </c>
      <c r="AE206" s="95" t="s">
        <v>2263</v>
      </c>
    </row>
    <row r="207" spans="1:31" x14ac:dyDescent="0.35">
      <c r="A207" s="3" t="s">
        <v>2329</v>
      </c>
      <c r="B207" s="3" t="s">
        <v>85</v>
      </c>
      <c r="C207" s="3">
        <v>4</v>
      </c>
      <c r="D207" s="95" t="s">
        <v>2330</v>
      </c>
      <c r="E207" s="95" t="s">
        <v>2793</v>
      </c>
      <c r="F207" s="95" t="s">
        <v>2320</v>
      </c>
      <c r="G207" s="223">
        <v>43513</v>
      </c>
      <c r="H207" s="223" t="s">
        <v>5</v>
      </c>
      <c r="I207" s="223">
        <v>45338</v>
      </c>
      <c r="J207" s="3">
        <v>1225</v>
      </c>
      <c r="K207" s="3" t="s">
        <v>10</v>
      </c>
      <c r="L207" s="3" t="s">
        <v>10</v>
      </c>
      <c r="M207" s="95" t="s">
        <v>27</v>
      </c>
      <c r="N207" s="3" t="s">
        <v>28</v>
      </c>
      <c r="O207" s="3" t="s">
        <v>651</v>
      </c>
      <c r="P207" s="3" t="s">
        <v>6</v>
      </c>
      <c r="Q207" s="3" t="s">
        <v>6</v>
      </c>
      <c r="R207" s="95" t="s">
        <v>652</v>
      </c>
      <c r="S207" s="223" t="s">
        <v>5</v>
      </c>
      <c r="T207" s="223" t="s">
        <v>5</v>
      </c>
      <c r="U207" s="223" t="s">
        <v>5</v>
      </c>
      <c r="V207" s="223" t="s">
        <v>5</v>
      </c>
      <c r="W207" s="223" t="s">
        <v>5</v>
      </c>
      <c r="X207" s="3" t="s">
        <v>5</v>
      </c>
      <c r="Y207" s="3" t="s">
        <v>651</v>
      </c>
      <c r="Z207" s="3" t="s">
        <v>651</v>
      </c>
      <c r="AA207" s="3" t="s">
        <v>6</v>
      </c>
      <c r="AB207" s="223">
        <v>40179</v>
      </c>
      <c r="AC207" s="3" t="s">
        <v>10</v>
      </c>
      <c r="AD207" s="3" t="s">
        <v>10</v>
      </c>
      <c r="AE207" s="95" t="s">
        <v>2263</v>
      </c>
    </row>
    <row r="208" spans="1:31" x14ac:dyDescent="0.35">
      <c r="A208" s="3" t="s">
        <v>938</v>
      </c>
      <c r="B208" s="3" t="s">
        <v>570</v>
      </c>
      <c r="C208" s="3">
        <v>4</v>
      </c>
      <c r="D208" s="95" t="s">
        <v>2331</v>
      </c>
      <c r="E208" s="95" t="s">
        <v>2332</v>
      </c>
      <c r="F208" s="95" t="s">
        <v>2333</v>
      </c>
      <c r="G208" s="223">
        <v>44026</v>
      </c>
      <c r="H208" s="223">
        <v>44075</v>
      </c>
      <c r="I208" s="223">
        <v>45900</v>
      </c>
      <c r="J208" s="3">
        <v>15</v>
      </c>
      <c r="K208" s="3" t="s">
        <v>10</v>
      </c>
      <c r="L208" s="3" t="s">
        <v>10</v>
      </c>
      <c r="M208" s="95" t="s">
        <v>114</v>
      </c>
      <c r="N208" s="3" t="s">
        <v>115</v>
      </c>
      <c r="O208" s="3" t="s">
        <v>651</v>
      </c>
      <c r="P208" s="3" t="s">
        <v>6</v>
      </c>
      <c r="Q208" s="3" t="s">
        <v>6</v>
      </c>
      <c r="R208" s="95" t="s">
        <v>652</v>
      </c>
      <c r="S208" s="223" t="s">
        <v>5</v>
      </c>
      <c r="T208" s="223" t="s">
        <v>5</v>
      </c>
      <c r="U208" s="223" t="s">
        <v>5</v>
      </c>
      <c r="V208" s="223" t="s">
        <v>5</v>
      </c>
      <c r="W208" s="223" t="s">
        <v>5</v>
      </c>
      <c r="X208" s="3" t="s">
        <v>5</v>
      </c>
      <c r="Y208" s="3" t="s">
        <v>651</v>
      </c>
      <c r="Z208" s="3" t="s">
        <v>651</v>
      </c>
      <c r="AA208" s="3" t="s">
        <v>6</v>
      </c>
      <c r="AB208" s="223">
        <v>43374</v>
      </c>
      <c r="AC208" s="3" t="s">
        <v>6</v>
      </c>
      <c r="AD208" s="3" t="s">
        <v>10</v>
      </c>
      <c r="AE208" s="95" t="s">
        <v>2263</v>
      </c>
    </row>
    <row r="209" spans="1:31" x14ac:dyDescent="0.35">
      <c r="A209" s="3" t="s">
        <v>939</v>
      </c>
      <c r="B209" s="3" t="s">
        <v>570</v>
      </c>
      <c r="C209" s="3">
        <v>4</v>
      </c>
      <c r="D209" s="95" t="s">
        <v>2334</v>
      </c>
      <c r="E209" s="95" t="s">
        <v>2332</v>
      </c>
      <c r="F209" s="95" t="s">
        <v>2333</v>
      </c>
      <c r="G209" s="223">
        <v>44026</v>
      </c>
      <c r="H209" s="223">
        <v>44075</v>
      </c>
      <c r="I209" s="223">
        <v>45900</v>
      </c>
      <c r="J209" s="3">
        <v>9</v>
      </c>
      <c r="K209" s="3" t="s">
        <v>10</v>
      </c>
      <c r="L209" s="3" t="s">
        <v>10</v>
      </c>
      <c r="M209" s="95" t="s">
        <v>173</v>
      </c>
      <c r="N209" s="3" t="s">
        <v>174</v>
      </c>
      <c r="O209" s="3" t="s">
        <v>651</v>
      </c>
      <c r="P209" s="3" t="s">
        <v>6</v>
      </c>
      <c r="Q209" s="3" t="s">
        <v>6</v>
      </c>
      <c r="R209" s="95" t="s">
        <v>652</v>
      </c>
      <c r="S209" s="223" t="s">
        <v>5</v>
      </c>
      <c r="T209" s="223" t="s">
        <v>5</v>
      </c>
      <c r="U209" s="223" t="s">
        <v>5</v>
      </c>
      <c r="V209" s="223" t="s">
        <v>5</v>
      </c>
      <c r="W209" s="223" t="s">
        <v>5</v>
      </c>
      <c r="X209" s="3" t="s">
        <v>5</v>
      </c>
      <c r="Y209" s="3" t="s">
        <v>651</v>
      </c>
      <c r="Z209" s="3" t="s">
        <v>651</v>
      </c>
      <c r="AA209" s="3" t="s">
        <v>6</v>
      </c>
      <c r="AB209" s="223">
        <v>43374</v>
      </c>
      <c r="AC209" s="3" t="s">
        <v>6</v>
      </c>
      <c r="AD209" s="3" t="s">
        <v>10</v>
      </c>
      <c r="AE209" s="95" t="s">
        <v>2263</v>
      </c>
    </row>
    <row r="210" spans="1:31" x14ac:dyDescent="0.35">
      <c r="A210" s="3" t="s">
        <v>940</v>
      </c>
      <c r="B210" s="3" t="s">
        <v>570</v>
      </c>
      <c r="C210" s="3">
        <v>4</v>
      </c>
      <c r="D210" s="95" t="s">
        <v>941</v>
      </c>
      <c r="E210" s="95" t="s">
        <v>2332</v>
      </c>
      <c r="F210" s="95" t="s">
        <v>2333</v>
      </c>
      <c r="G210" s="223">
        <v>44398</v>
      </c>
      <c r="H210" s="223">
        <v>44409</v>
      </c>
      <c r="I210" s="223">
        <v>46234</v>
      </c>
      <c r="J210" s="3">
        <v>94</v>
      </c>
      <c r="K210" s="3" t="s">
        <v>10</v>
      </c>
      <c r="L210" s="3" t="s">
        <v>10</v>
      </c>
      <c r="M210" s="95" t="s">
        <v>942</v>
      </c>
      <c r="N210" s="3" t="s">
        <v>115</v>
      </c>
      <c r="O210" s="3" t="s">
        <v>651</v>
      </c>
      <c r="P210" s="3" t="s">
        <v>6</v>
      </c>
      <c r="Q210" s="3" t="s">
        <v>6</v>
      </c>
      <c r="R210" s="95" t="s">
        <v>652</v>
      </c>
      <c r="S210" s="223" t="s">
        <v>5</v>
      </c>
      <c r="T210" s="223" t="s">
        <v>5</v>
      </c>
      <c r="U210" s="223" t="s">
        <v>5</v>
      </c>
      <c r="V210" s="223" t="s">
        <v>5</v>
      </c>
      <c r="W210" s="223" t="s">
        <v>5</v>
      </c>
      <c r="X210" s="3" t="s">
        <v>5</v>
      </c>
      <c r="Y210" s="3" t="s">
        <v>651</v>
      </c>
      <c r="Z210" s="3" t="s">
        <v>651</v>
      </c>
      <c r="AA210" s="3" t="s">
        <v>6</v>
      </c>
      <c r="AB210" s="223">
        <v>43374</v>
      </c>
      <c r="AC210" s="3" t="s">
        <v>6</v>
      </c>
      <c r="AD210" s="3" t="s">
        <v>10</v>
      </c>
      <c r="AE210" s="95" t="s">
        <v>2263</v>
      </c>
    </row>
    <row r="211" spans="1:31" x14ac:dyDescent="0.35">
      <c r="A211" s="3" t="s">
        <v>943</v>
      </c>
      <c r="B211" s="3" t="s">
        <v>570</v>
      </c>
      <c r="C211" s="3">
        <v>4</v>
      </c>
      <c r="D211" s="95" t="s">
        <v>944</v>
      </c>
      <c r="E211" s="95" t="s">
        <v>2335</v>
      </c>
      <c r="F211" s="95" t="s">
        <v>4</v>
      </c>
      <c r="G211" s="223">
        <v>45306</v>
      </c>
      <c r="H211" s="223">
        <v>45306</v>
      </c>
      <c r="I211" s="223">
        <v>47132</v>
      </c>
      <c r="J211" s="3">
        <v>6</v>
      </c>
      <c r="K211" s="3" t="s">
        <v>10</v>
      </c>
      <c r="L211" s="3" t="s">
        <v>10</v>
      </c>
      <c r="M211" s="95" t="s">
        <v>2555</v>
      </c>
      <c r="N211" s="3" t="s">
        <v>52</v>
      </c>
      <c r="O211" s="3" t="s">
        <v>651</v>
      </c>
      <c r="P211" s="3" t="s">
        <v>6</v>
      </c>
      <c r="Q211" s="3" t="s">
        <v>6</v>
      </c>
      <c r="R211" s="95" t="s">
        <v>652</v>
      </c>
      <c r="S211" s="223" t="s">
        <v>5</v>
      </c>
      <c r="T211" s="223" t="s">
        <v>5</v>
      </c>
      <c r="U211" s="223" t="s">
        <v>5</v>
      </c>
      <c r="V211" s="223" t="s">
        <v>5</v>
      </c>
      <c r="W211" s="223" t="s">
        <v>5</v>
      </c>
      <c r="X211" s="3" t="s">
        <v>5</v>
      </c>
      <c r="Y211" s="3" t="s">
        <v>651</v>
      </c>
      <c r="Z211" s="3" t="s">
        <v>651</v>
      </c>
      <c r="AA211" s="3" t="s">
        <v>10</v>
      </c>
      <c r="AB211" s="223" t="s">
        <v>5</v>
      </c>
      <c r="AC211" s="3" t="s">
        <v>10</v>
      </c>
      <c r="AD211" s="3" t="s">
        <v>6</v>
      </c>
      <c r="AE211" s="95" t="s">
        <v>2265</v>
      </c>
    </row>
    <row r="212" spans="1:31" x14ac:dyDescent="0.35">
      <c r="A212" s="3" t="s">
        <v>945</v>
      </c>
      <c r="B212" s="3" t="s">
        <v>570</v>
      </c>
      <c r="C212" s="3">
        <v>4</v>
      </c>
      <c r="D212" s="95" t="s">
        <v>2336</v>
      </c>
      <c r="E212" s="95" t="s">
        <v>2332</v>
      </c>
      <c r="F212" s="95" t="s">
        <v>2333</v>
      </c>
      <c r="G212" s="223">
        <v>43896</v>
      </c>
      <c r="H212" s="223">
        <v>43922</v>
      </c>
      <c r="I212" s="223">
        <v>45747</v>
      </c>
      <c r="J212" s="3">
        <v>61</v>
      </c>
      <c r="K212" s="3" t="s">
        <v>10</v>
      </c>
      <c r="L212" s="3" t="s">
        <v>10</v>
      </c>
      <c r="M212" s="95" t="s">
        <v>946</v>
      </c>
      <c r="N212" s="3" t="s">
        <v>117</v>
      </c>
      <c r="O212" s="3" t="s">
        <v>651</v>
      </c>
      <c r="P212" s="3" t="s">
        <v>6</v>
      </c>
      <c r="Q212" s="3" t="s">
        <v>6</v>
      </c>
      <c r="R212" s="95" t="s">
        <v>652</v>
      </c>
      <c r="S212" s="223" t="s">
        <v>5</v>
      </c>
      <c r="T212" s="223" t="s">
        <v>5</v>
      </c>
      <c r="U212" s="223" t="s">
        <v>5</v>
      </c>
      <c r="V212" s="223" t="s">
        <v>5</v>
      </c>
      <c r="W212" s="223" t="s">
        <v>5</v>
      </c>
      <c r="X212" s="3" t="s">
        <v>5</v>
      </c>
      <c r="Y212" s="3" t="s">
        <v>651</v>
      </c>
      <c r="Z212" s="3" t="s">
        <v>651</v>
      </c>
      <c r="AA212" s="3" t="s">
        <v>6</v>
      </c>
      <c r="AB212" s="223">
        <v>43374</v>
      </c>
      <c r="AC212" s="3" t="s">
        <v>6</v>
      </c>
      <c r="AD212" s="3" t="s">
        <v>6</v>
      </c>
      <c r="AE212" s="95" t="s">
        <v>2263</v>
      </c>
    </row>
    <row r="213" spans="1:31" x14ac:dyDescent="0.35">
      <c r="A213" s="3" t="s">
        <v>947</v>
      </c>
      <c r="B213" s="3" t="s">
        <v>570</v>
      </c>
      <c r="C213" s="3">
        <v>4</v>
      </c>
      <c r="D213" s="95" t="s">
        <v>3118</v>
      </c>
      <c r="E213" s="95" t="s">
        <v>2332</v>
      </c>
      <c r="F213" s="95" t="s">
        <v>2333</v>
      </c>
      <c r="G213" s="223">
        <v>45108</v>
      </c>
      <c r="H213" s="223">
        <v>45108</v>
      </c>
      <c r="I213" s="223">
        <v>46934</v>
      </c>
      <c r="J213" s="3">
        <v>1</v>
      </c>
      <c r="K213" s="3" t="s">
        <v>10</v>
      </c>
      <c r="L213" s="3" t="s">
        <v>10</v>
      </c>
      <c r="M213" s="95" t="s">
        <v>116</v>
      </c>
      <c r="N213" s="3" t="s">
        <v>117</v>
      </c>
      <c r="O213" s="3" t="s">
        <v>651</v>
      </c>
      <c r="P213" s="3" t="s">
        <v>6</v>
      </c>
      <c r="Q213" s="3" t="s">
        <v>6</v>
      </c>
      <c r="R213" s="95" t="s">
        <v>652</v>
      </c>
      <c r="S213" s="223" t="s">
        <v>5</v>
      </c>
      <c r="T213" s="223" t="s">
        <v>5</v>
      </c>
      <c r="U213" s="223" t="s">
        <v>5</v>
      </c>
      <c r="V213" s="223" t="s">
        <v>5</v>
      </c>
      <c r="W213" s="223" t="s">
        <v>5</v>
      </c>
      <c r="X213" s="3" t="s">
        <v>5</v>
      </c>
      <c r="Y213" s="3" t="s">
        <v>651</v>
      </c>
      <c r="Z213" s="3" t="s">
        <v>651</v>
      </c>
      <c r="AA213" s="3" t="s">
        <v>6</v>
      </c>
      <c r="AB213" s="223">
        <v>43374</v>
      </c>
      <c r="AC213" s="3" t="s">
        <v>6</v>
      </c>
      <c r="AD213" s="3" t="s">
        <v>10</v>
      </c>
      <c r="AE213" s="95" t="s">
        <v>2263</v>
      </c>
    </row>
    <row r="214" spans="1:31" x14ac:dyDescent="0.35">
      <c r="A214" s="3" t="s">
        <v>948</v>
      </c>
      <c r="B214" s="3" t="s">
        <v>570</v>
      </c>
      <c r="C214" s="3">
        <v>4</v>
      </c>
      <c r="D214" s="95" t="s">
        <v>949</v>
      </c>
      <c r="E214" s="95" t="s">
        <v>2335</v>
      </c>
      <c r="F214" s="95" t="s">
        <v>4</v>
      </c>
      <c r="G214" s="223">
        <v>44901</v>
      </c>
      <c r="H214" s="223">
        <v>44901</v>
      </c>
      <c r="I214" s="223">
        <v>46726</v>
      </c>
      <c r="J214" s="3">
        <v>108</v>
      </c>
      <c r="K214" s="3" t="s">
        <v>10</v>
      </c>
      <c r="L214" s="3" t="s">
        <v>10</v>
      </c>
      <c r="M214" s="95" t="s">
        <v>2555</v>
      </c>
      <c r="N214" s="3" t="s">
        <v>52</v>
      </c>
      <c r="O214" s="3" t="s">
        <v>651</v>
      </c>
      <c r="P214" s="3" t="s">
        <v>6</v>
      </c>
      <c r="Q214" s="3" t="s">
        <v>6</v>
      </c>
      <c r="R214" s="95" t="s">
        <v>652</v>
      </c>
      <c r="S214" s="223" t="s">
        <v>5</v>
      </c>
      <c r="T214" s="223" t="s">
        <v>5</v>
      </c>
      <c r="U214" s="223" t="s">
        <v>5</v>
      </c>
      <c r="V214" s="223" t="s">
        <v>5</v>
      </c>
      <c r="W214" s="223" t="s">
        <v>5</v>
      </c>
      <c r="X214" s="3" t="s">
        <v>5</v>
      </c>
      <c r="Y214" s="3" t="s">
        <v>651</v>
      </c>
      <c r="Z214" s="3" t="s">
        <v>651</v>
      </c>
      <c r="AA214" s="3" t="s">
        <v>10</v>
      </c>
      <c r="AB214" s="223" t="s">
        <v>5</v>
      </c>
      <c r="AC214" s="3" t="s">
        <v>10</v>
      </c>
      <c r="AD214" s="3" t="s">
        <v>6</v>
      </c>
      <c r="AE214" s="95" t="s">
        <v>2265</v>
      </c>
    </row>
    <row r="215" spans="1:31" x14ac:dyDescent="0.35">
      <c r="A215" s="3" t="s">
        <v>950</v>
      </c>
      <c r="B215" s="3" t="s">
        <v>570</v>
      </c>
      <c r="C215" s="3">
        <v>4</v>
      </c>
      <c r="D215" s="95" t="s">
        <v>3119</v>
      </c>
      <c r="E215" s="95" t="s">
        <v>2332</v>
      </c>
      <c r="F215" s="95" t="s">
        <v>2333</v>
      </c>
      <c r="G215" s="223">
        <v>44180</v>
      </c>
      <c r="H215" s="223">
        <v>44197</v>
      </c>
      <c r="I215" s="223">
        <v>46022</v>
      </c>
      <c r="J215" s="3">
        <v>113</v>
      </c>
      <c r="K215" s="3" t="s">
        <v>10</v>
      </c>
      <c r="L215" s="3" t="s">
        <v>10</v>
      </c>
      <c r="M215" s="95" t="s">
        <v>116</v>
      </c>
      <c r="N215" s="3" t="s">
        <v>117</v>
      </c>
      <c r="O215" s="3" t="s">
        <v>651</v>
      </c>
      <c r="P215" s="3" t="s">
        <v>6</v>
      </c>
      <c r="Q215" s="3" t="s">
        <v>6</v>
      </c>
      <c r="R215" s="95" t="s">
        <v>652</v>
      </c>
      <c r="S215" s="223" t="s">
        <v>5</v>
      </c>
      <c r="T215" s="223" t="s">
        <v>5</v>
      </c>
      <c r="U215" s="223" t="s">
        <v>5</v>
      </c>
      <c r="V215" s="223" t="s">
        <v>5</v>
      </c>
      <c r="W215" s="223" t="s">
        <v>5</v>
      </c>
      <c r="X215" s="3" t="s">
        <v>5</v>
      </c>
      <c r="Y215" s="3" t="s">
        <v>651</v>
      </c>
      <c r="Z215" s="3" t="s">
        <v>651</v>
      </c>
      <c r="AA215" s="3" t="s">
        <v>6</v>
      </c>
      <c r="AB215" s="223">
        <v>43374</v>
      </c>
      <c r="AC215" s="3" t="s">
        <v>6</v>
      </c>
      <c r="AD215" s="3" t="s">
        <v>10</v>
      </c>
      <c r="AE215" s="95" t="s">
        <v>2265</v>
      </c>
    </row>
    <row r="216" spans="1:31" x14ac:dyDescent="0.35">
      <c r="A216" s="3" t="s">
        <v>951</v>
      </c>
      <c r="B216" s="3" t="s">
        <v>570</v>
      </c>
      <c r="C216" s="3">
        <v>4</v>
      </c>
      <c r="D216" s="95" t="s">
        <v>2337</v>
      </c>
      <c r="E216" s="95" t="s">
        <v>2332</v>
      </c>
      <c r="F216" s="95" t="s">
        <v>2333</v>
      </c>
      <c r="G216" s="223">
        <v>44397</v>
      </c>
      <c r="H216" s="223">
        <v>44409</v>
      </c>
      <c r="I216" s="223">
        <v>46234</v>
      </c>
      <c r="J216" s="3">
        <v>25</v>
      </c>
      <c r="K216" s="3" t="s">
        <v>10</v>
      </c>
      <c r="L216" s="3" t="s">
        <v>10</v>
      </c>
      <c r="M216" s="95" t="s">
        <v>19</v>
      </c>
      <c r="N216" s="3" t="s">
        <v>20</v>
      </c>
      <c r="O216" s="3" t="s">
        <v>651</v>
      </c>
      <c r="P216" s="3" t="s">
        <v>6</v>
      </c>
      <c r="Q216" s="3" t="s">
        <v>6</v>
      </c>
      <c r="R216" s="95" t="s">
        <v>652</v>
      </c>
      <c r="S216" s="223" t="s">
        <v>5</v>
      </c>
      <c r="T216" s="223" t="s">
        <v>5</v>
      </c>
      <c r="U216" s="223" t="s">
        <v>5</v>
      </c>
      <c r="V216" s="223" t="s">
        <v>5</v>
      </c>
      <c r="W216" s="223" t="s">
        <v>5</v>
      </c>
      <c r="X216" s="3" t="s">
        <v>5</v>
      </c>
      <c r="Y216" s="3" t="s">
        <v>651</v>
      </c>
      <c r="Z216" s="3" t="s">
        <v>651</v>
      </c>
      <c r="AA216" s="3" t="s">
        <v>6</v>
      </c>
      <c r="AB216" s="223">
        <v>43374</v>
      </c>
      <c r="AC216" s="3" t="s">
        <v>6</v>
      </c>
      <c r="AD216" s="3" t="s">
        <v>10</v>
      </c>
      <c r="AE216" s="95" t="s">
        <v>2263</v>
      </c>
    </row>
    <row r="217" spans="1:31" x14ac:dyDescent="0.35">
      <c r="A217" s="3" t="s">
        <v>952</v>
      </c>
      <c r="B217" s="3" t="s">
        <v>570</v>
      </c>
      <c r="C217" s="3">
        <v>4</v>
      </c>
      <c r="D217" s="95" t="s">
        <v>3120</v>
      </c>
      <c r="E217" s="95" t="s">
        <v>2332</v>
      </c>
      <c r="F217" s="95" t="s">
        <v>2333</v>
      </c>
      <c r="G217" s="223">
        <v>44896</v>
      </c>
      <c r="H217" s="223">
        <v>44896</v>
      </c>
      <c r="I217" s="223">
        <v>46721</v>
      </c>
      <c r="J217" s="3">
        <v>10</v>
      </c>
      <c r="K217" s="3" t="s">
        <v>10</v>
      </c>
      <c r="L217" s="3" t="s">
        <v>10</v>
      </c>
      <c r="M217" s="95" t="s">
        <v>105</v>
      </c>
      <c r="N217" s="3" t="s">
        <v>106</v>
      </c>
      <c r="O217" s="3" t="s">
        <v>651</v>
      </c>
      <c r="P217" s="3" t="s">
        <v>6</v>
      </c>
      <c r="Q217" s="3" t="s">
        <v>6</v>
      </c>
      <c r="R217" s="95" t="s">
        <v>652</v>
      </c>
      <c r="S217" s="223" t="s">
        <v>5</v>
      </c>
      <c r="T217" s="223" t="s">
        <v>5</v>
      </c>
      <c r="U217" s="223" t="s">
        <v>5</v>
      </c>
      <c r="V217" s="223" t="s">
        <v>5</v>
      </c>
      <c r="W217" s="223" t="s">
        <v>5</v>
      </c>
      <c r="X217" s="3" t="s">
        <v>5</v>
      </c>
      <c r="Y217" s="3" t="s">
        <v>651</v>
      </c>
      <c r="Z217" s="3" t="s">
        <v>651</v>
      </c>
      <c r="AA217" s="3" t="s">
        <v>6</v>
      </c>
      <c r="AB217" s="223">
        <v>43374</v>
      </c>
      <c r="AC217" s="3" t="s">
        <v>6</v>
      </c>
      <c r="AD217" s="3" t="s">
        <v>6</v>
      </c>
      <c r="AE217" s="95" t="s">
        <v>2265</v>
      </c>
    </row>
    <row r="218" spans="1:31" x14ac:dyDescent="0.35">
      <c r="A218" s="3" t="s">
        <v>953</v>
      </c>
      <c r="B218" s="3" t="s">
        <v>570</v>
      </c>
      <c r="C218" s="3">
        <v>4</v>
      </c>
      <c r="D218" s="95" t="s">
        <v>954</v>
      </c>
      <c r="E218" s="95" t="s">
        <v>2335</v>
      </c>
      <c r="F218" s="95" t="s">
        <v>4</v>
      </c>
      <c r="G218" s="223">
        <v>44564</v>
      </c>
      <c r="H218" s="223">
        <v>44564</v>
      </c>
      <c r="I218" s="223">
        <v>46389</v>
      </c>
      <c r="J218" s="3">
        <v>1</v>
      </c>
      <c r="K218" s="3" t="s">
        <v>10</v>
      </c>
      <c r="L218" s="3" t="s">
        <v>10</v>
      </c>
      <c r="M218" s="95" t="s">
        <v>2555</v>
      </c>
      <c r="N218" s="3" t="s">
        <v>52</v>
      </c>
      <c r="O218" s="3" t="s">
        <v>651</v>
      </c>
      <c r="P218" s="3" t="s">
        <v>6</v>
      </c>
      <c r="Q218" s="3" t="s">
        <v>6</v>
      </c>
      <c r="R218" s="95" t="s">
        <v>652</v>
      </c>
      <c r="S218" s="223" t="s">
        <v>5</v>
      </c>
      <c r="T218" s="223" t="s">
        <v>5</v>
      </c>
      <c r="U218" s="223" t="s">
        <v>5</v>
      </c>
      <c r="V218" s="223" t="s">
        <v>5</v>
      </c>
      <c r="W218" s="223" t="s">
        <v>5</v>
      </c>
      <c r="X218" s="3" t="s">
        <v>5</v>
      </c>
      <c r="Y218" s="3" t="s">
        <v>651</v>
      </c>
      <c r="Z218" s="3" t="s">
        <v>651</v>
      </c>
      <c r="AA218" s="3" t="s">
        <v>10</v>
      </c>
      <c r="AB218" s="223" t="s">
        <v>5</v>
      </c>
      <c r="AC218" s="3" t="s">
        <v>10</v>
      </c>
      <c r="AD218" s="3" t="s">
        <v>6</v>
      </c>
      <c r="AE218" s="95" t="s">
        <v>2265</v>
      </c>
    </row>
    <row r="219" spans="1:31" x14ac:dyDescent="0.35">
      <c r="A219" s="3" t="s">
        <v>955</v>
      </c>
      <c r="B219" s="3" t="s">
        <v>570</v>
      </c>
      <c r="C219" s="3">
        <v>4</v>
      </c>
      <c r="D219" s="95" t="s">
        <v>363</v>
      </c>
      <c r="E219" s="95" t="s">
        <v>2338</v>
      </c>
      <c r="F219" s="95" t="s">
        <v>2333</v>
      </c>
      <c r="G219" s="223">
        <v>44713</v>
      </c>
      <c r="H219" s="223">
        <v>44713</v>
      </c>
      <c r="I219" s="223">
        <v>46538</v>
      </c>
      <c r="J219" s="3">
        <v>2423</v>
      </c>
      <c r="K219" s="3" t="s">
        <v>10</v>
      </c>
      <c r="L219" s="3" t="s">
        <v>10</v>
      </c>
      <c r="M219" s="95" t="s">
        <v>27</v>
      </c>
      <c r="N219" s="3" t="s">
        <v>28</v>
      </c>
      <c r="O219" s="3" t="s">
        <v>651</v>
      </c>
      <c r="P219" s="3" t="s">
        <v>6</v>
      </c>
      <c r="Q219" s="3" t="s">
        <v>6</v>
      </c>
      <c r="R219" s="95" t="s">
        <v>652</v>
      </c>
      <c r="S219" s="223" t="s">
        <v>5</v>
      </c>
      <c r="T219" s="223" t="s">
        <v>5</v>
      </c>
      <c r="U219" s="223" t="s">
        <v>5</v>
      </c>
      <c r="V219" s="223" t="s">
        <v>5</v>
      </c>
      <c r="W219" s="223" t="s">
        <v>5</v>
      </c>
      <c r="X219" s="3" t="s">
        <v>5</v>
      </c>
      <c r="Y219" s="3" t="s">
        <v>651</v>
      </c>
      <c r="Z219" s="3" t="s">
        <v>651</v>
      </c>
      <c r="AA219" s="3" t="s">
        <v>6</v>
      </c>
      <c r="AB219" s="223">
        <v>43009</v>
      </c>
      <c r="AC219" s="3" t="s">
        <v>6</v>
      </c>
      <c r="AD219" s="3" t="s">
        <v>10</v>
      </c>
      <c r="AE219" s="95" t="s">
        <v>2263</v>
      </c>
    </row>
    <row r="220" spans="1:31" x14ac:dyDescent="0.35">
      <c r="A220" s="3" t="s">
        <v>956</v>
      </c>
      <c r="B220" s="3" t="s">
        <v>570</v>
      </c>
      <c r="C220" s="3">
        <v>4</v>
      </c>
      <c r="D220" s="95" t="s">
        <v>957</v>
      </c>
      <c r="E220" s="95" t="s">
        <v>2339</v>
      </c>
      <c r="F220" s="95" t="s">
        <v>2333</v>
      </c>
      <c r="G220" s="223">
        <v>45139</v>
      </c>
      <c r="H220" s="223">
        <v>45139</v>
      </c>
      <c r="I220" s="223">
        <v>46965</v>
      </c>
      <c r="J220" s="3">
        <v>3763</v>
      </c>
      <c r="K220" s="3" t="s">
        <v>10</v>
      </c>
      <c r="L220" s="3" t="s">
        <v>10</v>
      </c>
      <c r="M220" s="95" t="s">
        <v>23</v>
      </c>
      <c r="N220" s="3" t="s">
        <v>24</v>
      </c>
      <c r="O220" s="3" t="s">
        <v>651</v>
      </c>
      <c r="P220" s="3" t="s">
        <v>6</v>
      </c>
      <c r="Q220" s="3" t="s">
        <v>6</v>
      </c>
      <c r="R220" s="95" t="s">
        <v>652</v>
      </c>
      <c r="S220" s="223" t="s">
        <v>5</v>
      </c>
      <c r="T220" s="223" t="s">
        <v>5</v>
      </c>
      <c r="U220" s="223" t="s">
        <v>5</v>
      </c>
      <c r="V220" s="223" t="s">
        <v>5</v>
      </c>
      <c r="W220" s="223" t="s">
        <v>5</v>
      </c>
      <c r="X220" s="3" t="s">
        <v>5</v>
      </c>
      <c r="Y220" s="3" t="s">
        <v>651</v>
      </c>
      <c r="Z220" s="3" t="s">
        <v>651</v>
      </c>
      <c r="AA220" s="3" t="s">
        <v>6</v>
      </c>
      <c r="AB220" s="223">
        <v>43009</v>
      </c>
      <c r="AC220" s="3" t="s">
        <v>6</v>
      </c>
      <c r="AD220" s="3" t="s">
        <v>10</v>
      </c>
      <c r="AE220" s="95" t="s">
        <v>2263</v>
      </c>
    </row>
    <row r="221" spans="1:31" x14ac:dyDescent="0.35">
      <c r="A221" s="3" t="s">
        <v>958</v>
      </c>
      <c r="B221" s="3" t="s">
        <v>570</v>
      </c>
      <c r="C221" s="3">
        <v>4</v>
      </c>
      <c r="D221" s="95" t="s">
        <v>959</v>
      </c>
      <c r="E221" s="95" t="s">
        <v>2339</v>
      </c>
      <c r="F221" s="95" t="s">
        <v>2333</v>
      </c>
      <c r="G221" s="223">
        <v>45139</v>
      </c>
      <c r="H221" s="223">
        <v>45139</v>
      </c>
      <c r="I221" s="223">
        <v>46965</v>
      </c>
      <c r="J221" s="3">
        <v>3763</v>
      </c>
      <c r="K221" s="3" t="s">
        <v>10</v>
      </c>
      <c r="L221" s="3" t="s">
        <v>10</v>
      </c>
      <c r="M221" s="95" t="s">
        <v>23</v>
      </c>
      <c r="N221" s="3" t="s">
        <v>24</v>
      </c>
      <c r="O221" s="3" t="s">
        <v>651</v>
      </c>
      <c r="P221" s="3" t="s">
        <v>6</v>
      </c>
      <c r="Q221" s="3" t="s">
        <v>6</v>
      </c>
      <c r="R221" s="95" t="s">
        <v>652</v>
      </c>
      <c r="S221" s="223" t="s">
        <v>5</v>
      </c>
      <c r="T221" s="223" t="s">
        <v>5</v>
      </c>
      <c r="U221" s="223" t="s">
        <v>5</v>
      </c>
      <c r="V221" s="223" t="s">
        <v>5</v>
      </c>
      <c r="W221" s="223" t="s">
        <v>5</v>
      </c>
      <c r="X221" s="3" t="s">
        <v>5</v>
      </c>
      <c r="Y221" s="3" t="s">
        <v>651</v>
      </c>
      <c r="Z221" s="3" t="s">
        <v>651</v>
      </c>
      <c r="AA221" s="3" t="s">
        <v>6</v>
      </c>
      <c r="AB221" s="223">
        <v>43009</v>
      </c>
      <c r="AC221" s="3" t="s">
        <v>6</v>
      </c>
      <c r="AD221" s="3" t="s">
        <v>10</v>
      </c>
      <c r="AE221" s="95" t="s">
        <v>2263</v>
      </c>
    </row>
    <row r="222" spans="1:31" x14ac:dyDescent="0.35">
      <c r="A222" s="3" t="s">
        <v>960</v>
      </c>
      <c r="B222" s="3" t="s">
        <v>570</v>
      </c>
      <c r="C222" s="3">
        <v>4</v>
      </c>
      <c r="D222" s="95" t="s">
        <v>961</v>
      </c>
      <c r="E222" s="95" t="s">
        <v>2339</v>
      </c>
      <c r="F222" s="95" t="s">
        <v>2333</v>
      </c>
      <c r="G222" s="223">
        <v>45139</v>
      </c>
      <c r="H222" s="223">
        <v>45139</v>
      </c>
      <c r="I222" s="223">
        <v>46965</v>
      </c>
      <c r="J222" s="3">
        <v>3763</v>
      </c>
      <c r="K222" s="3" t="s">
        <v>10</v>
      </c>
      <c r="L222" s="3" t="s">
        <v>10</v>
      </c>
      <c r="M222" s="95" t="s">
        <v>23</v>
      </c>
      <c r="N222" s="3" t="s">
        <v>24</v>
      </c>
      <c r="O222" s="3" t="s">
        <v>651</v>
      </c>
      <c r="P222" s="3" t="s">
        <v>6</v>
      </c>
      <c r="Q222" s="3" t="s">
        <v>6</v>
      </c>
      <c r="R222" s="95" t="s">
        <v>652</v>
      </c>
      <c r="S222" s="223" t="s">
        <v>5</v>
      </c>
      <c r="T222" s="223" t="s">
        <v>5</v>
      </c>
      <c r="U222" s="223" t="s">
        <v>5</v>
      </c>
      <c r="V222" s="223" t="s">
        <v>5</v>
      </c>
      <c r="W222" s="223" t="s">
        <v>5</v>
      </c>
      <c r="X222" s="3" t="s">
        <v>5</v>
      </c>
      <c r="Y222" s="3" t="s">
        <v>651</v>
      </c>
      <c r="Z222" s="3" t="s">
        <v>651</v>
      </c>
      <c r="AA222" s="3" t="s">
        <v>6</v>
      </c>
      <c r="AB222" s="223">
        <v>43009</v>
      </c>
      <c r="AC222" s="3" t="s">
        <v>6</v>
      </c>
      <c r="AD222" s="3" t="s">
        <v>10</v>
      </c>
      <c r="AE222" s="95" t="s">
        <v>2263</v>
      </c>
    </row>
    <row r="223" spans="1:31" x14ac:dyDescent="0.35">
      <c r="A223" s="3" t="s">
        <v>87</v>
      </c>
      <c r="B223" s="3" t="s">
        <v>88</v>
      </c>
      <c r="C223" s="3">
        <v>4</v>
      </c>
      <c r="D223" s="95" t="s">
        <v>89</v>
      </c>
      <c r="E223" s="95" t="s">
        <v>90</v>
      </c>
      <c r="F223" s="95" t="s">
        <v>437</v>
      </c>
      <c r="G223" s="223">
        <v>45356</v>
      </c>
      <c r="H223" s="223">
        <v>45386</v>
      </c>
      <c r="I223" s="223">
        <v>47211</v>
      </c>
      <c r="J223" s="3">
        <v>28</v>
      </c>
      <c r="K223" s="3" t="s">
        <v>6</v>
      </c>
      <c r="L223" s="3" t="s">
        <v>6</v>
      </c>
      <c r="M223" s="95" t="s">
        <v>11</v>
      </c>
      <c r="N223" s="3" t="s">
        <v>7</v>
      </c>
      <c r="O223" s="3" t="s">
        <v>8</v>
      </c>
      <c r="P223" s="3" t="s">
        <v>6</v>
      </c>
      <c r="Q223" s="3" t="s">
        <v>6</v>
      </c>
      <c r="R223" s="95" t="s">
        <v>9</v>
      </c>
      <c r="S223" s="223">
        <v>43022</v>
      </c>
      <c r="T223" s="223">
        <v>43082</v>
      </c>
      <c r="U223" s="223">
        <v>43009</v>
      </c>
      <c r="V223" s="223">
        <v>43009</v>
      </c>
      <c r="W223" s="223" t="s">
        <v>6</v>
      </c>
      <c r="X223" s="3" t="s">
        <v>26</v>
      </c>
      <c r="Y223" s="3" t="s">
        <v>2113</v>
      </c>
      <c r="Z223" s="3" t="s">
        <v>7</v>
      </c>
      <c r="AA223" s="3" t="s">
        <v>6</v>
      </c>
      <c r="AB223" s="223">
        <v>43115</v>
      </c>
      <c r="AC223" s="3" t="s">
        <v>6</v>
      </c>
      <c r="AD223" s="3" t="s">
        <v>10</v>
      </c>
      <c r="AE223" s="95" t="s">
        <v>2265</v>
      </c>
    </row>
    <row r="224" spans="1:31" x14ac:dyDescent="0.35">
      <c r="A224" s="3" t="s">
        <v>91</v>
      </c>
      <c r="B224" s="3" t="s">
        <v>92</v>
      </c>
      <c r="C224" s="3">
        <v>6</v>
      </c>
      <c r="D224" s="95" t="s">
        <v>93</v>
      </c>
      <c r="E224" s="95" t="s">
        <v>94</v>
      </c>
      <c r="F224" s="95" t="s">
        <v>437</v>
      </c>
      <c r="G224" s="223">
        <v>45057</v>
      </c>
      <c r="H224" s="223">
        <v>45057</v>
      </c>
      <c r="I224" s="223">
        <v>46883</v>
      </c>
      <c r="J224" s="3">
        <v>10493</v>
      </c>
      <c r="K224" s="3" t="s">
        <v>6</v>
      </c>
      <c r="L224" s="3" t="s">
        <v>6</v>
      </c>
      <c r="M224" s="95" t="s">
        <v>11</v>
      </c>
      <c r="N224" s="3" t="s">
        <v>7</v>
      </c>
      <c r="O224" s="3" t="s">
        <v>8</v>
      </c>
      <c r="P224" s="3" t="s">
        <v>6</v>
      </c>
      <c r="Q224" s="3" t="s">
        <v>6</v>
      </c>
      <c r="R224" s="95" t="s">
        <v>9</v>
      </c>
      <c r="S224" s="223">
        <v>43752</v>
      </c>
      <c r="T224" s="223">
        <v>43812</v>
      </c>
      <c r="U224" s="223">
        <v>43009</v>
      </c>
      <c r="V224" s="223">
        <v>43009</v>
      </c>
      <c r="W224" s="223" t="s">
        <v>6</v>
      </c>
      <c r="X224" s="3" t="s">
        <v>26</v>
      </c>
      <c r="Y224" s="3" t="s">
        <v>2114</v>
      </c>
      <c r="Z224" s="3" t="s">
        <v>7</v>
      </c>
      <c r="AA224" s="3" t="s">
        <v>6</v>
      </c>
      <c r="AB224" s="223">
        <v>43007</v>
      </c>
      <c r="AC224" s="3" t="s">
        <v>6</v>
      </c>
      <c r="AD224" s="3" t="s">
        <v>10</v>
      </c>
      <c r="AE224" s="95" t="s">
        <v>2265</v>
      </c>
    </row>
    <row r="225" spans="1:31" x14ac:dyDescent="0.35">
      <c r="A225" s="3" t="s">
        <v>2741</v>
      </c>
      <c r="B225" s="3" t="s">
        <v>96</v>
      </c>
      <c r="C225" s="3">
        <v>9</v>
      </c>
      <c r="D225" s="95" t="s">
        <v>933</v>
      </c>
      <c r="E225" s="95" t="s">
        <v>2742</v>
      </c>
      <c r="F225" s="95" t="s">
        <v>4</v>
      </c>
      <c r="G225" s="223">
        <v>43496</v>
      </c>
      <c r="H225" s="223">
        <v>43556</v>
      </c>
      <c r="I225" s="223">
        <v>45382</v>
      </c>
      <c r="J225" s="3">
        <v>5</v>
      </c>
      <c r="K225" s="3" t="s">
        <v>6</v>
      </c>
      <c r="L225" s="3" t="s">
        <v>6</v>
      </c>
      <c r="M225" s="95" t="s">
        <v>933</v>
      </c>
      <c r="N225" s="3" t="s">
        <v>62</v>
      </c>
      <c r="O225" s="3" t="s">
        <v>56</v>
      </c>
      <c r="P225" s="3" t="s">
        <v>6</v>
      </c>
      <c r="Q225" s="3" t="s">
        <v>6</v>
      </c>
      <c r="R225" s="95" t="s">
        <v>9</v>
      </c>
      <c r="S225" s="223">
        <v>43815</v>
      </c>
      <c r="T225" s="223">
        <v>43875</v>
      </c>
      <c r="U225" s="223">
        <v>43794</v>
      </c>
      <c r="V225" s="223">
        <v>43794</v>
      </c>
      <c r="W225" s="223" t="s">
        <v>6</v>
      </c>
      <c r="X225" s="3" t="s">
        <v>51</v>
      </c>
      <c r="Y225" s="3" t="s">
        <v>2950</v>
      </c>
      <c r="Z225" s="3" t="s">
        <v>62</v>
      </c>
      <c r="AA225" s="3" t="s">
        <v>10</v>
      </c>
      <c r="AB225" s="223" t="s">
        <v>5</v>
      </c>
      <c r="AC225" s="3" t="s">
        <v>6</v>
      </c>
      <c r="AD225" s="3" t="s">
        <v>10</v>
      </c>
      <c r="AE225" s="95" t="s">
        <v>2265</v>
      </c>
    </row>
    <row r="226" spans="1:31" x14ac:dyDescent="0.35">
      <c r="A226" s="3" t="s">
        <v>95</v>
      </c>
      <c r="B226" s="3" t="s">
        <v>96</v>
      </c>
      <c r="C226" s="3">
        <v>9</v>
      </c>
      <c r="D226" s="95" t="s">
        <v>3145</v>
      </c>
      <c r="E226" s="95" t="s">
        <v>422</v>
      </c>
      <c r="F226" s="95" t="s">
        <v>437</v>
      </c>
      <c r="G226" s="223">
        <v>44455</v>
      </c>
      <c r="H226" s="223">
        <v>44500</v>
      </c>
      <c r="I226" s="223">
        <v>46326</v>
      </c>
      <c r="J226" s="3">
        <v>0</v>
      </c>
      <c r="K226" s="3" t="s">
        <v>6</v>
      </c>
      <c r="L226" s="3" t="s">
        <v>6</v>
      </c>
      <c r="M226" s="95" t="s">
        <v>19</v>
      </c>
      <c r="N226" s="3" t="s">
        <v>20</v>
      </c>
      <c r="O226" s="3" t="s">
        <v>21</v>
      </c>
      <c r="P226" s="3" t="s">
        <v>6</v>
      </c>
      <c r="Q226" s="3" t="s">
        <v>6</v>
      </c>
      <c r="R226" s="95" t="s">
        <v>22</v>
      </c>
      <c r="S226" s="223">
        <v>43675</v>
      </c>
      <c r="T226" s="223">
        <v>43756</v>
      </c>
      <c r="U226" s="223">
        <v>43647</v>
      </c>
      <c r="V226" s="223">
        <v>43647</v>
      </c>
      <c r="W226" s="223" t="s">
        <v>6</v>
      </c>
      <c r="X226" s="3" t="s">
        <v>26</v>
      </c>
      <c r="Y226" s="3" t="s">
        <v>2116</v>
      </c>
      <c r="Z226" s="3" t="s">
        <v>20</v>
      </c>
      <c r="AA226" s="3" t="s">
        <v>6</v>
      </c>
      <c r="AB226" s="223">
        <v>44442</v>
      </c>
      <c r="AC226" s="3" t="s">
        <v>10</v>
      </c>
      <c r="AD226" s="3" t="s">
        <v>10</v>
      </c>
      <c r="AE226" s="95" t="s">
        <v>2263</v>
      </c>
    </row>
    <row r="227" spans="1:31" x14ac:dyDescent="0.35">
      <c r="A227" s="3" t="s">
        <v>97</v>
      </c>
      <c r="B227" s="3" t="s">
        <v>96</v>
      </c>
      <c r="C227" s="3">
        <v>9</v>
      </c>
      <c r="D227" s="95" t="s">
        <v>98</v>
      </c>
      <c r="E227" s="95" t="s">
        <v>2272</v>
      </c>
      <c r="F227" s="95" t="s">
        <v>437</v>
      </c>
      <c r="G227" s="223">
        <v>44211</v>
      </c>
      <c r="H227" s="223">
        <v>44256</v>
      </c>
      <c r="I227" s="223">
        <v>46081</v>
      </c>
      <c r="J227" s="3">
        <v>15</v>
      </c>
      <c r="K227" s="3" t="s">
        <v>6</v>
      </c>
      <c r="L227" s="3" t="s">
        <v>6</v>
      </c>
      <c r="M227" s="95" t="s">
        <v>27</v>
      </c>
      <c r="N227" s="3" t="s">
        <v>28</v>
      </c>
      <c r="O227" s="3" t="s">
        <v>25</v>
      </c>
      <c r="P227" s="3" t="s">
        <v>6</v>
      </c>
      <c r="Q227" s="3" t="s">
        <v>6</v>
      </c>
      <c r="R227" s="95" t="s">
        <v>22</v>
      </c>
      <c r="S227" s="223">
        <v>43374</v>
      </c>
      <c r="T227" s="223">
        <v>43553</v>
      </c>
      <c r="U227" s="223">
        <v>43009</v>
      </c>
      <c r="V227" s="223">
        <v>43009</v>
      </c>
      <c r="W227" s="223" t="s">
        <v>6</v>
      </c>
      <c r="X227" s="3" t="s">
        <v>26</v>
      </c>
      <c r="Y227" s="3" t="s">
        <v>2100</v>
      </c>
      <c r="Z227" s="3" t="s">
        <v>28</v>
      </c>
      <c r="AA227" s="3" t="s">
        <v>6</v>
      </c>
      <c r="AB227" s="223">
        <v>42159</v>
      </c>
      <c r="AC227" s="3" t="s">
        <v>6</v>
      </c>
      <c r="AD227" s="3" t="s">
        <v>10</v>
      </c>
      <c r="AE227" s="95" t="s">
        <v>2263</v>
      </c>
    </row>
    <row r="228" spans="1:31" x14ac:dyDescent="0.35">
      <c r="A228" s="3" t="s">
        <v>99</v>
      </c>
      <c r="B228" s="3" t="s">
        <v>96</v>
      </c>
      <c r="C228" s="3">
        <v>9</v>
      </c>
      <c r="D228" s="95" t="s">
        <v>1937</v>
      </c>
      <c r="E228" s="95" t="s">
        <v>1912</v>
      </c>
      <c r="F228" s="95" t="s">
        <v>437</v>
      </c>
      <c r="G228" s="223">
        <v>44609</v>
      </c>
      <c r="H228" s="223">
        <v>44609</v>
      </c>
      <c r="I228" s="223">
        <v>46434</v>
      </c>
      <c r="J228" s="3">
        <v>72</v>
      </c>
      <c r="K228" s="3" t="s">
        <v>6</v>
      </c>
      <c r="L228" s="3" t="s">
        <v>6</v>
      </c>
      <c r="M228" s="95" t="s">
        <v>23</v>
      </c>
      <c r="N228" s="3" t="s">
        <v>24</v>
      </c>
      <c r="O228" s="3" t="s">
        <v>25</v>
      </c>
      <c r="P228" s="3" t="s">
        <v>6</v>
      </c>
      <c r="Q228" s="3" t="s">
        <v>6</v>
      </c>
      <c r="R228" s="95" t="s">
        <v>22</v>
      </c>
      <c r="S228" s="223">
        <v>43374</v>
      </c>
      <c r="T228" s="223">
        <v>43497</v>
      </c>
      <c r="U228" s="223">
        <v>42644</v>
      </c>
      <c r="V228" s="223">
        <v>42644</v>
      </c>
      <c r="W228" s="223" t="s">
        <v>6</v>
      </c>
      <c r="X228" s="3" t="s">
        <v>26</v>
      </c>
      <c r="Y228" s="3" t="s">
        <v>2093</v>
      </c>
      <c r="Z228" s="3" t="s">
        <v>24</v>
      </c>
      <c r="AA228" s="3" t="s">
        <v>6</v>
      </c>
      <c r="AB228" s="223">
        <v>42782</v>
      </c>
      <c r="AC228" s="3" t="s">
        <v>10</v>
      </c>
      <c r="AD228" s="3" t="s">
        <v>10</v>
      </c>
      <c r="AE228" s="95" t="s">
        <v>2263</v>
      </c>
    </row>
    <row r="229" spans="1:31" x14ac:dyDescent="0.35">
      <c r="A229" s="3" t="s">
        <v>964</v>
      </c>
      <c r="B229" s="3" t="s">
        <v>573</v>
      </c>
      <c r="C229" s="3">
        <v>9</v>
      </c>
      <c r="D229" s="95" t="s">
        <v>2340</v>
      </c>
      <c r="E229" s="95" t="s">
        <v>3008</v>
      </c>
      <c r="F229" s="95" t="s">
        <v>4</v>
      </c>
      <c r="G229" s="223">
        <v>44576</v>
      </c>
      <c r="H229" s="223">
        <v>44576</v>
      </c>
      <c r="I229" s="223">
        <v>46401</v>
      </c>
      <c r="J229" s="3">
        <v>2</v>
      </c>
      <c r="K229" s="3" t="s">
        <v>10</v>
      </c>
      <c r="L229" s="3" t="s">
        <v>10</v>
      </c>
      <c r="M229" s="95" t="s">
        <v>173</v>
      </c>
      <c r="N229" s="3" t="s">
        <v>174</v>
      </c>
      <c r="O229" s="3" t="s">
        <v>651</v>
      </c>
      <c r="P229" s="3" t="s">
        <v>6</v>
      </c>
      <c r="Q229" s="3" t="s">
        <v>6</v>
      </c>
      <c r="R229" s="95" t="s">
        <v>652</v>
      </c>
      <c r="S229" s="223" t="s">
        <v>5</v>
      </c>
      <c r="T229" s="223" t="s">
        <v>5</v>
      </c>
      <c r="U229" s="223" t="s">
        <v>5</v>
      </c>
      <c r="V229" s="223" t="s">
        <v>5</v>
      </c>
      <c r="W229" s="223" t="s">
        <v>5</v>
      </c>
      <c r="X229" s="3" t="s">
        <v>5</v>
      </c>
      <c r="Y229" s="3" t="s">
        <v>651</v>
      </c>
      <c r="Z229" s="3" t="s">
        <v>651</v>
      </c>
      <c r="AA229" s="3" t="s">
        <v>10</v>
      </c>
      <c r="AB229" s="223" t="s">
        <v>5</v>
      </c>
      <c r="AC229" s="3" t="s">
        <v>6</v>
      </c>
      <c r="AD229" s="3" t="s">
        <v>10</v>
      </c>
      <c r="AE229" s="95" t="s">
        <v>2263</v>
      </c>
    </row>
    <row r="230" spans="1:31" x14ac:dyDescent="0.35">
      <c r="A230" s="3" t="s">
        <v>965</v>
      </c>
      <c r="B230" s="3" t="s">
        <v>573</v>
      </c>
      <c r="C230" s="3">
        <v>9</v>
      </c>
      <c r="D230" s="95" t="s">
        <v>966</v>
      </c>
      <c r="E230" s="95" t="s">
        <v>3009</v>
      </c>
      <c r="F230" s="95" t="s">
        <v>4</v>
      </c>
      <c r="G230" s="223">
        <v>44576</v>
      </c>
      <c r="H230" s="223">
        <v>44576</v>
      </c>
      <c r="I230" s="223">
        <v>46401</v>
      </c>
      <c r="J230" s="3">
        <v>59</v>
      </c>
      <c r="K230" s="3" t="s">
        <v>10</v>
      </c>
      <c r="L230" s="3" t="s">
        <v>10</v>
      </c>
      <c r="M230" s="95" t="s">
        <v>136</v>
      </c>
      <c r="N230" s="3" t="s">
        <v>138</v>
      </c>
      <c r="O230" s="3" t="s">
        <v>651</v>
      </c>
      <c r="P230" s="3" t="s">
        <v>6</v>
      </c>
      <c r="Q230" s="3" t="s">
        <v>6</v>
      </c>
      <c r="R230" s="95" t="s">
        <v>652</v>
      </c>
      <c r="S230" s="223" t="s">
        <v>5</v>
      </c>
      <c r="T230" s="223" t="s">
        <v>5</v>
      </c>
      <c r="U230" s="223" t="s">
        <v>5</v>
      </c>
      <c r="V230" s="223" t="s">
        <v>5</v>
      </c>
      <c r="W230" s="223" t="s">
        <v>5</v>
      </c>
      <c r="X230" s="3" t="s">
        <v>5</v>
      </c>
      <c r="Y230" s="3" t="s">
        <v>651</v>
      </c>
      <c r="Z230" s="3" t="s">
        <v>651</v>
      </c>
      <c r="AA230" s="3" t="s">
        <v>10</v>
      </c>
      <c r="AB230" s="223" t="s">
        <v>5</v>
      </c>
      <c r="AC230" s="3" t="s">
        <v>6</v>
      </c>
      <c r="AD230" s="3" t="s">
        <v>10</v>
      </c>
      <c r="AE230" s="95" t="s">
        <v>2263</v>
      </c>
    </row>
    <row r="231" spans="1:31" x14ac:dyDescent="0.35">
      <c r="A231" s="3" t="s">
        <v>967</v>
      </c>
      <c r="B231" s="3" t="s">
        <v>573</v>
      </c>
      <c r="C231" s="3">
        <v>9</v>
      </c>
      <c r="D231" s="95" t="s">
        <v>968</v>
      </c>
      <c r="E231" s="95" t="s">
        <v>3010</v>
      </c>
      <c r="F231" s="95" t="s">
        <v>4</v>
      </c>
      <c r="G231" s="223">
        <v>45103</v>
      </c>
      <c r="H231" s="223">
        <v>45103</v>
      </c>
      <c r="I231" s="223">
        <v>46929</v>
      </c>
      <c r="J231" s="3">
        <v>3</v>
      </c>
      <c r="K231" s="3" t="s">
        <v>10</v>
      </c>
      <c r="L231" s="3" t="s">
        <v>10</v>
      </c>
      <c r="M231" s="95" t="s">
        <v>933</v>
      </c>
      <c r="N231" s="3" t="s">
        <v>68</v>
      </c>
      <c r="O231" s="3" t="s">
        <v>651</v>
      </c>
      <c r="P231" s="3" t="s">
        <v>6</v>
      </c>
      <c r="Q231" s="3" t="s">
        <v>6</v>
      </c>
      <c r="R231" s="95" t="s">
        <v>652</v>
      </c>
      <c r="S231" s="223" t="s">
        <v>5</v>
      </c>
      <c r="T231" s="223" t="s">
        <v>5</v>
      </c>
      <c r="U231" s="223" t="s">
        <v>5</v>
      </c>
      <c r="V231" s="223" t="s">
        <v>5</v>
      </c>
      <c r="W231" s="223" t="s">
        <v>5</v>
      </c>
      <c r="X231" s="3" t="s">
        <v>5</v>
      </c>
      <c r="Y231" s="3" t="s">
        <v>651</v>
      </c>
      <c r="Z231" s="3" t="s">
        <v>651</v>
      </c>
      <c r="AA231" s="3" t="s">
        <v>10</v>
      </c>
      <c r="AB231" s="223" t="s">
        <v>5</v>
      </c>
      <c r="AC231" s="3" t="s">
        <v>10</v>
      </c>
      <c r="AD231" s="3" t="s">
        <v>10</v>
      </c>
      <c r="AE231" s="95" t="s">
        <v>2263</v>
      </c>
    </row>
    <row r="232" spans="1:31" x14ac:dyDescent="0.35">
      <c r="A232" s="3" t="s">
        <v>969</v>
      </c>
      <c r="B232" s="3" t="s">
        <v>573</v>
      </c>
      <c r="C232" s="3">
        <v>9</v>
      </c>
      <c r="D232" s="95" t="s">
        <v>970</v>
      </c>
      <c r="E232" s="95" t="s">
        <v>3011</v>
      </c>
      <c r="F232" s="95" t="s">
        <v>4</v>
      </c>
      <c r="G232" s="223">
        <v>43495</v>
      </c>
      <c r="H232" s="223">
        <v>43505</v>
      </c>
      <c r="I232" s="223">
        <v>45330</v>
      </c>
      <c r="J232" s="3">
        <v>0</v>
      </c>
      <c r="K232" s="3" t="s">
        <v>10</v>
      </c>
      <c r="L232" s="3" t="s">
        <v>10</v>
      </c>
      <c r="M232" s="95" t="s">
        <v>54</v>
      </c>
      <c r="N232" s="3" t="s">
        <v>62</v>
      </c>
      <c r="O232" s="3" t="s">
        <v>651</v>
      </c>
      <c r="P232" s="3" t="s">
        <v>6</v>
      </c>
      <c r="Q232" s="3" t="s">
        <v>6</v>
      </c>
      <c r="R232" s="95" t="s">
        <v>652</v>
      </c>
      <c r="S232" s="223" t="s">
        <v>5</v>
      </c>
      <c r="T232" s="223" t="s">
        <v>5</v>
      </c>
      <c r="U232" s="223" t="s">
        <v>5</v>
      </c>
      <c r="V232" s="223" t="s">
        <v>5</v>
      </c>
      <c r="W232" s="223" t="s">
        <v>5</v>
      </c>
      <c r="X232" s="3" t="s">
        <v>5</v>
      </c>
      <c r="Y232" s="3" t="s">
        <v>651</v>
      </c>
      <c r="Z232" s="3" t="s">
        <v>651</v>
      </c>
      <c r="AA232" s="3" t="s">
        <v>10</v>
      </c>
      <c r="AB232" s="223" t="s">
        <v>5</v>
      </c>
      <c r="AC232" s="3" t="s">
        <v>10</v>
      </c>
      <c r="AD232" s="3" t="s">
        <v>10</v>
      </c>
      <c r="AE232" s="95" t="s">
        <v>2263</v>
      </c>
    </row>
    <row r="233" spans="1:31" x14ac:dyDescent="0.35">
      <c r="A233" s="3" t="s">
        <v>971</v>
      </c>
      <c r="B233" s="3" t="s">
        <v>573</v>
      </c>
      <c r="C233" s="3">
        <v>9</v>
      </c>
      <c r="D233" s="95" t="s">
        <v>972</v>
      </c>
      <c r="E233" s="95" t="s">
        <v>3012</v>
      </c>
      <c r="F233" s="95" t="s">
        <v>4</v>
      </c>
      <c r="G233" s="223">
        <v>44576</v>
      </c>
      <c r="H233" s="223">
        <v>44576</v>
      </c>
      <c r="I233" s="223">
        <v>46401</v>
      </c>
      <c r="J233" s="3">
        <v>15</v>
      </c>
      <c r="K233" s="3" t="s">
        <v>10</v>
      </c>
      <c r="L233" s="3" t="s">
        <v>10</v>
      </c>
      <c r="M233" s="95" t="s">
        <v>169</v>
      </c>
      <c r="N233" s="3" t="s">
        <v>170</v>
      </c>
      <c r="O233" s="3" t="s">
        <v>651</v>
      </c>
      <c r="P233" s="3" t="s">
        <v>6</v>
      </c>
      <c r="Q233" s="3" t="s">
        <v>6</v>
      </c>
      <c r="R233" s="95" t="s">
        <v>652</v>
      </c>
      <c r="S233" s="223" t="s">
        <v>5</v>
      </c>
      <c r="T233" s="223" t="s">
        <v>5</v>
      </c>
      <c r="U233" s="223" t="s">
        <v>5</v>
      </c>
      <c r="V233" s="223" t="s">
        <v>5</v>
      </c>
      <c r="W233" s="223" t="s">
        <v>5</v>
      </c>
      <c r="X233" s="3" t="s">
        <v>5</v>
      </c>
      <c r="Y233" s="3" t="s">
        <v>651</v>
      </c>
      <c r="Z233" s="3" t="s">
        <v>651</v>
      </c>
      <c r="AA233" s="3" t="s">
        <v>10</v>
      </c>
      <c r="AB233" s="223" t="s">
        <v>5</v>
      </c>
      <c r="AC233" s="3" t="s">
        <v>10</v>
      </c>
      <c r="AD233" s="3" t="s">
        <v>10</v>
      </c>
      <c r="AE233" s="95" t="s">
        <v>2263</v>
      </c>
    </row>
    <row r="234" spans="1:31" x14ac:dyDescent="0.35">
      <c r="A234" s="3" t="s">
        <v>973</v>
      </c>
      <c r="B234" s="3" t="s">
        <v>573</v>
      </c>
      <c r="C234" s="3">
        <v>9</v>
      </c>
      <c r="D234" s="95" t="s">
        <v>974</v>
      </c>
      <c r="E234" s="95" t="s">
        <v>3013</v>
      </c>
      <c r="F234" s="95" t="s">
        <v>4</v>
      </c>
      <c r="G234" s="223">
        <v>45103</v>
      </c>
      <c r="H234" s="223">
        <v>45103</v>
      </c>
      <c r="I234" s="223">
        <v>46929</v>
      </c>
      <c r="J234" s="3">
        <v>2</v>
      </c>
      <c r="K234" s="3" t="s">
        <v>10</v>
      </c>
      <c r="L234" s="3" t="s">
        <v>10</v>
      </c>
      <c r="M234" s="95" t="s">
        <v>201</v>
      </c>
      <c r="N234" s="3" t="s">
        <v>68</v>
      </c>
      <c r="O234" s="3" t="s">
        <v>651</v>
      </c>
      <c r="P234" s="3" t="s">
        <v>6</v>
      </c>
      <c r="Q234" s="3" t="s">
        <v>6</v>
      </c>
      <c r="R234" s="95" t="s">
        <v>652</v>
      </c>
      <c r="S234" s="223" t="s">
        <v>5</v>
      </c>
      <c r="T234" s="223" t="s">
        <v>5</v>
      </c>
      <c r="U234" s="223" t="s">
        <v>5</v>
      </c>
      <c r="V234" s="223" t="s">
        <v>5</v>
      </c>
      <c r="W234" s="223" t="s">
        <v>5</v>
      </c>
      <c r="X234" s="3" t="s">
        <v>5</v>
      </c>
      <c r="Y234" s="3" t="s">
        <v>651</v>
      </c>
      <c r="Z234" s="3" t="s">
        <v>651</v>
      </c>
      <c r="AA234" s="3" t="s">
        <v>10</v>
      </c>
      <c r="AB234" s="223" t="s">
        <v>5</v>
      </c>
      <c r="AC234" s="3" t="s">
        <v>10</v>
      </c>
      <c r="AD234" s="3" t="s">
        <v>10</v>
      </c>
      <c r="AE234" s="95" t="s">
        <v>2263</v>
      </c>
    </row>
    <row r="235" spans="1:31" x14ac:dyDescent="0.35">
      <c r="A235" s="3" t="s">
        <v>975</v>
      </c>
      <c r="B235" s="3" t="s">
        <v>573</v>
      </c>
      <c r="C235" s="3">
        <v>9</v>
      </c>
      <c r="D235" s="95" t="s">
        <v>2341</v>
      </c>
      <c r="E235" s="95" t="s">
        <v>3014</v>
      </c>
      <c r="F235" s="95" t="s">
        <v>4</v>
      </c>
      <c r="G235" s="223">
        <v>45103</v>
      </c>
      <c r="H235" s="223">
        <v>45103</v>
      </c>
      <c r="I235" s="223">
        <v>46929</v>
      </c>
      <c r="J235" s="3">
        <v>0</v>
      </c>
      <c r="K235" s="3" t="s">
        <v>10</v>
      </c>
      <c r="L235" s="3" t="s">
        <v>10</v>
      </c>
      <c r="M235" s="95" t="s">
        <v>60</v>
      </c>
      <c r="N235" s="3" t="s">
        <v>62</v>
      </c>
      <c r="O235" s="3" t="s">
        <v>651</v>
      </c>
      <c r="P235" s="3" t="s">
        <v>6</v>
      </c>
      <c r="Q235" s="3" t="s">
        <v>6</v>
      </c>
      <c r="R235" s="95" t="s">
        <v>652</v>
      </c>
      <c r="S235" s="223" t="s">
        <v>5</v>
      </c>
      <c r="T235" s="223" t="s">
        <v>5</v>
      </c>
      <c r="U235" s="223" t="s">
        <v>5</v>
      </c>
      <c r="V235" s="223" t="s">
        <v>5</v>
      </c>
      <c r="W235" s="223" t="s">
        <v>5</v>
      </c>
      <c r="X235" s="3" t="s">
        <v>5</v>
      </c>
      <c r="Y235" s="3" t="s">
        <v>651</v>
      </c>
      <c r="Z235" s="3" t="s">
        <v>651</v>
      </c>
      <c r="AA235" s="3" t="s">
        <v>10</v>
      </c>
      <c r="AB235" s="223" t="s">
        <v>5</v>
      </c>
      <c r="AC235" s="3" t="s">
        <v>10</v>
      </c>
      <c r="AD235" s="3" t="s">
        <v>10</v>
      </c>
      <c r="AE235" s="95" t="s">
        <v>2263</v>
      </c>
    </row>
    <row r="236" spans="1:31" x14ac:dyDescent="0.35">
      <c r="A236" s="3" t="s">
        <v>976</v>
      </c>
      <c r="B236" s="3" t="s">
        <v>573</v>
      </c>
      <c r="C236" s="3">
        <v>9</v>
      </c>
      <c r="D236" s="95" t="s">
        <v>977</v>
      </c>
      <c r="E236" s="95" t="s">
        <v>3015</v>
      </c>
      <c r="F236" s="95" t="s">
        <v>4</v>
      </c>
      <c r="G236" s="223">
        <v>43495</v>
      </c>
      <c r="H236" s="223">
        <v>43505</v>
      </c>
      <c r="I236" s="223">
        <v>45330</v>
      </c>
      <c r="J236" s="3">
        <v>3</v>
      </c>
      <c r="K236" s="3" t="s">
        <v>10</v>
      </c>
      <c r="L236" s="3" t="s">
        <v>10</v>
      </c>
      <c r="M236" s="95" t="s">
        <v>60</v>
      </c>
      <c r="N236" s="3" t="s">
        <v>351</v>
      </c>
      <c r="O236" s="3" t="s">
        <v>651</v>
      </c>
      <c r="P236" s="3" t="s">
        <v>6</v>
      </c>
      <c r="Q236" s="3" t="s">
        <v>6</v>
      </c>
      <c r="R236" s="95" t="s">
        <v>652</v>
      </c>
      <c r="S236" s="223" t="s">
        <v>5</v>
      </c>
      <c r="T236" s="223" t="s">
        <v>5</v>
      </c>
      <c r="U236" s="223" t="s">
        <v>5</v>
      </c>
      <c r="V236" s="223" t="s">
        <v>5</v>
      </c>
      <c r="W236" s="223" t="s">
        <v>5</v>
      </c>
      <c r="X236" s="3" t="s">
        <v>5</v>
      </c>
      <c r="Y236" s="3" t="s">
        <v>651</v>
      </c>
      <c r="Z236" s="3" t="s">
        <v>651</v>
      </c>
      <c r="AA236" s="3" t="s">
        <v>10</v>
      </c>
      <c r="AB236" s="223" t="s">
        <v>5</v>
      </c>
      <c r="AC236" s="3" t="s">
        <v>6</v>
      </c>
      <c r="AD236" s="3" t="s">
        <v>10</v>
      </c>
      <c r="AE236" s="95" t="s">
        <v>2265</v>
      </c>
    </row>
    <row r="237" spans="1:31" x14ac:dyDescent="0.35">
      <c r="A237" s="3" t="s">
        <v>978</v>
      </c>
      <c r="B237" s="3" t="s">
        <v>573</v>
      </c>
      <c r="C237" s="3">
        <v>9</v>
      </c>
      <c r="D237" s="95" t="s">
        <v>979</v>
      </c>
      <c r="E237" s="95" t="s">
        <v>3016</v>
      </c>
      <c r="F237" s="95" t="s">
        <v>4</v>
      </c>
      <c r="G237" s="223">
        <v>45103</v>
      </c>
      <c r="H237" s="223">
        <v>45103</v>
      </c>
      <c r="I237" s="223">
        <v>46929</v>
      </c>
      <c r="J237" s="3">
        <v>18</v>
      </c>
      <c r="K237" s="3" t="s">
        <v>10</v>
      </c>
      <c r="L237" s="3" t="s">
        <v>10</v>
      </c>
      <c r="M237" s="95" t="s">
        <v>19</v>
      </c>
      <c r="N237" s="3" t="s">
        <v>20</v>
      </c>
      <c r="O237" s="3" t="s">
        <v>651</v>
      </c>
      <c r="P237" s="3" t="s">
        <v>6</v>
      </c>
      <c r="Q237" s="3" t="s">
        <v>6</v>
      </c>
      <c r="R237" s="95" t="s">
        <v>652</v>
      </c>
      <c r="S237" s="223" t="s">
        <v>5</v>
      </c>
      <c r="T237" s="223" t="s">
        <v>5</v>
      </c>
      <c r="U237" s="223" t="s">
        <v>5</v>
      </c>
      <c r="V237" s="223" t="s">
        <v>5</v>
      </c>
      <c r="W237" s="223" t="s">
        <v>5</v>
      </c>
      <c r="X237" s="3" t="s">
        <v>5</v>
      </c>
      <c r="Y237" s="3" t="s">
        <v>651</v>
      </c>
      <c r="Z237" s="3" t="s">
        <v>651</v>
      </c>
      <c r="AA237" s="3" t="s">
        <v>10</v>
      </c>
      <c r="AB237" s="223" t="s">
        <v>5</v>
      </c>
      <c r="AC237" s="3" t="s">
        <v>10</v>
      </c>
      <c r="AD237" s="3" t="s">
        <v>10</v>
      </c>
      <c r="AE237" s="95" t="s">
        <v>2263</v>
      </c>
    </row>
    <row r="238" spans="1:31" x14ac:dyDescent="0.35">
      <c r="A238" s="3" t="s">
        <v>980</v>
      </c>
      <c r="B238" s="3" t="s">
        <v>573</v>
      </c>
      <c r="C238" s="3">
        <v>9</v>
      </c>
      <c r="D238" s="95" t="s">
        <v>981</v>
      </c>
      <c r="E238" s="95" t="s">
        <v>3017</v>
      </c>
      <c r="F238" s="95" t="s">
        <v>4</v>
      </c>
      <c r="G238" s="223">
        <v>44576</v>
      </c>
      <c r="H238" s="223">
        <v>44576</v>
      </c>
      <c r="I238" s="223">
        <v>46401</v>
      </c>
      <c r="J238" s="3">
        <v>142</v>
      </c>
      <c r="K238" s="3" t="s">
        <v>10</v>
      </c>
      <c r="L238" s="3" t="s">
        <v>10</v>
      </c>
      <c r="M238" s="95" t="s">
        <v>27</v>
      </c>
      <c r="N238" s="3" t="s">
        <v>28</v>
      </c>
      <c r="O238" s="3" t="s">
        <v>651</v>
      </c>
      <c r="P238" s="3" t="s">
        <v>6</v>
      </c>
      <c r="Q238" s="3" t="s">
        <v>6</v>
      </c>
      <c r="R238" s="95" t="s">
        <v>652</v>
      </c>
      <c r="S238" s="223" t="s">
        <v>5</v>
      </c>
      <c r="T238" s="223" t="s">
        <v>5</v>
      </c>
      <c r="U238" s="223" t="s">
        <v>5</v>
      </c>
      <c r="V238" s="223" t="s">
        <v>5</v>
      </c>
      <c r="W238" s="223" t="s">
        <v>5</v>
      </c>
      <c r="X238" s="3" t="s">
        <v>5</v>
      </c>
      <c r="Y238" s="3" t="s">
        <v>651</v>
      </c>
      <c r="Z238" s="3" t="s">
        <v>651</v>
      </c>
      <c r="AA238" s="3" t="s">
        <v>10</v>
      </c>
      <c r="AB238" s="223" t="s">
        <v>5</v>
      </c>
      <c r="AC238" s="3" t="s">
        <v>6</v>
      </c>
      <c r="AD238" s="3" t="s">
        <v>10</v>
      </c>
      <c r="AE238" s="95" t="s">
        <v>2265</v>
      </c>
    </row>
    <row r="239" spans="1:31" x14ac:dyDescent="0.35">
      <c r="A239" s="3" t="s">
        <v>982</v>
      </c>
      <c r="B239" s="3" t="s">
        <v>573</v>
      </c>
      <c r="C239" s="3">
        <v>9</v>
      </c>
      <c r="D239" s="95" t="s">
        <v>983</v>
      </c>
      <c r="E239" s="95" t="s">
        <v>3018</v>
      </c>
      <c r="F239" s="95" t="s">
        <v>4</v>
      </c>
      <c r="G239" s="223">
        <v>44576</v>
      </c>
      <c r="H239" s="223">
        <v>44576</v>
      </c>
      <c r="I239" s="223">
        <v>46401</v>
      </c>
      <c r="J239" s="3">
        <v>18</v>
      </c>
      <c r="K239" s="3" t="s">
        <v>10</v>
      </c>
      <c r="L239" s="3" t="s">
        <v>10</v>
      </c>
      <c r="M239" s="95" t="s">
        <v>2555</v>
      </c>
      <c r="N239" s="3" t="s">
        <v>52</v>
      </c>
      <c r="O239" s="3" t="s">
        <v>651</v>
      </c>
      <c r="P239" s="3" t="s">
        <v>6</v>
      </c>
      <c r="Q239" s="3" t="s">
        <v>6</v>
      </c>
      <c r="R239" s="95" t="s">
        <v>652</v>
      </c>
      <c r="S239" s="223" t="s">
        <v>5</v>
      </c>
      <c r="T239" s="223" t="s">
        <v>5</v>
      </c>
      <c r="U239" s="223" t="s">
        <v>5</v>
      </c>
      <c r="V239" s="223" t="s">
        <v>5</v>
      </c>
      <c r="W239" s="223" t="s">
        <v>5</v>
      </c>
      <c r="X239" s="3" t="s">
        <v>5</v>
      </c>
      <c r="Y239" s="3" t="s">
        <v>651</v>
      </c>
      <c r="Z239" s="3" t="s">
        <v>651</v>
      </c>
      <c r="AA239" s="3" t="s">
        <v>10</v>
      </c>
      <c r="AB239" s="223" t="s">
        <v>5</v>
      </c>
      <c r="AC239" s="3" t="s">
        <v>10</v>
      </c>
      <c r="AD239" s="3" t="s">
        <v>6</v>
      </c>
      <c r="AE239" s="95" t="s">
        <v>2263</v>
      </c>
    </row>
    <row r="240" spans="1:31" x14ac:dyDescent="0.35">
      <c r="A240" s="3" t="s">
        <v>984</v>
      </c>
      <c r="B240" s="3" t="s">
        <v>573</v>
      </c>
      <c r="C240" s="3">
        <v>9</v>
      </c>
      <c r="D240" s="95" t="s">
        <v>985</v>
      </c>
      <c r="E240" s="95" t="s">
        <v>3019</v>
      </c>
      <c r="F240" s="95" t="s">
        <v>4</v>
      </c>
      <c r="G240" s="223">
        <v>43495</v>
      </c>
      <c r="H240" s="223">
        <v>43505</v>
      </c>
      <c r="I240" s="223">
        <v>45330</v>
      </c>
      <c r="J240" s="3">
        <v>1098</v>
      </c>
      <c r="K240" s="3" t="s">
        <v>10</v>
      </c>
      <c r="L240" s="3" t="s">
        <v>10</v>
      </c>
      <c r="M240" s="95" t="s">
        <v>23</v>
      </c>
      <c r="N240" s="3" t="s">
        <v>24</v>
      </c>
      <c r="O240" s="3" t="s">
        <v>651</v>
      </c>
      <c r="P240" s="3" t="s">
        <v>6</v>
      </c>
      <c r="Q240" s="3" t="s">
        <v>6</v>
      </c>
      <c r="R240" s="95" t="s">
        <v>652</v>
      </c>
      <c r="S240" s="223" t="s">
        <v>5</v>
      </c>
      <c r="T240" s="223" t="s">
        <v>5</v>
      </c>
      <c r="U240" s="223" t="s">
        <v>5</v>
      </c>
      <c r="V240" s="223" t="s">
        <v>5</v>
      </c>
      <c r="W240" s="223" t="s">
        <v>5</v>
      </c>
      <c r="X240" s="3" t="s">
        <v>5</v>
      </c>
      <c r="Y240" s="3" t="s">
        <v>651</v>
      </c>
      <c r="Z240" s="3" t="s">
        <v>651</v>
      </c>
      <c r="AA240" s="3" t="s">
        <v>10</v>
      </c>
      <c r="AB240" s="223" t="s">
        <v>5</v>
      </c>
      <c r="AC240" s="3" t="s">
        <v>10</v>
      </c>
      <c r="AD240" s="3" t="s">
        <v>10</v>
      </c>
      <c r="AE240" s="95" t="s">
        <v>2263</v>
      </c>
    </row>
    <row r="241" spans="1:31" x14ac:dyDescent="0.35">
      <c r="A241" s="3" t="s">
        <v>100</v>
      </c>
      <c r="B241" s="3" t="s">
        <v>101</v>
      </c>
      <c r="C241" s="3">
        <v>7</v>
      </c>
      <c r="D241" s="95" t="s">
        <v>3146</v>
      </c>
      <c r="E241" s="95" t="s">
        <v>422</v>
      </c>
      <c r="F241" s="95" t="s">
        <v>437</v>
      </c>
      <c r="G241" s="223">
        <v>44455</v>
      </c>
      <c r="H241" s="223">
        <v>44500</v>
      </c>
      <c r="I241" s="223">
        <v>46326</v>
      </c>
      <c r="J241" s="3">
        <v>0</v>
      </c>
      <c r="K241" s="3" t="s">
        <v>6</v>
      </c>
      <c r="L241" s="3" t="s">
        <v>6</v>
      </c>
      <c r="M241" s="95" t="s">
        <v>19</v>
      </c>
      <c r="N241" s="3" t="s">
        <v>20</v>
      </c>
      <c r="O241" s="3" t="s">
        <v>21</v>
      </c>
      <c r="P241" s="3" t="s">
        <v>6</v>
      </c>
      <c r="Q241" s="3" t="s">
        <v>6</v>
      </c>
      <c r="R241" s="95" t="s">
        <v>22</v>
      </c>
      <c r="S241" s="223">
        <v>43675</v>
      </c>
      <c r="T241" s="223">
        <v>43756</v>
      </c>
      <c r="U241" s="223">
        <v>43647</v>
      </c>
      <c r="V241" s="223">
        <v>43647</v>
      </c>
      <c r="W241" s="223" t="s">
        <v>6</v>
      </c>
      <c r="X241" s="3" t="s">
        <v>26</v>
      </c>
      <c r="Y241" s="3" t="s">
        <v>2116</v>
      </c>
      <c r="Z241" s="3" t="s">
        <v>20</v>
      </c>
      <c r="AA241" s="3" t="s">
        <v>6</v>
      </c>
      <c r="AB241" s="223">
        <v>44442</v>
      </c>
      <c r="AC241" s="3" t="s">
        <v>10</v>
      </c>
      <c r="AD241" s="3" t="s">
        <v>10</v>
      </c>
      <c r="AE241" s="95" t="s">
        <v>2263</v>
      </c>
    </row>
    <row r="242" spans="1:31" x14ac:dyDescent="0.35">
      <c r="A242" s="3" t="s">
        <v>2342</v>
      </c>
      <c r="B242" s="3" t="s">
        <v>101</v>
      </c>
      <c r="C242" s="3">
        <v>7</v>
      </c>
      <c r="D242" s="95" t="s">
        <v>2343</v>
      </c>
      <c r="E242" s="95" t="s">
        <v>2344</v>
      </c>
      <c r="F242" s="95" t="s">
        <v>2345</v>
      </c>
      <c r="G242" s="223">
        <v>43282</v>
      </c>
      <c r="H242" s="223">
        <v>43282</v>
      </c>
      <c r="I242" s="223">
        <v>45097</v>
      </c>
      <c r="J242" s="3">
        <v>2</v>
      </c>
      <c r="K242" s="3" t="s">
        <v>10</v>
      </c>
      <c r="L242" s="3" t="s">
        <v>10</v>
      </c>
      <c r="M242" s="95" t="s">
        <v>169</v>
      </c>
      <c r="N242" s="3" t="s">
        <v>268</v>
      </c>
      <c r="O242" s="3" t="s">
        <v>651</v>
      </c>
      <c r="P242" s="3" t="s">
        <v>6</v>
      </c>
      <c r="Q242" s="3" t="s">
        <v>6</v>
      </c>
      <c r="R242" s="95" t="s">
        <v>652</v>
      </c>
      <c r="S242" s="223" t="s">
        <v>5</v>
      </c>
      <c r="T242" s="223" t="s">
        <v>5</v>
      </c>
      <c r="U242" s="223" t="s">
        <v>5</v>
      </c>
      <c r="V242" s="223" t="s">
        <v>5</v>
      </c>
      <c r="W242" s="223" t="s">
        <v>5</v>
      </c>
      <c r="X242" s="3" t="s">
        <v>5</v>
      </c>
      <c r="Y242" s="3" t="s">
        <v>651</v>
      </c>
      <c r="Z242" s="3" t="s">
        <v>651</v>
      </c>
      <c r="AA242" s="3" t="s">
        <v>6</v>
      </c>
      <c r="AB242" s="223">
        <v>43646</v>
      </c>
      <c r="AC242" s="3" t="s">
        <v>10</v>
      </c>
      <c r="AD242" s="3" t="s">
        <v>10</v>
      </c>
      <c r="AE242" s="95" t="s">
        <v>2263</v>
      </c>
    </row>
    <row r="243" spans="1:31" x14ac:dyDescent="0.35">
      <c r="A243" s="3" t="s">
        <v>2346</v>
      </c>
      <c r="B243" s="3" t="s">
        <v>101</v>
      </c>
      <c r="C243" s="3">
        <v>7</v>
      </c>
      <c r="D243" s="95" t="s">
        <v>2347</v>
      </c>
      <c r="E243" s="95" t="s">
        <v>2348</v>
      </c>
      <c r="F243" s="95" t="s">
        <v>2345</v>
      </c>
      <c r="G243" s="223">
        <v>42571</v>
      </c>
      <c r="H243" s="223">
        <v>42571</v>
      </c>
      <c r="I243" s="223">
        <v>44396</v>
      </c>
      <c r="J243" s="3">
        <v>410</v>
      </c>
      <c r="K243" s="3" t="s">
        <v>10</v>
      </c>
      <c r="L243" s="3" t="s">
        <v>10</v>
      </c>
      <c r="M243" s="95" t="s">
        <v>114</v>
      </c>
      <c r="N243" s="3" t="s">
        <v>115</v>
      </c>
      <c r="O243" s="3" t="s">
        <v>651</v>
      </c>
      <c r="P243" s="3" t="s">
        <v>6</v>
      </c>
      <c r="Q243" s="3" t="s">
        <v>6</v>
      </c>
      <c r="R243" s="95" t="s">
        <v>652</v>
      </c>
      <c r="S243" s="223" t="s">
        <v>5</v>
      </c>
      <c r="T243" s="223" t="s">
        <v>5</v>
      </c>
      <c r="U243" s="223" t="s">
        <v>5</v>
      </c>
      <c r="V243" s="223" t="s">
        <v>5</v>
      </c>
      <c r="W243" s="223" t="s">
        <v>5</v>
      </c>
      <c r="X243" s="3" t="s">
        <v>5</v>
      </c>
      <c r="Y243" s="3" t="s">
        <v>651</v>
      </c>
      <c r="Z243" s="3" t="s">
        <v>651</v>
      </c>
      <c r="AA243" s="3" t="s">
        <v>6</v>
      </c>
      <c r="AB243" s="223">
        <v>44012</v>
      </c>
      <c r="AC243" s="3" t="s">
        <v>6</v>
      </c>
      <c r="AD243" s="3" t="s">
        <v>6</v>
      </c>
      <c r="AE243" s="95" t="s">
        <v>2263</v>
      </c>
    </row>
    <row r="244" spans="1:31" x14ac:dyDescent="0.35">
      <c r="A244" s="3" t="s">
        <v>2349</v>
      </c>
      <c r="B244" s="3" t="s">
        <v>101</v>
      </c>
      <c r="C244" s="3">
        <v>7</v>
      </c>
      <c r="D244" s="95" t="s">
        <v>2350</v>
      </c>
      <c r="E244" s="95" t="s">
        <v>2351</v>
      </c>
      <c r="F244" s="95" t="s">
        <v>4</v>
      </c>
      <c r="G244" s="223">
        <v>44986</v>
      </c>
      <c r="H244" s="223">
        <v>44986</v>
      </c>
      <c r="I244" s="223">
        <v>46812</v>
      </c>
      <c r="J244" s="3">
        <v>2600</v>
      </c>
      <c r="K244" s="3" t="s">
        <v>10</v>
      </c>
      <c r="L244" s="3" t="s">
        <v>10</v>
      </c>
      <c r="M244" s="95" t="s">
        <v>47</v>
      </c>
      <c r="N244" s="3" t="s">
        <v>268</v>
      </c>
      <c r="O244" s="3" t="s">
        <v>651</v>
      </c>
      <c r="P244" s="3" t="s">
        <v>6</v>
      </c>
      <c r="Q244" s="3" t="s">
        <v>6</v>
      </c>
      <c r="R244" s="95" t="s">
        <v>652</v>
      </c>
      <c r="S244" s="223" t="s">
        <v>5</v>
      </c>
      <c r="T244" s="223" t="s">
        <v>5</v>
      </c>
      <c r="U244" s="223" t="s">
        <v>5</v>
      </c>
      <c r="V244" s="223" t="s">
        <v>5</v>
      </c>
      <c r="W244" s="223" t="s">
        <v>5</v>
      </c>
      <c r="X244" s="3" t="s">
        <v>5</v>
      </c>
      <c r="Y244" s="3" t="s">
        <v>651</v>
      </c>
      <c r="Z244" s="3" t="s">
        <v>651</v>
      </c>
      <c r="AA244" s="3" t="s">
        <v>10</v>
      </c>
      <c r="AB244" s="223" t="s">
        <v>5</v>
      </c>
      <c r="AC244" s="3" t="s">
        <v>10</v>
      </c>
      <c r="AD244" s="3" t="s">
        <v>10</v>
      </c>
      <c r="AE244" s="95" t="s">
        <v>2265</v>
      </c>
    </row>
    <row r="245" spans="1:31" x14ac:dyDescent="0.35">
      <c r="A245" s="3" t="s">
        <v>2352</v>
      </c>
      <c r="B245" s="3" t="s">
        <v>101</v>
      </c>
      <c r="C245" s="3">
        <v>7</v>
      </c>
      <c r="D245" s="95" t="s">
        <v>2353</v>
      </c>
      <c r="E245" s="95" t="s">
        <v>2354</v>
      </c>
      <c r="F245" s="95" t="s">
        <v>651</v>
      </c>
      <c r="G245" s="223">
        <v>43891</v>
      </c>
      <c r="H245" s="223">
        <v>43891</v>
      </c>
      <c r="I245" s="223">
        <v>43889</v>
      </c>
      <c r="J245" s="3" t="s">
        <v>2266</v>
      </c>
      <c r="K245" s="3" t="s">
        <v>10</v>
      </c>
      <c r="L245" s="3" t="s">
        <v>10</v>
      </c>
      <c r="M245" s="95" t="s">
        <v>2355</v>
      </c>
      <c r="N245" s="3" t="s">
        <v>62</v>
      </c>
      <c r="O245" s="3" t="s">
        <v>651</v>
      </c>
      <c r="P245" s="3" t="s">
        <v>10</v>
      </c>
      <c r="Q245" s="3" t="s">
        <v>6</v>
      </c>
      <c r="R245" s="95" t="s">
        <v>2267</v>
      </c>
      <c r="S245" s="223" t="s">
        <v>5</v>
      </c>
      <c r="T245" s="223" t="s">
        <v>5</v>
      </c>
      <c r="U245" s="223" t="s">
        <v>5</v>
      </c>
      <c r="V245" s="223" t="s">
        <v>5</v>
      </c>
      <c r="W245" s="223" t="s">
        <v>5</v>
      </c>
      <c r="X245" s="3" t="s">
        <v>5</v>
      </c>
      <c r="Y245" s="3" t="s">
        <v>651</v>
      </c>
      <c r="Z245" s="3" t="s">
        <v>651</v>
      </c>
      <c r="AA245" s="3" t="s">
        <v>651</v>
      </c>
      <c r="AB245" s="223" t="s">
        <v>5</v>
      </c>
      <c r="AC245" s="3" t="s">
        <v>651</v>
      </c>
      <c r="AD245" s="3" t="s">
        <v>651</v>
      </c>
      <c r="AE245" s="95" t="s">
        <v>651</v>
      </c>
    </row>
    <row r="246" spans="1:31" x14ac:dyDescent="0.35">
      <c r="A246" s="3" t="s">
        <v>2356</v>
      </c>
      <c r="B246" s="3" t="s">
        <v>101</v>
      </c>
      <c r="C246" s="3">
        <v>7</v>
      </c>
      <c r="D246" s="95" t="s">
        <v>2357</v>
      </c>
      <c r="E246" s="95" t="s">
        <v>2358</v>
      </c>
      <c r="F246" s="95" t="s">
        <v>2345</v>
      </c>
      <c r="G246" s="223">
        <v>43282</v>
      </c>
      <c r="H246" s="223">
        <v>43282</v>
      </c>
      <c r="I246" s="223">
        <v>45097</v>
      </c>
      <c r="J246" s="3">
        <v>1</v>
      </c>
      <c r="K246" s="3" t="s">
        <v>10</v>
      </c>
      <c r="L246" s="3" t="s">
        <v>10</v>
      </c>
      <c r="M246" s="95" t="s">
        <v>136</v>
      </c>
      <c r="N246" s="3" t="s">
        <v>138</v>
      </c>
      <c r="O246" s="3" t="s">
        <v>651</v>
      </c>
      <c r="P246" s="3" t="s">
        <v>6</v>
      </c>
      <c r="Q246" s="3" t="s">
        <v>6</v>
      </c>
      <c r="R246" s="95" t="s">
        <v>652</v>
      </c>
      <c r="S246" s="223" t="s">
        <v>5</v>
      </c>
      <c r="T246" s="223" t="s">
        <v>5</v>
      </c>
      <c r="U246" s="223" t="s">
        <v>5</v>
      </c>
      <c r="V246" s="223" t="s">
        <v>5</v>
      </c>
      <c r="W246" s="223" t="s">
        <v>5</v>
      </c>
      <c r="X246" s="3" t="s">
        <v>5</v>
      </c>
      <c r="Y246" s="3" t="s">
        <v>651</v>
      </c>
      <c r="Z246" s="3" t="s">
        <v>651</v>
      </c>
      <c r="AA246" s="3" t="s">
        <v>6</v>
      </c>
      <c r="AB246" s="223">
        <v>43646</v>
      </c>
      <c r="AC246" s="3" t="s">
        <v>10</v>
      </c>
      <c r="AD246" s="3" t="s">
        <v>10</v>
      </c>
      <c r="AE246" s="95" t="s">
        <v>2263</v>
      </c>
    </row>
    <row r="247" spans="1:31" x14ac:dyDescent="0.35">
      <c r="A247" s="3" t="s">
        <v>2359</v>
      </c>
      <c r="B247" s="3" t="s">
        <v>101</v>
      </c>
      <c r="C247" s="3">
        <v>7</v>
      </c>
      <c r="D247" s="95" t="s">
        <v>2360</v>
      </c>
      <c r="E247" s="95" t="s">
        <v>2361</v>
      </c>
      <c r="F247" s="95" t="s">
        <v>651</v>
      </c>
      <c r="G247" s="223">
        <v>44334</v>
      </c>
      <c r="H247" s="223">
        <v>44334</v>
      </c>
      <c r="I247" s="223">
        <v>46159</v>
      </c>
      <c r="J247" s="3" t="s">
        <v>2266</v>
      </c>
      <c r="K247" s="3" t="s">
        <v>10</v>
      </c>
      <c r="L247" s="3" t="s">
        <v>10</v>
      </c>
      <c r="M247" s="95" t="s">
        <v>19</v>
      </c>
      <c r="N247" s="3" t="s">
        <v>20</v>
      </c>
      <c r="O247" s="3" t="s">
        <v>651</v>
      </c>
      <c r="P247" s="3" t="s">
        <v>10</v>
      </c>
      <c r="Q247" s="3" t="s">
        <v>6</v>
      </c>
      <c r="R247" s="95" t="s">
        <v>2267</v>
      </c>
      <c r="S247" s="223" t="s">
        <v>5</v>
      </c>
      <c r="T247" s="223" t="s">
        <v>5</v>
      </c>
      <c r="U247" s="223" t="s">
        <v>5</v>
      </c>
      <c r="V247" s="223" t="s">
        <v>5</v>
      </c>
      <c r="W247" s="223" t="s">
        <v>5</v>
      </c>
      <c r="X247" s="3" t="s">
        <v>5</v>
      </c>
      <c r="Y247" s="3" t="s">
        <v>651</v>
      </c>
      <c r="Z247" s="3" t="s">
        <v>651</v>
      </c>
      <c r="AA247" s="3" t="s">
        <v>651</v>
      </c>
      <c r="AB247" s="223" t="s">
        <v>5</v>
      </c>
      <c r="AC247" s="3" t="s">
        <v>651</v>
      </c>
      <c r="AD247" s="3" t="s">
        <v>651</v>
      </c>
      <c r="AE247" s="95" t="s">
        <v>651</v>
      </c>
    </row>
    <row r="248" spans="1:31" x14ac:dyDescent="0.35">
      <c r="A248" s="3" t="s">
        <v>1938</v>
      </c>
      <c r="B248" s="3" t="s">
        <v>101</v>
      </c>
      <c r="C248" s="3">
        <v>7</v>
      </c>
      <c r="D248" s="95" t="s">
        <v>1939</v>
      </c>
      <c r="E248" s="95" t="s">
        <v>2272</v>
      </c>
      <c r="F248" s="95" t="s">
        <v>437</v>
      </c>
      <c r="G248" s="223">
        <v>44211</v>
      </c>
      <c r="H248" s="223">
        <v>44256</v>
      </c>
      <c r="I248" s="223">
        <v>46081</v>
      </c>
      <c r="J248" s="3">
        <v>0</v>
      </c>
      <c r="K248" s="3" t="s">
        <v>6</v>
      </c>
      <c r="L248" s="3" t="s">
        <v>6</v>
      </c>
      <c r="M248" s="95" t="s">
        <v>27</v>
      </c>
      <c r="N248" s="3" t="s">
        <v>28</v>
      </c>
      <c r="O248" s="3" t="s">
        <v>25</v>
      </c>
      <c r="P248" s="3" t="s">
        <v>6</v>
      </c>
      <c r="Q248" s="3" t="s">
        <v>6</v>
      </c>
      <c r="R248" s="95" t="s">
        <v>22</v>
      </c>
      <c r="S248" s="223">
        <v>43374</v>
      </c>
      <c r="T248" s="223">
        <v>43553</v>
      </c>
      <c r="U248" s="223">
        <v>43009</v>
      </c>
      <c r="V248" s="223">
        <v>43009</v>
      </c>
      <c r="W248" s="223" t="s">
        <v>6</v>
      </c>
      <c r="X248" s="3" t="s">
        <v>26</v>
      </c>
      <c r="Y248" s="3" t="s">
        <v>2100</v>
      </c>
      <c r="Z248" s="3" t="s">
        <v>28</v>
      </c>
      <c r="AA248" s="3" t="s">
        <v>6</v>
      </c>
      <c r="AB248" s="223">
        <v>42159</v>
      </c>
      <c r="AC248" s="3" t="s">
        <v>6</v>
      </c>
      <c r="AD248" s="3" t="s">
        <v>10</v>
      </c>
      <c r="AE248" s="95" t="s">
        <v>2263</v>
      </c>
    </row>
    <row r="249" spans="1:31" x14ac:dyDescent="0.35">
      <c r="A249" s="3" t="s">
        <v>102</v>
      </c>
      <c r="B249" s="3" t="s">
        <v>101</v>
      </c>
      <c r="C249" s="3">
        <v>7</v>
      </c>
      <c r="D249" s="95" t="s">
        <v>1940</v>
      </c>
      <c r="E249" s="95" t="s">
        <v>1912</v>
      </c>
      <c r="F249" s="95" t="s">
        <v>437</v>
      </c>
      <c r="G249" s="223">
        <v>44609</v>
      </c>
      <c r="H249" s="223">
        <v>44609</v>
      </c>
      <c r="I249" s="223">
        <v>46434</v>
      </c>
      <c r="J249" s="3">
        <v>1</v>
      </c>
      <c r="K249" s="3" t="s">
        <v>6</v>
      </c>
      <c r="L249" s="3" t="s">
        <v>6</v>
      </c>
      <c r="M249" s="95" t="s">
        <v>23</v>
      </c>
      <c r="N249" s="3" t="s">
        <v>24</v>
      </c>
      <c r="O249" s="3" t="s">
        <v>25</v>
      </c>
      <c r="P249" s="3" t="s">
        <v>6</v>
      </c>
      <c r="Q249" s="3" t="s">
        <v>6</v>
      </c>
      <c r="R249" s="95" t="s">
        <v>22</v>
      </c>
      <c r="S249" s="223">
        <v>43374</v>
      </c>
      <c r="T249" s="223">
        <v>43497</v>
      </c>
      <c r="U249" s="223">
        <v>42644</v>
      </c>
      <c r="V249" s="223">
        <v>42644</v>
      </c>
      <c r="W249" s="223" t="s">
        <v>6</v>
      </c>
      <c r="X249" s="3" t="s">
        <v>26</v>
      </c>
      <c r="Y249" s="3" t="s">
        <v>2093</v>
      </c>
      <c r="Z249" s="3" t="s">
        <v>24</v>
      </c>
      <c r="AA249" s="3" t="s">
        <v>6</v>
      </c>
      <c r="AB249" s="223">
        <v>42782</v>
      </c>
      <c r="AC249" s="3" t="s">
        <v>10</v>
      </c>
      <c r="AD249" s="3" t="s">
        <v>10</v>
      </c>
      <c r="AE249" s="95" t="s">
        <v>2263</v>
      </c>
    </row>
    <row r="250" spans="1:31" x14ac:dyDescent="0.35">
      <c r="A250" s="3" t="s">
        <v>2362</v>
      </c>
      <c r="B250" s="3" t="s">
        <v>101</v>
      </c>
      <c r="C250" s="3">
        <v>7</v>
      </c>
      <c r="D250" s="95" t="s">
        <v>2363</v>
      </c>
      <c r="E250" s="95" t="s">
        <v>2364</v>
      </c>
      <c r="F250" s="95" t="s">
        <v>2365</v>
      </c>
      <c r="G250" s="223">
        <v>43160</v>
      </c>
      <c r="H250" s="223">
        <v>43160</v>
      </c>
      <c r="I250" s="223">
        <v>44985</v>
      </c>
      <c r="J250" s="3">
        <v>1451</v>
      </c>
      <c r="K250" s="3" t="s">
        <v>10</v>
      </c>
      <c r="L250" s="3" t="s">
        <v>10</v>
      </c>
      <c r="M250" s="95" t="s">
        <v>27</v>
      </c>
      <c r="N250" s="3" t="s">
        <v>28</v>
      </c>
      <c r="O250" s="3" t="s">
        <v>651</v>
      </c>
      <c r="P250" s="3" t="s">
        <v>6</v>
      </c>
      <c r="Q250" s="3" t="s">
        <v>6</v>
      </c>
      <c r="R250" s="95" t="s">
        <v>652</v>
      </c>
      <c r="S250" s="223" t="s">
        <v>5</v>
      </c>
      <c r="T250" s="223" t="s">
        <v>5</v>
      </c>
      <c r="U250" s="223" t="s">
        <v>5</v>
      </c>
      <c r="V250" s="223" t="s">
        <v>5</v>
      </c>
      <c r="W250" s="223" t="s">
        <v>5</v>
      </c>
      <c r="X250" s="3" t="s">
        <v>5</v>
      </c>
      <c r="Y250" s="3" t="s">
        <v>651</v>
      </c>
      <c r="Z250" s="3" t="s">
        <v>651</v>
      </c>
      <c r="AA250" s="3" t="s">
        <v>6</v>
      </c>
      <c r="AB250" s="223">
        <v>42185</v>
      </c>
      <c r="AC250" s="3" t="s">
        <v>10</v>
      </c>
      <c r="AD250" s="3" t="s">
        <v>10</v>
      </c>
      <c r="AE250" s="95" t="s">
        <v>2263</v>
      </c>
    </row>
    <row r="251" spans="1:31" x14ac:dyDescent="0.35">
      <c r="A251" s="3" t="s">
        <v>2366</v>
      </c>
      <c r="B251" s="3" t="s">
        <v>101</v>
      </c>
      <c r="C251" s="3">
        <v>7</v>
      </c>
      <c r="D251" s="95" t="s">
        <v>2367</v>
      </c>
      <c r="E251" s="95" t="s">
        <v>2368</v>
      </c>
      <c r="F251" s="95" t="s">
        <v>2365</v>
      </c>
      <c r="G251" s="223">
        <v>43160</v>
      </c>
      <c r="H251" s="223">
        <v>43160</v>
      </c>
      <c r="I251" s="223">
        <v>44985</v>
      </c>
      <c r="J251" s="3">
        <v>3980</v>
      </c>
      <c r="K251" s="3" t="s">
        <v>10</v>
      </c>
      <c r="L251" s="3" t="s">
        <v>10</v>
      </c>
      <c r="M251" s="95" t="s">
        <v>23</v>
      </c>
      <c r="N251" s="3" t="s">
        <v>24</v>
      </c>
      <c r="O251" s="3" t="s">
        <v>651</v>
      </c>
      <c r="P251" s="3" t="s">
        <v>6</v>
      </c>
      <c r="Q251" s="3" t="s">
        <v>6</v>
      </c>
      <c r="R251" s="95" t="s">
        <v>652</v>
      </c>
      <c r="S251" s="223" t="s">
        <v>5</v>
      </c>
      <c r="T251" s="223" t="s">
        <v>5</v>
      </c>
      <c r="U251" s="223" t="s">
        <v>5</v>
      </c>
      <c r="V251" s="223" t="s">
        <v>5</v>
      </c>
      <c r="W251" s="223" t="s">
        <v>5</v>
      </c>
      <c r="X251" s="3" t="s">
        <v>5</v>
      </c>
      <c r="Y251" s="3" t="s">
        <v>651</v>
      </c>
      <c r="Z251" s="3" t="s">
        <v>651</v>
      </c>
      <c r="AA251" s="3" t="s">
        <v>6</v>
      </c>
      <c r="AB251" s="223">
        <v>42185</v>
      </c>
      <c r="AC251" s="3" t="s">
        <v>10</v>
      </c>
      <c r="AD251" s="3" t="s">
        <v>10</v>
      </c>
      <c r="AE251" s="95" t="s">
        <v>2263</v>
      </c>
    </row>
    <row r="252" spans="1:31" x14ac:dyDescent="0.35">
      <c r="A252" s="3" t="s">
        <v>2369</v>
      </c>
      <c r="B252" s="3" t="s">
        <v>101</v>
      </c>
      <c r="C252" s="3">
        <v>7</v>
      </c>
      <c r="D252" s="95" t="s">
        <v>3121</v>
      </c>
      <c r="E252" s="95" t="s">
        <v>2370</v>
      </c>
      <c r="F252" s="95" t="s">
        <v>2365</v>
      </c>
      <c r="G252" s="223">
        <v>43160</v>
      </c>
      <c r="H252" s="223">
        <v>43160</v>
      </c>
      <c r="I252" s="223">
        <v>44985</v>
      </c>
      <c r="J252" s="3">
        <v>564</v>
      </c>
      <c r="K252" s="3" t="s">
        <v>10</v>
      </c>
      <c r="L252" s="3" t="s">
        <v>10</v>
      </c>
      <c r="M252" s="95" t="s">
        <v>27</v>
      </c>
      <c r="N252" s="3" t="s">
        <v>28</v>
      </c>
      <c r="O252" s="3" t="s">
        <v>651</v>
      </c>
      <c r="P252" s="3" t="s">
        <v>6</v>
      </c>
      <c r="Q252" s="3" t="s">
        <v>6</v>
      </c>
      <c r="R252" s="95" t="s">
        <v>652</v>
      </c>
      <c r="S252" s="223" t="s">
        <v>5</v>
      </c>
      <c r="T252" s="223" t="s">
        <v>5</v>
      </c>
      <c r="U252" s="223" t="s">
        <v>5</v>
      </c>
      <c r="V252" s="223" t="s">
        <v>5</v>
      </c>
      <c r="W252" s="223" t="s">
        <v>5</v>
      </c>
      <c r="X252" s="3" t="s">
        <v>5</v>
      </c>
      <c r="Y252" s="3" t="s">
        <v>651</v>
      </c>
      <c r="Z252" s="3" t="s">
        <v>651</v>
      </c>
      <c r="AA252" s="3" t="s">
        <v>6</v>
      </c>
      <c r="AB252" s="223">
        <v>42185</v>
      </c>
      <c r="AC252" s="3" t="s">
        <v>10</v>
      </c>
      <c r="AD252" s="3" t="s">
        <v>10</v>
      </c>
      <c r="AE252" s="95" t="s">
        <v>2263</v>
      </c>
    </row>
    <row r="253" spans="1:31" x14ac:dyDescent="0.35">
      <c r="A253" s="3" t="s">
        <v>103</v>
      </c>
      <c r="B253" s="3" t="s">
        <v>104</v>
      </c>
      <c r="C253" s="3">
        <v>10</v>
      </c>
      <c r="D253" s="95" t="s">
        <v>2693</v>
      </c>
      <c r="E253" s="95" t="s">
        <v>2694</v>
      </c>
      <c r="F253" s="95" t="s">
        <v>4</v>
      </c>
      <c r="G253" s="223">
        <v>43964</v>
      </c>
      <c r="H253" s="223">
        <v>43997</v>
      </c>
      <c r="I253" s="223">
        <v>45822</v>
      </c>
      <c r="J253" s="3">
        <v>1</v>
      </c>
      <c r="K253" s="3" t="s">
        <v>6</v>
      </c>
      <c r="L253" s="3" t="s">
        <v>6</v>
      </c>
      <c r="M253" s="95" t="s">
        <v>105</v>
      </c>
      <c r="N253" s="3" t="s">
        <v>106</v>
      </c>
      <c r="O253" s="3" t="s">
        <v>49</v>
      </c>
      <c r="P253" s="3" t="s">
        <v>6</v>
      </c>
      <c r="Q253" s="3" t="s">
        <v>6</v>
      </c>
      <c r="R253" s="95" t="s">
        <v>3122</v>
      </c>
      <c r="S253" s="223">
        <v>43437</v>
      </c>
      <c r="T253" s="223">
        <v>43602</v>
      </c>
      <c r="U253" s="223">
        <v>43252</v>
      </c>
      <c r="V253" s="223">
        <v>43252</v>
      </c>
      <c r="W253" s="223" t="s">
        <v>6</v>
      </c>
      <c r="X253" s="3" t="s">
        <v>51</v>
      </c>
      <c r="Y253" s="3" t="s">
        <v>2692</v>
      </c>
      <c r="Z253" s="3" t="s">
        <v>106</v>
      </c>
      <c r="AA253" s="3" t="s">
        <v>10</v>
      </c>
      <c r="AB253" s="223" t="s">
        <v>5</v>
      </c>
      <c r="AC253" s="3" t="s">
        <v>10</v>
      </c>
      <c r="AD253" s="3" t="s">
        <v>6</v>
      </c>
      <c r="AE253" s="95" t="s">
        <v>2263</v>
      </c>
    </row>
    <row r="254" spans="1:31" x14ac:dyDescent="0.35">
      <c r="A254" s="3" t="s">
        <v>1941</v>
      </c>
      <c r="B254" s="3" t="s">
        <v>104</v>
      </c>
      <c r="C254" s="3">
        <v>10</v>
      </c>
      <c r="D254" s="95" t="s">
        <v>3147</v>
      </c>
      <c r="E254" s="95" t="s">
        <v>422</v>
      </c>
      <c r="F254" s="224" t="s">
        <v>437</v>
      </c>
      <c r="G254" s="223">
        <v>44455</v>
      </c>
      <c r="H254" s="223">
        <v>44500</v>
      </c>
      <c r="I254" s="223">
        <v>46326</v>
      </c>
      <c r="J254" s="3">
        <v>20</v>
      </c>
      <c r="K254" s="3" t="s">
        <v>6</v>
      </c>
      <c r="L254" s="3" t="s">
        <v>6</v>
      </c>
      <c r="M254" s="95" t="s">
        <v>19</v>
      </c>
      <c r="N254" s="3" t="s">
        <v>20</v>
      </c>
      <c r="O254" s="3" t="s">
        <v>21</v>
      </c>
      <c r="P254" s="3" t="s">
        <v>6</v>
      </c>
      <c r="Q254" s="3" t="s">
        <v>6</v>
      </c>
      <c r="R254" s="95" t="s">
        <v>22</v>
      </c>
      <c r="S254" s="223">
        <v>43675</v>
      </c>
      <c r="T254" s="223">
        <v>43756</v>
      </c>
      <c r="U254" s="223">
        <v>43647</v>
      </c>
      <c r="V254" s="223">
        <v>43647</v>
      </c>
      <c r="W254" s="3" t="s">
        <v>6</v>
      </c>
      <c r="X254" s="3" t="s">
        <v>26</v>
      </c>
      <c r="Y254" s="3" t="s">
        <v>2116</v>
      </c>
      <c r="Z254" s="3" t="s">
        <v>20</v>
      </c>
      <c r="AA254" s="3" t="s">
        <v>6</v>
      </c>
      <c r="AB254" s="223">
        <v>44442</v>
      </c>
      <c r="AC254" s="3" t="s">
        <v>10</v>
      </c>
      <c r="AD254" s="3" t="s">
        <v>10</v>
      </c>
      <c r="AE254" s="95" t="s">
        <v>2263</v>
      </c>
    </row>
    <row r="255" spans="1:31" x14ac:dyDescent="0.35">
      <c r="A255" s="3" t="s">
        <v>1942</v>
      </c>
      <c r="B255" s="3" t="s">
        <v>104</v>
      </c>
      <c r="C255" s="3">
        <v>10</v>
      </c>
      <c r="D255" s="95" t="s">
        <v>3246</v>
      </c>
      <c r="E255" s="95" t="s">
        <v>2371</v>
      </c>
      <c r="F255" s="95" t="s">
        <v>4</v>
      </c>
      <c r="G255" s="223">
        <v>42674</v>
      </c>
      <c r="H255" s="223">
        <v>42674</v>
      </c>
      <c r="I255" s="223">
        <v>44500</v>
      </c>
      <c r="J255" s="3">
        <v>100</v>
      </c>
      <c r="K255" s="3" t="s">
        <v>10</v>
      </c>
      <c r="L255" s="3" t="s">
        <v>6</v>
      </c>
      <c r="M255" s="95" t="s">
        <v>19</v>
      </c>
      <c r="N255" s="3" t="s">
        <v>20</v>
      </c>
      <c r="O255" s="3" t="s">
        <v>21</v>
      </c>
      <c r="P255" s="3" t="s">
        <v>6</v>
      </c>
      <c r="Q255" s="3" t="s">
        <v>6</v>
      </c>
      <c r="R255" s="95" t="s">
        <v>50</v>
      </c>
      <c r="S255" s="223">
        <v>43675</v>
      </c>
      <c r="T255" s="223">
        <v>43756</v>
      </c>
      <c r="U255" s="223">
        <v>43647</v>
      </c>
      <c r="V255" s="223">
        <v>43647</v>
      </c>
      <c r="W255" s="223" t="s">
        <v>6</v>
      </c>
      <c r="X255" s="3" t="s">
        <v>26</v>
      </c>
      <c r="Y255" s="3" t="s">
        <v>2118</v>
      </c>
      <c r="Z255" s="3" t="s">
        <v>20</v>
      </c>
      <c r="AA255" s="3" t="s">
        <v>2254</v>
      </c>
      <c r="AB255" s="223" t="s">
        <v>5</v>
      </c>
      <c r="AC255" s="3" t="s">
        <v>10</v>
      </c>
      <c r="AD255" s="3" t="s">
        <v>10</v>
      </c>
      <c r="AE255" s="95" t="s">
        <v>2263</v>
      </c>
    </row>
    <row r="256" spans="1:31" x14ac:dyDescent="0.35">
      <c r="A256" s="3" t="s">
        <v>107</v>
      </c>
      <c r="B256" s="3" t="s">
        <v>104</v>
      </c>
      <c r="C256" s="3">
        <v>10</v>
      </c>
      <c r="D256" s="95" t="s">
        <v>108</v>
      </c>
      <c r="E256" s="95" t="s">
        <v>2371</v>
      </c>
      <c r="F256" s="95" t="s">
        <v>4</v>
      </c>
      <c r="G256" s="223">
        <v>39380</v>
      </c>
      <c r="H256" s="223">
        <v>39417</v>
      </c>
      <c r="I256" s="223">
        <v>41243</v>
      </c>
      <c r="J256" s="3">
        <v>86</v>
      </c>
      <c r="K256" s="3" t="s">
        <v>10</v>
      </c>
      <c r="L256" s="3" t="s">
        <v>6</v>
      </c>
      <c r="M256" s="95" t="s">
        <v>109</v>
      </c>
      <c r="N256" s="3" t="s">
        <v>110</v>
      </c>
      <c r="O256" s="3" t="s">
        <v>25</v>
      </c>
      <c r="P256" s="3" t="s">
        <v>6</v>
      </c>
      <c r="Q256" s="3" t="s">
        <v>6</v>
      </c>
      <c r="R256" s="95" t="s">
        <v>50</v>
      </c>
      <c r="S256" s="223">
        <v>43374</v>
      </c>
      <c r="T256" s="223">
        <v>43434</v>
      </c>
      <c r="U256" s="223">
        <v>43313</v>
      </c>
      <c r="V256" s="223">
        <v>43313</v>
      </c>
      <c r="W256" s="223" t="s">
        <v>6</v>
      </c>
      <c r="X256" s="3" t="s">
        <v>26</v>
      </c>
      <c r="Y256" s="3" t="s">
        <v>2110</v>
      </c>
      <c r="Z256" s="3" t="s">
        <v>3189</v>
      </c>
      <c r="AA256" s="3" t="s">
        <v>2372</v>
      </c>
      <c r="AB256" s="223" t="s">
        <v>5</v>
      </c>
      <c r="AC256" s="3" t="s">
        <v>6</v>
      </c>
      <c r="AD256" s="3" t="s">
        <v>10</v>
      </c>
      <c r="AE256" s="95" t="s">
        <v>2265</v>
      </c>
    </row>
    <row r="257" spans="1:31" x14ac:dyDescent="0.35">
      <c r="A257" s="3" t="s">
        <v>111</v>
      </c>
      <c r="B257" s="3" t="s">
        <v>104</v>
      </c>
      <c r="C257" s="3">
        <v>10</v>
      </c>
      <c r="D257" s="95" t="s">
        <v>506</v>
      </c>
      <c r="E257" s="95" t="s">
        <v>2371</v>
      </c>
      <c r="F257" s="95" t="s">
        <v>437</v>
      </c>
      <c r="G257" s="223">
        <v>43769</v>
      </c>
      <c r="H257" s="223">
        <v>43800</v>
      </c>
      <c r="I257" s="223">
        <v>45626</v>
      </c>
      <c r="J257" s="3">
        <v>10</v>
      </c>
      <c r="K257" s="3" t="s">
        <v>10</v>
      </c>
      <c r="L257" s="3" t="s">
        <v>6</v>
      </c>
      <c r="M257" s="95" t="s">
        <v>109</v>
      </c>
      <c r="N257" s="3" t="s">
        <v>110</v>
      </c>
      <c r="O257" s="3" t="s">
        <v>25</v>
      </c>
      <c r="P257" s="3" t="s">
        <v>6</v>
      </c>
      <c r="Q257" s="3" t="s">
        <v>6</v>
      </c>
      <c r="R257" s="95" t="s">
        <v>50</v>
      </c>
      <c r="S257" s="223">
        <v>43374</v>
      </c>
      <c r="T257" s="223">
        <v>43434</v>
      </c>
      <c r="U257" s="223">
        <v>43313</v>
      </c>
      <c r="V257" s="223">
        <v>43313</v>
      </c>
      <c r="W257" s="223" t="s">
        <v>6</v>
      </c>
      <c r="X257" s="3" t="s">
        <v>26</v>
      </c>
      <c r="Y257" s="3" t="s">
        <v>2106</v>
      </c>
      <c r="Z257" s="3" t="s">
        <v>3189</v>
      </c>
      <c r="AA257" s="3" t="s">
        <v>6</v>
      </c>
      <c r="AB257" s="223">
        <v>43791</v>
      </c>
      <c r="AC257" s="3" t="s">
        <v>6</v>
      </c>
      <c r="AD257" s="3" t="s">
        <v>10</v>
      </c>
      <c r="AE257" s="95" t="s">
        <v>2265</v>
      </c>
    </row>
    <row r="258" spans="1:31" x14ac:dyDescent="0.35">
      <c r="A258" s="3" t="s">
        <v>112</v>
      </c>
      <c r="B258" s="3" t="s">
        <v>104</v>
      </c>
      <c r="C258" s="3">
        <v>10</v>
      </c>
      <c r="D258" s="95" t="s">
        <v>113</v>
      </c>
      <c r="E258" s="95" t="s">
        <v>2371</v>
      </c>
      <c r="F258" s="95" t="s">
        <v>4</v>
      </c>
      <c r="G258" s="223">
        <v>39380</v>
      </c>
      <c r="H258" s="223">
        <v>39417</v>
      </c>
      <c r="I258" s="223">
        <v>41243</v>
      </c>
      <c r="J258" s="3">
        <v>4</v>
      </c>
      <c r="K258" s="3" t="s">
        <v>10</v>
      </c>
      <c r="L258" s="3" t="s">
        <v>6</v>
      </c>
      <c r="M258" s="95" t="s">
        <v>15</v>
      </c>
      <c r="N258" s="3" t="s">
        <v>16</v>
      </c>
      <c r="O258" s="3" t="s">
        <v>17</v>
      </c>
      <c r="P258" s="3" t="s">
        <v>6</v>
      </c>
      <c r="Q258" s="3" t="s">
        <v>6</v>
      </c>
      <c r="R258" s="95" t="s">
        <v>50</v>
      </c>
      <c r="S258" s="223">
        <v>43605</v>
      </c>
      <c r="T258" s="223">
        <v>43665</v>
      </c>
      <c r="U258" s="223">
        <v>43626</v>
      </c>
      <c r="V258" s="223">
        <v>43626</v>
      </c>
      <c r="W258" s="223" t="s">
        <v>6</v>
      </c>
      <c r="X258" s="3" t="s">
        <v>26</v>
      </c>
      <c r="Y258" s="3" t="s">
        <v>3191</v>
      </c>
      <c r="Z258" s="3" t="s">
        <v>3189</v>
      </c>
      <c r="AA258" s="3" t="s">
        <v>2372</v>
      </c>
      <c r="AB258" s="223" t="s">
        <v>5</v>
      </c>
      <c r="AC258" s="3" t="s">
        <v>6</v>
      </c>
      <c r="AD258" s="3" t="s">
        <v>10</v>
      </c>
      <c r="AE258" s="95" t="s">
        <v>2265</v>
      </c>
    </row>
    <row r="259" spans="1:31" x14ac:dyDescent="0.35">
      <c r="A259" s="3" t="s">
        <v>424</v>
      </c>
      <c r="B259" s="3" t="s">
        <v>104</v>
      </c>
      <c r="C259" s="3">
        <v>10</v>
      </c>
      <c r="D259" s="95" t="s">
        <v>425</v>
      </c>
      <c r="E259" s="95" t="s">
        <v>507</v>
      </c>
      <c r="F259" s="95" t="s">
        <v>437</v>
      </c>
      <c r="G259" s="223">
        <v>43769</v>
      </c>
      <c r="H259" s="223">
        <v>43800</v>
      </c>
      <c r="I259" s="223">
        <v>45626</v>
      </c>
      <c r="J259" s="3">
        <v>10</v>
      </c>
      <c r="K259" s="3" t="s">
        <v>6</v>
      </c>
      <c r="L259" s="3" t="s">
        <v>6</v>
      </c>
      <c r="M259" s="95" t="s">
        <v>109</v>
      </c>
      <c r="N259" s="3" t="s">
        <v>110</v>
      </c>
      <c r="O259" s="3" t="s">
        <v>25</v>
      </c>
      <c r="P259" s="3" t="s">
        <v>6</v>
      </c>
      <c r="Q259" s="3" t="s">
        <v>6</v>
      </c>
      <c r="R259" s="95" t="s">
        <v>9</v>
      </c>
      <c r="S259" s="223">
        <v>43374</v>
      </c>
      <c r="T259" s="223">
        <v>43434</v>
      </c>
      <c r="U259" s="223">
        <v>43313</v>
      </c>
      <c r="V259" s="223">
        <v>43313</v>
      </c>
      <c r="W259" s="223" t="s">
        <v>6</v>
      </c>
      <c r="X259" s="3" t="s">
        <v>26</v>
      </c>
      <c r="Y259" s="3" t="s">
        <v>2106</v>
      </c>
      <c r="Z259" s="3" t="s">
        <v>3189</v>
      </c>
      <c r="AA259" s="3" t="s">
        <v>6</v>
      </c>
      <c r="AB259" s="223">
        <v>43791</v>
      </c>
      <c r="AC259" s="3" t="s">
        <v>6</v>
      </c>
      <c r="AD259" s="3" t="s">
        <v>10</v>
      </c>
      <c r="AE259" s="95" t="s">
        <v>2265</v>
      </c>
    </row>
    <row r="260" spans="1:31" x14ac:dyDescent="0.35">
      <c r="A260" s="3" t="s">
        <v>986</v>
      </c>
      <c r="B260" s="3" t="s">
        <v>104</v>
      </c>
      <c r="C260" s="3">
        <v>10</v>
      </c>
      <c r="D260" s="95" t="s">
        <v>987</v>
      </c>
      <c r="E260" s="95" t="s">
        <v>2371</v>
      </c>
      <c r="F260" s="95" t="s">
        <v>2373</v>
      </c>
      <c r="G260" s="223">
        <v>45436</v>
      </c>
      <c r="H260" s="223">
        <v>45464</v>
      </c>
      <c r="I260" s="223">
        <v>47289</v>
      </c>
      <c r="J260" s="3">
        <v>162</v>
      </c>
      <c r="K260" s="3" t="s">
        <v>10</v>
      </c>
      <c r="L260" s="3" t="s">
        <v>10</v>
      </c>
      <c r="M260" s="95" t="s">
        <v>114</v>
      </c>
      <c r="N260" s="3" t="s">
        <v>115</v>
      </c>
      <c r="O260" s="3" t="s">
        <v>651</v>
      </c>
      <c r="P260" s="3" t="s">
        <v>6</v>
      </c>
      <c r="Q260" s="3" t="s">
        <v>6</v>
      </c>
      <c r="R260" s="95" t="s">
        <v>652</v>
      </c>
      <c r="S260" s="223" t="s">
        <v>5</v>
      </c>
      <c r="T260" s="223" t="s">
        <v>5</v>
      </c>
      <c r="U260" s="223" t="s">
        <v>5</v>
      </c>
      <c r="V260" s="223" t="s">
        <v>5</v>
      </c>
      <c r="W260" s="223" t="s">
        <v>5</v>
      </c>
      <c r="X260" s="3" t="s">
        <v>5</v>
      </c>
      <c r="Y260" s="3" t="s">
        <v>651</v>
      </c>
      <c r="Z260" s="3" t="s">
        <v>651</v>
      </c>
      <c r="AA260" s="3" t="s">
        <v>6</v>
      </c>
      <c r="AB260" s="223">
        <v>44378</v>
      </c>
      <c r="AC260" s="3" t="s">
        <v>10</v>
      </c>
      <c r="AD260" s="3" t="s">
        <v>10</v>
      </c>
      <c r="AE260" s="95" t="s">
        <v>2263</v>
      </c>
    </row>
    <row r="261" spans="1:31" x14ac:dyDescent="0.35">
      <c r="A261" s="3" t="s">
        <v>988</v>
      </c>
      <c r="B261" s="3" t="s">
        <v>104</v>
      </c>
      <c r="C261" s="3">
        <v>10</v>
      </c>
      <c r="D261" s="95" t="s">
        <v>989</v>
      </c>
      <c r="E261" s="95" t="s">
        <v>2371</v>
      </c>
      <c r="F261" s="95" t="s">
        <v>2373</v>
      </c>
      <c r="G261" s="223">
        <v>44636</v>
      </c>
      <c r="H261" s="223">
        <v>44682</v>
      </c>
      <c r="I261" s="223">
        <v>46507</v>
      </c>
      <c r="J261" s="3">
        <v>8</v>
      </c>
      <c r="K261" s="3" t="s">
        <v>10</v>
      </c>
      <c r="L261" s="3" t="s">
        <v>10</v>
      </c>
      <c r="M261" s="95" t="s">
        <v>116</v>
      </c>
      <c r="N261" s="3" t="s">
        <v>117</v>
      </c>
      <c r="O261" s="3" t="s">
        <v>651</v>
      </c>
      <c r="P261" s="3" t="s">
        <v>6</v>
      </c>
      <c r="Q261" s="3" t="s">
        <v>6</v>
      </c>
      <c r="R261" s="95" t="s">
        <v>652</v>
      </c>
      <c r="S261" s="223" t="s">
        <v>5</v>
      </c>
      <c r="T261" s="223" t="s">
        <v>5</v>
      </c>
      <c r="U261" s="223" t="s">
        <v>5</v>
      </c>
      <c r="V261" s="223" t="s">
        <v>5</v>
      </c>
      <c r="W261" s="223" t="s">
        <v>5</v>
      </c>
      <c r="X261" s="3" t="s">
        <v>5</v>
      </c>
      <c r="Y261" s="3" t="s">
        <v>651</v>
      </c>
      <c r="Z261" s="3" t="s">
        <v>651</v>
      </c>
      <c r="AA261" s="3" t="s">
        <v>6</v>
      </c>
      <c r="AB261" s="223">
        <v>44378</v>
      </c>
      <c r="AC261" s="3" t="s">
        <v>6</v>
      </c>
      <c r="AD261" s="3" t="s">
        <v>10</v>
      </c>
      <c r="AE261" s="95" t="s">
        <v>2265</v>
      </c>
    </row>
    <row r="262" spans="1:31" x14ac:dyDescent="0.35">
      <c r="A262" s="3" t="s">
        <v>2374</v>
      </c>
      <c r="B262" s="3" t="s">
        <v>104</v>
      </c>
      <c r="C262" s="3">
        <v>10</v>
      </c>
      <c r="D262" s="95" t="s">
        <v>2375</v>
      </c>
      <c r="E262" s="95" t="s">
        <v>2371</v>
      </c>
      <c r="F262" s="95" t="s">
        <v>651</v>
      </c>
      <c r="G262" s="223">
        <v>39199</v>
      </c>
      <c r="H262" s="223">
        <v>39264</v>
      </c>
      <c r="I262" s="223">
        <v>41090</v>
      </c>
      <c r="J262" s="3">
        <v>2</v>
      </c>
      <c r="K262" s="3" t="s">
        <v>10</v>
      </c>
      <c r="L262" s="3" t="s">
        <v>10</v>
      </c>
      <c r="M262" s="95" t="s">
        <v>991</v>
      </c>
      <c r="N262" s="3" t="s">
        <v>68</v>
      </c>
      <c r="O262" s="3" t="s">
        <v>651</v>
      </c>
      <c r="P262" s="3" t="s">
        <v>6</v>
      </c>
      <c r="Q262" s="3" t="s">
        <v>10</v>
      </c>
      <c r="R262" s="95" t="s">
        <v>3235</v>
      </c>
      <c r="S262" s="223" t="s">
        <v>5</v>
      </c>
      <c r="T262" s="223" t="s">
        <v>5</v>
      </c>
      <c r="U262" s="223" t="s">
        <v>5</v>
      </c>
      <c r="V262" s="223" t="s">
        <v>5</v>
      </c>
      <c r="W262" s="223" t="s">
        <v>5</v>
      </c>
      <c r="X262" s="3" t="s">
        <v>5</v>
      </c>
      <c r="Y262" s="3" t="s">
        <v>651</v>
      </c>
      <c r="Z262" s="3" t="s">
        <v>651</v>
      </c>
      <c r="AA262" s="3" t="s">
        <v>651</v>
      </c>
      <c r="AB262" s="223" t="s">
        <v>5</v>
      </c>
      <c r="AC262" s="3" t="s">
        <v>651</v>
      </c>
      <c r="AD262" s="3" t="s">
        <v>651</v>
      </c>
      <c r="AE262" s="95" t="s">
        <v>651</v>
      </c>
    </row>
    <row r="263" spans="1:31" x14ac:dyDescent="0.35">
      <c r="A263" s="3" t="s">
        <v>990</v>
      </c>
      <c r="B263" s="3" t="s">
        <v>104</v>
      </c>
      <c r="C263" s="3">
        <v>10</v>
      </c>
      <c r="D263" s="95" t="s">
        <v>2376</v>
      </c>
      <c r="E263" s="95" t="s">
        <v>2371</v>
      </c>
      <c r="F263" s="95" t="s">
        <v>2373</v>
      </c>
      <c r="G263" s="223">
        <v>41855</v>
      </c>
      <c r="H263" s="223">
        <v>41897</v>
      </c>
      <c r="I263" s="223">
        <v>43722</v>
      </c>
      <c r="J263" s="3">
        <v>4</v>
      </c>
      <c r="K263" s="3" t="s">
        <v>10</v>
      </c>
      <c r="L263" s="3" t="s">
        <v>10</v>
      </c>
      <c r="M263" s="95" t="s">
        <v>991</v>
      </c>
      <c r="N263" s="3" t="s">
        <v>68</v>
      </c>
      <c r="O263" s="3" t="s">
        <v>651</v>
      </c>
      <c r="P263" s="3" t="s">
        <v>6</v>
      </c>
      <c r="Q263" s="3" t="s">
        <v>6</v>
      </c>
      <c r="R263" s="95" t="s">
        <v>652</v>
      </c>
      <c r="S263" s="223" t="s">
        <v>5</v>
      </c>
      <c r="T263" s="223" t="s">
        <v>5</v>
      </c>
      <c r="U263" s="223" t="s">
        <v>5</v>
      </c>
      <c r="V263" s="223" t="s">
        <v>5</v>
      </c>
      <c r="W263" s="223" t="s">
        <v>5</v>
      </c>
      <c r="X263" s="3" t="s">
        <v>5</v>
      </c>
      <c r="Y263" s="3" t="s">
        <v>651</v>
      </c>
      <c r="Z263" s="3" t="s">
        <v>651</v>
      </c>
      <c r="AA263" s="3" t="s">
        <v>6</v>
      </c>
      <c r="AB263" s="223">
        <v>44378</v>
      </c>
      <c r="AC263" s="3" t="s">
        <v>6</v>
      </c>
      <c r="AD263" s="3" t="s">
        <v>10</v>
      </c>
      <c r="AE263" s="95" t="s">
        <v>2263</v>
      </c>
    </row>
    <row r="264" spans="1:31" x14ac:dyDescent="0.35">
      <c r="A264" s="3" t="s">
        <v>1943</v>
      </c>
      <c r="B264" s="3" t="s">
        <v>104</v>
      </c>
      <c r="C264" s="3">
        <v>10</v>
      </c>
      <c r="D264" s="95" t="s">
        <v>1944</v>
      </c>
      <c r="E264" s="95" t="s">
        <v>2272</v>
      </c>
      <c r="F264" s="95" t="s">
        <v>437</v>
      </c>
      <c r="G264" s="223">
        <v>44211</v>
      </c>
      <c r="H264" s="223">
        <v>44256</v>
      </c>
      <c r="I264" s="223">
        <v>46081</v>
      </c>
      <c r="J264" s="3">
        <v>9</v>
      </c>
      <c r="K264" s="3" t="s">
        <v>6</v>
      </c>
      <c r="L264" s="3" t="s">
        <v>6</v>
      </c>
      <c r="M264" s="95" t="s">
        <v>27</v>
      </c>
      <c r="N264" s="3" t="s">
        <v>28</v>
      </c>
      <c r="O264" s="3" t="s">
        <v>25</v>
      </c>
      <c r="P264" s="3" t="s">
        <v>6</v>
      </c>
      <c r="Q264" s="3" t="s">
        <v>6</v>
      </c>
      <c r="R264" s="95" t="s">
        <v>22</v>
      </c>
      <c r="S264" s="223">
        <v>43374</v>
      </c>
      <c r="T264" s="223">
        <v>43553</v>
      </c>
      <c r="U264" s="223">
        <v>43009</v>
      </c>
      <c r="V264" s="223">
        <v>43009</v>
      </c>
      <c r="W264" s="223" t="s">
        <v>6</v>
      </c>
      <c r="X264" s="3" t="s">
        <v>26</v>
      </c>
      <c r="Y264" s="3" t="s">
        <v>2100</v>
      </c>
      <c r="Z264" s="3" t="s">
        <v>28</v>
      </c>
      <c r="AA264" s="3" t="s">
        <v>6</v>
      </c>
      <c r="AB264" s="223">
        <v>42159</v>
      </c>
      <c r="AC264" s="3" t="s">
        <v>6</v>
      </c>
      <c r="AD264" s="3" t="s">
        <v>10</v>
      </c>
      <c r="AE264" s="95" t="s">
        <v>2263</v>
      </c>
    </row>
    <row r="265" spans="1:31" x14ac:dyDescent="0.35">
      <c r="A265" s="3" t="s">
        <v>1945</v>
      </c>
      <c r="B265" s="3" t="s">
        <v>104</v>
      </c>
      <c r="C265" s="3">
        <v>10</v>
      </c>
      <c r="D265" s="95" t="s">
        <v>1946</v>
      </c>
      <c r="E265" s="95" t="s">
        <v>1912</v>
      </c>
      <c r="F265" s="95" t="s">
        <v>437</v>
      </c>
      <c r="G265" s="223">
        <v>44609</v>
      </c>
      <c r="H265" s="223">
        <v>44609</v>
      </c>
      <c r="I265" s="223">
        <v>46434</v>
      </c>
      <c r="J265" s="3">
        <v>31</v>
      </c>
      <c r="K265" s="3" t="s">
        <v>6</v>
      </c>
      <c r="L265" s="3" t="s">
        <v>6</v>
      </c>
      <c r="M265" s="95" t="s">
        <v>23</v>
      </c>
      <c r="N265" s="3" t="s">
        <v>24</v>
      </c>
      <c r="O265" s="3" t="s">
        <v>25</v>
      </c>
      <c r="P265" s="3" t="s">
        <v>6</v>
      </c>
      <c r="Q265" s="3" t="s">
        <v>6</v>
      </c>
      <c r="R265" s="95" t="s">
        <v>22</v>
      </c>
      <c r="S265" s="223">
        <v>43374</v>
      </c>
      <c r="T265" s="223">
        <v>43497</v>
      </c>
      <c r="U265" s="223">
        <v>42644</v>
      </c>
      <c r="V265" s="223">
        <v>42644</v>
      </c>
      <c r="W265" s="223" t="s">
        <v>6</v>
      </c>
      <c r="X265" s="3" t="s">
        <v>26</v>
      </c>
      <c r="Y265" s="3" t="s">
        <v>2093</v>
      </c>
      <c r="Z265" s="3" t="s">
        <v>24</v>
      </c>
      <c r="AA265" s="3" t="s">
        <v>6</v>
      </c>
      <c r="AB265" s="223">
        <v>42782</v>
      </c>
      <c r="AC265" s="3" t="s">
        <v>10</v>
      </c>
      <c r="AD265" s="3" t="s">
        <v>10</v>
      </c>
      <c r="AE265" s="95" t="s">
        <v>2263</v>
      </c>
    </row>
    <row r="266" spans="1:31" x14ac:dyDescent="0.35">
      <c r="A266" s="3" t="s">
        <v>1947</v>
      </c>
      <c r="B266" s="3" t="s">
        <v>104</v>
      </c>
      <c r="C266" s="3">
        <v>10</v>
      </c>
      <c r="D266" s="95" t="s">
        <v>1948</v>
      </c>
      <c r="E266" s="95" t="s">
        <v>2371</v>
      </c>
      <c r="F266" s="95" t="s">
        <v>2377</v>
      </c>
      <c r="G266" s="223">
        <v>44211</v>
      </c>
      <c r="H266" s="223">
        <v>44256</v>
      </c>
      <c r="I266" s="223">
        <v>46081</v>
      </c>
      <c r="J266" s="3">
        <v>247</v>
      </c>
      <c r="K266" s="3" t="s">
        <v>10</v>
      </c>
      <c r="L266" s="3" t="s">
        <v>10</v>
      </c>
      <c r="M266" s="95" t="s">
        <v>27</v>
      </c>
      <c r="N266" s="3" t="s">
        <v>28</v>
      </c>
      <c r="O266" s="3" t="s">
        <v>651</v>
      </c>
      <c r="P266" s="3" t="s">
        <v>6</v>
      </c>
      <c r="Q266" s="3" t="s">
        <v>6</v>
      </c>
      <c r="R266" s="95" t="s">
        <v>652</v>
      </c>
      <c r="S266" s="223" t="s">
        <v>5</v>
      </c>
      <c r="T266" s="223" t="s">
        <v>5</v>
      </c>
      <c r="U266" s="223" t="s">
        <v>5</v>
      </c>
      <c r="V266" s="223" t="s">
        <v>5</v>
      </c>
      <c r="W266" s="223" t="s">
        <v>5</v>
      </c>
      <c r="X266" s="3" t="s">
        <v>5</v>
      </c>
      <c r="Y266" s="3" t="s">
        <v>651</v>
      </c>
      <c r="Z266" s="3" t="s">
        <v>651</v>
      </c>
      <c r="AA266" s="3" t="s">
        <v>6</v>
      </c>
      <c r="AB266" s="223">
        <v>42159</v>
      </c>
      <c r="AC266" s="3" t="s">
        <v>6</v>
      </c>
      <c r="AD266" s="3" t="s">
        <v>10</v>
      </c>
      <c r="AE266" s="95" t="s">
        <v>2263</v>
      </c>
    </row>
    <row r="267" spans="1:31" x14ac:dyDescent="0.35">
      <c r="A267" s="3" t="s">
        <v>1949</v>
      </c>
      <c r="B267" s="3" t="s">
        <v>104</v>
      </c>
      <c r="C267" s="3">
        <v>10</v>
      </c>
      <c r="D267" s="95" t="s">
        <v>1950</v>
      </c>
      <c r="E267" s="95" t="s">
        <v>2371</v>
      </c>
      <c r="F267" s="95" t="s">
        <v>2373</v>
      </c>
      <c r="G267" s="223">
        <v>44571</v>
      </c>
      <c r="H267" s="223">
        <v>44602</v>
      </c>
      <c r="I267" s="223">
        <v>46427</v>
      </c>
      <c r="J267" s="3">
        <v>1614</v>
      </c>
      <c r="K267" s="3" t="s">
        <v>10</v>
      </c>
      <c r="L267" s="3" t="s">
        <v>10</v>
      </c>
      <c r="M267" s="95" t="s">
        <v>23</v>
      </c>
      <c r="N267" s="3" t="s">
        <v>24</v>
      </c>
      <c r="O267" s="3" t="s">
        <v>651</v>
      </c>
      <c r="P267" s="3" t="s">
        <v>6</v>
      </c>
      <c r="Q267" s="3" t="s">
        <v>6</v>
      </c>
      <c r="R267" s="95" t="s">
        <v>652</v>
      </c>
      <c r="S267" s="223" t="s">
        <v>5</v>
      </c>
      <c r="T267" s="223" t="s">
        <v>5</v>
      </c>
      <c r="U267" s="223" t="s">
        <v>5</v>
      </c>
      <c r="V267" s="223" t="s">
        <v>5</v>
      </c>
      <c r="W267" s="223" t="s">
        <v>5</v>
      </c>
      <c r="X267" s="3" t="s">
        <v>5</v>
      </c>
      <c r="Y267" s="3" t="s">
        <v>651</v>
      </c>
      <c r="Z267" s="3" t="s">
        <v>651</v>
      </c>
      <c r="AA267" s="3" t="s">
        <v>6</v>
      </c>
      <c r="AB267" s="223">
        <v>42782</v>
      </c>
      <c r="AC267" s="3" t="s">
        <v>10</v>
      </c>
      <c r="AD267" s="3" t="s">
        <v>10</v>
      </c>
      <c r="AE267" s="95" t="s">
        <v>2263</v>
      </c>
    </row>
    <row r="268" spans="1:31" x14ac:dyDescent="0.35">
      <c r="A268" s="3" t="s">
        <v>118</v>
      </c>
      <c r="B268" s="3" t="s">
        <v>119</v>
      </c>
      <c r="C268" s="3">
        <v>5</v>
      </c>
      <c r="D268" s="95" t="s">
        <v>120</v>
      </c>
      <c r="E268" s="95" t="s">
        <v>121</v>
      </c>
      <c r="F268" s="95" t="s">
        <v>4</v>
      </c>
      <c r="G268" s="223">
        <v>40106</v>
      </c>
      <c r="H268" s="223">
        <v>40118</v>
      </c>
      <c r="I268" s="223">
        <v>41912</v>
      </c>
      <c r="J268" s="3">
        <v>40</v>
      </c>
      <c r="K268" s="3" t="s">
        <v>10</v>
      </c>
      <c r="L268" s="3" t="s">
        <v>6</v>
      </c>
      <c r="M268" s="95" t="s">
        <v>105</v>
      </c>
      <c r="N268" s="3" t="s">
        <v>106</v>
      </c>
      <c r="O268" s="3" t="s">
        <v>49</v>
      </c>
      <c r="P268" s="3" t="s">
        <v>6</v>
      </c>
      <c r="Q268" s="3" t="s">
        <v>6</v>
      </c>
      <c r="R268" s="95" t="s">
        <v>50</v>
      </c>
      <c r="S268" s="223">
        <v>43437</v>
      </c>
      <c r="T268" s="223">
        <v>43602</v>
      </c>
      <c r="U268" s="223">
        <v>43252</v>
      </c>
      <c r="V268" s="223">
        <v>43252</v>
      </c>
      <c r="W268" s="223" t="s">
        <v>6</v>
      </c>
      <c r="X268" s="3" t="s">
        <v>51</v>
      </c>
      <c r="Y268" s="3" t="s">
        <v>2132</v>
      </c>
      <c r="Z268" s="3" t="s">
        <v>106</v>
      </c>
      <c r="AA268" s="3" t="s">
        <v>10</v>
      </c>
      <c r="AB268" s="223" t="s">
        <v>5</v>
      </c>
      <c r="AC268" s="3" t="s">
        <v>10</v>
      </c>
      <c r="AD268" s="3" t="s">
        <v>6</v>
      </c>
      <c r="AE268" s="95" t="s">
        <v>2265</v>
      </c>
    </row>
    <row r="269" spans="1:31" x14ac:dyDescent="0.35">
      <c r="A269" s="3" t="s">
        <v>122</v>
      </c>
      <c r="B269" s="3" t="s">
        <v>119</v>
      </c>
      <c r="C269" s="3">
        <v>5</v>
      </c>
      <c r="D269" s="95" t="s">
        <v>123</v>
      </c>
      <c r="E269" s="95" t="s">
        <v>124</v>
      </c>
      <c r="F269" s="95" t="s">
        <v>4</v>
      </c>
      <c r="G269" s="223">
        <v>44699</v>
      </c>
      <c r="H269" s="223">
        <v>44713</v>
      </c>
      <c r="I269" s="223">
        <v>46538</v>
      </c>
      <c r="J269" s="3">
        <v>81</v>
      </c>
      <c r="K269" s="3" t="s">
        <v>10</v>
      </c>
      <c r="L269" s="3" t="s">
        <v>6</v>
      </c>
      <c r="M269" s="95" t="s">
        <v>47</v>
      </c>
      <c r="N269" s="3" t="s">
        <v>48</v>
      </c>
      <c r="O269" s="3" t="s">
        <v>49</v>
      </c>
      <c r="P269" s="3" t="s">
        <v>6</v>
      </c>
      <c r="Q269" s="3" t="s">
        <v>6</v>
      </c>
      <c r="R269" s="95" t="s">
        <v>50</v>
      </c>
      <c r="S269" s="223">
        <v>43437</v>
      </c>
      <c r="T269" s="223">
        <v>43747</v>
      </c>
      <c r="U269" s="223">
        <v>43405</v>
      </c>
      <c r="V269" s="223">
        <v>43405</v>
      </c>
      <c r="W269" s="223" t="s">
        <v>6</v>
      </c>
      <c r="X269" s="3" t="s">
        <v>26</v>
      </c>
      <c r="Y269" s="3" t="s">
        <v>2929</v>
      </c>
      <c r="Z269" s="3" t="s">
        <v>2924</v>
      </c>
      <c r="AA269" s="3" t="s">
        <v>10</v>
      </c>
      <c r="AB269" s="223" t="s">
        <v>5</v>
      </c>
      <c r="AC269" s="3" t="s">
        <v>6</v>
      </c>
      <c r="AD269" s="3" t="s">
        <v>6</v>
      </c>
      <c r="AE269" s="95" t="s">
        <v>2265</v>
      </c>
    </row>
    <row r="270" spans="1:31" x14ac:dyDescent="0.35">
      <c r="A270" s="3" t="s">
        <v>125</v>
      </c>
      <c r="B270" s="3" t="s">
        <v>119</v>
      </c>
      <c r="C270" s="3">
        <v>5</v>
      </c>
      <c r="D270" s="95" t="s">
        <v>126</v>
      </c>
      <c r="E270" s="95" t="s">
        <v>127</v>
      </c>
      <c r="F270" s="95" t="s">
        <v>4</v>
      </c>
      <c r="G270" s="223">
        <v>44699</v>
      </c>
      <c r="H270" s="223">
        <v>44713</v>
      </c>
      <c r="I270" s="223">
        <v>46538</v>
      </c>
      <c r="J270" s="3">
        <v>246</v>
      </c>
      <c r="K270" s="3" t="s">
        <v>10</v>
      </c>
      <c r="L270" s="3" t="s">
        <v>6</v>
      </c>
      <c r="M270" s="95" t="s">
        <v>47</v>
      </c>
      <c r="N270" s="3" t="s">
        <v>48</v>
      </c>
      <c r="O270" s="3" t="s">
        <v>49</v>
      </c>
      <c r="P270" s="3" t="s">
        <v>6</v>
      </c>
      <c r="Q270" s="3" t="s">
        <v>6</v>
      </c>
      <c r="R270" s="95" t="s">
        <v>50</v>
      </c>
      <c r="S270" s="223">
        <v>43437</v>
      </c>
      <c r="T270" s="223">
        <v>43747</v>
      </c>
      <c r="U270" s="223">
        <v>43405</v>
      </c>
      <c r="V270" s="223">
        <v>43405</v>
      </c>
      <c r="W270" s="223" t="s">
        <v>6</v>
      </c>
      <c r="X270" s="3" t="s">
        <v>26</v>
      </c>
      <c r="Y270" s="3" t="s">
        <v>2929</v>
      </c>
      <c r="Z270" s="3" t="s">
        <v>2924</v>
      </c>
      <c r="AA270" s="3" t="s">
        <v>10</v>
      </c>
      <c r="AB270" s="223" t="s">
        <v>5</v>
      </c>
      <c r="AC270" s="3" t="s">
        <v>6</v>
      </c>
      <c r="AD270" s="3" t="s">
        <v>6</v>
      </c>
      <c r="AE270" s="95" t="s">
        <v>2265</v>
      </c>
    </row>
    <row r="271" spans="1:31" x14ac:dyDescent="0.35">
      <c r="A271" s="3" t="s">
        <v>128</v>
      </c>
      <c r="B271" s="3" t="s">
        <v>119</v>
      </c>
      <c r="C271" s="3">
        <v>5</v>
      </c>
      <c r="D271" s="95" t="s">
        <v>129</v>
      </c>
      <c r="E271" s="95" t="s">
        <v>130</v>
      </c>
      <c r="F271" s="95" t="s">
        <v>4</v>
      </c>
      <c r="G271" s="223">
        <v>44699</v>
      </c>
      <c r="H271" s="223">
        <v>44713</v>
      </c>
      <c r="I271" s="223">
        <v>46538</v>
      </c>
      <c r="J271" s="3">
        <v>25</v>
      </c>
      <c r="K271" s="3" t="s">
        <v>10</v>
      </c>
      <c r="L271" s="3" t="s">
        <v>6</v>
      </c>
      <c r="M271" s="95" t="s">
        <v>47</v>
      </c>
      <c r="N271" s="3" t="s">
        <v>48</v>
      </c>
      <c r="O271" s="3" t="s">
        <v>49</v>
      </c>
      <c r="P271" s="3" t="s">
        <v>6</v>
      </c>
      <c r="Q271" s="3" t="s">
        <v>6</v>
      </c>
      <c r="R271" s="95" t="s">
        <v>50</v>
      </c>
      <c r="S271" s="223">
        <v>43437</v>
      </c>
      <c r="T271" s="223">
        <v>43747</v>
      </c>
      <c r="U271" s="223">
        <v>43405</v>
      </c>
      <c r="V271" s="223">
        <v>43405</v>
      </c>
      <c r="W271" s="223" t="s">
        <v>6</v>
      </c>
      <c r="X271" s="3" t="s">
        <v>26</v>
      </c>
      <c r="Y271" s="3" t="s">
        <v>2929</v>
      </c>
      <c r="Z271" s="3" t="s">
        <v>2924</v>
      </c>
      <c r="AA271" s="3" t="s">
        <v>10</v>
      </c>
      <c r="AB271" s="223" t="s">
        <v>5</v>
      </c>
      <c r="AC271" s="3" t="s">
        <v>6</v>
      </c>
      <c r="AD271" s="3" t="s">
        <v>6</v>
      </c>
      <c r="AE271" s="95" t="s">
        <v>2265</v>
      </c>
    </row>
    <row r="272" spans="1:31" x14ac:dyDescent="0.35">
      <c r="A272" s="3" t="s">
        <v>3247</v>
      </c>
      <c r="B272" s="3" t="s">
        <v>119</v>
      </c>
      <c r="C272" s="3">
        <v>5</v>
      </c>
      <c r="D272" s="95" t="s">
        <v>3248</v>
      </c>
      <c r="E272" s="95" t="s">
        <v>3249</v>
      </c>
      <c r="F272" s="95" t="s">
        <v>4</v>
      </c>
      <c r="G272" s="223">
        <v>44118</v>
      </c>
      <c r="H272" s="223">
        <v>44136</v>
      </c>
      <c r="I272" s="223">
        <v>45930</v>
      </c>
      <c r="J272" s="3">
        <v>251</v>
      </c>
      <c r="K272" s="3" t="s">
        <v>10</v>
      </c>
      <c r="L272" s="3" t="s">
        <v>6</v>
      </c>
      <c r="M272" s="95" t="s">
        <v>47</v>
      </c>
      <c r="N272" s="3" t="s">
        <v>48</v>
      </c>
      <c r="O272" s="3" t="s">
        <v>49</v>
      </c>
      <c r="P272" s="3" t="s">
        <v>6</v>
      </c>
      <c r="Q272" s="3" t="s">
        <v>6</v>
      </c>
      <c r="R272" s="95" t="s">
        <v>50</v>
      </c>
      <c r="S272" s="223">
        <v>43437</v>
      </c>
      <c r="T272" s="223">
        <v>43747</v>
      </c>
      <c r="U272" s="223">
        <v>43405</v>
      </c>
      <c r="V272" s="223">
        <v>43405</v>
      </c>
      <c r="W272" s="223" t="s">
        <v>6</v>
      </c>
      <c r="X272" s="3" t="s">
        <v>26</v>
      </c>
      <c r="Y272" s="3" t="s">
        <v>2929</v>
      </c>
      <c r="Z272" s="3" t="s">
        <v>2924</v>
      </c>
      <c r="AA272" s="3" t="s">
        <v>10</v>
      </c>
      <c r="AB272" s="223" t="s">
        <v>5</v>
      </c>
      <c r="AC272" s="3" t="s">
        <v>6</v>
      </c>
      <c r="AD272" s="3" t="s">
        <v>10</v>
      </c>
      <c r="AE272" s="95" t="s">
        <v>2265</v>
      </c>
    </row>
    <row r="273" spans="1:31" x14ac:dyDescent="0.35">
      <c r="A273" s="3" t="s">
        <v>132</v>
      </c>
      <c r="B273" s="3" t="s">
        <v>119</v>
      </c>
      <c r="C273" s="3">
        <v>5</v>
      </c>
      <c r="D273" s="95" t="s">
        <v>133</v>
      </c>
      <c r="E273" s="95" t="s">
        <v>134</v>
      </c>
      <c r="F273" s="95" t="s">
        <v>4</v>
      </c>
      <c r="G273" s="223">
        <v>42902</v>
      </c>
      <c r="H273" s="223">
        <v>42917</v>
      </c>
      <c r="I273" s="223">
        <v>44712</v>
      </c>
      <c r="J273" s="3">
        <v>186</v>
      </c>
      <c r="K273" s="3" t="s">
        <v>10</v>
      </c>
      <c r="L273" s="3" t="s">
        <v>6</v>
      </c>
      <c r="M273" s="95" t="s">
        <v>116</v>
      </c>
      <c r="N273" s="3" t="s">
        <v>117</v>
      </c>
      <c r="O273" s="3" t="s">
        <v>17</v>
      </c>
      <c r="P273" s="3" t="s">
        <v>6</v>
      </c>
      <c r="Q273" s="3" t="s">
        <v>6</v>
      </c>
      <c r="R273" s="95" t="s">
        <v>50</v>
      </c>
      <c r="S273" s="223">
        <v>43591</v>
      </c>
      <c r="T273" s="223">
        <v>43651</v>
      </c>
      <c r="U273" s="223">
        <v>43616</v>
      </c>
      <c r="V273" s="223">
        <v>43616</v>
      </c>
      <c r="W273" s="223" t="s">
        <v>6</v>
      </c>
      <c r="X273" s="3" t="s">
        <v>26</v>
      </c>
      <c r="Y273" s="3" t="s">
        <v>2935</v>
      </c>
      <c r="Z273" s="3" t="s">
        <v>2924</v>
      </c>
      <c r="AA273" s="3" t="s">
        <v>10</v>
      </c>
      <c r="AB273" s="223" t="s">
        <v>5</v>
      </c>
      <c r="AC273" s="3" t="s">
        <v>6</v>
      </c>
      <c r="AD273" s="3" t="s">
        <v>10</v>
      </c>
      <c r="AE273" s="95" t="s">
        <v>2265</v>
      </c>
    </row>
    <row r="274" spans="1:31" x14ac:dyDescent="0.35">
      <c r="A274" s="3" t="s">
        <v>135</v>
      </c>
      <c r="B274" s="3" t="s">
        <v>119</v>
      </c>
      <c r="C274" s="3">
        <v>5</v>
      </c>
      <c r="D274" s="95" t="s">
        <v>136</v>
      </c>
      <c r="E274" s="95" t="s">
        <v>137</v>
      </c>
      <c r="F274" s="95" t="s">
        <v>4</v>
      </c>
      <c r="G274" s="223">
        <v>43213</v>
      </c>
      <c r="H274" s="223">
        <v>43221</v>
      </c>
      <c r="I274" s="223">
        <v>45016</v>
      </c>
      <c r="J274" s="3">
        <v>45</v>
      </c>
      <c r="K274" s="3" t="s">
        <v>10</v>
      </c>
      <c r="L274" s="3" t="s">
        <v>6</v>
      </c>
      <c r="M274" s="95" t="s">
        <v>136</v>
      </c>
      <c r="N274" s="3" t="s">
        <v>138</v>
      </c>
      <c r="O274" s="3" t="s">
        <v>8</v>
      </c>
      <c r="P274" s="3" t="s">
        <v>6</v>
      </c>
      <c r="Q274" s="3" t="s">
        <v>6</v>
      </c>
      <c r="R274" s="95" t="s">
        <v>50</v>
      </c>
      <c r="S274" s="223">
        <v>43759</v>
      </c>
      <c r="T274" s="223">
        <v>43819</v>
      </c>
      <c r="U274" s="223">
        <v>43800</v>
      </c>
      <c r="V274" s="223">
        <v>43800</v>
      </c>
      <c r="W274" s="223" t="s">
        <v>6</v>
      </c>
      <c r="X274" s="3" t="s">
        <v>26</v>
      </c>
      <c r="Y274" s="3" t="s">
        <v>2954</v>
      </c>
      <c r="Z274" s="3" t="s">
        <v>2249</v>
      </c>
      <c r="AA274" s="3" t="s">
        <v>10</v>
      </c>
      <c r="AB274" s="223" t="s">
        <v>5</v>
      </c>
      <c r="AC274" s="3" t="s">
        <v>6</v>
      </c>
      <c r="AD274" s="3" t="s">
        <v>10</v>
      </c>
      <c r="AE274" s="95" t="s">
        <v>2263</v>
      </c>
    </row>
    <row r="275" spans="1:31" x14ac:dyDescent="0.35">
      <c r="A275" s="3" t="s">
        <v>139</v>
      </c>
      <c r="B275" s="3" t="s">
        <v>119</v>
      </c>
      <c r="C275" s="3">
        <v>5</v>
      </c>
      <c r="D275" s="95" t="s">
        <v>140</v>
      </c>
      <c r="E275" s="95" t="s">
        <v>141</v>
      </c>
      <c r="F275" s="95" t="s">
        <v>4</v>
      </c>
      <c r="G275" s="223">
        <v>43525</v>
      </c>
      <c r="H275" s="223">
        <v>43525</v>
      </c>
      <c r="I275" s="223">
        <v>45351</v>
      </c>
      <c r="J275" s="3">
        <v>147</v>
      </c>
      <c r="K275" s="3" t="s">
        <v>10</v>
      </c>
      <c r="L275" s="3" t="s">
        <v>6</v>
      </c>
      <c r="M275" s="95" t="s">
        <v>114</v>
      </c>
      <c r="N275" s="3" t="s">
        <v>115</v>
      </c>
      <c r="O275" s="3" t="s">
        <v>49</v>
      </c>
      <c r="P275" s="3" t="s">
        <v>6</v>
      </c>
      <c r="Q275" s="3" t="s">
        <v>6</v>
      </c>
      <c r="R275" s="95" t="s">
        <v>50</v>
      </c>
      <c r="S275" s="223">
        <v>43528</v>
      </c>
      <c r="T275" s="223">
        <v>43588</v>
      </c>
      <c r="U275" s="223">
        <v>43221</v>
      </c>
      <c r="V275" s="223">
        <v>43221</v>
      </c>
      <c r="W275" s="223" t="s">
        <v>6</v>
      </c>
      <c r="X275" s="3" t="s">
        <v>51</v>
      </c>
      <c r="Y275" s="3" t="s">
        <v>3192</v>
      </c>
      <c r="Z275" s="3" t="s">
        <v>62</v>
      </c>
      <c r="AA275" s="3" t="s">
        <v>10</v>
      </c>
      <c r="AB275" s="223" t="s">
        <v>5</v>
      </c>
      <c r="AC275" s="3" t="s">
        <v>6</v>
      </c>
      <c r="AD275" s="3" t="s">
        <v>10</v>
      </c>
      <c r="AE275" s="95" t="s">
        <v>2263</v>
      </c>
    </row>
    <row r="276" spans="1:31" x14ac:dyDescent="0.35">
      <c r="A276" s="3" t="s">
        <v>142</v>
      </c>
      <c r="B276" s="3" t="s">
        <v>119</v>
      </c>
      <c r="C276" s="3">
        <v>5</v>
      </c>
      <c r="D276" s="95" t="s">
        <v>143</v>
      </c>
      <c r="E276" s="95" t="s">
        <v>496</v>
      </c>
      <c r="F276" s="95" t="s">
        <v>437</v>
      </c>
      <c r="G276" s="223">
        <v>44818</v>
      </c>
      <c r="H276" s="223">
        <v>44835</v>
      </c>
      <c r="I276" s="223">
        <v>46660</v>
      </c>
      <c r="J276" s="3">
        <v>499</v>
      </c>
      <c r="K276" s="3" t="s">
        <v>10</v>
      </c>
      <c r="L276" s="3" t="s">
        <v>6</v>
      </c>
      <c r="M276" s="95" t="s">
        <v>19</v>
      </c>
      <c r="N276" s="3" t="s">
        <v>20</v>
      </c>
      <c r="O276" s="3" t="s">
        <v>21</v>
      </c>
      <c r="P276" s="3" t="s">
        <v>6</v>
      </c>
      <c r="Q276" s="3" t="s">
        <v>6</v>
      </c>
      <c r="R276" s="95" t="s">
        <v>50</v>
      </c>
      <c r="S276" s="223">
        <v>43675</v>
      </c>
      <c r="T276" s="223">
        <v>43756</v>
      </c>
      <c r="U276" s="223">
        <v>43647</v>
      </c>
      <c r="V276" s="223">
        <v>43647</v>
      </c>
      <c r="W276" s="223" t="s">
        <v>6</v>
      </c>
      <c r="X276" s="3" t="s">
        <v>26</v>
      </c>
      <c r="Y276" s="3" t="s">
        <v>2119</v>
      </c>
      <c r="Z276" s="3" t="s">
        <v>20</v>
      </c>
      <c r="AA276" s="3" t="s">
        <v>6</v>
      </c>
      <c r="AB276" s="223">
        <v>45674</v>
      </c>
      <c r="AC276" s="3" t="s">
        <v>10</v>
      </c>
      <c r="AD276" s="3" t="s">
        <v>10</v>
      </c>
      <c r="AE276" s="95" t="s">
        <v>2263</v>
      </c>
    </row>
    <row r="277" spans="1:31" x14ac:dyDescent="0.35">
      <c r="A277" s="3" t="s">
        <v>144</v>
      </c>
      <c r="B277" s="3" t="s">
        <v>119</v>
      </c>
      <c r="C277" s="3">
        <v>5</v>
      </c>
      <c r="D277" s="95" t="s">
        <v>3250</v>
      </c>
      <c r="E277" s="95" t="s">
        <v>426</v>
      </c>
      <c r="F277" s="95" t="s">
        <v>4</v>
      </c>
      <c r="G277" s="223">
        <v>37736</v>
      </c>
      <c r="H277" s="223">
        <v>37773</v>
      </c>
      <c r="I277" s="223">
        <v>39599</v>
      </c>
      <c r="J277" s="3">
        <v>35</v>
      </c>
      <c r="K277" s="3" t="s">
        <v>10</v>
      </c>
      <c r="L277" s="3" t="s">
        <v>6</v>
      </c>
      <c r="M277" s="95" t="s">
        <v>3251</v>
      </c>
      <c r="N277" s="3" t="s">
        <v>146</v>
      </c>
      <c r="O277" s="3" t="s">
        <v>147</v>
      </c>
      <c r="P277" s="3" t="s">
        <v>6</v>
      </c>
      <c r="Q277" s="3" t="s">
        <v>6</v>
      </c>
      <c r="R277" s="95" t="s">
        <v>50</v>
      </c>
      <c r="S277" s="223">
        <v>43920</v>
      </c>
      <c r="T277" s="223">
        <v>43959</v>
      </c>
      <c r="U277" s="223">
        <v>43684</v>
      </c>
      <c r="V277" s="223">
        <v>43684</v>
      </c>
      <c r="W277" s="223" t="s">
        <v>6</v>
      </c>
      <c r="X277" s="3" t="s">
        <v>26</v>
      </c>
      <c r="Y277" s="3" t="s">
        <v>2930</v>
      </c>
      <c r="Z277" s="3" t="s">
        <v>2924</v>
      </c>
      <c r="AA277" s="3" t="s">
        <v>10</v>
      </c>
      <c r="AB277" s="223" t="s">
        <v>5</v>
      </c>
      <c r="AC277" s="3" t="s">
        <v>6</v>
      </c>
      <c r="AD277" s="3" t="s">
        <v>10</v>
      </c>
      <c r="AE277" s="95" t="s">
        <v>2265</v>
      </c>
    </row>
    <row r="278" spans="1:31" x14ac:dyDescent="0.35">
      <c r="A278" s="3" t="s">
        <v>148</v>
      </c>
      <c r="B278" s="3" t="s">
        <v>119</v>
      </c>
      <c r="C278" s="3">
        <v>5</v>
      </c>
      <c r="D278" s="95" t="s">
        <v>149</v>
      </c>
      <c r="E278" s="95" t="s">
        <v>150</v>
      </c>
      <c r="F278" s="95" t="s">
        <v>4</v>
      </c>
      <c r="G278" s="223">
        <v>42830</v>
      </c>
      <c r="H278" s="223">
        <v>42830</v>
      </c>
      <c r="I278" s="223">
        <v>44651</v>
      </c>
      <c r="J278" s="3">
        <v>2440</v>
      </c>
      <c r="K278" s="3" t="s">
        <v>10</v>
      </c>
      <c r="L278" s="3" t="s">
        <v>6</v>
      </c>
      <c r="M278" s="95" t="s">
        <v>27</v>
      </c>
      <c r="N278" s="3" t="s">
        <v>28</v>
      </c>
      <c r="O278" s="3" t="s">
        <v>25</v>
      </c>
      <c r="P278" s="3" t="s">
        <v>6</v>
      </c>
      <c r="Q278" s="3" t="s">
        <v>6</v>
      </c>
      <c r="R278" s="95" t="s">
        <v>50</v>
      </c>
      <c r="S278" s="223">
        <v>43374</v>
      </c>
      <c r="T278" s="223">
        <v>43553</v>
      </c>
      <c r="U278" s="223">
        <v>43433</v>
      </c>
      <c r="V278" s="223">
        <v>43433</v>
      </c>
      <c r="W278" s="223" t="s">
        <v>6</v>
      </c>
      <c r="X278" s="3" t="s">
        <v>26</v>
      </c>
      <c r="Y278" s="3" t="s">
        <v>2102</v>
      </c>
      <c r="Z278" s="3" t="s">
        <v>28</v>
      </c>
      <c r="AA278" s="3" t="s">
        <v>2372</v>
      </c>
      <c r="AB278" s="223" t="s">
        <v>5</v>
      </c>
      <c r="AC278" s="3" t="s">
        <v>6</v>
      </c>
      <c r="AD278" s="3" t="s">
        <v>10</v>
      </c>
      <c r="AE278" s="95" t="s">
        <v>2263</v>
      </c>
    </row>
    <row r="279" spans="1:31" x14ac:dyDescent="0.35">
      <c r="A279" s="3" t="s">
        <v>151</v>
      </c>
      <c r="B279" s="3" t="s">
        <v>119</v>
      </c>
      <c r="C279" s="3">
        <v>5</v>
      </c>
      <c r="D279" s="95" t="s">
        <v>152</v>
      </c>
      <c r="E279" s="95" t="s">
        <v>153</v>
      </c>
      <c r="F279" s="95" t="s">
        <v>437</v>
      </c>
      <c r="G279" s="223">
        <v>45182</v>
      </c>
      <c r="H279" s="223">
        <v>45191</v>
      </c>
      <c r="I279" s="223">
        <v>46996</v>
      </c>
      <c r="J279" s="3">
        <v>1000</v>
      </c>
      <c r="K279" s="3" t="s">
        <v>10</v>
      </c>
      <c r="L279" s="3" t="s">
        <v>6</v>
      </c>
      <c r="M279" s="95" t="s">
        <v>23</v>
      </c>
      <c r="N279" s="3" t="s">
        <v>24</v>
      </c>
      <c r="O279" s="3" t="s">
        <v>25</v>
      </c>
      <c r="P279" s="3" t="s">
        <v>6</v>
      </c>
      <c r="Q279" s="3" t="s">
        <v>6</v>
      </c>
      <c r="R279" s="95" t="s">
        <v>50</v>
      </c>
      <c r="S279" s="223">
        <v>43374</v>
      </c>
      <c r="T279" s="223">
        <v>43497</v>
      </c>
      <c r="U279" s="223">
        <v>43433</v>
      </c>
      <c r="V279" s="223">
        <v>43433</v>
      </c>
      <c r="W279" s="223" t="s">
        <v>6</v>
      </c>
      <c r="X279" s="3" t="s">
        <v>26</v>
      </c>
      <c r="Y279" s="3" t="s">
        <v>2095</v>
      </c>
      <c r="Z279" s="3" t="s">
        <v>24</v>
      </c>
      <c r="AA279" s="3" t="s">
        <v>6</v>
      </c>
      <c r="AB279" s="223">
        <v>44113</v>
      </c>
      <c r="AC279" s="3" t="s">
        <v>10</v>
      </c>
      <c r="AD279" s="3" t="s">
        <v>10</v>
      </c>
      <c r="AE279" s="95" t="s">
        <v>2263</v>
      </c>
    </row>
    <row r="280" spans="1:31" x14ac:dyDescent="0.35">
      <c r="A280" s="3" t="s">
        <v>154</v>
      </c>
      <c r="B280" s="3" t="s">
        <v>119</v>
      </c>
      <c r="C280" s="3">
        <v>5</v>
      </c>
      <c r="D280" s="95" t="s">
        <v>155</v>
      </c>
      <c r="E280" s="95" t="s">
        <v>497</v>
      </c>
      <c r="F280" s="95" t="s">
        <v>4</v>
      </c>
      <c r="G280" s="223">
        <v>42410</v>
      </c>
      <c r="H280" s="223">
        <v>42430</v>
      </c>
      <c r="I280" s="223">
        <v>44255</v>
      </c>
      <c r="J280" s="3">
        <v>493</v>
      </c>
      <c r="K280" s="3" t="s">
        <v>10</v>
      </c>
      <c r="L280" s="3" t="s">
        <v>6</v>
      </c>
      <c r="M280" s="95" t="s">
        <v>2555</v>
      </c>
      <c r="N280" s="3" t="s">
        <v>52</v>
      </c>
      <c r="O280" s="3" t="s">
        <v>17</v>
      </c>
      <c r="P280" s="3" t="s">
        <v>6</v>
      </c>
      <c r="Q280" s="3" t="s">
        <v>6</v>
      </c>
      <c r="R280" s="95" t="s">
        <v>50</v>
      </c>
      <c r="S280" s="223">
        <v>43591</v>
      </c>
      <c r="T280" s="223">
        <v>43749</v>
      </c>
      <c r="U280" s="223">
        <v>43679</v>
      </c>
      <c r="V280" s="223">
        <v>43679</v>
      </c>
      <c r="W280" s="223" t="s">
        <v>6</v>
      </c>
      <c r="X280" s="3" t="s">
        <v>26</v>
      </c>
      <c r="Y280" s="3" t="s">
        <v>2125</v>
      </c>
      <c r="Z280" s="3" t="s">
        <v>52</v>
      </c>
      <c r="AA280" s="3" t="s">
        <v>10</v>
      </c>
      <c r="AB280" s="223" t="s">
        <v>5</v>
      </c>
      <c r="AC280" s="3" t="s">
        <v>10</v>
      </c>
      <c r="AD280" s="3" t="s">
        <v>6</v>
      </c>
      <c r="AE280" s="95" t="s">
        <v>2265</v>
      </c>
    </row>
    <row r="281" spans="1:31" x14ac:dyDescent="0.35">
      <c r="A281" s="3" t="s">
        <v>2379</v>
      </c>
      <c r="B281" s="3" t="s">
        <v>577</v>
      </c>
      <c r="C281" s="3">
        <v>5</v>
      </c>
      <c r="D281" s="95" t="s">
        <v>653</v>
      </c>
      <c r="E281" s="95" t="s">
        <v>3023</v>
      </c>
      <c r="F281" s="95" t="s">
        <v>2381</v>
      </c>
      <c r="G281" s="223" t="s">
        <v>5</v>
      </c>
      <c r="H281" s="223" t="s">
        <v>5</v>
      </c>
      <c r="I281" s="223" t="s">
        <v>5</v>
      </c>
      <c r="J281" s="3">
        <v>1500</v>
      </c>
      <c r="K281" s="3" t="s">
        <v>10</v>
      </c>
      <c r="L281" s="3" t="s">
        <v>10</v>
      </c>
      <c r="M281" s="95" t="s">
        <v>27</v>
      </c>
      <c r="N281" s="3" t="s">
        <v>28</v>
      </c>
      <c r="O281" s="3" t="s">
        <v>651</v>
      </c>
      <c r="P281" s="3" t="s">
        <v>6</v>
      </c>
      <c r="Q281" s="3" t="s">
        <v>6</v>
      </c>
      <c r="R281" s="95" t="s">
        <v>652</v>
      </c>
      <c r="S281" s="223" t="s">
        <v>5</v>
      </c>
      <c r="T281" s="223" t="s">
        <v>5</v>
      </c>
      <c r="U281" s="223" t="s">
        <v>5</v>
      </c>
      <c r="V281" s="223" t="s">
        <v>5</v>
      </c>
      <c r="W281" s="223" t="s">
        <v>5</v>
      </c>
      <c r="X281" s="3" t="s">
        <v>5</v>
      </c>
      <c r="Y281" s="3" t="s">
        <v>651</v>
      </c>
      <c r="Z281" s="3" t="s">
        <v>651</v>
      </c>
      <c r="AA281" s="3" t="s">
        <v>6</v>
      </c>
      <c r="AB281" s="223">
        <v>40330</v>
      </c>
      <c r="AC281" s="3" t="s">
        <v>6</v>
      </c>
      <c r="AD281" s="3" t="s">
        <v>10</v>
      </c>
      <c r="AE281" s="95" t="s">
        <v>2263</v>
      </c>
    </row>
    <row r="282" spans="1:31" x14ac:dyDescent="0.35">
      <c r="A282" s="3" t="s">
        <v>994</v>
      </c>
      <c r="B282" s="3" t="s">
        <v>577</v>
      </c>
      <c r="C282" s="3">
        <v>5</v>
      </c>
      <c r="D282" s="95" t="s">
        <v>66</v>
      </c>
      <c r="E282" s="95" t="s">
        <v>2383</v>
      </c>
      <c r="F282" s="95" t="s">
        <v>4</v>
      </c>
      <c r="G282" s="223">
        <v>44134</v>
      </c>
      <c r="H282" s="223">
        <v>44136</v>
      </c>
      <c r="I282" s="223">
        <v>45961</v>
      </c>
      <c r="J282" s="3">
        <v>55</v>
      </c>
      <c r="K282" s="3" t="s">
        <v>10</v>
      </c>
      <c r="L282" s="3" t="s">
        <v>10</v>
      </c>
      <c r="M282" s="95" t="s">
        <v>201</v>
      </c>
      <c r="N282" s="3" t="s">
        <v>68</v>
      </c>
      <c r="O282" s="3" t="s">
        <v>651</v>
      </c>
      <c r="P282" s="3" t="s">
        <v>6</v>
      </c>
      <c r="Q282" s="3" t="s">
        <v>6</v>
      </c>
      <c r="R282" s="95" t="s">
        <v>2382</v>
      </c>
      <c r="S282" s="223" t="s">
        <v>5</v>
      </c>
      <c r="T282" s="223" t="s">
        <v>5</v>
      </c>
      <c r="U282" s="223" t="s">
        <v>5</v>
      </c>
      <c r="V282" s="223" t="s">
        <v>5</v>
      </c>
      <c r="W282" s="223" t="s">
        <v>5</v>
      </c>
      <c r="X282" s="3" t="s">
        <v>5</v>
      </c>
      <c r="Y282" s="3" t="s">
        <v>651</v>
      </c>
      <c r="Z282" s="3" t="s">
        <v>651</v>
      </c>
      <c r="AA282" s="3" t="s">
        <v>10</v>
      </c>
      <c r="AB282" s="223" t="s">
        <v>5</v>
      </c>
      <c r="AC282" s="3" t="s">
        <v>6</v>
      </c>
      <c r="AD282" s="3" t="s">
        <v>10</v>
      </c>
      <c r="AE282" s="95" t="s">
        <v>2263</v>
      </c>
    </row>
    <row r="283" spans="1:31" x14ac:dyDescent="0.35">
      <c r="A283" s="3" t="s">
        <v>995</v>
      </c>
      <c r="B283" s="3" t="s">
        <v>577</v>
      </c>
      <c r="C283" s="3">
        <v>5</v>
      </c>
      <c r="D283" s="95" t="s">
        <v>996</v>
      </c>
      <c r="E283" s="95" t="s">
        <v>2384</v>
      </c>
      <c r="F283" s="95" t="s">
        <v>4</v>
      </c>
      <c r="G283" s="223">
        <v>44134</v>
      </c>
      <c r="H283" s="223">
        <v>44136</v>
      </c>
      <c r="I283" s="223">
        <v>45961</v>
      </c>
      <c r="J283" s="3">
        <v>29</v>
      </c>
      <c r="K283" s="3" t="s">
        <v>10</v>
      </c>
      <c r="L283" s="3" t="s">
        <v>10</v>
      </c>
      <c r="M283" s="95" t="s">
        <v>173</v>
      </c>
      <c r="N283" s="3" t="s">
        <v>174</v>
      </c>
      <c r="O283" s="3" t="s">
        <v>651</v>
      </c>
      <c r="P283" s="3" t="s">
        <v>6</v>
      </c>
      <c r="Q283" s="3" t="s">
        <v>6</v>
      </c>
      <c r="R283" s="95" t="s">
        <v>2382</v>
      </c>
      <c r="S283" s="223" t="s">
        <v>5</v>
      </c>
      <c r="T283" s="223" t="s">
        <v>5</v>
      </c>
      <c r="U283" s="223" t="s">
        <v>5</v>
      </c>
      <c r="V283" s="223" t="s">
        <v>5</v>
      </c>
      <c r="W283" s="223" t="s">
        <v>5</v>
      </c>
      <c r="X283" s="3" t="s">
        <v>5</v>
      </c>
      <c r="Y283" s="3" t="s">
        <v>651</v>
      </c>
      <c r="Z283" s="3" t="s">
        <v>651</v>
      </c>
      <c r="AA283" s="3" t="s">
        <v>10</v>
      </c>
      <c r="AB283" s="223" t="s">
        <v>5</v>
      </c>
      <c r="AC283" s="3" t="s">
        <v>6</v>
      </c>
      <c r="AD283" s="3" t="s">
        <v>10</v>
      </c>
      <c r="AE283" s="95" t="s">
        <v>2265</v>
      </c>
    </row>
    <row r="284" spans="1:31" x14ac:dyDescent="0.35">
      <c r="A284" s="3" t="s">
        <v>997</v>
      </c>
      <c r="B284" s="3" t="s">
        <v>577</v>
      </c>
      <c r="C284" s="3">
        <v>5</v>
      </c>
      <c r="D284" s="95" t="s">
        <v>998</v>
      </c>
      <c r="E284" s="95" t="s">
        <v>2385</v>
      </c>
      <c r="F284" s="95" t="s">
        <v>4</v>
      </c>
      <c r="G284" s="223">
        <v>44134</v>
      </c>
      <c r="H284" s="223">
        <v>44136</v>
      </c>
      <c r="I284" s="223">
        <v>45961</v>
      </c>
      <c r="J284" s="3">
        <v>36</v>
      </c>
      <c r="K284" s="3" t="s">
        <v>10</v>
      </c>
      <c r="L284" s="3" t="s">
        <v>10</v>
      </c>
      <c r="M284" s="95" t="s">
        <v>933</v>
      </c>
      <c r="N284" s="3" t="s">
        <v>62</v>
      </c>
      <c r="O284" s="3" t="s">
        <v>651</v>
      </c>
      <c r="P284" s="3" t="s">
        <v>6</v>
      </c>
      <c r="Q284" s="3" t="s">
        <v>6</v>
      </c>
      <c r="R284" s="95" t="s">
        <v>2382</v>
      </c>
      <c r="S284" s="223" t="s">
        <v>5</v>
      </c>
      <c r="T284" s="223" t="s">
        <v>5</v>
      </c>
      <c r="U284" s="223" t="s">
        <v>5</v>
      </c>
      <c r="V284" s="223" t="s">
        <v>5</v>
      </c>
      <c r="W284" s="223" t="s">
        <v>5</v>
      </c>
      <c r="X284" s="3" t="s">
        <v>5</v>
      </c>
      <c r="Y284" s="3" t="s">
        <v>651</v>
      </c>
      <c r="Z284" s="3" t="s">
        <v>651</v>
      </c>
      <c r="AA284" s="3" t="s">
        <v>10</v>
      </c>
      <c r="AB284" s="223" t="s">
        <v>5</v>
      </c>
      <c r="AC284" s="3" t="s">
        <v>6</v>
      </c>
      <c r="AD284" s="3" t="s">
        <v>10</v>
      </c>
      <c r="AE284" s="95" t="s">
        <v>2265</v>
      </c>
    </row>
    <row r="285" spans="1:31" x14ac:dyDescent="0.35">
      <c r="A285" s="3" t="s">
        <v>2386</v>
      </c>
      <c r="B285" s="3" t="s">
        <v>577</v>
      </c>
      <c r="C285" s="3">
        <v>5</v>
      </c>
      <c r="D285" s="95" t="s">
        <v>2387</v>
      </c>
      <c r="E285" s="95" t="s">
        <v>5</v>
      </c>
      <c r="F285" s="95" t="s">
        <v>4</v>
      </c>
      <c r="G285" s="223" t="s">
        <v>5</v>
      </c>
      <c r="H285" s="223" t="s">
        <v>5</v>
      </c>
      <c r="I285" s="223" t="s">
        <v>5</v>
      </c>
      <c r="J285" s="3">
        <v>1</v>
      </c>
      <c r="K285" s="3" t="s">
        <v>10</v>
      </c>
      <c r="L285" s="3" t="s">
        <v>10</v>
      </c>
      <c r="M285" s="95" t="s">
        <v>47</v>
      </c>
      <c r="N285" s="3" t="s">
        <v>48</v>
      </c>
      <c r="O285" s="3" t="s">
        <v>651</v>
      </c>
      <c r="P285" s="3" t="s">
        <v>6</v>
      </c>
      <c r="Q285" s="3" t="s">
        <v>6</v>
      </c>
      <c r="R285" s="95" t="s">
        <v>2382</v>
      </c>
      <c r="S285" s="223" t="s">
        <v>5</v>
      </c>
      <c r="T285" s="223" t="s">
        <v>5</v>
      </c>
      <c r="U285" s="223" t="s">
        <v>5</v>
      </c>
      <c r="V285" s="223" t="s">
        <v>5</v>
      </c>
      <c r="W285" s="223" t="s">
        <v>5</v>
      </c>
      <c r="X285" s="3" t="s">
        <v>5</v>
      </c>
      <c r="Y285" s="3" t="s">
        <v>651</v>
      </c>
      <c r="Z285" s="3" t="s">
        <v>651</v>
      </c>
      <c r="AA285" s="3" t="s">
        <v>10</v>
      </c>
      <c r="AB285" s="223" t="s">
        <v>5</v>
      </c>
      <c r="AC285" s="3" t="s">
        <v>10</v>
      </c>
      <c r="AD285" s="3" t="s">
        <v>10</v>
      </c>
      <c r="AE285" s="95" t="s">
        <v>2265</v>
      </c>
    </row>
    <row r="286" spans="1:31" x14ac:dyDescent="0.35">
      <c r="A286" s="3" t="s">
        <v>2388</v>
      </c>
      <c r="B286" s="3" t="s">
        <v>577</v>
      </c>
      <c r="C286" s="3">
        <v>5</v>
      </c>
      <c r="D286" s="95" t="s">
        <v>54</v>
      </c>
      <c r="E286" s="95" t="s">
        <v>2389</v>
      </c>
      <c r="F286" s="95" t="s">
        <v>4</v>
      </c>
      <c r="G286" s="223">
        <v>43903</v>
      </c>
      <c r="H286" s="223">
        <v>43922</v>
      </c>
      <c r="I286" s="223">
        <v>45747</v>
      </c>
      <c r="J286" s="3">
        <v>4</v>
      </c>
      <c r="K286" s="3" t="s">
        <v>10</v>
      </c>
      <c r="L286" s="3" t="s">
        <v>10</v>
      </c>
      <c r="M286" s="95" t="s">
        <v>27</v>
      </c>
      <c r="N286" s="3" t="s">
        <v>55</v>
      </c>
      <c r="O286" s="3" t="s">
        <v>651</v>
      </c>
      <c r="P286" s="3" t="s">
        <v>6</v>
      </c>
      <c r="Q286" s="3" t="s">
        <v>6</v>
      </c>
      <c r="R286" s="95" t="s">
        <v>2382</v>
      </c>
      <c r="S286" s="223" t="s">
        <v>5</v>
      </c>
      <c r="T286" s="223" t="s">
        <v>5</v>
      </c>
      <c r="U286" s="223" t="s">
        <v>5</v>
      </c>
      <c r="V286" s="223" t="s">
        <v>5</v>
      </c>
      <c r="W286" s="223" t="s">
        <v>5</v>
      </c>
      <c r="X286" s="3" t="s">
        <v>5</v>
      </c>
      <c r="Y286" s="3" t="s">
        <v>651</v>
      </c>
      <c r="Z286" s="3" t="s">
        <v>651</v>
      </c>
      <c r="AA286" s="3" t="s">
        <v>10</v>
      </c>
      <c r="AB286" s="223" t="s">
        <v>5</v>
      </c>
      <c r="AC286" s="3" t="s">
        <v>6</v>
      </c>
      <c r="AD286" s="3" t="s">
        <v>10</v>
      </c>
      <c r="AE286" s="95" t="s">
        <v>2263</v>
      </c>
    </row>
    <row r="287" spans="1:31" x14ac:dyDescent="0.35">
      <c r="A287" s="3" t="s">
        <v>999</v>
      </c>
      <c r="B287" s="3" t="s">
        <v>577</v>
      </c>
      <c r="C287" s="3">
        <v>5</v>
      </c>
      <c r="D287" s="95" t="s">
        <v>1000</v>
      </c>
      <c r="E287" s="95" t="s">
        <v>2390</v>
      </c>
      <c r="F287" s="95" t="s">
        <v>4</v>
      </c>
      <c r="G287" s="223">
        <v>44104</v>
      </c>
      <c r="H287" s="223">
        <v>44105</v>
      </c>
      <c r="I287" s="223">
        <v>45930</v>
      </c>
      <c r="J287" s="3">
        <v>90</v>
      </c>
      <c r="K287" s="3" t="s">
        <v>10</v>
      </c>
      <c r="L287" s="3" t="s">
        <v>10</v>
      </c>
      <c r="M287" s="95" t="s">
        <v>114</v>
      </c>
      <c r="N287" s="3" t="s">
        <v>115</v>
      </c>
      <c r="O287" s="3" t="s">
        <v>651</v>
      </c>
      <c r="P287" s="3" t="s">
        <v>6</v>
      </c>
      <c r="Q287" s="3" t="s">
        <v>6</v>
      </c>
      <c r="R287" s="95" t="s">
        <v>2382</v>
      </c>
      <c r="S287" s="223" t="s">
        <v>5</v>
      </c>
      <c r="T287" s="223" t="s">
        <v>5</v>
      </c>
      <c r="U287" s="223" t="s">
        <v>5</v>
      </c>
      <c r="V287" s="223" t="s">
        <v>5</v>
      </c>
      <c r="W287" s="223" t="s">
        <v>5</v>
      </c>
      <c r="X287" s="3" t="s">
        <v>5</v>
      </c>
      <c r="Y287" s="3" t="s">
        <v>651</v>
      </c>
      <c r="Z287" s="3" t="s">
        <v>651</v>
      </c>
      <c r="AA287" s="3" t="s">
        <v>10</v>
      </c>
      <c r="AB287" s="223" t="s">
        <v>5</v>
      </c>
      <c r="AC287" s="3" t="s">
        <v>6</v>
      </c>
      <c r="AD287" s="3" t="s">
        <v>10</v>
      </c>
      <c r="AE287" s="95" t="s">
        <v>2265</v>
      </c>
    </row>
    <row r="288" spans="1:31" x14ac:dyDescent="0.35">
      <c r="A288" s="3" t="s">
        <v>1001</v>
      </c>
      <c r="B288" s="3" t="s">
        <v>577</v>
      </c>
      <c r="C288" s="3">
        <v>5</v>
      </c>
      <c r="D288" s="95" t="s">
        <v>1002</v>
      </c>
      <c r="E288" s="95" t="s">
        <v>2391</v>
      </c>
      <c r="F288" s="95" t="s">
        <v>4</v>
      </c>
      <c r="G288" s="223">
        <v>44133</v>
      </c>
      <c r="H288" s="223">
        <v>44136</v>
      </c>
      <c r="I288" s="223">
        <v>45961</v>
      </c>
      <c r="J288" s="3">
        <v>4</v>
      </c>
      <c r="K288" s="3" t="s">
        <v>10</v>
      </c>
      <c r="L288" s="3" t="s">
        <v>10</v>
      </c>
      <c r="M288" s="95" t="s">
        <v>136</v>
      </c>
      <c r="N288" s="3" t="s">
        <v>138</v>
      </c>
      <c r="O288" s="3" t="s">
        <v>651</v>
      </c>
      <c r="P288" s="3" t="s">
        <v>6</v>
      </c>
      <c r="Q288" s="3" t="s">
        <v>6</v>
      </c>
      <c r="R288" s="95" t="s">
        <v>2382</v>
      </c>
      <c r="S288" s="223" t="s">
        <v>5</v>
      </c>
      <c r="T288" s="223" t="s">
        <v>5</v>
      </c>
      <c r="U288" s="223" t="s">
        <v>5</v>
      </c>
      <c r="V288" s="223" t="s">
        <v>5</v>
      </c>
      <c r="W288" s="223" t="s">
        <v>5</v>
      </c>
      <c r="X288" s="3" t="s">
        <v>5</v>
      </c>
      <c r="Y288" s="3" t="s">
        <v>651</v>
      </c>
      <c r="Z288" s="3" t="s">
        <v>651</v>
      </c>
      <c r="AA288" s="3" t="s">
        <v>10</v>
      </c>
      <c r="AB288" s="223" t="s">
        <v>5</v>
      </c>
      <c r="AC288" s="3" t="s">
        <v>6</v>
      </c>
      <c r="AD288" s="3" t="s">
        <v>10</v>
      </c>
      <c r="AE288" s="95" t="s">
        <v>2263</v>
      </c>
    </row>
    <row r="289" spans="1:31" x14ac:dyDescent="0.35">
      <c r="A289" s="3" t="s">
        <v>1003</v>
      </c>
      <c r="B289" s="3" t="s">
        <v>577</v>
      </c>
      <c r="C289" s="3">
        <v>5</v>
      </c>
      <c r="D289" s="95" t="s">
        <v>1004</v>
      </c>
      <c r="E289" s="95" t="s">
        <v>2392</v>
      </c>
      <c r="F289" s="95" t="s">
        <v>4</v>
      </c>
      <c r="G289" s="223">
        <v>44497</v>
      </c>
      <c r="H289" s="223">
        <v>44500</v>
      </c>
      <c r="I289" s="223">
        <v>46325</v>
      </c>
      <c r="J289" s="3">
        <v>0</v>
      </c>
      <c r="K289" s="3" t="s">
        <v>10</v>
      </c>
      <c r="L289" s="3" t="s">
        <v>10</v>
      </c>
      <c r="M289" s="95" t="s">
        <v>19</v>
      </c>
      <c r="N289" s="3" t="s">
        <v>20</v>
      </c>
      <c r="O289" s="3" t="s">
        <v>651</v>
      </c>
      <c r="P289" s="3" t="s">
        <v>6</v>
      </c>
      <c r="Q289" s="3" t="s">
        <v>6</v>
      </c>
      <c r="R289" s="95" t="s">
        <v>2382</v>
      </c>
      <c r="S289" s="223" t="s">
        <v>5</v>
      </c>
      <c r="T289" s="223" t="s">
        <v>5</v>
      </c>
      <c r="U289" s="223" t="s">
        <v>5</v>
      </c>
      <c r="V289" s="223" t="s">
        <v>5</v>
      </c>
      <c r="W289" s="223" t="s">
        <v>5</v>
      </c>
      <c r="X289" s="3" t="s">
        <v>5</v>
      </c>
      <c r="Y289" s="3" t="s">
        <v>651</v>
      </c>
      <c r="Z289" s="3" t="s">
        <v>651</v>
      </c>
      <c r="AA289" s="3" t="s">
        <v>10</v>
      </c>
      <c r="AB289" s="223" t="s">
        <v>5</v>
      </c>
      <c r="AC289" s="3" t="s">
        <v>6</v>
      </c>
      <c r="AD289" s="3" t="s">
        <v>10</v>
      </c>
      <c r="AE289" s="95" t="s">
        <v>2263</v>
      </c>
    </row>
    <row r="290" spans="1:31" x14ac:dyDescent="0.35">
      <c r="A290" s="3" t="s">
        <v>3020</v>
      </c>
      <c r="B290" s="3" t="s">
        <v>577</v>
      </c>
      <c r="C290" s="3">
        <v>5</v>
      </c>
      <c r="D290" s="95" t="s">
        <v>654</v>
      </c>
      <c r="E290" s="95" t="s">
        <v>2380</v>
      </c>
      <c r="F290" s="95" t="s">
        <v>4</v>
      </c>
      <c r="G290" s="223" t="s">
        <v>5</v>
      </c>
      <c r="H290" s="223" t="s">
        <v>5</v>
      </c>
      <c r="I290" s="223" t="s">
        <v>5</v>
      </c>
      <c r="J290" s="3">
        <v>186</v>
      </c>
      <c r="K290" s="3" t="s">
        <v>10</v>
      </c>
      <c r="L290" s="3" t="s">
        <v>10</v>
      </c>
      <c r="M290" s="95" t="s">
        <v>2555</v>
      </c>
      <c r="N290" s="3" t="s">
        <v>52</v>
      </c>
      <c r="O290" s="3" t="s">
        <v>651</v>
      </c>
      <c r="P290" s="3" t="s">
        <v>6</v>
      </c>
      <c r="Q290" s="3" t="s">
        <v>6</v>
      </c>
      <c r="R290" s="95" t="s">
        <v>2382</v>
      </c>
      <c r="S290" s="223" t="s">
        <v>5</v>
      </c>
      <c r="T290" s="223" t="s">
        <v>5</v>
      </c>
      <c r="U290" s="223" t="s">
        <v>5</v>
      </c>
      <c r="V290" s="223" t="s">
        <v>5</v>
      </c>
      <c r="W290" s="223" t="s">
        <v>5</v>
      </c>
      <c r="X290" s="3" t="s">
        <v>5</v>
      </c>
      <c r="Y290" s="3" t="s">
        <v>651</v>
      </c>
      <c r="Z290" s="3" t="s">
        <v>651</v>
      </c>
      <c r="AA290" s="3" t="s">
        <v>10</v>
      </c>
      <c r="AB290" s="223" t="s">
        <v>5</v>
      </c>
      <c r="AC290" s="3" t="s">
        <v>10</v>
      </c>
      <c r="AD290" s="3" t="s">
        <v>6</v>
      </c>
      <c r="AE290" s="95" t="s">
        <v>2265</v>
      </c>
    </row>
    <row r="291" spans="1:31" x14ac:dyDescent="0.35">
      <c r="A291" s="3" t="s">
        <v>3021</v>
      </c>
      <c r="B291" s="3" t="s">
        <v>577</v>
      </c>
      <c r="C291" s="3">
        <v>5</v>
      </c>
      <c r="D291" s="95" t="s">
        <v>650</v>
      </c>
      <c r="E291" s="95" t="s">
        <v>3022</v>
      </c>
      <c r="F291" s="95" t="s">
        <v>2378</v>
      </c>
      <c r="G291" s="223">
        <v>44548</v>
      </c>
      <c r="H291" s="223">
        <v>44548</v>
      </c>
      <c r="I291" s="223">
        <v>46373</v>
      </c>
      <c r="J291" s="3">
        <v>8000</v>
      </c>
      <c r="K291" s="3" t="s">
        <v>10</v>
      </c>
      <c r="L291" s="3" t="s">
        <v>10</v>
      </c>
      <c r="M291" s="95" t="s">
        <v>23</v>
      </c>
      <c r="N291" s="3" t="s">
        <v>24</v>
      </c>
      <c r="O291" s="3" t="s">
        <v>651</v>
      </c>
      <c r="P291" s="3" t="s">
        <v>6</v>
      </c>
      <c r="Q291" s="3" t="s">
        <v>6</v>
      </c>
      <c r="R291" s="95" t="s">
        <v>652</v>
      </c>
      <c r="S291" s="223" t="s">
        <v>5</v>
      </c>
      <c r="T291" s="223" t="s">
        <v>5</v>
      </c>
      <c r="U291" s="223" t="s">
        <v>5</v>
      </c>
      <c r="V291" s="223" t="s">
        <v>5</v>
      </c>
      <c r="W291" s="223" t="s">
        <v>5</v>
      </c>
      <c r="X291" s="3" t="s">
        <v>5</v>
      </c>
      <c r="Y291" s="3" t="s">
        <v>651</v>
      </c>
      <c r="Z291" s="3" t="s">
        <v>651</v>
      </c>
      <c r="AA291" s="3" t="s">
        <v>6</v>
      </c>
      <c r="AB291" s="223">
        <v>43556</v>
      </c>
      <c r="AC291" s="3" t="s">
        <v>10</v>
      </c>
      <c r="AD291" s="3" t="s">
        <v>10</v>
      </c>
      <c r="AE291" s="95" t="s">
        <v>2263</v>
      </c>
    </row>
    <row r="292" spans="1:31" x14ac:dyDescent="0.35">
      <c r="A292" s="3" t="s">
        <v>156</v>
      </c>
      <c r="B292" s="3" t="s">
        <v>157</v>
      </c>
      <c r="C292" s="3">
        <v>9</v>
      </c>
      <c r="D292" s="95" t="s">
        <v>3148</v>
      </c>
      <c r="E292" s="95" t="s">
        <v>422</v>
      </c>
      <c r="F292" s="95" t="s">
        <v>437</v>
      </c>
      <c r="G292" s="223">
        <v>44455</v>
      </c>
      <c r="H292" s="223">
        <v>44500</v>
      </c>
      <c r="I292" s="223">
        <v>46326</v>
      </c>
      <c r="J292" s="3">
        <v>0</v>
      </c>
      <c r="K292" s="3" t="s">
        <v>6</v>
      </c>
      <c r="L292" s="3" t="s">
        <v>6</v>
      </c>
      <c r="M292" s="95" t="s">
        <v>19</v>
      </c>
      <c r="N292" s="3" t="s">
        <v>20</v>
      </c>
      <c r="O292" s="3" t="s">
        <v>21</v>
      </c>
      <c r="P292" s="3" t="s">
        <v>6</v>
      </c>
      <c r="Q292" s="3" t="s">
        <v>6</v>
      </c>
      <c r="R292" s="95" t="s">
        <v>22</v>
      </c>
      <c r="S292" s="223">
        <v>43675</v>
      </c>
      <c r="T292" s="223">
        <v>43756</v>
      </c>
      <c r="U292" s="223">
        <v>43647</v>
      </c>
      <c r="V292" s="223">
        <v>43647</v>
      </c>
      <c r="W292" s="223" t="s">
        <v>6</v>
      </c>
      <c r="X292" s="3" t="s">
        <v>26</v>
      </c>
      <c r="Y292" s="3" t="s">
        <v>2116</v>
      </c>
      <c r="Z292" s="3" t="s">
        <v>20</v>
      </c>
      <c r="AA292" s="3" t="s">
        <v>6</v>
      </c>
      <c r="AB292" s="223">
        <v>44442</v>
      </c>
      <c r="AC292" s="3" t="s">
        <v>10</v>
      </c>
      <c r="AD292" s="3" t="s">
        <v>10</v>
      </c>
      <c r="AE292" s="95" t="s">
        <v>2263</v>
      </c>
    </row>
    <row r="293" spans="1:31" x14ac:dyDescent="0.35">
      <c r="A293" s="3" t="s">
        <v>158</v>
      </c>
      <c r="B293" s="3" t="s">
        <v>157</v>
      </c>
      <c r="C293" s="3">
        <v>9</v>
      </c>
      <c r="D293" s="95" t="s">
        <v>159</v>
      </c>
      <c r="E293" s="95" t="s">
        <v>2272</v>
      </c>
      <c r="F293" s="95" t="s">
        <v>437</v>
      </c>
      <c r="G293" s="223">
        <v>44211</v>
      </c>
      <c r="H293" s="223">
        <v>44256</v>
      </c>
      <c r="I293" s="223">
        <v>46081</v>
      </c>
      <c r="J293" s="3">
        <v>0</v>
      </c>
      <c r="K293" s="3" t="s">
        <v>6</v>
      </c>
      <c r="L293" s="3" t="s">
        <v>6</v>
      </c>
      <c r="M293" s="95" t="s">
        <v>27</v>
      </c>
      <c r="N293" s="3" t="s">
        <v>28</v>
      </c>
      <c r="O293" s="3" t="s">
        <v>25</v>
      </c>
      <c r="P293" s="3" t="s">
        <v>6</v>
      </c>
      <c r="Q293" s="3" t="s">
        <v>6</v>
      </c>
      <c r="R293" s="95" t="s">
        <v>22</v>
      </c>
      <c r="S293" s="223">
        <v>43374</v>
      </c>
      <c r="T293" s="223">
        <v>43553</v>
      </c>
      <c r="U293" s="223">
        <v>43009</v>
      </c>
      <c r="V293" s="223">
        <v>43009</v>
      </c>
      <c r="W293" s="223" t="s">
        <v>6</v>
      </c>
      <c r="X293" s="3" t="s">
        <v>26</v>
      </c>
      <c r="Y293" s="3" t="s">
        <v>2100</v>
      </c>
      <c r="Z293" s="3" t="s">
        <v>28</v>
      </c>
      <c r="AA293" s="3" t="s">
        <v>6</v>
      </c>
      <c r="AB293" s="223">
        <v>42159</v>
      </c>
      <c r="AC293" s="3" t="s">
        <v>6</v>
      </c>
      <c r="AD293" s="3" t="s">
        <v>10</v>
      </c>
      <c r="AE293" s="95" t="s">
        <v>2263</v>
      </c>
    </row>
    <row r="294" spans="1:31" x14ac:dyDescent="0.35">
      <c r="A294" s="3" t="s">
        <v>160</v>
      </c>
      <c r="B294" s="3" t="s">
        <v>157</v>
      </c>
      <c r="C294" s="3">
        <v>9</v>
      </c>
      <c r="D294" s="95" t="s">
        <v>1951</v>
      </c>
      <c r="E294" s="95" t="s">
        <v>1912</v>
      </c>
      <c r="F294" s="95" t="s">
        <v>437</v>
      </c>
      <c r="G294" s="223">
        <v>44609</v>
      </c>
      <c r="H294" s="223">
        <v>44609</v>
      </c>
      <c r="I294" s="223">
        <v>46434</v>
      </c>
      <c r="J294" s="3">
        <v>0</v>
      </c>
      <c r="K294" s="3" t="s">
        <v>6</v>
      </c>
      <c r="L294" s="3" t="s">
        <v>6</v>
      </c>
      <c r="M294" s="95" t="s">
        <v>23</v>
      </c>
      <c r="N294" s="3" t="s">
        <v>24</v>
      </c>
      <c r="O294" s="3" t="s">
        <v>25</v>
      </c>
      <c r="P294" s="3" t="s">
        <v>6</v>
      </c>
      <c r="Q294" s="3" t="s">
        <v>6</v>
      </c>
      <c r="R294" s="95" t="s">
        <v>22</v>
      </c>
      <c r="S294" s="223">
        <v>43374</v>
      </c>
      <c r="T294" s="223">
        <v>43497</v>
      </c>
      <c r="U294" s="223">
        <v>42644</v>
      </c>
      <c r="V294" s="223">
        <v>42644</v>
      </c>
      <c r="W294" s="223" t="s">
        <v>6</v>
      </c>
      <c r="X294" s="3" t="s">
        <v>26</v>
      </c>
      <c r="Y294" s="3" t="s">
        <v>2093</v>
      </c>
      <c r="Z294" s="3" t="s">
        <v>24</v>
      </c>
      <c r="AA294" s="3" t="s">
        <v>6</v>
      </c>
      <c r="AB294" s="223">
        <v>42782</v>
      </c>
      <c r="AC294" s="3" t="s">
        <v>10</v>
      </c>
      <c r="AD294" s="3" t="s">
        <v>10</v>
      </c>
      <c r="AE294" s="95" t="s">
        <v>2263</v>
      </c>
    </row>
    <row r="295" spans="1:31" x14ac:dyDescent="0.35">
      <c r="A295" s="3" t="s">
        <v>1005</v>
      </c>
      <c r="B295" s="3" t="s">
        <v>162</v>
      </c>
      <c r="C295" s="3">
        <v>7</v>
      </c>
      <c r="D295" s="95" t="s">
        <v>136</v>
      </c>
      <c r="E295" s="95" t="s">
        <v>1006</v>
      </c>
      <c r="F295" s="95" t="s">
        <v>4</v>
      </c>
      <c r="G295" s="223">
        <v>40968</v>
      </c>
      <c r="H295" s="223" t="s">
        <v>5</v>
      </c>
      <c r="I295" s="223">
        <v>42794</v>
      </c>
      <c r="J295" s="3">
        <v>38</v>
      </c>
      <c r="K295" s="3" t="s">
        <v>10</v>
      </c>
      <c r="L295" s="3" t="s">
        <v>10</v>
      </c>
      <c r="M295" s="95" t="s">
        <v>136</v>
      </c>
      <c r="N295" s="3" t="s">
        <v>138</v>
      </c>
      <c r="O295" s="3" t="s">
        <v>651</v>
      </c>
      <c r="P295" s="3" t="s">
        <v>6</v>
      </c>
      <c r="Q295" s="3" t="s">
        <v>6</v>
      </c>
      <c r="R295" s="95" t="s">
        <v>652</v>
      </c>
      <c r="S295" s="223" t="s">
        <v>5</v>
      </c>
      <c r="T295" s="223" t="s">
        <v>5</v>
      </c>
      <c r="U295" s="223" t="s">
        <v>5</v>
      </c>
      <c r="V295" s="223" t="s">
        <v>5</v>
      </c>
      <c r="W295" s="223" t="s">
        <v>5</v>
      </c>
      <c r="X295" s="3" t="s">
        <v>5</v>
      </c>
      <c r="Y295" s="3" t="s">
        <v>651</v>
      </c>
      <c r="Z295" s="3" t="s">
        <v>651</v>
      </c>
      <c r="AA295" s="3" t="s">
        <v>10</v>
      </c>
      <c r="AB295" s="223" t="s">
        <v>5</v>
      </c>
      <c r="AC295" s="3" t="s">
        <v>6</v>
      </c>
      <c r="AD295" s="3" t="s">
        <v>10</v>
      </c>
      <c r="AE295" s="95" t="s">
        <v>2263</v>
      </c>
    </row>
    <row r="296" spans="1:31" x14ac:dyDescent="0.35">
      <c r="A296" s="3" t="s">
        <v>1007</v>
      </c>
      <c r="B296" s="3" t="s">
        <v>162</v>
      </c>
      <c r="C296" s="3">
        <v>7</v>
      </c>
      <c r="D296" s="95" t="s">
        <v>1008</v>
      </c>
      <c r="E296" s="95" t="s">
        <v>1009</v>
      </c>
      <c r="F296" s="95" t="s">
        <v>4</v>
      </c>
      <c r="G296" s="223">
        <v>39355</v>
      </c>
      <c r="H296" s="223">
        <v>41548</v>
      </c>
      <c r="I296" s="223">
        <v>43008</v>
      </c>
      <c r="J296" s="3">
        <v>165</v>
      </c>
      <c r="K296" s="3" t="s">
        <v>10</v>
      </c>
      <c r="L296" s="3" t="s">
        <v>10</v>
      </c>
      <c r="M296" s="95" t="s">
        <v>230</v>
      </c>
      <c r="N296" s="3" t="s">
        <v>28</v>
      </c>
      <c r="O296" s="3" t="s">
        <v>651</v>
      </c>
      <c r="P296" s="3" t="s">
        <v>6</v>
      </c>
      <c r="Q296" s="3" t="s">
        <v>6</v>
      </c>
      <c r="R296" s="95" t="s">
        <v>652</v>
      </c>
      <c r="S296" s="223" t="s">
        <v>5</v>
      </c>
      <c r="T296" s="223" t="s">
        <v>5</v>
      </c>
      <c r="U296" s="223" t="s">
        <v>5</v>
      </c>
      <c r="V296" s="223" t="s">
        <v>5</v>
      </c>
      <c r="W296" s="223" t="s">
        <v>5</v>
      </c>
      <c r="X296" s="3" t="s">
        <v>5</v>
      </c>
      <c r="Y296" s="3" t="s">
        <v>651</v>
      </c>
      <c r="Z296" s="3" t="s">
        <v>651</v>
      </c>
      <c r="AA296" s="3" t="s">
        <v>10</v>
      </c>
      <c r="AB296" s="223" t="s">
        <v>5</v>
      </c>
      <c r="AC296" s="3" t="s">
        <v>6</v>
      </c>
      <c r="AD296" s="3" t="s">
        <v>10</v>
      </c>
      <c r="AE296" s="95" t="s">
        <v>2263</v>
      </c>
    </row>
    <row r="297" spans="1:31" x14ac:dyDescent="0.35">
      <c r="A297" s="3" t="s">
        <v>161</v>
      </c>
      <c r="B297" s="3" t="s">
        <v>162</v>
      </c>
      <c r="C297" s="3">
        <v>7</v>
      </c>
      <c r="D297" s="95" t="s">
        <v>3149</v>
      </c>
      <c r="E297" s="95" t="s">
        <v>422</v>
      </c>
      <c r="F297" s="95" t="s">
        <v>437</v>
      </c>
      <c r="G297" s="223">
        <v>44455</v>
      </c>
      <c r="H297" s="223">
        <v>44500</v>
      </c>
      <c r="I297" s="223">
        <v>46326</v>
      </c>
      <c r="J297" s="3">
        <v>0</v>
      </c>
      <c r="K297" s="3" t="s">
        <v>6</v>
      </c>
      <c r="L297" s="3" t="s">
        <v>6</v>
      </c>
      <c r="M297" s="95" t="s">
        <v>19</v>
      </c>
      <c r="N297" s="3" t="s">
        <v>20</v>
      </c>
      <c r="O297" s="3" t="s">
        <v>21</v>
      </c>
      <c r="P297" s="3" t="s">
        <v>6</v>
      </c>
      <c r="Q297" s="3" t="s">
        <v>6</v>
      </c>
      <c r="R297" s="95" t="s">
        <v>22</v>
      </c>
      <c r="S297" s="223">
        <v>43675</v>
      </c>
      <c r="T297" s="223">
        <v>43756</v>
      </c>
      <c r="U297" s="223">
        <v>43647</v>
      </c>
      <c r="V297" s="223">
        <v>43647</v>
      </c>
      <c r="W297" s="223" t="s">
        <v>6</v>
      </c>
      <c r="X297" s="3" t="s">
        <v>26</v>
      </c>
      <c r="Y297" s="3" t="s">
        <v>2116</v>
      </c>
      <c r="Z297" s="3" t="s">
        <v>20</v>
      </c>
      <c r="AA297" s="3" t="s">
        <v>6</v>
      </c>
      <c r="AB297" s="223">
        <v>44442</v>
      </c>
      <c r="AC297" s="3" t="s">
        <v>10</v>
      </c>
      <c r="AD297" s="3" t="s">
        <v>10</v>
      </c>
      <c r="AE297" s="95" t="s">
        <v>2263</v>
      </c>
    </row>
    <row r="298" spans="1:31" x14ac:dyDescent="0.35">
      <c r="A298" s="3" t="s">
        <v>1010</v>
      </c>
      <c r="B298" s="3" t="s">
        <v>162</v>
      </c>
      <c r="C298" s="3">
        <v>7</v>
      </c>
      <c r="D298" s="95" t="s">
        <v>1011</v>
      </c>
      <c r="E298" s="95" t="s">
        <v>1012</v>
      </c>
      <c r="F298" s="95" t="s">
        <v>4</v>
      </c>
      <c r="G298" s="223">
        <v>42675</v>
      </c>
      <c r="H298" s="223" t="s">
        <v>5</v>
      </c>
      <c r="I298" s="223">
        <v>44500</v>
      </c>
      <c r="J298" s="3" t="s">
        <v>5</v>
      </c>
      <c r="K298" s="3" t="s">
        <v>10</v>
      </c>
      <c r="L298" s="3" t="s">
        <v>10</v>
      </c>
      <c r="M298" s="95" t="s">
        <v>19</v>
      </c>
      <c r="N298" s="3" t="s">
        <v>20</v>
      </c>
      <c r="O298" s="3" t="s">
        <v>651</v>
      </c>
      <c r="P298" s="3" t="s">
        <v>6</v>
      </c>
      <c r="Q298" s="3" t="s">
        <v>6</v>
      </c>
      <c r="R298" s="95" t="s">
        <v>652</v>
      </c>
      <c r="S298" s="223" t="s">
        <v>5</v>
      </c>
      <c r="T298" s="223" t="s">
        <v>5</v>
      </c>
      <c r="U298" s="223" t="s">
        <v>5</v>
      </c>
      <c r="V298" s="223" t="s">
        <v>5</v>
      </c>
      <c r="W298" s="223" t="s">
        <v>5</v>
      </c>
      <c r="X298" s="3" t="s">
        <v>5</v>
      </c>
      <c r="Y298" s="3" t="s">
        <v>651</v>
      </c>
      <c r="Z298" s="3" t="s">
        <v>651</v>
      </c>
      <c r="AA298" s="3" t="s">
        <v>10</v>
      </c>
      <c r="AB298" s="223" t="s">
        <v>5</v>
      </c>
      <c r="AC298" s="3" t="s">
        <v>6</v>
      </c>
      <c r="AD298" s="3" t="s">
        <v>10</v>
      </c>
      <c r="AE298" s="95" t="s">
        <v>2263</v>
      </c>
    </row>
    <row r="299" spans="1:31" x14ac:dyDescent="0.35">
      <c r="A299" s="3" t="s">
        <v>1013</v>
      </c>
      <c r="B299" s="3" t="s">
        <v>162</v>
      </c>
      <c r="C299" s="3">
        <v>7</v>
      </c>
      <c r="D299" s="95" t="s">
        <v>1014</v>
      </c>
      <c r="E299" s="95" t="s">
        <v>4</v>
      </c>
      <c r="F299" s="95" t="s">
        <v>4</v>
      </c>
      <c r="G299" s="223">
        <v>44501</v>
      </c>
      <c r="H299" s="223">
        <v>44501</v>
      </c>
      <c r="I299" s="223">
        <v>46326</v>
      </c>
      <c r="J299" s="3" t="s">
        <v>5</v>
      </c>
      <c r="K299" s="3" t="s">
        <v>10</v>
      </c>
      <c r="L299" s="3" t="s">
        <v>10</v>
      </c>
      <c r="M299" s="95" t="s">
        <v>27</v>
      </c>
      <c r="N299" s="3" t="s">
        <v>28</v>
      </c>
      <c r="O299" s="3" t="s">
        <v>651</v>
      </c>
      <c r="P299" s="3" t="s">
        <v>6</v>
      </c>
      <c r="Q299" s="3" t="s">
        <v>6</v>
      </c>
      <c r="R299" s="95" t="s">
        <v>652</v>
      </c>
      <c r="S299" s="223" t="s">
        <v>5</v>
      </c>
      <c r="T299" s="223" t="s">
        <v>5</v>
      </c>
      <c r="U299" s="223" t="s">
        <v>5</v>
      </c>
      <c r="V299" s="223" t="s">
        <v>5</v>
      </c>
      <c r="W299" s="223" t="s">
        <v>5</v>
      </c>
      <c r="X299" s="3" t="s">
        <v>5</v>
      </c>
      <c r="Y299" s="3" t="s">
        <v>651</v>
      </c>
      <c r="Z299" s="3" t="s">
        <v>651</v>
      </c>
      <c r="AA299" s="3" t="s">
        <v>10</v>
      </c>
      <c r="AB299" s="223" t="s">
        <v>5</v>
      </c>
      <c r="AC299" s="3" t="s">
        <v>6</v>
      </c>
      <c r="AD299" s="3" t="s">
        <v>10</v>
      </c>
      <c r="AE299" s="95" t="s">
        <v>2263</v>
      </c>
    </row>
    <row r="300" spans="1:31" x14ac:dyDescent="0.35">
      <c r="A300" s="3" t="s">
        <v>1952</v>
      </c>
      <c r="B300" s="3" t="s">
        <v>162</v>
      </c>
      <c r="C300" s="3">
        <v>7</v>
      </c>
      <c r="D300" s="95" t="s">
        <v>1953</v>
      </c>
      <c r="E300" s="95" t="s">
        <v>2272</v>
      </c>
      <c r="F300" s="95" t="s">
        <v>437</v>
      </c>
      <c r="G300" s="223">
        <v>44211</v>
      </c>
      <c r="H300" s="223">
        <v>44256</v>
      </c>
      <c r="I300" s="223">
        <v>46081</v>
      </c>
      <c r="J300" s="3">
        <v>0</v>
      </c>
      <c r="K300" s="3" t="s">
        <v>6</v>
      </c>
      <c r="L300" s="3" t="s">
        <v>6</v>
      </c>
      <c r="M300" s="95" t="s">
        <v>27</v>
      </c>
      <c r="N300" s="3" t="s">
        <v>28</v>
      </c>
      <c r="O300" s="3" t="s">
        <v>25</v>
      </c>
      <c r="P300" s="3" t="s">
        <v>6</v>
      </c>
      <c r="Q300" s="3" t="s">
        <v>6</v>
      </c>
      <c r="R300" s="95" t="s">
        <v>22</v>
      </c>
      <c r="S300" s="223">
        <v>43374</v>
      </c>
      <c r="T300" s="223">
        <v>43553</v>
      </c>
      <c r="U300" s="223">
        <v>43009</v>
      </c>
      <c r="V300" s="223">
        <v>43009</v>
      </c>
      <c r="W300" s="223" t="s">
        <v>6</v>
      </c>
      <c r="X300" s="3" t="s">
        <v>26</v>
      </c>
      <c r="Y300" s="3" t="s">
        <v>2100</v>
      </c>
      <c r="Z300" s="3" t="s">
        <v>28</v>
      </c>
      <c r="AA300" s="3" t="s">
        <v>6</v>
      </c>
      <c r="AB300" s="223">
        <v>42159</v>
      </c>
      <c r="AC300" s="3" t="s">
        <v>6</v>
      </c>
      <c r="AD300" s="3" t="s">
        <v>10</v>
      </c>
      <c r="AE300" s="95" t="s">
        <v>2263</v>
      </c>
    </row>
    <row r="301" spans="1:31" x14ac:dyDescent="0.35">
      <c r="A301" s="3" t="s">
        <v>163</v>
      </c>
      <c r="B301" s="3" t="s">
        <v>162</v>
      </c>
      <c r="C301" s="3">
        <v>7</v>
      </c>
      <c r="D301" s="95" t="s">
        <v>1954</v>
      </c>
      <c r="E301" s="95" t="s">
        <v>1912</v>
      </c>
      <c r="F301" s="95" t="s">
        <v>437</v>
      </c>
      <c r="G301" s="223">
        <v>44609</v>
      </c>
      <c r="H301" s="223">
        <v>44609</v>
      </c>
      <c r="I301" s="223">
        <v>46434</v>
      </c>
      <c r="J301" s="3">
        <v>0</v>
      </c>
      <c r="K301" s="3" t="s">
        <v>6</v>
      </c>
      <c r="L301" s="3" t="s">
        <v>6</v>
      </c>
      <c r="M301" s="95" t="s">
        <v>23</v>
      </c>
      <c r="N301" s="3" t="s">
        <v>24</v>
      </c>
      <c r="O301" s="3" t="s">
        <v>25</v>
      </c>
      <c r="P301" s="3" t="s">
        <v>6</v>
      </c>
      <c r="Q301" s="3" t="s">
        <v>6</v>
      </c>
      <c r="R301" s="95" t="s">
        <v>22</v>
      </c>
      <c r="S301" s="223">
        <v>43374</v>
      </c>
      <c r="T301" s="223">
        <v>43497</v>
      </c>
      <c r="U301" s="223">
        <v>42644</v>
      </c>
      <c r="V301" s="223">
        <v>42644</v>
      </c>
      <c r="W301" s="223" t="s">
        <v>6</v>
      </c>
      <c r="X301" s="3" t="s">
        <v>26</v>
      </c>
      <c r="Y301" s="3" t="s">
        <v>2093</v>
      </c>
      <c r="Z301" s="3" t="s">
        <v>24</v>
      </c>
      <c r="AA301" s="3" t="s">
        <v>6</v>
      </c>
      <c r="AB301" s="223">
        <v>42782</v>
      </c>
      <c r="AC301" s="3" t="s">
        <v>10</v>
      </c>
      <c r="AD301" s="3" t="s">
        <v>10</v>
      </c>
      <c r="AE301" s="95" t="s">
        <v>2263</v>
      </c>
    </row>
    <row r="302" spans="1:31" x14ac:dyDescent="0.35">
      <c r="A302" s="3" t="s">
        <v>1015</v>
      </c>
      <c r="B302" s="3" t="s">
        <v>162</v>
      </c>
      <c r="C302" s="3">
        <v>7</v>
      </c>
      <c r="D302" s="95" t="s">
        <v>1016</v>
      </c>
      <c r="E302" s="95" t="s">
        <v>1017</v>
      </c>
      <c r="F302" s="95" t="s">
        <v>4</v>
      </c>
      <c r="G302" s="223">
        <v>44774</v>
      </c>
      <c r="H302" s="223">
        <v>44774</v>
      </c>
      <c r="I302" s="223">
        <v>46599</v>
      </c>
      <c r="J302" s="3" t="s">
        <v>5</v>
      </c>
      <c r="K302" s="3" t="s">
        <v>10</v>
      </c>
      <c r="L302" s="3" t="s">
        <v>10</v>
      </c>
      <c r="M302" s="95" t="s">
        <v>23</v>
      </c>
      <c r="N302" s="3" t="s">
        <v>24</v>
      </c>
      <c r="O302" s="3" t="s">
        <v>651</v>
      </c>
      <c r="P302" s="3" t="s">
        <v>6</v>
      </c>
      <c r="Q302" s="3" t="s">
        <v>6</v>
      </c>
      <c r="R302" s="95" t="s">
        <v>652</v>
      </c>
      <c r="S302" s="223" t="s">
        <v>5</v>
      </c>
      <c r="T302" s="223" t="s">
        <v>5</v>
      </c>
      <c r="U302" s="223" t="s">
        <v>5</v>
      </c>
      <c r="V302" s="223" t="s">
        <v>5</v>
      </c>
      <c r="W302" s="223" t="s">
        <v>5</v>
      </c>
      <c r="X302" s="3" t="s">
        <v>5</v>
      </c>
      <c r="Y302" s="3" t="s">
        <v>651</v>
      </c>
      <c r="Z302" s="3" t="s">
        <v>651</v>
      </c>
      <c r="AA302" s="3" t="s">
        <v>10</v>
      </c>
      <c r="AB302" s="223" t="s">
        <v>5</v>
      </c>
      <c r="AC302" s="3" t="s">
        <v>6</v>
      </c>
      <c r="AD302" s="3" t="s">
        <v>10</v>
      </c>
      <c r="AE302" s="95" t="s">
        <v>2263</v>
      </c>
    </row>
    <row r="303" spans="1:31" x14ac:dyDescent="0.35">
      <c r="A303" s="3" t="s">
        <v>1018</v>
      </c>
      <c r="B303" s="3" t="s">
        <v>162</v>
      </c>
      <c r="C303" s="3">
        <v>7</v>
      </c>
      <c r="D303" s="95" t="s">
        <v>1019</v>
      </c>
      <c r="E303" s="95" t="s">
        <v>1020</v>
      </c>
      <c r="F303" s="95" t="s">
        <v>4</v>
      </c>
      <c r="G303" s="223">
        <v>41671</v>
      </c>
      <c r="H303" s="223" t="s">
        <v>5</v>
      </c>
      <c r="I303" s="223">
        <v>43496</v>
      </c>
      <c r="J303" s="3" t="s">
        <v>5</v>
      </c>
      <c r="K303" s="3" t="s">
        <v>10</v>
      </c>
      <c r="L303" s="3" t="s">
        <v>10</v>
      </c>
      <c r="M303" s="95" t="s">
        <v>2555</v>
      </c>
      <c r="N303" s="3" t="s">
        <v>52</v>
      </c>
      <c r="O303" s="3" t="s">
        <v>651</v>
      </c>
      <c r="P303" s="3" t="s">
        <v>6</v>
      </c>
      <c r="Q303" s="3" t="s">
        <v>6</v>
      </c>
      <c r="R303" s="95" t="s">
        <v>652</v>
      </c>
      <c r="S303" s="223" t="s">
        <v>5</v>
      </c>
      <c r="T303" s="223" t="s">
        <v>5</v>
      </c>
      <c r="U303" s="223" t="s">
        <v>5</v>
      </c>
      <c r="V303" s="223" t="s">
        <v>5</v>
      </c>
      <c r="W303" s="223" t="s">
        <v>5</v>
      </c>
      <c r="X303" s="3" t="s">
        <v>5</v>
      </c>
      <c r="Y303" s="3" t="s">
        <v>651</v>
      </c>
      <c r="Z303" s="3" t="s">
        <v>651</v>
      </c>
      <c r="AA303" s="3" t="s">
        <v>10</v>
      </c>
      <c r="AB303" s="223" t="s">
        <v>5</v>
      </c>
      <c r="AC303" s="3" t="s">
        <v>10</v>
      </c>
      <c r="AD303" s="3" t="s">
        <v>6</v>
      </c>
      <c r="AE303" s="95" t="s">
        <v>2265</v>
      </c>
    </row>
    <row r="304" spans="1:31" x14ac:dyDescent="0.35">
      <c r="A304" s="3" t="s">
        <v>1021</v>
      </c>
      <c r="B304" s="3" t="s">
        <v>162</v>
      </c>
      <c r="C304" s="3">
        <v>7</v>
      </c>
      <c r="D304" s="95" t="s">
        <v>1022</v>
      </c>
      <c r="E304" s="95" t="s">
        <v>1023</v>
      </c>
      <c r="F304" s="95" t="s">
        <v>4</v>
      </c>
      <c r="G304" s="223">
        <v>41671</v>
      </c>
      <c r="H304" s="223" t="s">
        <v>5</v>
      </c>
      <c r="I304" s="223">
        <v>43496</v>
      </c>
      <c r="J304" s="3" t="s">
        <v>5</v>
      </c>
      <c r="K304" s="3" t="s">
        <v>10</v>
      </c>
      <c r="L304" s="3" t="s">
        <v>10</v>
      </c>
      <c r="M304" s="95" t="s">
        <v>2555</v>
      </c>
      <c r="N304" s="3" t="s">
        <v>52</v>
      </c>
      <c r="O304" s="3" t="s">
        <v>651</v>
      </c>
      <c r="P304" s="3" t="s">
        <v>6</v>
      </c>
      <c r="Q304" s="3" t="s">
        <v>6</v>
      </c>
      <c r="R304" s="95" t="s">
        <v>652</v>
      </c>
      <c r="S304" s="223" t="s">
        <v>5</v>
      </c>
      <c r="T304" s="223" t="s">
        <v>5</v>
      </c>
      <c r="U304" s="223" t="s">
        <v>5</v>
      </c>
      <c r="V304" s="223" t="s">
        <v>5</v>
      </c>
      <c r="W304" s="223" t="s">
        <v>5</v>
      </c>
      <c r="X304" s="3" t="s">
        <v>5</v>
      </c>
      <c r="Y304" s="3" t="s">
        <v>651</v>
      </c>
      <c r="Z304" s="3" t="s">
        <v>651</v>
      </c>
      <c r="AA304" s="3" t="s">
        <v>10</v>
      </c>
      <c r="AB304" s="223" t="s">
        <v>5</v>
      </c>
      <c r="AC304" s="3" t="s">
        <v>10</v>
      </c>
      <c r="AD304" s="3" t="s">
        <v>6</v>
      </c>
      <c r="AE304" s="95" t="s">
        <v>2265</v>
      </c>
    </row>
    <row r="305" spans="1:31" x14ac:dyDescent="0.35">
      <c r="A305" s="3" t="s">
        <v>1024</v>
      </c>
      <c r="B305" s="3" t="s">
        <v>538</v>
      </c>
      <c r="C305" s="3">
        <v>4</v>
      </c>
      <c r="D305" s="95" t="s">
        <v>1025</v>
      </c>
      <c r="E305" s="95" t="s">
        <v>2393</v>
      </c>
      <c r="F305" s="95" t="s">
        <v>651</v>
      </c>
      <c r="G305" s="223">
        <v>42559</v>
      </c>
      <c r="H305" s="223">
        <v>42614</v>
      </c>
      <c r="I305" s="223">
        <v>44439</v>
      </c>
      <c r="J305" s="3" t="s">
        <v>2266</v>
      </c>
      <c r="K305" s="3" t="s">
        <v>10</v>
      </c>
      <c r="L305" s="3" t="s">
        <v>10</v>
      </c>
      <c r="M305" s="95" t="s">
        <v>114</v>
      </c>
      <c r="N305" s="3" t="s">
        <v>115</v>
      </c>
      <c r="O305" s="3" t="s">
        <v>651</v>
      </c>
      <c r="P305" s="3" t="s">
        <v>10</v>
      </c>
      <c r="Q305" s="3" t="s">
        <v>6</v>
      </c>
      <c r="R305" s="95" t="s">
        <v>2267</v>
      </c>
      <c r="S305" s="223" t="s">
        <v>5</v>
      </c>
      <c r="T305" s="223" t="s">
        <v>5</v>
      </c>
      <c r="U305" s="223" t="s">
        <v>5</v>
      </c>
      <c r="V305" s="223" t="s">
        <v>5</v>
      </c>
      <c r="W305" s="223" t="s">
        <v>5</v>
      </c>
      <c r="X305" s="3" t="s">
        <v>5</v>
      </c>
      <c r="Y305" s="3" t="s">
        <v>651</v>
      </c>
      <c r="Z305" s="3" t="s">
        <v>651</v>
      </c>
      <c r="AA305" s="3" t="s">
        <v>651</v>
      </c>
      <c r="AB305" s="223" t="s">
        <v>5</v>
      </c>
      <c r="AC305" s="3" t="s">
        <v>651</v>
      </c>
      <c r="AD305" s="3" t="s">
        <v>651</v>
      </c>
      <c r="AE305" s="95" t="s">
        <v>651</v>
      </c>
    </row>
    <row r="306" spans="1:31" x14ac:dyDescent="0.35">
      <c r="A306" s="3" t="s">
        <v>1026</v>
      </c>
      <c r="B306" s="3" t="s">
        <v>538</v>
      </c>
      <c r="C306" s="3">
        <v>4</v>
      </c>
      <c r="D306" s="95" t="s">
        <v>1027</v>
      </c>
      <c r="E306" s="95" t="s">
        <v>2393</v>
      </c>
      <c r="F306" s="95" t="s">
        <v>2393</v>
      </c>
      <c r="G306" s="223">
        <v>43889</v>
      </c>
      <c r="H306" s="223">
        <v>43891</v>
      </c>
      <c r="I306" s="223">
        <v>45716</v>
      </c>
      <c r="J306" s="3">
        <v>244</v>
      </c>
      <c r="K306" s="3" t="s">
        <v>10</v>
      </c>
      <c r="L306" s="3" t="s">
        <v>10</v>
      </c>
      <c r="M306" s="95" t="s">
        <v>230</v>
      </c>
      <c r="N306" s="3" t="s">
        <v>28</v>
      </c>
      <c r="O306" s="3" t="s">
        <v>651</v>
      </c>
      <c r="P306" s="3" t="s">
        <v>6</v>
      </c>
      <c r="Q306" s="3" t="s">
        <v>6</v>
      </c>
      <c r="R306" s="95" t="s">
        <v>652</v>
      </c>
      <c r="S306" s="223" t="s">
        <v>5</v>
      </c>
      <c r="T306" s="223" t="s">
        <v>5</v>
      </c>
      <c r="U306" s="223" t="s">
        <v>5</v>
      </c>
      <c r="V306" s="223" t="s">
        <v>5</v>
      </c>
      <c r="W306" s="223" t="s">
        <v>5</v>
      </c>
      <c r="X306" s="3" t="s">
        <v>5</v>
      </c>
      <c r="Y306" s="3" t="s">
        <v>651</v>
      </c>
      <c r="Z306" s="3" t="s">
        <v>651</v>
      </c>
      <c r="AA306" s="3" t="s">
        <v>6</v>
      </c>
      <c r="AB306" s="223">
        <v>43160</v>
      </c>
      <c r="AC306" s="3" t="s">
        <v>6</v>
      </c>
      <c r="AD306" s="3" t="s">
        <v>10</v>
      </c>
      <c r="AE306" s="95" t="s">
        <v>2263</v>
      </c>
    </row>
    <row r="307" spans="1:31" x14ac:dyDescent="0.35">
      <c r="A307" s="3" t="s">
        <v>1028</v>
      </c>
      <c r="B307" s="3" t="s">
        <v>538</v>
      </c>
      <c r="C307" s="3">
        <v>4</v>
      </c>
      <c r="D307" s="95" t="s">
        <v>1029</v>
      </c>
      <c r="E307" s="95" t="s">
        <v>2393</v>
      </c>
      <c r="F307" s="95" t="s">
        <v>651</v>
      </c>
      <c r="G307" s="223">
        <v>42093</v>
      </c>
      <c r="H307" s="223">
        <v>42095</v>
      </c>
      <c r="I307" s="223">
        <v>43921</v>
      </c>
      <c r="J307" s="3" t="s">
        <v>2266</v>
      </c>
      <c r="K307" s="3" t="s">
        <v>10</v>
      </c>
      <c r="L307" s="3" t="s">
        <v>10</v>
      </c>
      <c r="M307" s="95" t="s">
        <v>730</v>
      </c>
      <c r="N307" s="3" t="s">
        <v>28</v>
      </c>
      <c r="O307" s="3" t="s">
        <v>651</v>
      </c>
      <c r="P307" s="3" t="s">
        <v>10</v>
      </c>
      <c r="Q307" s="3" t="s">
        <v>6</v>
      </c>
      <c r="R307" s="95" t="s">
        <v>2267</v>
      </c>
      <c r="S307" s="223" t="s">
        <v>5</v>
      </c>
      <c r="T307" s="223" t="s">
        <v>5</v>
      </c>
      <c r="U307" s="223" t="s">
        <v>5</v>
      </c>
      <c r="V307" s="223" t="s">
        <v>5</v>
      </c>
      <c r="W307" s="223" t="s">
        <v>5</v>
      </c>
      <c r="X307" s="3" t="s">
        <v>5</v>
      </c>
      <c r="Y307" s="3" t="s">
        <v>651</v>
      </c>
      <c r="Z307" s="3" t="s">
        <v>651</v>
      </c>
      <c r="AA307" s="3" t="s">
        <v>651</v>
      </c>
      <c r="AB307" s="223" t="s">
        <v>5</v>
      </c>
      <c r="AC307" s="3" t="s">
        <v>651</v>
      </c>
      <c r="AD307" s="3" t="s">
        <v>651</v>
      </c>
      <c r="AE307" s="95" t="s">
        <v>651</v>
      </c>
    </row>
    <row r="308" spans="1:31" x14ac:dyDescent="0.35">
      <c r="A308" s="3" t="s">
        <v>1030</v>
      </c>
      <c r="B308" s="3" t="s">
        <v>538</v>
      </c>
      <c r="C308" s="3">
        <v>4</v>
      </c>
      <c r="D308" s="95" t="s">
        <v>1031</v>
      </c>
      <c r="E308" s="95" t="s">
        <v>2393</v>
      </c>
      <c r="F308" s="95" t="s">
        <v>651</v>
      </c>
      <c r="G308" s="223">
        <v>41852</v>
      </c>
      <c r="H308" s="223">
        <v>41883</v>
      </c>
      <c r="I308" s="223">
        <v>43708</v>
      </c>
      <c r="J308" s="3" t="s">
        <v>2266</v>
      </c>
      <c r="K308" s="3" t="s">
        <v>10</v>
      </c>
      <c r="L308" s="3" t="s">
        <v>10</v>
      </c>
      <c r="M308" s="95" t="s">
        <v>27</v>
      </c>
      <c r="N308" s="3" t="s">
        <v>28</v>
      </c>
      <c r="O308" s="3" t="s">
        <v>651</v>
      </c>
      <c r="P308" s="3" t="s">
        <v>10</v>
      </c>
      <c r="Q308" s="3" t="s">
        <v>6</v>
      </c>
      <c r="R308" s="95" t="s">
        <v>2267</v>
      </c>
      <c r="S308" s="223" t="s">
        <v>5</v>
      </c>
      <c r="T308" s="223" t="s">
        <v>5</v>
      </c>
      <c r="U308" s="223" t="s">
        <v>5</v>
      </c>
      <c r="V308" s="223" t="s">
        <v>5</v>
      </c>
      <c r="W308" s="223" t="s">
        <v>5</v>
      </c>
      <c r="X308" s="3" t="s">
        <v>5</v>
      </c>
      <c r="Y308" s="3" t="s">
        <v>651</v>
      </c>
      <c r="Z308" s="3" t="s">
        <v>651</v>
      </c>
      <c r="AA308" s="3" t="s">
        <v>651</v>
      </c>
      <c r="AB308" s="223" t="s">
        <v>5</v>
      </c>
      <c r="AC308" s="3" t="s">
        <v>651</v>
      </c>
      <c r="AD308" s="3" t="s">
        <v>651</v>
      </c>
      <c r="AE308" s="95" t="s">
        <v>651</v>
      </c>
    </row>
    <row r="309" spans="1:31" x14ac:dyDescent="0.35">
      <c r="A309" s="3" t="s">
        <v>1032</v>
      </c>
      <c r="B309" s="3" t="s">
        <v>538</v>
      </c>
      <c r="C309" s="3">
        <v>4</v>
      </c>
      <c r="D309" s="95" t="s">
        <v>256</v>
      </c>
      <c r="E309" s="95" t="s">
        <v>2393</v>
      </c>
      <c r="F309" s="95" t="s">
        <v>2393</v>
      </c>
      <c r="G309" s="223">
        <v>43189</v>
      </c>
      <c r="H309" s="223">
        <v>43221</v>
      </c>
      <c r="I309" s="223">
        <v>45046</v>
      </c>
      <c r="J309" s="3">
        <v>45</v>
      </c>
      <c r="K309" s="3" t="s">
        <v>10</v>
      </c>
      <c r="L309" s="3" t="s">
        <v>10</v>
      </c>
      <c r="M309" s="95" t="s">
        <v>2555</v>
      </c>
      <c r="N309" s="3" t="s">
        <v>52</v>
      </c>
      <c r="O309" s="3" t="s">
        <v>651</v>
      </c>
      <c r="P309" s="3" t="s">
        <v>6</v>
      </c>
      <c r="Q309" s="3" t="s">
        <v>6</v>
      </c>
      <c r="R309" s="95" t="s">
        <v>652</v>
      </c>
      <c r="S309" s="223" t="s">
        <v>5</v>
      </c>
      <c r="T309" s="223" t="s">
        <v>5</v>
      </c>
      <c r="U309" s="223" t="s">
        <v>5</v>
      </c>
      <c r="V309" s="223" t="s">
        <v>5</v>
      </c>
      <c r="W309" s="223" t="s">
        <v>5</v>
      </c>
      <c r="X309" s="3" t="s">
        <v>5</v>
      </c>
      <c r="Y309" s="3" t="s">
        <v>651</v>
      </c>
      <c r="Z309" s="3" t="s">
        <v>651</v>
      </c>
      <c r="AA309" s="3" t="s">
        <v>6</v>
      </c>
      <c r="AB309" s="223">
        <v>43221</v>
      </c>
      <c r="AC309" s="3" t="s">
        <v>10</v>
      </c>
      <c r="AD309" s="3" t="s">
        <v>6</v>
      </c>
      <c r="AE309" s="95" t="s">
        <v>2265</v>
      </c>
    </row>
    <row r="310" spans="1:31" x14ac:dyDescent="0.35">
      <c r="A310" s="3" t="s">
        <v>1033</v>
      </c>
      <c r="B310" s="3" t="s">
        <v>538</v>
      </c>
      <c r="C310" s="3">
        <v>4</v>
      </c>
      <c r="D310" s="95" t="s">
        <v>1034</v>
      </c>
      <c r="E310" s="95" t="s">
        <v>2393</v>
      </c>
      <c r="F310" s="95" t="s">
        <v>2393</v>
      </c>
      <c r="G310" s="223">
        <v>45164</v>
      </c>
      <c r="H310" s="223">
        <v>45170</v>
      </c>
      <c r="I310" s="223">
        <v>46996</v>
      </c>
      <c r="J310" s="3">
        <v>1461</v>
      </c>
      <c r="K310" s="3" t="s">
        <v>10</v>
      </c>
      <c r="L310" s="3" t="s">
        <v>10</v>
      </c>
      <c r="M310" s="95" t="s">
        <v>131</v>
      </c>
      <c r="N310" s="3" t="s">
        <v>268</v>
      </c>
      <c r="O310" s="3" t="s">
        <v>651</v>
      </c>
      <c r="P310" s="3" t="s">
        <v>6</v>
      </c>
      <c r="Q310" s="3" t="s">
        <v>6</v>
      </c>
      <c r="R310" s="95" t="s">
        <v>652</v>
      </c>
      <c r="S310" s="223" t="s">
        <v>5</v>
      </c>
      <c r="T310" s="223" t="s">
        <v>5</v>
      </c>
      <c r="U310" s="223" t="s">
        <v>5</v>
      </c>
      <c r="V310" s="223" t="s">
        <v>5</v>
      </c>
      <c r="W310" s="223" t="s">
        <v>5</v>
      </c>
      <c r="X310" s="3" t="s">
        <v>5</v>
      </c>
      <c r="Y310" s="3" t="s">
        <v>651</v>
      </c>
      <c r="Z310" s="3" t="s">
        <v>651</v>
      </c>
      <c r="AA310" s="3" t="s">
        <v>6</v>
      </c>
      <c r="AB310" s="223">
        <v>43344</v>
      </c>
      <c r="AC310" s="3" t="s">
        <v>10</v>
      </c>
      <c r="AD310" s="3" t="s">
        <v>10</v>
      </c>
      <c r="AE310" s="95" t="s">
        <v>2263</v>
      </c>
    </row>
    <row r="311" spans="1:31" x14ac:dyDescent="0.35">
      <c r="A311" s="3" t="s">
        <v>1035</v>
      </c>
      <c r="B311" s="3" t="s">
        <v>538</v>
      </c>
      <c r="C311" s="3">
        <v>4</v>
      </c>
      <c r="D311" s="95" t="s">
        <v>1036</v>
      </c>
      <c r="E311" s="95" t="s">
        <v>2393</v>
      </c>
      <c r="F311" s="95" t="s">
        <v>651</v>
      </c>
      <c r="G311" s="223">
        <v>38736</v>
      </c>
      <c r="H311" s="223">
        <v>38749</v>
      </c>
      <c r="I311" s="223">
        <v>39538</v>
      </c>
      <c r="J311" s="3" t="s">
        <v>2266</v>
      </c>
      <c r="K311" s="3" t="s">
        <v>10</v>
      </c>
      <c r="L311" s="3" t="s">
        <v>10</v>
      </c>
      <c r="M311" s="95" t="s">
        <v>27</v>
      </c>
      <c r="N311" s="3" t="s">
        <v>115</v>
      </c>
      <c r="O311" s="3" t="s">
        <v>651</v>
      </c>
      <c r="P311" s="3" t="s">
        <v>10</v>
      </c>
      <c r="Q311" s="3" t="s">
        <v>6</v>
      </c>
      <c r="R311" s="95" t="s">
        <v>2267</v>
      </c>
      <c r="S311" s="223" t="s">
        <v>5</v>
      </c>
      <c r="T311" s="223" t="s">
        <v>5</v>
      </c>
      <c r="U311" s="223" t="s">
        <v>5</v>
      </c>
      <c r="V311" s="223" t="s">
        <v>5</v>
      </c>
      <c r="W311" s="223" t="s">
        <v>5</v>
      </c>
      <c r="X311" s="3" t="s">
        <v>5</v>
      </c>
      <c r="Y311" s="3" t="s">
        <v>651</v>
      </c>
      <c r="Z311" s="3" t="s">
        <v>651</v>
      </c>
      <c r="AA311" s="3" t="s">
        <v>651</v>
      </c>
      <c r="AB311" s="223" t="s">
        <v>5</v>
      </c>
      <c r="AC311" s="3" t="s">
        <v>651</v>
      </c>
      <c r="AD311" s="3" t="s">
        <v>651</v>
      </c>
      <c r="AE311" s="95" t="s">
        <v>651</v>
      </c>
    </row>
    <row r="312" spans="1:31" x14ac:dyDescent="0.35">
      <c r="A312" s="3" t="s">
        <v>1037</v>
      </c>
      <c r="B312" s="3" t="s">
        <v>538</v>
      </c>
      <c r="C312" s="3">
        <v>4</v>
      </c>
      <c r="D312" s="95" t="s">
        <v>1038</v>
      </c>
      <c r="E312" s="95" t="s">
        <v>2393</v>
      </c>
      <c r="F312" s="95" t="s">
        <v>2393</v>
      </c>
      <c r="G312" s="223">
        <v>45260</v>
      </c>
      <c r="H312" s="223">
        <v>45292</v>
      </c>
      <c r="I312" s="223">
        <v>47118</v>
      </c>
      <c r="J312" s="3">
        <v>145</v>
      </c>
      <c r="K312" s="3" t="s">
        <v>10</v>
      </c>
      <c r="L312" s="3" t="s">
        <v>10</v>
      </c>
      <c r="M312" s="95" t="s">
        <v>116</v>
      </c>
      <c r="N312" s="3" t="s">
        <v>117</v>
      </c>
      <c r="O312" s="3" t="s">
        <v>651</v>
      </c>
      <c r="P312" s="3" t="s">
        <v>6</v>
      </c>
      <c r="Q312" s="3" t="s">
        <v>6</v>
      </c>
      <c r="R312" s="95" t="s">
        <v>652</v>
      </c>
      <c r="S312" s="223" t="s">
        <v>5</v>
      </c>
      <c r="T312" s="223" t="s">
        <v>5</v>
      </c>
      <c r="U312" s="223" t="s">
        <v>5</v>
      </c>
      <c r="V312" s="223" t="s">
        <v>5</v>
      </c>
      <c r="W312" s="223" t="s">
        <v>5</v>
      </c>
      <c r="X312" s="3" t="s">
        <v>5</v>
      </c>
      <c r="Y312" s="3" t="s">
        <v>651</v>
      </c>
      <c r="Z312" s="3" t="s">
        <v>651</v>
      </c>
      <c r="AA312" s="3" t="s">
        <v>6</v>
      </c>
      <c r="AB312" s="223">
        <v>43313</v>
      </c>
      <c r="AC312" s="3" t="s">
        <v>6</v>
      </c>
      <c r="AD312" s="3" t="s">
        <v>10</v>
      </c>
      <c r="AE312" s="95" t="s">
        <v>2265</v>
      </c>
    </row>
    <row r="313" spans="1:31" x14ac:dyDescent="0.35">
      <c r="A313" s="3" t="s">
        <v>1039</v>
      </c>
      <c r="B313" s="3" t="s">
        <v>538</v>
      </c>
      <c r="C313" s="3">
        <v>4</v>
      </c>
      <c r="D313" s="95" t="s">
        <v>1040</v>
      </c>
      <c r="E313" s="95" t="s">
        <v>2393</v>
      </c>
      <c r="F313" s="95" t="s">
        <v>651</v>
      </c>
      <c r="G313" s="223">
        <v>45260</v>
      </c>
      <c r="H313" s="223">
        <v>45292</v>
      </c>
      <c r="I313" s="223">
        <v>47118</v>
      </c>
      <c r="J313" s="3" t="s">
        <v>2266</v>
      </c>
      <c r="K313" s="3" t="s">
        <v>10</v>
      </c>
      <c r="L313" s="3" t="s">
        <v>10</v>
      </c>
      <c r="M313" s="95" t="s">
        <v>196</v>
      </c>
      <c r="N313" s="3" t="s">
        <v>61</v>
      </c>
      <c r="O313" s="3" t="s">
        <v>651</v>
      </c>
      <c r="P313" s="3" t="s">
        <v>10</v>
      </c>
      <c r="Q313" s="3" t="s">
        <v>6</v>
      </c>
      <c r="R313" s="95" t="s">
        <v>2267</v>
      </c>
      <c r="S313" s="223" t="s">
        <v>5</v>
      </c>
      <c r="T313" s="223" t="s">
        <v>5</v>
      </c>
      <c r="U313" s="223" t="s">
        <v>5</v>
      </c>
      <c r="V313" s="223" t="s">
        <v>5</v>
      </c>
      <c r="W313" s="223" t="s">
        <v>5</v>
      </c>
      <c r="X313" s="3" t="s">
        <v>5</v>
      </c>
      <c r="Y313" s="3" t="s">
        <v>651</v>
      </c>
      <c r="Z313" s="3" t="s">
        <v>651</v>
      </c>
      <c r="AA313" s="3" t="s">
        <v>651</v>
      </c>
      <c r="AB313" s="223" t="s">
        <v>5</v>
      </c>
      <c r="AC313" s="3" t="s">
        <v>651</v>
      </c>
      <c r="AD313" s="3" t="s">
        <v>651</v>
      </c>
      <c r="AE313" s="95" t="s">
        <v>651</v>
      </c>
    </row>
    <row r="314" spans="1:31" x14ac:dyDescent="0.35">
      <c r="A314" s="3" t="s">
        <v>1041</v>
      </c>
      <c r="B314" s="3" t="s">
        <v>538</v>
      </c>
      <c r="C314" s="3">
        <v>4</v>
      </c>
      <c r="D314" s="95" t="s">
        <v>1042</v>
      </c>
      <c r="E314" s="95" t="s">
        <v>2393</v>
      </c>
      <c r="F314" s="95" t="s">
        <v>2393</v>
      </c>
      <c r="G314" s="223">
        <v>43889</v>
      </c>
      <c r="H314" s="223">
        <v>43891</v>
      </c>
      <c r="I314" s="223">
        <v>45716</v>
      </c>
      <c r="J314" s="3">
        <v>222</v>
      </c>
      <c r="K314" s="3" t="s">
        <v>10</v>
      </c>
      <c r="L314" s="3" t="s">
        <v>10</v>
      </c>
      <c r="M314" s="95" t="s">
        <v>114</v>
      </c>
      <c r="N314" s="3" t="s">
        <v>115</v>
      </c>
      <c r="O314" s="3" t="s">
        <v>651</v>
      </c>
      <c r="P314" s="3" t="s">
        <v>6</v>
      </c>
      <c r="Q314" s="3" t="s">
        <v>6</v>
      </c>
      <c r="R314" s="95" t="s">
        <v>652</v>
      </c>
      <c r="S314" s="223" t="s">
        <v>5</v>
      </c>
      <c r="T314" s="223" t="s">
        <v>5</v>
      </c>
      <c r="U314" s="223" t="s">
        <v>5</v>
      </c>
      <c r="V314" s="223" t="s">
        <v>5</v>
      </c>
      <c r="W314" s="223" t="s">
        <v>5</v>
      </c>
      <c r="X314" s="3" t="s">
        <v>5</v>
      </c>
      <c r="Y314" s="3" t="s">
        <v>651</v>
      </c>
      <c r="Z314" s="3" t="s">
        <v>651</v>
      </c>
      <c r="AA314" s="3" t="s">
        <v>6</v>
      </c>
      <c r="AB314" s="223">
        <v>43891</v>
      </c>
      <c r="AC314" s="3" t="s">
        <v>6</v>
      </c>
      <c r="AD314" s="3" t="s">
        <v>10</v>
      </c>
      <c r="AE314" s="95" t="s">
        <v>2263</v>
      </c>
    </row>
    <row r="315" spans="1:31" x14ac:dyDescent="0.35">
      <c r="A315" s="3" t="s">
        <v>1043</v>
      </c>
      <c r="B315" s="3" t="s">
        <v>538</v>
      </c>
      <c r="C315" s="3">
        <v>4</v>
      </c>
      <c r="D315" s="95" t="s">
        <v>1044</v>
      </c>
      <c r="E315" s="95" t="s">
        <v>2393</v>
      </c>
      <c r="F315" s="95" t="s">
        <v>651</v>
      </c>
      <c r="G315" s="223">
        <v>45351</v>
      </c>
      <c r="H315" s="223">
        <v>45383</v>
      </c>
      <c r="I315" s="223">
        <v>47208</v>
      </c>
      <c r="J315" s="3" t="s">
        <v>2266</v>
      </c>
      <c r="K315" s="3" t="s">
        <v>10</v>
      </c>
      <c r="L315" s="3" t="s">
        <v>10</v>
      </c>
      <c r="M315" s="95" t="s">
        <v>19</v>
      </c>
      <c r="N315" s="3" t="s">
        <v>20</v>
      </c>
      <c r="O315" s="3" t="s">
        <v>651</v>
      </c>
      <c r="P315" s="3" t="s">
        <v>10</v>
      </c>
      <c r="Q315" s="3" t="s">
        <v>6</v>
      </c>
      <c r="R315" s="95" t="s">
        <v>2267</v>
      </c>
      <c r="S315" s="223" t="s">
        <v>5</v>
      </c>
      <c r="T315" s="223" t="s">
        <v>5</v>
      </c>
      <c r="U315" s="223" t="s">
        <v>5</v>
      </c>
      <c r="V315" s="223" t="s">
        <v>5</v>
      </c>
      <c r="W315" s="223" t="s">
        <v>5</v>
      </c>
      <c r="X315" s="3" t="s">
        <v>5</v>
      </c>
      <c r="Y315" s="3" t="s">
        <v>651</v>
      </c>
      <c r="Z315" s="3" t="s">
        <v>651</v>
      </c>
      <c r="AA315" s="3" t="s">
        <v>651</v>
      </c>
      <c r="AB315" s="223" t="s">
        <v>5</v>
      </c>
      <c r="AC315" s="3" t="s">
        <v>651</v>
      </c>
      <c r="AD315" s="3" t="s">
        <v>651</v>
      </c>
      <c r="AE315" s="95" t="s">
        <v>651</v>
      </c>
    </row>
    <row r="316" spans="1:31" x14ac:dyDescent="0.35">
      <c r="A316" s="3" t="s">
        <v>1045</v>
      </c>
      <c r="B316" s="3" t="s">
        <v>538</v>
      </c>
      <c r="C316" s="3">
        <v>4</v>
      </c>
      <c r="D316" s="95" t="s">
        <v>1046</v>
      </c>
      <c r="E316" s="95" t="s">
        <v>2393</v>
      </c>
      <c r="F316" s="95" t="s">
        <v>2393</v>
      </c>
      <c r="G316" s="223">
        <v>43706</v>
      </c>
      <c r="H316" s="223">
        <v>43739</v>
      </c>
      <c r="I316" s="223">
        <v>45565</v>
      </c>
      <c r="J316" s="3">
        <v>810</v>
      </c>
      <c r="K316" s="3" t="s">
        <v>10</v>
      </c>
      <c r="L316" s="3" t="s">
        <v>10</v>
      </c>
      <c r="M316" s="95" t="s">
        <v>114</v>
      </c>
      <c r="N316" s="3" t="s">
        <v>115</v>
      </c>
      <c r="O316" s="3" t="s">
        <v>651</v>
      </c>
      <c r="P316" s="3" t="s">
        <v>6</v>
      </c>
      <c r="Q316" s="3" t="s">
        <v>6</v>
      </c>
      <c r="R316" s="95" t="s">
        <v>652</v>
      </c>
      <c r="S316" s="223" t="s">
        <v>5</v>
      </c>
      <c r="T316" s="223" t="s">
        <v>5</v>
      </c>
      <c r="U316" s="223" t="s">
        <v>5</v>
      </c>
      <c r="V316" s="223" t="s">
        <v>5</v>
      </c>
      <c r="W316" s="223" t="s">
        <v>5</v>
      </c>
      <c r="X316" s="3" t="s">
        <v>5</v>
      </c>
      <c r="Y316" s="3" t="s">
        <v>651</v>
      </c>
      <c r="Z316" s="3" t="s">
        <v>651</v>
      </c>
      <c r="AA316" s="3" t="s">
        <v>6</v>
      </c>
      <c r="AB316" s="223">
        <v>43739</v>
      </c>
      <c r="AC316" s="3" t="s">
        <v>6</v>
      </c>
      <c r="AD316" s="3" t="s">
        <v>10</v>
      </c>
      <c r="AE316" s="95" t="s">
        <v>2263</v>
      </c>
    </row>
    <row r="317" spans="1:31" x14ac:dyDescent="0.35">
      <c r="A317" s="3" t="s">
        <v>1047</v>
      </c>
      <c r="B317" s="3" t="s">
        <v>538</v>
      </c>
      <c r="C317" s="3">
        <v>4</v>
      </c>
      <c r="D317" s="95" t="s">
        <v>1048</v>
      </c>
      <c r="E317" s="95" t="s">
        <v>2393</v>
      </c>
      <c r="F317" s="95" t="s">
        <v>2393</v>
      </c>
      <c r="G317" s="223">
        <v>43706</v>
      </c>
      <c r="H317" s="223">
        <v>43739</v>
      </c>
      <c r="I317" s="223">
        <v>45565</v>
      </c>
      <c r="J317" s="3">
        <v>810</v>
      </c>
      <c r="K317" s="3" t="s">
        <v>10</v>
      </c>
      <c r="L317" s="3" t="s">
        <v>10</v>
      </c>
      <c r="M317" s="95" t="s">
        <v>114</v>
      </c>
      <c r="N317" s="3" t="s">
        <v>115</v>
      </c>
      <c r="O317" s="3" t="s">
        <v>651</v>
      </c>
      <c r="P317" s="3" t="s">
        <v>6</v>
      </c>
      <c r="Q317" s="3" t="s">
        <v>6</v>
      </c>
      <c r="R317" s="95" t="s">
        <v>652</v>
      </c>
      <c r="S317" s="223" t="s">
        <v>5</v>
      </c>
      <c r="T317" s="223" t="s">
        <v>5</v>
      </c>
      <c r="U317" s="223" t="s">
        <v>5</v>
      </c>
      <c r="V317" s="223" t="s">
        <v>5</v>
      </c>
      <c r="W317" s="223" t="s">
        <v>5</v>
      </c>
      <c r="X317" s="3" t="s">
        <v>5</v>
      </c>
      <c r="Y317" s="3" t="s">
        <v>651</v>
      </c>
      <c r="Z317" s="3" t="s">
        <v>651</v>
      </c>
      <c r="AA317" s="3" t="s">
        <v>6</v>
      </c>
      <c r="AB317" s="223">
        <v>43739</v>
      </c>
      <c r="AC317" s="3" t="s">
        <v>6</v>
      </c>
      <c r="AD317" s="3" t="s">
        <v>10</v>
      </c>
      <c r="AE317" s="95" t="s">
        <v>2263</v>
      </c>
    </row>
    <row r="318" spans="1:31" x14ac:dyDescent="0.35">
      <c r="A318" s="3" t="s">
        <v>1049</v>
      </c>
      <c r="B318" s="3" t="s">
        <v>538</v>
      </c>
      <c r="C318" s="3">
        <v>4</v>
      </c>
      <c r="D318" s="95" t="s">
        <v>1050</v>
      </c>
      <c r="E318" s="95" t="s">
        <v>2393</v>
      </c>
      <c r="F318" s="95" t="s">
        <v>2393</v>
      </c>
      <c r="G318" s="223">
        <v>45108</v>
      </c>
      <c r="H318" s="223">
        <v>45139</v>
      </c>
      <c r="I318" s="223">
        <v>46965</v>
      </c>
      <c r="J318" s="3">
        <v>1060</v>
      </c>
      <c r="K318" s="3" t="s">
        <v>10</v>
      </c>
      <c r="L318" s="3" t="s">
        <v>10</v>
      </c>
      <c r="M318" s="95" t="s">
        <v>27</v>
      </c>
      <c r="N318" s="3" t="s">
        <v>28</v>
      </c>
      <c r="O318" s="3" t="s">
        <v>651</v>
      </c>
      <c r="P318" s="3" t="s">
        <v>6</v>
      </c>
      <c r="Q318" s="3" t="s">
        <v>6</v>
      </c>
      <c r="R318" s="95" t="s">
        <v>652</v>
      </c>
      <c r="S318" s="223" t="s">
        <v>5</v>
      </c>
      <c r="T318" s="223" t="s">
        <v>5</v>
      </c>
      <c r="U318" s="223" t="s">
        <v>5</v>
      </c>
      <c r="V318" s="223" t="s">
        <v>5</v>
      </c>
      <c r="W318" s="223" t="s">
        <v>5</v>
      </c>
      <c r="X318" s="3" t="s">
        <v>5</v>
      </c>
      <c r="Y318" s="3" t="s">
        <v>651</v>
      </c>
      <c r="Z318" s="3" t="s">
        <v>651</v>
      </c>
      <c r="AA318" s="3" t="s">
        <v>6</v>
      </c>
      <c r="AB318" s="223">
        <v>43313</v>
      </c>
      <c r="AC318" s="3" t="s">
        <v>6</v>
      </c>
      <c r="AD318" s="3" t="s">
        <v>10</v>
      </c>
      <c r="AE318" s="95" t="s">
        <v>2263</v>
      </c>
    </row>
    <row r="319" spans="1:31" x14ac:dyDescent="0.35">
      <c r="A319" s="3" t="s">
        <v>1051</v>
      </c>
      <c r="B319" s="3" t="s">
        <v>538</v>
      </c>
      <c r="C319" s="3">
        <v>4</v>
      </c>
      <c r="D319" s="95" t="s">
        <v>1052</v>
      </c>
      <c r="E319" s="95" t="s">
        <v>2393</v>
      </c>
      <c r="F319" s="95" t="s">
        <v>2393</v>
      </c>
      <c r="G319" s="223">
        <v>45659</v>
      </c>
      <c r="H319" s="223">
        <v>45660</v>
      </c>
      <c r="I319" s="223">
        <v>47483</v>
      </c>
      <c r="J319" s="3">
        <v>1850</v>
      </c>
      <c r="K319" s="3" t="s">
        <v>10</v>
      </c>
      <c r="L319" s="3" t="s">
        <v>10</v>
      </c>
      <c r="M319" s="95" t="s">
        <v>23</v>
      </c>
      <c r="N319" s="3" t="s">
        <v>24</v>
      </c>
      <c r="O319" s="3" t="s">
        <v>651</v>
      </c>
      <c r="P319" s="3" t="s">
        <v>6</v>
      </c>
      <c r="Q319" s="3" t="s">
        <v>6</v>
      </c>
      <c r="R319" s="95" t="s">
        <v>652</v>
      </c>
      <c r="S319" s="223" t="s">
        <v>5</v>
      </c>
      <c r="T319" s="223" t="s">
        <v>5</v>
      </c>
      <c r="U319" s="223" t="s">
        <v>5</v>
      </c>
      <c r="V319" s="223" t="s">
        <v>5</v>
      </c>
      <c r="W319" s="223" t="s">
        <v>5</v>
      </c>
      <c r="X319" s="3" t="s">
        <v>5</v>
      </c>
      <c r="Y319" s="3" t="s">
        <v>651</v>
      </c>
      <c r="Z319" s="3" t="s">
        <v>651</v>
      </c>
      <c r="AA319" s="3" t="s">
        <v>6</v>
      </c>
      <c r="AB319" s="223">
        <v>42240</v>
      </c>
      <c r="AC319" s="3" t="s">
        <v>10</v>
      </c>
      <c r="AD319" s="3" t="s">
        <v>10</v>
      </c>
      <c r="AE319" s="95" t="s">
        <v>2263</v>
      </c>
    </row>
    <row r="320" spans="1:31" x14ac:dyDescent="0.35">
      <c r="A320" s="3" t="s">
        <v>2394</v>
      </c>
      <c r="B320" s="3" t="s">
        <v>165</v>
      </c>
      <c r="C320" s="3">
        <v>6</v>
      </c>
      <c r="D320" s="95" t="s">
        <v>2395</v>
      </c>
      <c r="E320" s="95" t="s">
        <v>2794</v>
      </c>
      <c r="F320" s="95" t="s">
        <v>437</v>
      </c>
      <c r="G320" s="223">
        <v>44978</v>
      </c>
      <c r="H320" s="223">
        <v>45031</v>
      </c>
      <c r="I320" s="223">
        <v>46857</v>
      </c>
      <c r="J320" s="3">
        <v>2</v>
      </c>
      <c r="K320" s="3" t="s">
        <v>6</v>
      </c>
      <c r="L320" s="3" t="s">
        <v>6</v>
      </c>
      <c r="M320" s="95" t="s">
        <v>136</v>
      </c>
      <c r="N320" s="3" t="s">
        <v>138</v>
      </c>
      <c r="O320" s="3" t="s">
        <v>8</v>
      </c>
      <c r="P320" s="3" t="s">
        <v>6</v>
      </c>
      <c r="Q320" s="3" t="s">
        <v>6</v>
      </c>
      <c r="R320" s="95" t="s">
        <v>9</v>
      </c>
      <c r="S320" s="223">
        <v>44333</v>
      </c>
      <c r="T320" s="223">
        <v>44333</v>
      </c>
      <c r="U320" s="223">
        <v>44333</v>
      </c>
      <c r="V320" s="223">
        <v>44333</v>
      </c>
      <c r="W320" s="223" t="s">
        <v>6</v>
      </c>
      <c r="X320" s="3" t="s">
        <v>26</v>
      </c>
      <c r="Y320" s="3" t="s">
        <v>2248</v>
      </c>
      <c r="Z320" s="3" t="s">
        <v>2249</v>
      </c>
      <c r="AA320" s="3" t="s">
        <v>6</v>
      </c>
      <c r="AB320" s="223">
        <v>44862</v>
      </c>
      <c r="AC320" s="3" t="s">
        <v>6</v>
      </c>
      <c r="AD320" s="3" t="s">
        <v>10</v>
      </c>
      <c r="AE320" s="95" t="s">
        <v>2263</v>
      </c>
    </row>
    <row r="321" spans="1:31" x14ac:dyDescent="0.35">
      <c r="A321" s="3" t="s">
        <v>1053</v>
      </c>
      <c r="B321" s="3" t="s">
        <v>165</v>
      </c>
      <c r="C321" s="3">
        <v>6</v>
      </c>
      <c r="D321" s="95" t="s">
        <v>1054</v>
      </c>
      <c r="E321" s="95" t="s">
        <v>2396</v>
      </c>
      <c r="F321" s="95" t="s">
        <v>4</v>
      </c>
      <c r="G321" s="223">
        <v>45296</v>
      </c>
      <c r="H321" s="223">
        <v>45323</v>
      </c>
      <c r="I321" s="223">
        <v>47149</v>
      </c>
      <c r="J321" s="3">
        <v>94</v>
      </c>
      <c r="K321" s="3" t="s">
        <v>10</v>
      </c>
      <c r="L321" s="3" t="s">
        <v>10</v>
      </c>
      <c r="M321" s="95" t="s">
        <v>204</v>
      </c>
      <c r="N321" s="3" t="s">
        <v>521</v>
      </c>
      <c r="O321" s="3" t="s">
        <v>651</v>
      </c>
      <c r="P321" s="3" t="s">
        <v>6</v>
      </c>
      <c r="Q321" s="3" t="s">
        <v>6</v>
      </c>
      <c r="R321" s="95" t="s">
        <v>652</v>
      </c>
      <c r="S321" s="223" t="s">
        <v>5</v>
      </c>
      <c r="T321" s="223" t="s">
        <v>5</v>
      </c>
      <c r="U321" s="223" t="s">
        <v>5</v>
      </c>
      <c r="V321" s="223" t="s">
        <v>5</v>
      </c>
      <c r="W321" s="223" t="s">
        <v>5</v>
      </c>
      <c r="X321" s="3" t="s">
        <v>5</v>
      </c>
      <c r="Y321" s="3" t="s">
        <v>651</v>
      </c>
      <c r="Z321" s="3" t="s">
        <v>651</v>
      </c>
      <c r="AA321" s="3" t="s">
        <v>10</v>
      </c>
      <c r="AB321" s="223" t="s">
        <v>5</v>
      </c>
      <c r="AC321" s="3" t="s">
        <v>6</v>
      </c>
      <c r="AD321" s="3" t="s">
        <v>10</v>
      </c>
      <c r="AE321" s="95" t="s">
        <v>2263</v>
      </c>
    </row>
    <row r="322" spans="1:31" x14ac:dyDescent="0.35">
      <c r="A322" s="3" t="s">
        <v>164</v>
      </c>
      <c r="B322" s="3" t="s">
        <v>165</v>
      </c>
      <c r="C322" s="3">
        <v>6</v>
      </c>
      <c r="D322" s="95" t="s">
        <v>3150</v>
      </c>
      <c r="E322" s="95" t="s">
        <v>422</v>
      </c>
      <c r="F322" s="95" t="s">
        <v>437</v>
      </c>
      <c r="G322" s="223">
        <v>44455</v>
      </c>
      <c r="H322" s="223">
        <v>44500</v>
      </c>
      <c r="I322" s="223">
        <v>46326</v>
      </c>
      <c r="J322" s="3">
        <v>0</v>
      </c>
      <c r="K322" s="3" t="s">
        <v>6</v>
      </c>
      <c r="L322" s="3" t="s">
        <v>6</v>
      </c>
      <c r="M322" s="95" t="s">
        <v>19</v>
      </c>
      <c r="N322" s="3" t="s">
        <v>20</v>
      </c>
      <c r="O322" s="3" t="s">
        <v>21</v>
      </c>
      <c r="P322" s="3" t="s">
        <v>6</v>
      </c>
      <c r="Q322" s="3" t="s">
        <v>6</v>
      </c>
      <c r="R322" s="95" t="s">
        <v>22</v>
      </c>
      <c r="S322" s="223">
        <v>43675</v>
      </c>
      <c r="T322" s="223">
        <v>43756</v>
      </c>
      <c r="U322" s="223">
        <v>43647</v>
      </c>
      <c r="V322" s="223">
        <v>43647</v>
      </c>
      <c r="W322" s="223" t="s">
        <v>6</v>
      </c>
      <c r="X322" s="3" t="s">
        <v>26</v>
      </c>
      <c r="Y322" s="3" t="s">
        <v>2116</v>
      </c>
      <c r="Z322" s="3" t="s">
        <v>20</v>
      </c>
      <c r="AA322" s="3" t="s">
        <v>6</v>
      </c>
      <c r="AB322" s="223">
        <v>44442</v>
      </c>
      <c r="AC322" s="3" t="s">
        <v>10</v>
      </c>
      <c r="AD322" s="3" t="s">
        <v>10</v>
      </c>
      <c r="AE322" s="95" t="s">
        <v>2263</v>
      </c>
    </row>
    <row r="323" spans="1:31" x14ac:dyDescent="0.35">
      <c r="A323" s="3" t="s">
        <v>1055</v>
      </c>
      <c r="B323" s="3" t="s">
        <v>165</v>
      </c>
      <c r="C323" s="3">
        <v>6</v>
      </c>
      <c r="D323" s="95" t="s">
        <v>1056</v>
      </c>
      <c r="E323" s="95" t="s">
        <v>2396</v>
      </c>
      <c r="F323" s="95" t="s">
        <v>4</v>
      </c>
      <c r="G323" s="223">
        <v>45442</v>
      </c>
      <c r="H323" s="223">
        <v>45448</v>
      </c>
      <c r="I323" s="223">
        <v>47273</v>
      </c>
      <c r="J323" s="3">
        <v>249</v>
      </c>
      <c r="K323" s="3" t="s">
        <v>10</v>
      </c>
      <c r="L323" s="3" t="s">
        <v>10</v>
      </c>
      <c r="M323" s="95" t="s">
        <v>1057</v>
      </c>
      <c r="N323" s="3" t="s">
        <v>28</v>
      </c>
      <c r="O323" s="3" t="s">
        <v>651</v>
      </c>
      <c r="P323" s="3" t="s">
        <v>6</v>
      </c>
      <c r="Q323" s="3" t="s">
        <v>6</v>
      </c>
      <c r="R323" s="95" t="s">
        <v>652</v>
      </c>
      <c r="S323" s="223" t="s">
        <v>5</v>
      </c>
      <c r="T323" s="223" t="s">
        <v>5</v>
      </c>
      <c r="U323" s="223" t="s">
        <v>5</v>
      </c>
      <c r="V323" s="223" t="s">
        <v>5</v>
      </c>
      <c r="W323" s="223" t="s">
        <v>5</v>
      </c>
      <c r="X323" s="3" t="s">
        <v>5</v>
      </c>
      <c r="Y323" s="3" t="s">
        <v>651</v>
      </c>
      <c r="Z323" s="3" t="s">
        <v>651</v>
      </c>
      <c r="AA323" s="3" t="s">
        <v>10</v>
      </c>
      <c r="AB323" s="223" t="s">
        <v>5</v>
      </c>
      <c r="AC323" s="3" t="s">
        <v>6</v>
      </c>
      <c r="AD323" s="3" t="s">
        <v>10</v>
      </c>
      <c r="AE323" s="95" t="s">
        <v>2263</v>
      </c>
    </row>
    <row r="324" spans="1:31" x14ac:dyDescent="0.35">
      <c r="A324" s="3" t="s">
        <v>1058</v>
      </c>
      <c r="B324" s="3" t="s">
        <v>165</v>
      </c>
      <c r="C324" s="3">
        <v>6</v>
      </c>
      <c r="D324" s="95" t="s">
        <v>1059</v>
      </c>
      <c r="E324" s="95" t="s">
        <v>2397</v>
      </c>
      <c r="F324" s="95" t="s">
        <v>4</v>
      </c>
      <c r="G324" s="223">
        <v>43937</v>
      </c>
      <c r="H324" s="223">
        <v>43937</v>
      </c>
      <c r="I324" s="223">
        <v>45762</v>
      </c>
      <c r="J324" s="3">
        <v>68</v>
      </c>
      <c r="K324" s="3" t="s">
        <v>10</v>
      </c>
      <c r="L324" s="3" t="s">
        <v>10</v>
      </c>
      <c r="M324" s="95" t="s">
        <v>11</v>
      </c>
      <c r="N324" s="3" t="s">
        <v>7</v>
      </c>
      <c r="O324" s="3" t="s">
        <v>651</v>
      </c>
      <c r="P324" s="3" t="s">
        <v>6</v>
      </c>
      <c r="Q324" s="3" t="s">
        <v>6</v>
      </c>
      <c r="R324" s="95" t="s">
        <v>652</v>
      </c>
      <c r="S324" s="223" t="s">
        <v>5</v>
      </c>
      <c r="T324" s="223" t="s">
        <v>5</v>
      </c>
      <c r="U324" s="223" t="s">
        <v>5</v>
      </c>
      <c r="V324" s="223" t="s">
        <v>5</v>
      </c>
      <c r="W324" s="223" t="s">
        <v>5</v>
      </c>
      <c r="X324" s="3" t="s">
        <v>5</v>
      </c>
      <c r="Y324" s="3" t="s">
        <v>651</v>
      </c>
      <c r="Z324" s="3" t="s">
        <v>651</v>
      </c>
      <c r="AA324" s="3" t="s">
        <v>10</v>
      </c>
      <c r="AB324" s="223" t="s">
        <v>5</v>
      </c>
      <c r="AC324" s="3" t="s">
        <v>6</v>
      </c>
      <c r="AD324" s="3" t="s">
        <v>10</v>
      </c>
      <c r="AE324" s="95" t="s">
        <v>2265</v>
      </c>
    </row>
    <row r="325" spans="1:31" x14ac:dyDescent="0.35">
      <c r="A325" s="3" t="s">
        <v>1060</v>
      </c>
      <c r="B325" s="3" t="s">
        <v>165</v>
      </c>
      <c r="C325" s="3">
        <v>6</v>
      </c>
      <c r="D325" s="95" t="s">
        <v>1061</v>
      </c>
      <c r="E325" s="95" t="s">
        <v>2398</v>
      </c>
      <c r="F325" s="95" t="s">
        <v>4</v>
      </c>
      <c r="G325" s="223">
        <v>44173</v>
      </c>
      <c r="H325" s="223">
        <v>44173</v>
      </c>
      <c r="I325" s="223">
        <v>45998</v>
      </c>
      <c r="J325" s="3">
        <v>36</v>
      </c>
      <c r="K325" s="3" t="s">
        <v>10</v>
      </c>
      <c r="L325" s="3" t="s">
        <v>10</v>
      </c>
      <c r="M325" s="95" t="s">
        <v>60</v>
      </c>
      <c r="N325" s="3" t="s">
        <v>68</v>
      </c>
      <c r="O325" s="3" t="s">
        <v>651</v>
      </c>
      <c r="P325" s="3" t="s">
        <v>6</v>
      </c>
      <c r="Q325" s="3" t="s">
        <v>6</v>
      </c>
      <c r="R325" s="95" t="s">
        <v>652</v>
      </c>
      <c r="S325" s="223" t="s">
        <v>5</v>
      </c>
      <c r="T325" s="223" t="s">
        <v>5</v>
      </c>
      <c r="U325" s="223" t="s">
        <v>5</v>
      </c>
      <c r="V325" s="223" t="s">
        <v>5</v>
      </c>
      <c r="W325" s="223" t="s">
        <v>5</v>
      </c>
      <c r="X325" s="3" t="s">
        <v>5</v>
      </c>
      <c r="Y325" s="3" t="s">
        <v>651</v>
      </c>
      <c r="Z325" s="3" t="s">
        <v>651</v>
      </c>
      <c r="AA325" s="3" t="s">
        <v>10</v>
      </c>
      <c r="AB325" s="223" t="s">
        <v>5</v>
      </c>
      <c r="AC325" s="3" t="s">
        <v>6</v>
      </c>
      <c r="AD325" s="3" t="s">
        <v>10</v>
      </c>
      <c r="AE325" s="95" t="s">
        <v>2263</v>
      </c>
    </row>
    <row r="326" spans="1:31" x14ac:dyDescent="0.35">
      <c r="A326" s="3" t="s">
        <v>1062</v>
      </c>
      <c r="B326" s="3" t="s">
        <v>165</v>
      </c>
      <c r="C326" s="3">
        <v>6</v>
      </c>
      <c r="D326" s="95" t="s">
        <v>1063</v>
      </c>
      <c r="E326" s="95" t="s">
        <v>2399</v>
      </c>
      <c r="F326" s="95" t="s">
        <v>4</v>
      </c>
      <c r="G326" s="223">
        <v>44321</v>
      </c>
      <c r="H326" s="223">
        <v>44321</v>
      </c>
      <c r="I326" s="223">
        <v>46146</v>
      </c>
      <c r="J326" s="3">
        <v>631</v>
      </c>
      <c r="K326" s="3" t="s">
        <v>10</v>
      </c>
      <c r="L326" s="3" t="s">
        <v>10</v>
      </c>
      <c r="M326" s="95" t="s">
        <v>11</v>
      </c>
      <c r="N326" s="3" t="s">
        <v>7</v>
      </c>
      <c r="O326" s="3" t="s">
        <v>651</v>
      </c>
      <c r="P326" s="3" t="s">
        <v>6</v>
      </c>
      <c r="Q326" s="3" t="s">
        <v>6</v>
      </c>
      <c r="R326" s="95" t="s">
        <v>652</v>
      </c>
      <c r="S326" s="223" t="s">
        <v>5</v>
      </c>
      <c r="T326" s="223" t="s">
        <v>5</v>
      </c>
      <c r="U326" s="223" t="s">
        <v>5</v>
      </c>
      <c r="V326" s="223" t="s">
        <v>5</v>
      </c>
      <c r="W326" s="223" t="s">
        <v>5</v>
      </c>
      <c r="X326" s="3" t="s">
        <v>5</v>
      </c>
      <c r="Y326" s="3" t="s">
        <v>651</v>
      </c>
      <c r="Z326" s="3" t="s">
        <v>651</v>
      </c>
      <c r="AA326" s="3" t="s">
        <v>10</v>
      </c>
      <c r="AB326" s="223" t="s">
        <v>5</v>
      </c>
      <c r="AC326" s="3" t="s">
        <v>6</v>
      </c>
      <c r="AD326" s="3" t="s">
        <v>10</v>
      </c>
      <c r="AE326" s="95" t="s">
        <v>2265</v>
      </c>
    </row>
    <row r="327" spans="1:31" x14ac:dyDescent="0.35">
      <c r="A327" s="3" t="s">
        <v>1064</v>
      </c>
      <c r="B327" s="3" t="s">
        <v>165</v>
      </c>
      <c r="C327" s="3">
        <v>6</v>
      </c>
      <c r="D327" s="95" t="s">
        <v>1065</v>
      </c>
      <c r="E327" s="95" t="s">
        <v>2400</v>
      </c>
      <c r="F327" s="95" t="s">
        <v>4</v>
      </c>
      <c r="G327" s="223">
        <v>44182</v>
      </c>
      <c r="H327" s="223">
        <v>44182</v>
      </c>
      <c r="I327" s="223">
        <v>46007</v>
      </c>
      <c r="J327" s="3">
        <v>123</v>
      </c>
      <c r="K327" s="3" t="s">
        <v>10</v>
      </c>
      <c r="L327" s="3" t="s">
        <v>10</v>
      </c>
      <c r="M327" s="95" t="s">
        <v>116</v>
      </c>
      <c r="N327" s="3" t="s">
        <v>117</v>
      </c>
      <c r="O327" s="3" t="s">
        <v>651</v>
      </c>
      <c r="P327" s="3" t="s">
        <v>6</v>
      </c>
      <c r="Q327" s="3" t="s">
        <v>6</v>
      </c>
      <c r="R327" s="95" t="s">
        <v>652</v>
      </c>
      <c r="S327" s="223" t="s">
        <v>5</v>
      </c>
      <c r="T327" s="223" t="s">
        <v>5</v>
      </c>
      <c r="U327" s="223" t="s">
        <v>5</v>
      </c>
      <c r="V327" s="223" t="s">
        <v>5</v>
      </c>
      <c r="W327" s="223" t="s">
        <v>5</v>
      </c>
      <c r="X327" s="3" t="s">
        <v>5</v>
      </c>
      <c r="Y327" s="3" t="s">
        <v>651</v>
      </c>
      <c r="Z327" s="3" t="s">
        <v>651</v>
      </c>
      <c r="AA327" s="3" t="s">
        <v>10</v>
      </c>
      <c r="AB327" s="223" t="s">
        <v>5</v>
      </c>
      <c r="AC327" s="3" t="s">
        <v>6</v>
      </c>
      <c r="AD327" s="3" t="s">
        <v>10</v>
      </c>
      <c r="AE327" s="95" t="s">
        <v>2265</v>
      </c>
    </row>
    <row r="328" spans="1:31" x14ac:dyDescent="0.35">
      <c r="A328" s="3" t="s">
        <v>1066</v>
      </c>
      <c r="B328" s="3" t="s">
        <v>165</v>
      </c>
      <c r="C328" s="3">
        <v>6</v>
      </c>
      <c r="D328" s="95" t="s">
        <v>1067</v>
      </c>
      <c r="E328" s="95" t="s">
        <v>2401</v>
      </c>
      <c r="F328" s="95" t="s">
        <v>4</v>
      </c>
      <c r="G328" s="223">
        <v>44676</v>
      </c>
      <c r="H328" s="223">
        <v>44676</v>
      </c>
      <c r="I328" s="223">
        <v>46501</v>
      </c>
      <c r="J328" s="3">
        <v>3</v>
      </c>
      <c r="K328" s="3" t="s">
        <v>10</v>
      </c>
      <c r="L328" s="3" t="s">
        <v>10</v>
      </c>
      <c r="M328" s="95" t="s">
        <v>54</v>
      </c>
      <c r="N328" s="3" t="s">
        <v>55</v>
      </c>
      <c r="O328" s="3" t="s">
        <v>651</v>
      </c>
      <c r="P328" s="3" t="s">
        <v>6</v>
      </c>
      <c r="Q328" s="3" t="s">
        <v>6</v>
      </c>
      <c r="R328" s="95" t="s">
        <v>652</v>
      </c>
      <c r="S328" s="223" t="s">
        <v>5</v>
      </c>
      <c r="T328" s="223" t="s">
        <v>5</v>
      </c>
      <c r="U328" s="223" t="s">
        <v>5</v>
      </c>
      <c r="V328" s="223" t="s">
        <v>5</v>
      </c>
      <c r="W328" s="223" t="s">
        <v>5</v>
      </c>
      <c r="X328" s="3" t="s">
        <v>5</v>
      </c>
      <c r="Y328" s="3" t="s">
        <v>651</v>
      </c>
      <c r="Z328" s="3" t="s">
        <v>651</v>
      </c>
      <c r="AA328" s="3" t="s">
        <v>10</v>
      </c>
      <c r="AB328" s="223" t="s">
        <v>5</v>
      </c>
      <c r="AC328" s="3" t="s">
        <v>6</v>
      </c>
      <c r="AD328" s="3" t="s">
        <v>10</v>
      </c>
      <c r="AE328" s="95" t="s">
        <v>2263</v>
      </c>
    </row>
    <row r="329" spans="1:31" x14ac:dyDescent="0.35">
      <c r="A329" s="3" t="s">
        <v>1068</v>
      </c>
      <c r="B329" s="3" t="s">
        <v>165</v>
      </c>
      <c r="C329" s="3">
        <v>6</v>
      </c>
      <c r="D329" s="95" t="s">
        <v>1069</v>
      </c>
      <c r="E329" s="95" t="s">
        <v>2396</v>
      </c>
      <c r="F329" s="95" t="s">
        <v>4</v>
      </c>
      <c r="G329" s="223">
        <v>43789</v>
      </c>
      <c r="H329" s="223">
        <v>43789</v>
      </c>
      <c r="I329" s="223">
        <v>45615</v>
      </c>
      <c r="J329" s="3">
        <v>306</v>
      </c>
      <c r="K329" s="3" t="s">
        <v>10</v>
      </c>
      <c r="L329" s="3" t="s">
        <v>10</v>
      </c>
      <c r="M329" s="95" t="s">
        <v>1070</v>
      </c>
      <c r="N329" s="3" t="s">
        <v>28</v>
      </c>
      <c r="O329" s="3" t="s">
        <v>651</v>
      </c>
      <c r="P329" s="3" t="s">
        <v>6</v>
      </c>
      <c r="Q329" s="3" t="s">
        <v>6</v>
      </c>
      <c r="R329" s="95" t="s">
        <v>652</v>
      </c>
      <c r="S329" s="223" t="s">
        <v>5</v>
      </c>
      <c r="T329" s="223" t="s">
        <v>5</v>
      </c>
      <c r="U329" s="223" t="s">
        <v>5</v>
      </c>
      <c r="V329" s="223" t="s">
        <v>5</v>
      </c>
      <c r="W329" s="223" t="s">
        <v>5</v>
      </c>
      <c r="X329" s="3" t="s">
        <v>5</v>
      </c>
      <c r="Y329" s="3" t="s">
        <v>651</v>
      </c>
      <c r="Z329" s="3" t="s">
        <v>651</v>
      </c>
      <c r="AA329" s="3" t="s">
        <v>10</v>
      </c>
      <c r="AB329" s="223" t="s">
        <v>5</v>
      </c>
      <c r="AC329" s="3" t="s">
        <v>6</v>
      </c>
      <c r="AD329" s="3" t="s">
        <v>10</v>
      </c>
      <c r="AE329" s="95" t="s">
        <v>2263</v>
      </c>
    </row>
    <row r="330" spans="1:31" x14ac:dyDescent="0.35">
      <c r="A330" s="3" t="s">
        <v>1071</v>
      </c>
      <c r="B330" s="3" t="s">
        <v>165</v>
      </c>
      <c r="C330" s="3">
        <v>6</v>
      </c>
      <c r="D330" s="95" t="s">
        <v>1072</v>
      </c>
      <c r="E330" s="95" t="s">
        <v>2399</v>
      </c>
      <c r="F330" s="95" t="s">
        <v>4</v>
      </c>
      <c r="G330" s="223">
        <v>44181</v>
      </c>
      <c r="H330" s="223">
        <v>44181</v>
      </c>
      <c r="I330" s="223">
        <v>46006</v>
      </c>
      <c r="J330" s="3">
        <v>634</v>
      </c>
      <c r="K330" s="3" t="s">
        <v>10</v>
      </c>
      <c r="L330" s="3" t="s">
        <v>10</v>
      </c>
      <c r="M330" s="95" t="s">
        <v>1073</v>
      </c>
      <c r="N330" s="3" t="s">
        <v>28</v>
      </c>
      <c r="O330" s="3" t="s">
        <v>651</v>
      </c>
      <c r="P330" s="3" t="s">
        <v>6</v>
      </c>
      <c r="Q330" s="3" t="s">
        <v>6</v>
      </c>
      <c r="R330" s="95" t="s">
        <v>652</v>
      </c>
      <c r="S330" s="223" t="s">
        <v>5</v>
      </c>
      <c r="T330" s="223" t="s">
        <v>5</v>
      </c>
      <c r="U330" s="223" t="s">
        <v>5</v>
      </c>
      <c r="V330" s="223" t="s">
        <v>5</v>
      </c>
      <c r="W330" s="223" t="s">
        <v>5</v>
      </c>
      <c r="X330" s="3" t="s">
        <v>5</v>
      </c>
      <c r="Y330" s="3" t="s">
        <v>651</v>
      </c>
      <c r="Z330" s="3" t="s">
        <v>651</v>
      </c>
      <c r="AA330" s="3" t="s">
        <v>10</v>
      </c>
      <c r="AB330" s="223" t="s">
        <v>5</v>
      </c>
      <c r="AC330" s="3" t="s">
        <v>6</v>
      </c>
      <c r="AD330" s="3" t="s">
        <v>10</v>
      </c>
      <c r="AE330" s="95" t="s">
        <v>2263</v>
      </c>
    </row>
    <row r="331" spans="1:31" x14ac:dyDescent="0.35">
      <c r="A331" s="3" t="s">
        <v>1074</v>
      </c>
      <c r="B331" s="3" t="s">
        <v>165</v>
      </c>
      <c r="C331" s="3">
        <v>6</v>
      </c>
      <c r="D331" s="95" t="s">
        <v>1075</v>
      </c>
      <c r="E331" s="95" t="s">
        <v>2402</v>
      </c>
      <c r="F331" s="95" t="s">
        <v>4</v>
      </c>
      <c r="G331" s="223">
        <v>44270</v>
      </c>
      <c r="H331" s="223">
        <v>44270</v>
      </c>
      <c r="I331" s="223">
        <v>46095</v>
      </c>
      <c r="J331" s="3">
        <v>120</v>
      </c>
      <c r="K331" s="3" t="s">
        <v>10</v>
      </c>
      <c r="L331" s="3" t="s">
        <v>10</v>
      </c>
      <c r="M331" s="95" t="s">
        <v>114</v>
      </c>
      <c r="N331" s="3" t="s">
        <v>115</v>
      </c>
      <c r="O331" s="3" t="s">
        <v>651</v>
      </c>
      <c r="P331" s="3" t="s">
        <v>6</v>
      </c>
      <c r="Q331" s="3" t="s">
        <v>6</v>
      </c>
      <c r="R331" s="95" t="s">
        <v>652</v>
      </c>
      <c r="S331" s="223" t="s">
        <v>5</v>
      </c>
      <c r="T331" s="223" t="s">
        <v>5</v>
      </c>
      <c r="U331" s="223" t="s">
        <v>5</v>
      </c>
      <c r="V331" s="223" t="s">
        <v>5</v>
      </c>
      <c r="W331" s="223" t="s">
        <v>5</v>
      </c>
      <c r="X331" s="3" t="s">
        <v>5</v>
      </c>
      <c r="Y331" s="3" t="s">
        <v>651</v>
      </c>
      <c r="Z331" s="3" t="s">
        <v>651</v>
      </c>
      <c r="AA331" s="3" t="s">
        <v>10</v>
      </c>
      <c r="AB331" s="223" t="s">
        <v>5</v>
      </c>
      <c r="AC331" s="3" t="s">
        <v>6</v>
      </c>
      <c r="AD331" s="3" t="s">
        <v>10</v>
      </c>
      <c r="AE331" s="95" t="s">
        <v>2263</v>
      </c>
    </row>
    <row r="332" spans="1:31" x14ac:dyDescent="0.35">
      <c r="A332" s="3" t="s">
        <v>1076</v>
      </c>
      <c r="B332" s="3" t="s">
        <v>165</v>
      </c>
      <c r="C332" s="3">
        <v>6</v>
      </c>
      <c r="D332" s="95" t="s">
        <v>1077</v>
      </c>
      <c r="E332" s="95" t="s">
        <v>2403</v>
      </c>
      <c r="F332" s="95" t="s">
        <v>4</v>
      </c>
      <c r="G332" s="223">
        <v>44869</v>
      </c>
      <c r="H332" s="223">
        <v>44896</v>
      </c>
      <c r="I332" s="223">
        <v>46721</v>
      </c>
      <c r="J332" s="3">
        <v>4225</v>
      </c>
      <c r="K332" s="3" t="s">
        <v>10</v>
      </c>
      <c r="L332" s="3" t="s">
        <v>10</v>
      </c>
      <c r="M332" s="95" t="s">
        <v>47</v>
      </c>
      <c r="N332" s="3" t="s">
        <v>48</v>
      </c>
      <c r="O332" s="3" t="s">
        <v>651</v>
      </c>
      <c r="P332" s="3" t="s">
        <v>6</v>
      </c>
      <c r="Q332" s="3" t="s">
        <v>6</v>
      </c>
      <c r="R332" s="95" t="s">
        <v>652</v>
      </c>
      <c r="S332" s="223" t="s">
        <v>5</v>
      </c>
      <c r="T332" s="223" t="s">
        <v>5</v>
      </c>
      <c r="U332" s="223" t="s">
        <v>5</v>
      </c>
      <c r="V332" s="223" t="s">
        <v>5</v>
      </c>
      <c r="W332" s="223" t="s">
        <v>5</v>
      </c>
      <c r="X332" s="3" t="s">
        <v>5</v>
      </c>
      <c r="Y332" s="3" t="s">
        <v>651</v>
      </c>
      <c r="Z332" s="3" t="s">
        <v>651</v>
      </c>
      <c r="AA332" s="3" t="s">
        <v>10</v>
      </c>
      <c r="AB332" s="223" t="s">
        <v>5</v>
      </c>
      <c r="AC332" s="3" t="s">
        <v>6</v>
      </c>
      <c r="AD332" s="3" t="s">
        <v>10</v>
      </c>
      <c r="AE332" s="95" t="s">
        <v>2265</v>
      </c>
    </row>
    <row r="333" spans="1:31" x14ac:dyDescent="0.35">
      <c r="A333" s="3" t="s">
        <v>1078</v>
      </c>
      <c r="B333" s="3" t="s">
        <v>165</v>
      </c>
      <c r="C333" s="3">
        <v>6</v>
      </c>
      <c r="D333" s="95" t="s">
        <v>1079</v>
      </c>
      <c r="E333" s="95" t="s">
        <v>2404</v>
      </c>
      <c r="F333" s="95" t="s">
        <v>4</v>
      </c>
      <c r="G333" s="223">
        <v>45163</v>
      </c>
      <c r="H333" s="223">
        <v>45163</v>
      </c>
      <c r="I333" s="223">
        <v>46989</v>
      </c>
      <c r="J333" s="3">
        <v>1690</v>
      </c>
      <c r="K333" s="3" t="s">
        <v>10</v>
      </c>
      <c r="L333" s="3" t="s">
        <v>10</v>
      </c>
      <c r="M333" s="95" t="s">
        <v>47</v>
      </c>
      <c r="N333" s="3" t="s">
        <v>48</v>
      </c>
      <c r="O333" s="3" t="s">
        <v>651</v>
      </c>
      <c r="P333" s="3" t="s">
        <v>6</v>
      </c>
      <c r="Q333" s="3" t="s">
        <v>6</v>
      </c>
      <c r="R333" s="95" t="s">
        <v>652</v>
      </c>
      <c r="S333" s="223" t="s">
        <v>5</v>
      </c>
      <c r="T333" s="223" t="s">
        <v>5</v>
      </c>
      <c r="U333" s="223" t="s">
        <v>5</v>
      </c>
      <c r="V333" s="223" t="s">
        <v>5</v>
      </c>
      <c r="W333" s="223" t="s">
        <v>5</v>
      </c>
      <c r="X333" s="3" t="s">
        <v>5</v>
      </c>
      <c r="Y333" s="3" t="s">
        <v>651</v>
      </c>
      <c r="Z333" s="3" t="s">
        <v>651</v>
      </c>
      <c r="AA333" s="3" t="s">
        <v>10</v>
      </c>
      <c r="AB333" s="223" t="s">
        <v>5</v>
      </c>
      <c r="AC333" s="3" t="s">
        <v>6</v>
      </c>
      <c r="AD333" s="3" t="s">
        <v>10</v>
      </c>
      <c r="AE333" s="95" t="s">
        <v>2265</v>
      </c>
    </row>
    <row r="334" spans="1:31" x14ac:dyDescent="0.35">
      <c r="A334" s="3" t="s">
        <v>1080</v>
      </c>
      <c r="B334" s="3" t="s">
        <v>165</v>
      </c>
      <c r="C334" s="3">
        <v>6</v>
      </c>
      <c r="D334" s="95" t="s">
        <v>3123</v>
      </c>
      <c r="E334" s="95" t="s">
        <v>2405</v>
      </c>
      <c r="F334" s="95" t="s">
        <v>4</v>
      </c>
      <c r="G334" s="223">
        <v>43901</v>
      </c>
      <c r="H334" s="223">
        <v>43922</v>
      </c>
      <c r="I334" s="223">
        <v>45747</v>
      </c>
      <c r="J334" s="3">
        <v>231</v>
      </c>
      <c r="K334" s="3" t="s">
        <v>10</v>
      </c>
      <c r="L334" s="3" t="s">
        <v>10</v>
      </c>
      <c r="M334" s="95" t="s">
        <v>47</v>
      </c>
      <c r="N334" s="3" t="s">
        <v>48</v>
      </c>
      <c r="O334" s="3" t="s">
        <v>651</v>
      </c>
      <c r="P334" s="3" t="s">
        <v>6</v>
      </c>
      <c r="Q334" s="3" t="s">
        <v>6</v>
      </c>
      <c r="R334" s="95" t="s">
        <v>652</v>
      </c>
      <c r="S334" s="223" t="s">
        <v>5</v>
      </c>
      <c r="T334" s="223" t="s">
        <v>5</v>
      </c>
      <c r="U334" s="223" t="s">
        <v>5</v>
      </c>
      <c r="V334" s="223" t="s">
        <v>5</v>
      </c>
      <c r="W334" s="223" t="s">
        <v>5</v>
      </c>
      <c r="X334" s="3" t="s">
        <v>5</v>
      </c>
      <c r="Y334" s="3" t="s">
        <v>651</v>
      </c>
      <c r="Z334" s="3" t="s">
        <v>651</v>
      </c>
      <c r="AA334" s="3" t="s">
        <v>10</v>
      </c>
      <c r="AB334" s="223" t="s">
        <v>5</v>
      </c>
      <c r="AC334" s="3" t="s">
        <v>6</v>
      </c>
      <c r="AD334" s="3" t="s">
        <v>10</v>
      </c>
      <c r="AE334" s="95" t="s">
        <v>2265</v>
      </c>
    </row>
    <row r="335" spans="1:31" x14ac:dyDescent="0.35">
      <c r="A335" s="3" t="s">
        <v>1081</v>
      </c>
      <c r="B335" s="3" t="s">
        <v>165</v>
      </c>
      <c r="C335" s="3">
        <v>6</v>
      </c>
      <c r="D335" s="95" t="s">
        <v>1082</v>
      </c>
      <c r="E335" s="95" t="s">
        <v>2396</v>
      </c>
      <c r="F335" s="95" t="s">
        <v>4</v>
      </c>
      <c r="G335" s="223">
        <v>45495</v>
      </c>
      <c r="H335" s="223">
        <v>45495</v>
      </c>
      <c r="I335" s="223">
        <v>47320</v>
      </c>
      <c r="J335" s="3">
        <v>404</v>
      </c>
      <c r="K335" s="3" t="s">
        <v>10</v>
      </c>
      <c r="L335" s="3" t="s">
        <v>10</v>
      </c>
      <c r="M335" s="95" t="s">
        <v>47</v>
      </c>
      <c r="N335" s="3" t="s">
        <v>48</v>
      </c>
      <c r="O335" s="3" t="s">
        <v>651</v>
      </c>
      <c r="P335" s="3" t="s">
        <v>6</v>
      </c>
      <c r="Q335" s="3" t="s">
        <v>6</v>
      </c>
      <c r="R335" s="95" t="s">
        <v>652</v>
      </c>
      <c r="S335" s="223" t="s">
        <v>5</v>
      </c>
      <c r="T335" s="223" t="s">
        <v>5</v>
      </c>
      <c r="U335" s="223" t="s">
        <v>5</v>
      </c>
      <c r="V335" s="223" t="s">
        <v>5</v>
      </c>
      <c r="W335" s="223" t="s">
        <v>5</v>
      </c>
      <c r="X335" s="3" t="s">
        <v>5</v>
      </c>
      <c r="Y335" s="3" t="s">
        <v>651</v>
      </c>
      <c r="Z335" s="3" t="s">
        <v>651</v>
      </c>
      <c r="AA335" s="3" t="s">
        <v>10</v>
      </c>
      <c r="AB335" s="223" t="s">
        <v>5</v>
      </c>
      <c r="AC335" s="3" t="s">
        <v>6</v>
      </c>
      <c r="AD335" s="3" t="s">
        <v>10</v>
      </c>
      <c r="AE335" s="95" t="s">
        <v>2265</v>
      </c>
    </row>
    <row r="336" spans="1:31" x14ac:dyDescent="0.35">
      <c r="A336" s="3" t="s">
        <v>1083</v>
      </c>
      <c r="B336" s="3" t="s">
        <v>165</v>
      </c>
      <c r="C336" s="3">
        <v>6</v>
      </c>
      <c r="D336" s="95" t="s">
        <v>1084</v>
      </c>
      <c r="E336" s="95" t="s">
        <v>2406</v>
      </c>
      <c r="F336" s="95" t="s">
        <v>4</v>
      </c>
      <c r="G336" s="223">
        <v>45064</v>
      </c>
      <c r="H336" s="223">
        <v>45078</v>
      </c>
      <c r="I336" s="223">
        <v>46904</v>
      </c>
      <c r="J336" s="3">
        <v>162</v>
      </c>
      <c r="K336" s="3" t="s">
        <v>10</v>
      </c>
      <c r="L336" s="3" t="s">
        <v>10</v>
      </c>
      <c r="M336" s="95" t="s">
        <v>136</v>
      </c>
      <c r="N336" s="3" t="s">
        <v>138</v>
      </c>
      <c r="O336" s="3" t="s">
        <v>651</v>
      </c>
      <c r="P336" s="3" t="s">
        <v>6</v>
      </c>
      <c r="Q336" s="3" t="s">
        <v>6</v>
      </c>
      <c r="R336" s="95" t="s">
        <v>652</v>
      </c>
      <c r="S336" s="223" t="s">
        <v>5</v>
      </c>
      <c r="T336" s="223" t="s">
        <v>5</v>
      </c>
      <c r="U336" s="223" t="s">
        <v>5</v>
      </c>
      <c r="V336" s="223" t="s">
        <v>5</v>
      </c>
      <c r="W336" s="223" t="s">
        <v>5</v>
      </c>
      <c r="X336" s="3" t="s">
        <v>5</v>
      </c>
      <c r="Y336" s="3" t="s">
        <v>651</v>
      </c>
      <c r="Z336" s="3" t="s">
        <v>651</v>
      </c>
      <c r="AA336" s="3" t="s">
        <v>10</v>
      </c>
      <c r="AB336" s="223" t="s">
        <v>5</v>
      </c>
      <c r="AC336" s="3" t="s">
        <v>6</v>
      </c>
      <c r="AD336" s="3" t="s">
        <v>10</v>
      </c>
      <c r="AE336" s="95" t="s">
        <v>2263</v>
      </c>
    </row>
    <row r="337" spans="1:31" x14ac:dyDescent="0.35">
      <c r="A337" s="3" t="s">
        <v>1085</v>
      </c>
      <c r="B337" s="3" t="s">
        <v>165</v>
      </c>
      <c r="C337" s="3">
        <v>6</v>
      </c>
      <c r="D337" s="95" t="s">
        <v>1086</v>
      </c>
      <c r="E337" s="95" t="s">
        <v>2396</v>
      </c>
      <c r="F337" s="95" t="s">
        <v>4</v>
      </c>
      <c r="G337" s="223">
        <v>45363</v>
      </c>
      <c r="H337" s="223">
        <v>45408</v>
      </c>
      <c r="I337" s="223">
        <v>47233</v>
      </c>
      <c r="J337" s="3">
        <v>674</v>
      </c>
      <c r="K337" s="3" t="s">
        <v>10</v>
      </c>
      <c r="L337" s="3" t="s">
        <v>10</v>
      </c>
      <c r="M337" s="95" t="s">
        <v>737</v>
      </c>
      <c r="N337" s="3" t="s">
        <v>28</v>
      </c>
      <c r="O337" s="3" t="s">
        <v>651</v>
      </c>
      <c r="P337" s="3" t="s">
        <v>6</v>
      </c>
      <c r="Q337" s="3" t="s">
        <v>6</v>
      </c>
      <c r="R337" s="95" t="s">
        <v>652</v>
      </c>
      <c r="S337" s="223" t="s">
        <v>5</v>
      </c>
      <c r="T337" s="223" t="s">
        <v>5</v>
      </c>
      <c r="U337" s="223" t="s">
        <v>5</v>
      </c>
      <c r="V337" s="223" t="s">
        <v>5</v>
      </c>
      <c r="W337" s="223" t="s">
        <v>5</v>
      </c>
      <c r="X337" s="3" t="s">
        <v>5</v>
      </c>
      <c r="Y337" s="3" t="s">
        <v>651</v>
      </c>
      <c r="Z337" s="3" t="s">
        <v>651</v>
      </c>
      <c r="AA337" s="3" t="s">
        <v>10</v>
      </c>
      <c r="AB337" s="223" t="s">
        <v>5</v>
      </c>
      <c r="AC337" s="3" t="s">
        <v>6</v>
      </c>
      <c r="AD337" s="3" t="s">
        <v>10</v>
      </c>
      <c r="AE337" s="95" t="s">
        <v>2263</v>
      </c>
    </row>
    <row r="338" spans="1:31" x14ac:dyDescent="0.35">
      <c r="A338" s="3" t="s">
        <v>1087</v>
      </c>
      <c r="B338" s="3" t="s">
        <v>165</v>
      </c>
      <c r="C338" s="3">
        <v>6</v>
      </c>
      <c r="D338" s="95" t="s">
        <v>1088</v>
      </c>
      <c r="E338" s="95" t="s">
        <v>2407</v>
      </c>
      <c r="F338" s="95" t="s">
        <v>4</v>
      </c>
      <c r="G338" s="223">
        <v>44991</v>
      </c>
      <c r="H338" s="223">
        <v>45017</v>
      </c>
      <c r="I338" s="223">
        <v>46843</v>
      </c>
      <c r="J338" s="3">
        <v>28</v>
      </c>
      <c r="K338" s="3" t="s">
        <v>10</v>
      </c>
      <c r="L338" s="3" t="s">
        <v>10</v>
      </c>
      <c r="M338" s="95" t="s">
        <v>730</v>
      </c>
      <c r="N338" s="3" t="s">
        <v>28</v>
      </c>
      <c r="O338" s="3" t="s">
        <v>651</v>
      </c>
      <c r="P338" s="3" t="s">
        <v>6</v>
      </c>
      <c r="Q338" s="3" t="s">
        <v>6</v>
      </c>
      <c r="R338" s="95" t="s">
        <v>652</v>
      </c>
      <c r="S338" s="223" t="s">
        <v>5</v>
      </c>
      <c r="T338" s="223" t="s">
        <v>5</v>
      </c>
      <c r="U338" s="223" t="s">
        <v>5</v>
      </c>
      <c r="V338" s="223" t="s">
        <v>5</v>
      </c>
      <c r="W338" s="223" t="s">
        <v>5</v>
      </c>
      <c r="X338" s="3" t="s">
        <v>5</v>
      </c>
      <c r="Y338" s="3" t="s">
        <v>651</v>
      </c>
      <c r="Z338" s="3" t="s">
        <v>651</v>
      </c>
      <c r="AA338" s="3" t="s">
        <v>10</v>
      </c>
      <c r="AB338" s="223" t="s">
        <v>5</v>
      </c>
      <c r="AC338" s="3" t="s">
        <v>6</v>
      </c>
      <c r="AD338" s="3" t="s">
        <v>10</v>
      </c>
      <c r="AE338" s="95" t="s">
        <v>2263</v>
      </c>
    </row>
    <row r="339" spans="1:31" x14ac:dyDescent="0.35">
      <c r="A339" s="3" t="s">
        <v>1089</v>
      </c>
      <c r="B339" s="3" t="s">
        <v>165</v>
      </c>
      <c r="C339" s="3">
        <v>6</v>
      </c>
      <c r="D339" s="95" t="s">
        <v>1090</v>
      </c>
      <c r="E339" s="95" t="s">
        <v>2408</v>
      </c>
      <c r="F339" s="95" t="s">
        <v>4</v>
      </c>
      <c r="G339" s="223">
        <v>44980</v>
      </c>
      <c r="H339" s="223">
        <v>45017</v>
      </c>
      <c r="I339" s="223">
        <v>46843</v>
      </c>
      <c r="J339" s="3">
        <v>46</v>
      </c>
      <c r="K339" s="3" t="s">
        <v>10</v>
      </c>
      <c r="L339" s="3" t="s">
        <v>10</v>
      </c>
      <c r="M339" s="95" t="s">
        <v>1091</v>
      </c>
      <c r="N339" s="3" t="s">
        <v>68</v>
      </c>
      <c r="O339" s="3" t="s">
        <v>651</v>
      </c>
      <c r="P339" s="3" t="s">
        <v>6</v>
      </c>
      <c r="Q339" s="3" t="s">
        <v>6</v>
      </c>
      <c r="R339" s="95" t="s">
        <v>652</v>
      </c>
      <c r="S339" s="223" t="s">
        <v>5</v>
      </c>
      <c r="T339" s="223" t="s">
        <v>5</v>
      </c>
      <c r="U339" s="223" t="s">
        <v>5</v>
      </c>
      <c r="V339" s="223" t="s">
        <v>5</v>
      </c>
      <c r="W339" s="223" t="s">
        <v>5</v>
      </c>
      <c r="X339" s="3" t="s">
        <v>5</v>
      </c>
      <c r="Y339" s="3" t="s">
        <v>651</v>
      </c>
      <c r="Z339" s="3" t="s">
        <v>651</v>
      </c>
      <c r="AA339" s="3" t="s">
        <v>10</v>
      </c>
      <c r="AB339" s="223" t="s">
        <v>5</v>
      </c>
      <c r="AC339" s="3" t="s">
        <v>6</v>
      </c>
      <c r="AD339" s="3" t="s">
        <v>10</v>
      </c>
      <c r="AE339" s="95" t="s">
        <v>2263</v>
      </c>
    </row>
    <row r="340" spans="1:31" x14ac:dyDescent="0.35">
      <c r="A340" s="3" t="s">
        <v>1092</v>
      </c>
      <c r="B340" s="3" t="s">
        <v>165</v>
      </c>
      <c r="C340" s="3">
        <v>6</v>
      </c>
      <c r="D340" s="95" t="s">
        <v>1093</v>
      </c>
      <c r="E340" s="95" t="s">
        <v>2409</v>
      </c>
      <c r="F340" s="95" t="s">
        <v>651</v>
      </c>
      <c r="G340" s="223">
        <v>43581</v>
      </c>
      <c r="H340" s="223">
        <v>43581</v>
      </c>
      <c r="I340" s="223">
        <v>45407</v>
      </c>
      <c r="J340" s="3" t="s">
        <v>2266</v>
      </c>
      <c r="K340" s="3" t="s">
        <v>10</v>
      </c>
      <c r="L340" s="3" t="s">
        <v>10</v>
      </c>
      <c r="M340" s="95" t="s">
        <v>19</v>
      </c>
      <c r="N340" s="3" t="s">
        <v>20</v>
      </c>
      <c r="O340" s="3" t="s">
        <v>651</v>
      </c>
      <c r="P340" s="3" t="s">
        <v>10</v>
      </c>
      <c r="Q340" s="3" t="s">
        <v>6</v>
      </c>
      <c r="R340" s="95" t="s">
        <v>2267</v>
      </c>
      <c r="S340" s="223" t="s">
        <v>5</v>
      </c>
      <c r="T340" s="223" t="s">
        <v>5</v>
      </c>
      <c r="U340" s="223" t="s">
        <v>5</v>
      </c>
      <c r="V340" s="223" t="s">
        <v>5</v>
      </c>
      <c r="W340" s="223" t="s">
        <v>5</v>
      </c>
      <c r="X340" s="3" t="s">
        <v>5</v>
      </c>
      <c r="Y340" s="3" t="s">
        <v>651</v>
      </c>
      <c r="Z340" s="3" t="s">
        <v>651</v>
      </c>
      <c r="AA340" s="3" t="s">
        <v>651</v>
      </c>
      <c r="AB340" s="223" t="s">
        <v>5</v>
      </c>
      <c r="AC340" s="3" t="s">
        <v>651</v>
      </c>
      <c r="AD340" s="3" t="s">
        <v>651</v>
      </c>
      <c r="AE340" s="95" t="s">
        <v>651</v>
      </c>
    </row>
    <row r="341" spans="1:31" x14ac:dyDescent="0.35">
      <c r="A341" s="3" t="s">
        <v>1955</v>
      </c>
      <c r="B341" s="3" t="s">
        <v>165</v>
      </c>
      <c r="C341" s="3">
        <v>6</v>
      </c>
      <c r="D341" s="95" t="s">
        <v>167</v>
      </c>
      <c r="E341" s="95" t="s">
        <v>2272</v>
      </c>
      <c r="F341" s="95" t="s">
        <v>437</v>
      </c>
      <c r="G341" s="223">
        <v>44211</v>
      </c>
      <c r="H341" s="223">
        <v>44256</v>
      </c>
      <c r="I341" s="223">
        <v>46081</v>
      </c>
      <c r="J341" s="3">
        <v>0</v>
      </c>
      <c r="K341" s="3" t="s">
        <v>6</v>
      </c>
      <c r="L341" s="3" t="s">
        <v>6</v>
      </c>
      <c r="M341" s="95" t="s">
        <v>27</v>
      </c>
      <c r="N341" s="3" t="s">
        <v>28</v>
      </c>
      <c r="O341" s="3" t="s">
        <v>25</v>
      </c>
      <c r="P341" s="3" t="s">
        <v>6</v>
      </c>
      <c r="Q341" s="3" t="s">
        <v>6</v>
      </c>
      <c r="R341" s="95" t="s">
        <v>22</v>
      </c>
      <c r="S341" s="223">
        <v>43374</v>
      </c>
      <c r="T341" s="223">
        <v>43553</v>
      </c>
      <c r="U341" s="223">
        <v>43009</v>
      </c>
      <c r="V341" s="223">
        <v>43009</v>
      </c>
      <c r="W341" s="223" t="s">
        <v>6</v>
      </c>
      <c r="X341" s="3" t="s">
        <v>26</v>
      </c>
      <c r="Y341" s="3" t="s">
        <v>2100</v>
      </c>
      <c r="Z341" s="3" t="s">
        <v>28</v>
      </c>
      <c r="AA341" s="3" t="s">
        <v>6</v>
      </c>
      <c r="AB341" s="223">
        <v>42159</v>
      </c>
      <c r="AC341" s="3" t="s">
        <v>6</v>
      </c>
      <c r="AD341" s="3" t="s">
        <v>10</v>
      </c>
      <c r="AE341" s="95" t="s">
        <v>2263</v>
      </c>
    </row>
    <row r="342" spans="1:31" x14ac:dyDescent="0.35">
      <c r="A342" s="3" t="s">
        <v>166</v>
      </c>
      <c r="B342" s="3" t="s">
        <v>165</v>
      </c>
      <c r="C342" s="3">
        <v>6</v>
      </c>
      <c r="D342" s="95" t="s">
        <v>1956</v>
      </c>
      <c r="E342" s="95" t="s">
        <v>1912</v>
      </c>
      <c r="F342" s="95" t="s">
        <v>437</v>
      </c>
      <c r="G342" s="223">
        <v>44609</v>
      </c>
      <c r="H342" s="223">
        <v>44609</v>
      </c>
      <c r="I342" s="223">
        <v>46434</v>
      </c>
      <c r="J342" s="3">
        <v>2</v>
      </c>
      <c r="K342" s="3" t="s">
        <v>6</v>
      </c>
      <c r="L342" s="3" t="s">
        <v>6</v>
      </c>
      <c r="M342" s="95" t="s">
        <v>23</v>
      </c>
      <c r="N342" s="3" t="s">
        <v>24</v>
      </c>
      <c r="O342" s="3" t="s">
        <v>25</v>
      </c>
      <c r="P342" s="3" t="s">
        <v>6</v>
      </c>
      <c r="Q342" s="3" t="s">
        <v>6</v>
      </c>
      <c r="R342" s="95" t="s">
        <v>22</v>
      </c>
      <c r="S342" s="223">
        <v>43374</v>
      </c>
      <c r="T342" s="223">
        <v>43497</v>
      </c>
      <c r="U342" s="223">
        <v>42644</v>
      </c>
      <c r="V342" s="223">
        <v>42644</v>
      </c>
      <c r="W342" s="223" t="s">
        <v>6</v>
      </c>
      <c r="X342" s="3" t="s">
        <v>26</v>
      </c>
      <c r="Y342" s="3" t="s">
        <v>2093</v>
      </c>
      <c r="Z342" s="3" t="s">
        <v>24</v>
      </c>
      <c r="AA342" s="3" t="s">
        <v>6</v>
      </c>
      <c r="AB342" s="223">
        <v>42782</v>
      </c>
      <c r="AC342" s="3" t="s">
        <v>10</v>
      </c>
      <c r="AD342" s="3" t="s">
        <v>10</v>
      </c>
      <c r="AE342" s="95" t="s">
        <v>2263</v>
      </c>
    </row>
    <row r="343" spans="1:31" x14ac:dyDescent="0.35">
      <c r="A343" s="3" t="s">
        <v>1094</v>
      </c>
      <c r="B343" s="3" t="s">
        <v>165</v>
      </c>
      <c r="C343" s="3">
        <v>6</v>
      </c>
      <c r="D343" s="95" t="s">
        <v>1095</v>
      </c>
      <c r="E343" s="95" t="s">
        <v>2410</v>
      </c>
      <c r="F343" s="95" t="s">
        <v>4</v>
      </c>
      <c r="G343" s="223">
        <v>45250</v>
      </c>
      <c r="H343" s="223">
        <v>45250</v>
      </c>
      <c r="I343" s="223">
        <v>47076</v>
      </c>
      <c r="J343" s="3">
        <v>48</v>
      </c>
      <c r="K343" s="3" t="s">
        <v>10</v>
      </c>
      <c r="L343" s="3" t="s">
        <v>10</v>
      </c>
      <c r="M343" s="95" t="s">
        <v>2555</v>
      </c>
      <c r="N343" s="3" t="s">
        <v>52</v>
      </c>
      <c r="O343" s="3" t="s">
        <v>651</v>
      </c>
      <c r="P343" s="3" t="s">
        <v>6</v>
      </c>
      <c r="Q343" s="3" t="s">
        <v>6</v>
      </c>
      <c r="R343" s="95" t="s">
        <v>652</v>
      </c>
      <c r="S343" s="223" t="s">
        <v>5</v>
      </c>
      <c r="T343" s="223" t="s">
        <v>5</v>
      </c>
      <c r="U343" s="223" t="s">
        <v>5</v>
      </c>
      <c r="V343" s="223" t="s">
        <v>5</v>
      </c>
      <c r="W343" s="223" t="s">
        <v>5</v>
      </c>
      <c r="X343" s="3" t="s">
        <v>5</v>
      </c>
      <c r="Y343" s="3" t="s">
        <v>651</v>
      </c>
      <c r="Z343" s="3" t="s">
        <v>651</v>
      </c>
      <c r="AA343" s="3" t="s">
        <v>10</v>
      </c>
      <c r="AB343" s="223" t="s">
        <v>5</v>
      </c>
      <c r="AC343" s="3" t="s">
        <v>10</v>
      </c>
      <c r="AD343" s="3" t="s">
        <v>6</v>
      </c>
      <c r="AE343" s="95" t="s">
        <v>2265</v>
      </c>
    </row>
    <row r="344" spans="1:31" x14ac:dyDescent="0.35">
      <c r="A344" s="3" t="s">
        <v>1096</v>
      </c>
      <c r="B344" s="3" t="s">
        <v>165</v>
      </c>
      <c r="C344" s="3">
        <v>6</v>
      </c>
      <c r="D344" s="95" t="s">
        <v>1097</v>
      </c>
      <c r="E344" s="95" t="s">
        <v>2411</v>
      </c>
      <c r="F344" s="95" t="s">
        <v>4</v>
      </c>
      <c r="G344" s="223">
        <v>44496</v>
      </c>
      <c r="H344" s="223">
        <v>44496</v>
      </c>
      <c r="I344" s="223">
        <v>46321</v>
      </c>
      <c r="J344" s="3">
        <v>1316</v>
      </c>
      <c r="K344" s="3" t="s">
        <v>10</v>
      </c>
      <c r="L344" s="3" t="s">
        <v>10</v>
      </c>
      <c r="M344" s="95" t="s">
        <v>27</v>
      </c>
      <c r="N344" s="3" t="s">
        <v>28</v>
      </c>
      <c r="O344" s="3" t="s">
        <v>651</v>
      </c>
      <c r="P344" s="3" t="s">
        <v>6</v>
      </c>
      <c r="Q344" s="3" t="s">
        <v>6</v>
      </c>
      <c r="R344" s="95" t="s">
        <v>652</v>
      </c>
      <c r="S344" s="223" t="s">
        <v>5</v>
      </c>
      <c r="T344" s="223" t="s">
        <v>5</v>
      </c>
      <c r="U344" s="223" t="s">
        <v>5</v>
      </c>
      <c r="V344" s="223" t="s">
        <v>5</v>
      </c>
      <c r="W344" s="223" t="s">
        <v>5</v>
      </c>
      <c r="X344" s="3" t="s">
        <v>5</v>
      </c>
      <c r="Y344" s="3" t="s">
        <v>651</v>
      </c>
      <c r="Z344" s="3" t="s">
        <v>651</v>
      </c>
      <c r="AA344" s="3" t="s">
        <v>10</v>
      </c>
      <c r="AB344" s="223" t="s">
        <v>5</v>
      </c>
      <c r="AC344" s="3" t="s">
        <v>6</v>
      </c>
      <c r="AD344" s="3" t="s">
        <v>10</v>
      </c>
      <c r="AE344" s="95" t="s">
        <v>2263</v>
      </c>
    </row>
    <row r="345" spans="1:31" x14ac:dyDescent="0.35">
      <c r="A345" s="3" t="s">
        <v>1098</v>
      </c>
      <c r="B345" s="3" t="s">
        <v>165</v>
      </c>
      <c r="C345" s="3">
        <v>6</v>
      </c>
      <c r="D345" s="95" t="s">
        <v>3124</v>
      </c>
      <c r="E345" s="95" t="s">
        <v>2396</v>
      </c>
      <c r="F345" s="95" t="s">
        <v>4</v>
      </c>
      <c r="G345" s="223">
        <v>43637</v>
      </c>
      <c r="H345" s="223">
        <v>43739</v>
      </c>
      <c r="I345" s="223">
        <v>45565</v>
      </c>
      <c r="J345" s="3">
        <v>873</v>
      </c>
      <c r="K345" s="3" t="s">
        <v>10</v>
      </c>
      <c r="L345" s="3" t="s">
        <v>10</v>
      </c>
      <c r="M345" s="95" t="s">
        <v>23</v>
      </c>
      <c r="N345" s="3" t="s">
        <v>24</v>
      </c>
      <c r="O345" s="3" t="s">
        <v>651</v>
      </c>
      <c r="P345" s="3" t="s">
        <v>6</v>
      </c>
      <c r="Q345" s="3" t="s">
        <v>6</v>
      </c>
      <c r="R345" s="95" t="s">
        <v>652</v>
      </c>
      <c r="S345" s="223" t="s">
        <v>5</v>
      </c>
      <c r="T345" s="223" t="s">
        <v>5</v>
      </c>
      <c r="U345" s="223" t="s">
        <v>5</v>
      </c>
      <c r="V345" s="223" t="s">
        <v>5</v>
      </c>
      <c r="W345" s="223" t="s">
        <v>5</v>
      </c>
      <c r="X345" s="3" t="s">
        <v>5</v>
      </c>
      <c r="Y345" s="3" t="s">
        <v>651</v>
      </c>
      <c r="Z345" s="3" t="s">
        <v>651</v>
      </c>
      <c r="AA345" s="3" t="s">
        <v>10</v>
      </c>
      <c r="AB345" s="223" t="s">
        <v>5</v>
      </c>
      <c r="AC345" s="3" t="s">
        <v>6</v>
      </c>
      <c r="AD345" s="3" t="s">
        <v>10</v>
      </c>
      <c r="AE345" s="95" t="s">
        <v>2263</v>
      </c>
    </row>
    <row r="346" spans="1:31" x14ac:dyDescent="0.35">
      <c r="A346" s="3" t="s">
        <v>1099</v>
      </c>
      <c r="B346" s="3" t="s">
        <v>165</v>
      </c>
      <c r="C346" s="3">
        <v>6</v>
      </c>
      <c r="D346" s="95" t="s">
        <v>1100</v>
      </c>
      <c r="E346" s="95" t="s">
        <v>2412</v>
      </c>
      <c r="F346" s="95" t="s">
        <v>651</v>
      </c>
      <c r="G346" s="223">
        <v>43179</v>
      </c>
      <c r="H346" s="223">
        <v>43179</v>
      </c>
      <c r="I346" s="223">
        <v>45004</v>
      </c>
      <c r="J346" s="3" t="s">
        <v>2266</v>
      </c>
      <c r="K346" s="3" t="s">
        <v>10</v>
      </c>
      <c r="L346" s="3" t="s">
        <v>10</v>
      </c>
      <c r="M346" s="95" t="s">
        <v>23</v>
      </c>
      <c r="N346" s="3" t="s">
        <v>24</v>
      </c>
      <c r="O346" s="3" t="s">
        <v>651</v>
      </c>
      <c r="P346" s="3" t="s">
        <v>10</v>
      </c>
      <c r="Q346" s="3" t="s">
        <v>6</v>
      </c>
      <c r="R346" s="95" t="s">
        <v>2267</v>
      </c>
      <c r="S346" s="223" t="s">
        <v>5</v>
      </c>
      <c r="T346" s="223" t="s">
        <v>5</v>
      </c>
      <c r="U346" s="223" t="s">
        <v>5</v>
      </c>
      <c r="V346" s="223" t="s">
        <v>5</v>
      </c>
      <c r="W346" s="223" t="s">
        <v>5</v>
      </c>
      <c r="X346" s="3" t="s">
        <v>5</v>
      </c>
      <c r="Y346" s="3" t="s">
        <v>651</v>
      </c>
      <c r="Z346" s="3" t="s">
        <v>651</v>
      </c>
      <c r="AA346" s="3" t="s">
        <v>651</v>
      </c>
      <c r="AB346" s="223" t="s">
        <v>5</v>
      </c>
      <c r="AC346" s="3" t="s">
        <v>651</v>
      </c>
      <c r="AD346" s="3" t="s">
        <v>651</v>
      </c>
      <c r="AE346" s="95" t="s">
        <v>651</v>
      </c>
    </row>
    <row r="347" spans="1:31" x14ac:dyDescent="0.35">
      <c r="A347" s="3" t="s">
        <v>1101</v>
      </c>
      <c r="B347" s="3" t="s">
        <v>165</v>
      </c>
      <c r="C347" s="3">
        <v>6</v>
      </c>
      <c r="D347" s="95" t="s">
        <v>1102</v>
      </c>
      <c r="E347" s="95" t="s">
        <v>2413</v>
      </c>
      <c r="F347" s="95" t="s">
        <v>4</v>
      </c>
      <c r="G347" s="223">
        <v>42671</v>
      </c>
      <c r="H347" s="223">
        <v>42675</v>
      </c>
      <c r="I347" s="223">
        <v>44500</v>
      </c>
      <c r="J347" s="3">
        <v>1</v>
      </c>
      <c r="K347" s="3" t="s">
        <v>10</v>
      </c>
      <c r="L347" s="3" t="s">
        <v>10</v>
      </c>
      <c r="M347" s="95" t="s">
        <v>23</v>
      </c>
      <c r="N347" s="3" t="s">
        <v>24</v>
      </c>
      <c r="O347" s="3" t="s">
        <v>651</v>
      </c>
      <c r="P347" s="3" t="s">
        <v>6</v>
      </c>
      <c r="Q347" s="3" t="s">
        <v>6</v>
      </c>
      <c r="R347" s="95" t="s">
        <v>652</v>
      </c>
      <c r="S347" s="223" t="s">
        <v>5</v>
      </c>
      <c r="T347" s="223" t="s">
        <v>5</v>
      </c>
      <c r="U347" s="223" t="s">
        <v>5</v>
      </c>
      <c r="V347" s="223" t="s">
        <v>5</v>
      </c>
      <c r="W347" s="223" t="s">
        <v>5</v>
      </c>
      <c r="X347" s="3" t="s">
        <v>5</v>
      </c>
      <c r="Y347" s="3" t="s">
        <v>651</v>
      </c>
      <c r="Z347" s="3" t="s">
        <v>651</v>
      </c>
      <c r="AA347" s="3" t="s">
        <v>10</v>
      </c>
      <c r="AB347" s="223" t="s">
        <v>5</v>
      </c>
      <c r="AC347" s="3" t="s">
        <v>10</v>
      </c>
      <c r="AD347" s="3" t="s">
        <v>10</v>
      </c>
      <c r="AE347" s="95" t="s">
        <v>2263</v>
      </c>
    </row>
    <row r="348" spans="1:31" x14ac:dyDescent="0.35">
      <c r="A348" s="3" t="s">
        <v>427</v>
      </c>
      <c r="B348" s="3" t="s">
        <v>168</v>
      </c>
      <c r="C348" s="3">
        <v>1</v>
      </c>
      <c r="D348" s="95" t="s">
        <v>428</v>
      </c>
      <c r="E348" s="95" t="s">
        <v>2414</v>
      </c>
      <c r="F348" s="95" t="s">
        <v>437</v>
      </c>
      <c r="G348" s="223">
        <v>44322</v>
      </c>
      <c r="H348" s="223">
        <v>44382</v>
      </c>
      <c r="I348" s="223">
        <v>46203</v>
      </c>
      <c r="J348" s="3">
        <v>5</v>
      </c>
      <c r="K348" s="3" t="s">
        <v>6</v>
      </c>
      <c r="L348" s="3" t="s">
        <v>6</v>
      </c>
      <c r="M348" s="95" t="s">
        <v>109</v>
      </c>
      <c r="N348" s="3" t="s">
        <v>110</v>
      </c>
      <c r="O348" s="3" t="s">
        <v>25</v>
      </c>
      <c r="P348" s="3" t="s">
        <v>6</v>
      </c>
      <c r="Q348" s="3" t="s">
        <v>6</v>
      </c>
      <c r="R348" s="95" t="s">
        <v>9</v>
      </c>
      <c r="S348" s="223">
        <v>43374</v>
      </c>
      <c r="T348" s="223">
        <v>43434</v>
      </c>
      <c r="U348" s="223">
        <v>43313</v>
      </c>
      <c r="V348" s="223">
        <v>43313</v>
      </c>
      <c r="W348" s="223" t="s">
        <v>6</v>
      </c>
      <c r="X348" s="3" t="s">
        <v>26</v>
      </c>
      <c r="Y348" s="3" t="s">
        <v>2109</v>
      </c>
      <c r="Z348" s="3" t="s">
        <v>3189</v>
      </c>
      <c r="AA348" s="3" t="s">
        <v>6</v>
      </c>
      <c r="AB348" s="223">
        <v>44379</v>
      </c>
      <c r="AC348" s="3" t="s">
        <v>6</v>
      </c>
      <c r="AD348" s="3" t="s">
        <v>10</v>
      </c>
      <c r="AE348" s="95" t="s">
        <v>2265</v>
      </c>
    </row>
    <row r="349" spans="1:31" x14ac:dyDescent="0.35">
      <c r="A349" s="3" t="s">
        <v>171</v>
      </c>
      <c r="B349" s="3" t="s">
        <v>168</v>
      </c>
      <c r="C349" s="3">
        <v>1</v>
      </c>
      <c r="D349" s="95" t="s">
        <v>172</v>
      </c>
      <c r="E349" s="95" t="s">
        <v>2415</v>
      </c>
      <c r="F349" s="95" t="s">
        <v>4</v>
      </c>
      <c r="G349" s="223">
        <v>45400</v>
      </c>
      <c r="H349" s="223">
        <v>45413</v>
      </c>
      <c r="I349" s="223">
        <v>47208</v>
      </c>
      <c r="J349" s="3">
        <v>25</v>
      </c>
      <c r="K349" s="3" t="s">
        <v>6</v>
      </c>
      <c r="L349" s="3" t="s">
        <v>6</v>
      </c>
      <c r="M349" s="95" t="s">
        <v>173</v>
      </c>
      <c r="N349" s="3" t="s">
        <v>174</v>
      </c>
      <c r="O349" s="3" t="s">
        <v>17</v>
      </c>
      <c r="P349" s="3" t="s">
        <v>6</v>
      </c>
      <c r="Q349" s="3" t="s">
        <v>6</v>
      </c>
      <c r="R349" s="95" t="s">
        <v>9</v>
      </c>
      <c r="S349" s="223">
        <v>43591</v>
      </c>
      <c r="T349" s="223">
        <v>43672</v>
      </c>
      <c r="U349" s="223">
        <v>43556</v>
      </c>
      <c r="V349" s="223">
        <v>43556</v>
      </c>
      <c r="W349" s="223" t="s">
        <v>6</v>
      </c>
      <c r="X349" s="3" t="s">
        <v>51</v>
      </c>
      <c r="Y349" s="3" t="s">
        <v>2952</v>
      </c>
      <c r="Z349" s="3" t="s">
        <v>62</v>
      </c>
      <c r="AA349" s="3" t="s">
        <v>2372</v>
      </c>
      <c r="AB349" s="223" t="s">
        <v>5</v>
      </c>
      <c r="AC349" s="3" t="s">
        <v>6</v>
      </c>
      <c r="AD349" s="3" t="s">
        <v>10</v>
      </c>
      <c r="AE349" s="95" t="s">
        <v>2263</v>
      </c>
    </row>
    <row r="350" spans="1:31" x14ac:dyDescent="0.35">
      <c r="A350" s="3" t="s">
        <v>175</v>
      </c>
      <c r="B350" s="3" t="s">
        <v>168</v>
      </c>
      <c r="C350" s="3">
        <v>1</v>
      </c>
      <c r="D350" s="95" t="s">
        <v>176</v>
      </c>
      <c r="E350" s="95" t="s">
        <v>2416</v>
      </c>
      <c r="F350" s="95" t="s">
        <v>4</v>
      </c>
      <c r="G350" s="223">
        <v>44971</v>
      </c>
      <c r="H350" s="223">
        <v>45017</v>
      </c>
      <c r="I350" s="223">
        <v>46843</v>
      </c>
      <c r="J350" s="3">
        <v>29</v>
      </c>
      <c r="K350" s="3" t="s">
        <v>6</v>
      </c>
      <c r="L350" s="3" t="s">
        <v>6</v>
      </c>
      <c r="M350" s="95" t="s">
        <v>177</v>
      </c>
      <c r="N350" s="3" t="s">
        <v>178</v>
      </c>
      <c r="O350" s="3" t="s">
        <v>21</v>
      </c>
      <c r="P350" s="3" t="s">
        <v>6</v>
      </c>
      <c r="Q350" s="3" t="s">
        <v>6</v>
      </c>
      <c r="R350" s="95" t="s">
        <v>9</v>
      </c>
      <c r="S350" s="223">
        <v>43668</v>
      </c>
      <c r="T350" s="223">
        <v>43728</v>
      </c>
      <c r="U350" s="223">
        <v>43647</v>
      </c>
      <c r="V350" s="223">
        <v>43647</v>
      </c>
      <c r="W350" s="223" t="s">
        <v>6</v>
      </c>
      <c r="X350" s="3" t="s">
        <v>51</v>
      </c>
      <c r="Y350" s="3" t="s">
        <v>2952</v>
      </c>
      <c r="Z350" s="3" t="s">
        <v>62</v>
      </c>
      <c r="AA350" s="3" t="s">
        <v>2372</v>
      </c>
      <c r="AB350" s="223" t="s">
        <v>5</v>
      </c>
      <c r="AC350" s="3" t="s">
        <v>6</v>
      </c>
      <c r="AD350" s="3" t="s">
        <v>10</v>
      </c>
      <c r="AE350" s="95" t="s">
        <v>2265</v>
      </c>
    </row>
    <row r="351" spans="1:31" x14ac:dyDescent="0.35">
      <c r="A351" s="3" t="s">
        <v>179</v>
      </c>
      <c r="B351" s="3" t="s">
        <v>168</v>
      </c>
      <c r="C351" s="3">
        <v>1</v>
      </c>
      <c r="D351" s="95" t="s">
        <v>2795</v>
      </c>
      <c r="E351" s="95" t="s">
        <v>2796</v>
      </c>
      <c r="F351" s="95" t="s">
        <v>4</v>
      </c>
      <c r="G351" s="223">
        <v>44467</v>
      </c>
      <c r="H351" s="223">
        <v>44531</v>
      </c>
      <c r="I351" s="223">
        <v>46356</v>
      </c>
      <c r="J351" s="3">
        <v>33</v>
      </c>
      <c r="K351" s="3" t="s">
        <v>6</v>
      </c>
      <c r="L351" s="3" t="s">
        <v>6</v>
      </c>
      <c r="M351" s="95" t="s">
        <v>47</v>
      </c>
      <c r="N351" s="3" t="s">
        <v>48</v>
      </c>
      <c r="O351" s="3" t="s">
        <v>49</v>
      </c>
      <c r="P351" s="3" t="s">
        <v>6</v>
      </c>
      <c r="Q351" s="3" t="s">
        <v>6</v>
      </c>
      <c r="R351" s="95" t="s">
        <v>9</v>
      </c>
      <c r="S351" s="223">
        <v>43437</v>
      </c>
      <c r="T351" s="223">
        <v>43747</v>
      </c>
      <c r="U351" s="223">
        <v>43405</v>
      </c>
      <c r="V351" s="223">
        <v>43405</v>
      </c>
      <c r="W351" s="223" t="s">
        <v>6</v>
      </c>
      <c r="X351" s="3" t="s">
        <v>26</v>
      </c>
      <c r="Y351" s="3" t="s">
        <v>2927</v>
      </c>
      <c r="Z351" s="3" t="s">
        <v>2924</v>
      </c>
      <c r="AA351" s="3" t="s">
        <v>2372</v>
      </c>
      <c r="AB351" s="223" t="s">
        <v>5</v>
      </c>
      <c r="AC351" s="3" t="s">
        <v>6</v>
      </c>
      <c r="AD351" s="3" t="s">
        <v>6</v>
      </c>
      <c r="AE351" s="95" t="s">
        <v>2265</v>
      </c>
    </row>
    <row r="352" spans="1:31" x14ac:dyDescent="0.35">
      <c r="A352" s="3" t="s">
        <v>2797</v>
      </c>
      <c r="B352" s="3" t="s">
        <v>168</v>
      </c>
      <c r="C352" s="3">
        <v>1</v>
      </c>
      <c r="D352" s="95" t="s">
        <v>2798</v>
      </c>
      <c r="E352" s="95" t="s">
        <v>2799</v>
      </c>
      <c r="F352" s="95" t="s">
        <v>4</v>
      </c>
      <c r="G352" s="223">
        <v>44832</v>
      </c>
      <c r="H352" s="223">
        <v>44866</v>
      </c>
      <c r="I352" s="223">
        <v>46691</v>
      </c>
      <c r="J352" s="3">
        <v>43</v>
      </c>
      <c r="K352" s="3" t="s">
        <v>6</v>
      </c>
      <c r="L352" s="3" t="s">
        <v>6</v>
      </c>
      <c r="M352" s="95" t="s">
        <v>47</v>
      </c>
      <c r="N352" s="3" t="s">
        <v>48</v>
      </c>
      <c r="O352" s="3" t="s">
        <v>49</v>
      </c>
      <c r="P352" s="3" t="s">
        <v>6</v>
      </c>
      <c r="Q352" s="3" t="s">
        <v>6</v>
      </c>
      <c r="R352" s="95" t="s">
        <v>9</v>
      </c>
      <c r="S352" s="223">
        <v>43437</v>
      </c>
      <c r="T352" s="223">
        <v>43747</v>
      </c>
      <c r="U352" s="223">
        <v>43405</v>
      </c>
      <c r="V352" s="223">
        <v>43405</v>
      </c>
      <c r="W352" s="223" t="s">
        <v>6</v>
      </c>
      <c r="X352" s="3" t="s">
        <v>26</v>
      </c>
      <c r="Y352" s="3" t="s">
        <v>2927</v>
      </c>
      <c r="Z352" s="3" t="s">
        <v>2924</v>
      </c>
      <c r="AA352" s="3" t="s">
        <v>2372</v>
      </c>
      <c r="AB352" s="223" t="s">
        <v>5</v>
      </c>
      <c r="AC352" s="3" t="s">
        <v>6</v>
      </c>
      <c r="AD352" s="3" t="s">
        <v>6</v>
      </c>
      <c r="AE352" s="95" t="s">
        <v>2265</v>
      </c>
    </row>
    <row r="353" spans="1:31" x14ac:dyDescent="0.35">
      <c r="A353" s="3" t="s">
        <v>180</v>
      </c>
      <c r="B353" s="3" t="s">
        <v>168</v>
      </c>
      <c r="C353" s="3">
        <v>1</v>
      </c>
      <c r="D353" s="95" t="s">
        <v>181</v>
      </c>
      <c r="E353" s="95" t="s">
        <v>429</v>
      </c>
      <c r="F353" s="95" t="s">
        <v>4</v>
      </c>
      <c r="G353" s="223">
        <v>45131</v>
      </c>
      <c r="H353" s="223">
        <v>45200</v>
      </c>
      <c r="I353" s="223">
        <v>47026</v>
      </c>
      <c r="J353" s="3">
        <v>66</v>
      </c>
      <c r="K353" s="3" t="s">
        <v>6</v>
      </c>
      <c r="L353" s="3" t="s">
        <v>6</v>
      </c>
      <c r="M353" s="95" t="s">
        <v>116</v>
      </c>
      <c r="N353" s="3" t="s">
        <v>117</v>
      </c>
      <c r="O353" s="3" t="s">
        <v>17</v>
      </c>
      <c r="P353" s="3" t="s">
        <v>6</v>
      </c>
      <c r="Q353" s="3" t="s">
        <v>6</v>
      </c>
      <c r="R353" s="95" t="s">
        <v>9</v>
      </c>
      <c r="S353" s="223">
        <v>43591</v>
      </c>
      <c r="T353" s="223">
        <v>43651</v>
      </c>
      <c r="U353" s="223">
        <v>43616</v>
      </c>
      <c r="V353" s="223">
        <v>43616</v>
      </c>
      <c r="W353" s="223" t="s">
        <v>6</v>
      </c>
      <c r="X353" s="3" t="s">
        <v>26</v>
      </c>
      <c r="Y353" s="3" t="s">
        <v>2933</v>
      </c>
      <c r="Z353" s="3" t="s">
        <v>2924</v>
      </c>
      <c r="AA353" s="3" t="s">
        <v>2372</v>
      </c>
      <c r="AB353" s="223" t="s">
        <v>5</v>
      </c>
      <c r="AC353" s="3" t="s">
        <v>6</v>
      </c>
      <c r="AD353" s="3" t="s">
        <v>10</v>
      </c>
      <c r="AE353" s="95" t="s">
        <v>2265</v>
      </c>
    </row>
    <row r="354" spans="1:31" x14ac:dyDescent="0.35">
      <c r="A354" s="3" t="s">
        <v>3252</v>
      </c>
      <c r="B354" s="3" t="s">
        <v>168</v>
      </c>
      <c r="C354" s="3">
        <v>1</v>
      </c>
      <c r="D354" s="95" t="s">
        <v>3253</v>
      </c>
      <c r="E354" s="95" t="s">
        <v>3254</v>
      </c>
      <c r="F354" s="95" t="s">
        <v>4</v>
      </c>
      <c r="G354" s="223">
        <v>46022</v>
      </c>
      <c r="H354" s="223">
        <v>46022</v>
      </c>
      <c r="I354" s="223">
        <v>47848</v>
      </c>
      <c r="J354" s="3">
        <v>3500</v>
      </c>
      <c r="K354" s="3" t="s">
        <v>6</v>
      </c>
      <c r="L354" s="3" t="s">
        <v>6</v>
      </c>
      <c r="M354" s="95" t="s">
        <v>60</v>
      </c>
      <c r="N354" s="3" t="s">
        <v>62</v>
      </c>
      <c r="O354" s="3" t="s">
        <v>56</v>
      </c>
      <c r="P354" s="3" t="s">
        <v>6</v>
      </c>
      <c r="Q354" s="3" t="s">
        <v>6</v>
      </c>
      <c r="R354" s="95" t="s">
        <v>9</v>
      </c>
      <c r="S354" s="223">
        <v>45299</v>
      </c>
      <c r="T354" s="223">
        <v>45382</v>
      </c>
      <c r="U354" s="223">
        <v>45299</v>
      </c>
      <c r="V354" s="223">
        <v>45299</v>
      </c>
      <c r="W354" s="223" t="s">
        <v>6</v>
      </c>
      <c r="X354" s="3" t="s">
        <v>51</v>
      </c>
      <c r="Y354" s="3" t="s">
        <v>3193</v>
      </c>
      <c r="Z354" s="3" t="s">
        <v>62</v>
      </c>
      <c r="AA354" s="3" t="s">
        <v>10</v>
      </c>
      <c r="AB354" s="223" t="s">
        <v>5</v>
      </c>
      <c r="AC354" s="3" t="s">
        <v>6</v>
      </c>
      <c r="AD354" s="3" t="s">
        <v>10</v>
      </c>
      <c r="AE354" s="95" t="s">
        <v>2263</v>
      </c>
    </row>
    <row r="355" spans="1:31" x14ac:dyDescent="0.35">
      <c r="A355" s="3" t="s">
        <v>182</v>
      </c>
      <c r="B355" s="3" t="s">
        <v>168</v>
      </c>
      <c r="C355" s="3">
        <v>1</v>
      </c>
      <c r="D355" s="95" t="s">
        <v>3151</v>
      </c>
      <c r="E355" s="95" t="s">
        <v>422</v>
      </c>
      <c r="F355" s="95" t="s">
        <v>437</v>
      </c>
      <c r="G355" s="223">
        <v>44455</v>
      </c>
      <c r="H355" s="223">
        <v>44500</v>
      </c>
      <c r="I355" s="223">
        <v>46326</v>
      </c>
      <c r="J355" s="3">
        <v>46</v>
      </c>
      <c r="K355" s="3" t="s">
        <v>6</v>
      </c>
      <c r="L355" s="3" t="s">
        <v>6</v>
      </c>
      <c r="M355" s="95" t="s">
        <v>19</v>
      </c>
      <c r="N355" s="3" t="s">
        <v>20</v>
      </c>
      <c r="O355" s="3" t="s">
        <v>21</v>
      </c>
      <c r="P355" s="3" t="s">
        <v>6</v>
      </c>
      <c r="Q355" s="3" t="s">
        <v>6</v>
      </c>
      <c r="R355" s="95" t="s">
        <v>22</v>
      </c>
      <c r="S355" s="223">
        <v>43675</v>
      </c>
      <c r="T355" s="223">
        <v>43756</v>
      </c>
      <c r="U355" s="223">
        <v>43647</v>
      </c>
      <c r="V355" s="223">
        <v>43647</v>
      </c>
      <c r="W355" s="223" t="s">
        <v>6</v>
      </c>
      <c r="X355" s="3" t="s">
        <v>26</v>
      </c>
      <c r="Y355" s="3" t="s">
        <v>2116</v>
      </c>
      <c r="Z355" s="3" t="s">
        <v>20</v>
      </c>
      <c r="AA355" s="3" t="s">
        <v>6</v>
      </c>
      <c r="AB355" s="223">
        <v>44442</v>
      </c>
      <c r="AC355" s="3" t="s">
        <v>10</v>
      </c>
      <c r="AD355" s="3" t="s">
        <v>10</v>
      </c>
      <c r="AE355" s="95" t="s">
        <v>2263</v>
      </c>
    </row>
    <row r="356" spans="1:31" x14ac:dyDescent="0.35">
      <c r="A356" s="3" t="s">
        <v>183</v>
      </c>
      <c r="B356" s="3" t="s">
        <v>168</v>
      </c>
      <c r="C356" s="3">
        <v>1</v>
      </c>
      <c r="D356" s="95" t="s">
        <v>508</v>
      </c>
      <c r="E356" s="95" t="s">
        <v>509</v>
      </c>
      <c r="F356" s="95" t="s">
        <v>437</v>
      </c>
      <c r="G356" s="223">
        <v>44775</v>
      </c>
      <c r="H356" s="223">
        <v>44775</v>
      </c>
      <c r="I356" s="223">
        <v>46600</v>
      </c>
      <c r="J356" s="3">
        <v>134</v>
      </c>
      <c r="K356" s="3" t="s">
        <v>6</v>
      </c>
      <c r="L356" s="3" t="s">
        <v>6</v>
      </c>
      <c r="M356" s="95" t="s">
        <v>184</v>
      </c>
      <c r="N356" s="3" t="s">
        <v>68</v>
      </c>
      <c r="O356" s="3" t="s">
        <v>49</v>
      </c>
      <c r="P356" s="3" t="s">
        <v>6</v>
      </c>
      <c r="Q356" s="3" t="s">
        <v>6</v>
      </c>
      <c r="R356" s="95" t="s">
        <v>9</v>
      </c>
      <c r="S356" s="223">
        <v>43528</v>
      </c>
      <c r="T356" s="223">
        <v>43588</v>
      </c>
      <c r="U356" s="223">
        <v>43221</v>
      </c>
      <c r="V356" s="223">
        <v>43221</v>
      </c>
      <c r="W356" s="223" t="s">
        <v>6</v>
      </c>
      <c r="X356" s="3" t="s">
        <v>26</v>
      </c>
      <c r="Y356" s="3" t="s">
        <v>2137</v>
      </c>
      <c r="Z356" s="3" t="s">
        <v>2249</v>
      </c>
      <c r="AA356" s="3" t="s">
        <v>6</v>
      </c>
      <c r="AB356" s="223">
        <v>44901</v>
      </c>
      <c r="AC356" s="3" t="s">
        <v>6</v>
      </c>
      <c r="AD356" s="3" t="s">
        <v>10</v>
      </c>
      <c r="AE356" s="95" t="s">
        <v>2263</v>
      </c>
    </row>
    <row r="357" spans="1:31" x14ac:dyDescent="0.35">
      <c r="A357" s="3" t="s">
        <v>1957</v>
      </c>
      <c r="B357" s="3" t="s">
        <v>168</v>
      </c>
      <c r="C357" s="3">
        <v>1</v>
      </c>
      <c r="D357" s="95" t="s">
        <v>1958</v>
      </c>
      <c r="E357" s="95" t="s">
        <v>2272</v>
      </c>
      <c r="F357" s="95" t="s">
        <v>437</v>
      </c>
      <c r="G357" s="223">
        <v>44211</v>
      </c>
      <c r="H357" s="223">
        <v>44256</v>
      </c>
      <c r="I357" s="223">
        <v>46081</v>
      </c>
      <c r="J357" s="3">
        <v>0</v>
      </c>
      <c r="K357" s="3" t="s">
        <v>6</v>
      </c>
      <c r="L357" s="3" t="s">
        <v>6</v>
      </c>
      <c r="M357" s="95" t="s">
        <v>27</v>
      </c>
      <c r="N357" s="3" t="s">
        <v>28</v>
      </c>
      <c r="O357" s="3" t="s">
        <v>25</v>
      </c>
      <c r="P357" s="3" t="s">
        <v>6</v>
      </c>
      <c r="Q357" s="3" t="s">
        <v>6</v>
      </c>
      <c r="R357" s="95" t="s">
        <v>22</v>
      </c>
      <c r="S357" s="223">
        <v>43374</v>
      </c>
      <c r="T357" s="223">
        <v>43553</v>
      </c>
      <c r="U357" s="223">
        <v>43009</v>
      </c>
      <c r="V357" s="223">
        <v>43009</v>
      </c>
      <c r="W357" s="223" t="s">
        <v>6</v>
      </c>
      <c r="X357" s="3" t="s">
        <v>26</v>
      </c>
      <c r="Y357" s="3" t="s">
        <v>2100</v>
      </c>
      <c r="Z357" s="3" t="s">
        <v>28</v>
      </c>
      <c r="AA357" s="3" t="s">
        <v>6</v>
      </c>
      <c r="AB357" s="223">
        <v>42159</v>
      </c>
      <c r="AC357" s="3" t="s">
        <v>6</v>
      </c>
      <c r="AD357" s="3" t="s">
        <v>10</v>
      </c>
      <c r="AE357" s="95" t="s">
        <v>2263</v>
      </c>
    </row>
    <row r="358" spans="1:31" x14ac:dyDescent="0.35">
      <c r="A358" s="3" t="s">
        <v>1959</v>
      </c>
      <c r="B358" s="3" t="s">
        <v>168</v>
      </c>
      <c r="C358" s="3">
        <v>1</v>
      </c>
      <c r="D358" s="95" t="s">
        <v>1960</v>
      </c>
      <c r="E358" s="95" t="s">
        <v>1912</v>
      </c>
      <c r="F358" s="95" t="s">
        <v>437</v>
      </c>
      <c r="G358" s="223">
        <v>44609</v>
      </c>
      <c r="H358" s="223">
        <v>44609</v>
      </c>
      <c r="I358" s="223">
        <v>46434</v>
      </c>
      <c r="J358" s="3">
        <v>9</v>
      </c>
      <c r="K358" s="3" t="s">
        <v>6</v>
      </c>
      <c r="L358" s="3" t="s">
        <v>6</v>
      </c>
      <c r="M358" s="95" t="s">
        <v>23</v>
      </c>
      <c r="N358" s="3" t="s">
        <v>24</v>
      </c>
      <c r="O358" s="3" t="s">
        <v>25</v>
      </c>
      <c r="P358" s="3" t="s">
        <v>6</v>
      </c>
      <c r="Q358" s="3" t="s">
        <v>6</v>
      </c>
      <c r="R358" s="95" t="s">
        <v>22</v>
      </c>
      <c r="S358" s="223">
        <v>43374</v>
      </c>
      <c r="T358" s="223">
        <v>43497</v>
      </c>
      <c r="U358" s="223">
        <v>42644</v>
      </c>
      <c r="V358" s="223">
        <v>42644</v>
      </c>
      <c r="W358" s="223" t="s">
        <v>6</v>
      </c>
      <c r="X358" s="3" t="s">
        <v>26</v>
      </c>
      <c r="Y358" s="3" t="s">
        <v>2093</v>
      </c>
      <c r="Z358" s="3" t="s">
        <v>24</v>
      </c>
      <c r="AA358" s="3" t="s">
        <v>6</v>
      </c>
      <c r="AB358" s="223">
        <v>42782</v>
      </c>
      <c r="AC358" s="3" t="s">
        <v>10</v>
      </c>
      <c r="AD358" s="3" t="s">
        <v>10</v>
      </c>
      <c r="AE358" s="95" t="s">
        <v>2263</v>
      </c>
    </row>
    <row r="359" spans="1:31" x14ac:dyDescent="0.35">
      <c r="A359" s="3" t="s">
        <v>473</v>
      </c>
      <c r="B359" s="3" t="s">
        <v>168</v>
      </c>
      <c r="C359" s="3">
        <v>1</v>
      </c>
      <c r="D359" s="95" t="s">
        <v>3182</v>
      </c>
      <c r="E359" s="95" t="s">
        <v>474</v>
      </c>
      <c r="F359" s="95" t="s">
        <v>4</v>
      </c>
      <c r="G359" s="223">
        <v>42464</v>
      </c>
      <c r="H359" s="223">
        <v>43282</v>
      </c>
      <c r="I359" s="223">
        <v>44742</v>
      </c>
      <c r="J359" s="3">
        <v>241</v>
      </c>
      <c r="K359" s="3" t="s">
        <v>6</v>
      </c>
      <c r="L359" s="3" t="s">
        <v>6</v>
      </c>
      <c r="M359" s="95" t="s">
        <v>2555</v>
      </c>
      <c r="N359" s="3" t="s">
        <v>52</v>
      </c>
      <c r="O359" s="3" t="s">
        <v>17</v>
      </c>
      <c r="P359" s="3" t="s">
        <v>6</v>
      </c>
      <c r="Q359" s="3" t="s">
        <v>6</v>
      </c>
      <c r="R359" s="95" t="s">
        <v>9</v>
      </c>
      <c r="S359" s="223">
        <v>43591</v>
      </c>
      <c r="T359" s="223">
        <v>43749</v>
      </c>
      <c r="U359" s="223">
        <v>43679</v>
      </c>
      <c r="V359" s="223">
        <v>43679</v>
      </c>
      <c r="W359" s="223" t="s">
        <v>6</v>
      </c>
      <c r="X359" s="3" t="s">
        <v>26</v>
      </c>
      <c r="Y359" s="3" t="s">
        <v>2120</v>
      </c>
      <c r="Z359" s="3" t="s">
        <v>52</v>
      </c>
      <c r="AA359" s="3" t="s">
        <v>2254</v>
      </c>
      <c r="AB359" s="223" t="s">
        <v>5</v>
      </c>
      <c r="AC359" s="3" t="s">
        <v>10</v>
      </c>
      <c r="AD359" s="3" t="s">
        <v>6</v>
      </c>
      <c r="AE359" s="95" t="s">
        <v>2265</v>
      </c>
    </row>
    <row r="360" spans="1:31" x14ac:dyDescent="0.35">
      <c r="A360" s="3" t="s">
        <v>475</v>
      </c>
      <c r="B360" s="3" t="s">
        <v>168</v>
      </c>
      <c r="C360" s="3">
        <v>1</v>
      </c>
      <c r="D360" s="95" t="s">
        <v>3183</v>
      </c>
      <c r="E360" s="95" t="s">
        <v>474</v>
      </c>
      <c r="F360" s="95" t="s">
        <v>4</v>
      </c>
      <c r="G360" s="223">
        <v>42464</v>
      </c>
      <c r="H360" s="223">
        <v>43282</v>
      </c>
      <c r="I360" s="223">
        <v>44742</v>
      </c>
      <c r="J360" s="3">
        <v>27</v>
      </c>
      <c r="K360" s="3" t="s">
        <v>6</v>
      </c>
      <c r="L360" s="3" t="s">
        <v>6</v>
      </c>
      <c r="M360" s="95" t="s">
        <v>2555</v>
      </c>
      <c r="N360" s="3" t="s">
        <v>52</v>
      </c>
      <c r="O360" s="3" t="s">
        <v>17</v>
      </c>
      <c r="P360" s="3" t="s">
        <v>6</v>
      </c>
      <c r="Q360" s="3" t="s">
        <v>6</v>
      </c>
      <c r="R360" s="95" t="s">
        <v>9</v>
      </c>
      <c r="S360" s="223">
        <v>43591</v>
      </c>
      <c r="T360" s="223">
        <v>43749</v>
      </c>
      <c r="U360" s="223">
        <v>43679</v>
      </c>
      <c r="V360" s="223">
        <v>43679</v>
      </c>
      <c r="W360" s="223" t="s">
        <v>6</v>
      </c>
      <c r="X360" s="3" t="s">
        <v>26</v>
      </c>
      <c r="Y360" s="3" t="s">
        <v>2120</v>
      </c>
      <c r="Z360" s="3" t="s">
        <v>52</v>
      </c>
      <c r="AA360" s="3" t="s">
        <v>2254</v>
      </c>
      <c r="AB360" s="223" t="s">
        <v>5</v>
      </c>
      <c r="AC360" s="3" t="s">
        <v>10</v>
      </c>
      <c r="AD360" s="3" t="s">
        <v>6</v>
      </c>
      <c r="AE360" s="95" t="s">
        <v>2265</v>
      </c>
    </row>
    <row r="361" spans="1:31" x14ac:dyDescent="0.35">
      <c r="A361" s="3" t="s">
        <v>476</v>
      </c>
      <c r="B361" s="3" t="s">
        <v>168</v>
      </c>
      <c r="C361" s="3">
        <v>1</v>
      </c>
      <c r="D361" s="95" t="s">
        <v>3184</v>
      </c>
      <c r="E361" s="95" t="s">
        <v>474</v>
      </c>
      <c r="F361" s="95" t="s">
        <v>4</v>
      </c>
      <c r="G361" s="223">
        <v>42464</v>
      </c>
      <c r="H361" s="223">
        <v>43282</v>
      </c>
      <c r="I361" s="223">
        <v>44742</v>
      </c>
      <c r="J361" s="3">
        <v>2</v>
      </c>
      <c r="K361" s="3" t="s">
        <v>6</v>
      </c>
      <c r="L361" s="3" t="s">
        <v>6</v>
      </c>
      <c r="M361" s="95" t="s">
        <v>2555</v>
      </c>
      <c r="N361" s="3" t="s">
        <v>52</v>
      </c>
      <c r="O361" s="3" t="s">
        <v>17</v>
      </c>
      <c r="P361" s="3" t="s">
        <v>6</v>
      </c>
      <c r="Q361" s="3" t="s">
        <v>6</v>
      </c>
      <c r="R361" s="95" t="s">
        <v>9</v>
      </c>
      <c r="S361" s="223">
        <v>43591</v>
      </c>
      <c r="T361" s="223">
        <v>43749</v>
      </c>
      <c r="U361" s="223">
        <v>43679</v>
      </c>
      <c r="V361" s="223">
        <v>43679</v>
      </c>
      <c r="W361" s="223" t="s">
        <v>6</v>
      </c>
      <c r="X361" s="3" t="s">
        <v>26</v>
      </c>
      <c r="Y361" s="3" t="s">
        <v>2120</v>
      </c>
      <c r="Z361" s="3" t="s">
        <v>52</v>
      </c>
      <c r="AA361" s="3" t="s">
        <v>2254</v>
      </c>
      <c r="AB361" s="223" t="s">
        <v>5</v>
      </c>
      <c r="AC361" s="3" t="s">
        <v>10</v>
      </c>
      <c r="AD361" s="3" t="s">
        <v>6</v>
      </c>
      <c r="AE361" s="95" t="s">
        <v>2265</v>
      </c>
    </row>
    <row r="362" spans="1:31" x14ac:dyDescent="0.35">
      <c r="A362" s="3" t="s">
        <v>1961</v>
      </c>
      <c r="B362" s="3" t="s">
        <v>168</v>
      </c>
      <c r="C362" s="3">
        <v>1</v>
      </c>
      <c r="D362" s="95" t="s">
        <v>1962</v>
      </c>
      <c r="E362" s="95" t="s">
        <v>2272</v>
      </c>
      <c r="F362" s="95" t="s">
        <v>437</v>
      </c>
      <c r="G362" s="223">
        <v>44211</v>
      </c>
      <c r="H362" s="223">
        <v>44256</v>
      </c>
      <c r="I362" s="223">
        <v>46081</v>
      </c>
      <c r="J362" s="3">
        <v>800</v>
      </c>
      <c r="K362" s="3" t="s">
        <v>6</v>
      </c>
      <c r="L362" s="3" t="s">
        <v>6</v>
      </c>
      <c r="M362" s="95" t="s">
        <v>27</v>
      </c>
      <c r="N362" s="3" t="s">
        <v>28</v>
      </c>
      <c r="O362" s="3" t="s">
        <v>25</v>
      </c>
      <c r="P362" s="3" t="s">
        <v>6</v>
      </c>
      <c r="Q362" s="3" t="s">
        <v>6</v>
      </c>
      <c r="R362" s="95" t="s">
        <v>22</v>
      </c>
      <c r="S362" s="223">
        <v>43374</v>
      </c>
      <c r="T362" s="223">
        <v>43553</v>
      </c>
      <c r="U362" s="223">
        <v>43009</v>
      </c>
      <c r="V362" s="223">
        <v>43009</v>
      </c>
      <c r="W362" s="223" t="s">
        <v>6</v>
      </c>
      <c r="X362" s="3" t="s">
        <v>26</v>
      </c>
      <c r="Y362" s="3" t="s">
        <v>2100</v>
      </c>
      <c r="Z362" s="3" t="s">
        <v>28</v>
      </c>
      <c r="AA362" s="3" t="s">
        <v>6</v>
      </c>
      <c r="AB362" s="223">
        <v>42159</v>
      </c>
      <c r="AC362" s="3" t="s">
        <v>6</v>
      </c>
      <c r="AD362" s="3" t="s">
        <v>10</v>
      </c>
      <c r="AE362" s="95" t="s">
        <v>2263</v>
      </c>
    </row>
    <row r="363" spans="1:31" x14ac:dyDescent="0.35">
      <c r="A363" s="3" t="s">
        <v>1963</v>
      </c>
      <c r="B363" s="3" t="s">
        <v>168</v>
      </c>
      <c r="C363" s="3">
        <v>1</v>
      </c>
      <c r="D363" s="95" t="s">
        <v>1964</v>
      </c>
      <c r="E363" s="95" t="s">
        <v>1912</v>
      </c>
      <c r="F363" s="95" t="s">
        <v>437</v>
      </c>
      <c r="G363" s="223">
        <v>44609</v>
      </c>
      <c r="H363" s="223">
        <v>44609</v>
      </c>
      <c r="I363" s="223">
        <v>46434</v>
      </c>
      <c r="J363" s="3">
        <v>3062</v>
      </c>
      <c r="K363" s="3" t="s">
        <v>6</v>
      </c>
      <c r="L363" s="3" t="s">
        <v>6</v>
      </c>
      <c r="M363" s="95" t="s">
        <v>23</v>
      </c>
      <c r="N363" s="3" t="s">
        <v>24</v>
      </c>
      <c r="O363" s="3" t="s">
        <v>25</v>
      </c>
      <c r="P363" s="3" t="s">
        <v>6</v>
      </c>
      <c r="Q363" s="3" t="s">
        <v>6</v>
      </c>
      <c r="R363" s="95" t="s">
        <v>22</v>
      </c>
      <c r="S363" s="223">
        <v>43374</v>
      </c>
      <c r="T363" s="223">
        <v>43497</v>
      </c>
      <c r="U363" s="223">
        <v>42644</v>
      </c>
      <c r="V363" s="223">
        <v>42644</v>
      </c>
      <c r="W363" s="223" t="s">
        <v>6</v>
      </c>
      <c r="X363" s="3" t="s">
        <v>26</v>
      </c>
      <c r="Y363" s="3" t="s">
        <v>2093</v>
      </c>
      <c r="Z363" s="3" t="s">
        <v>24</v>
      </c>
      <c r="AA363" s="3" t="s">
        <v>6</v>
      </c>
      <c r="AB363" s="223">
        <v>42782</v>
      </c>
      <c r="AC363" s="3" t="s">
        <v>10</v>
      </c>
      <c r="AD363" s="3" t="s">
        <v>10</v>
      </c>
      <c r="AE363" s="95" t="s">
        <v>2263</v>
      </c>
    </row>
    <row r="364" spans="1:31" x14ac:dyDescent="0.35">
      <c r="A364" s="3" t="s">
        <v>1103</v>
      </c>
      <c r="B364" s="3" t="s">
        <v>186</v>
      </c>
      <c r="C364" s="3">
        <v>3</v>
      </c>
      <c r="D364" s="95" t="s">
        <v>1104</v>
      </c>
      <c r="E364" s="95" t="s">
        <v>1894</v>
      </c>
      <c r="F364" s="95" t="s">
        <v>4</v>
      </c>
      <c r="G364" s="223">
        <v>44020</v>
      </c>
      <c r="H364" s="223">
        <v>44020</v>
      </c>
      <c r="I364" s="223">
        <v>45845</v>
      </c>
      <c r="J364" s="3">
        <v>575</v>
      </c>
      <c r="K364" s="3" t="s">
        <v>10</v>
      </c>
      <c r="L364" s="3" t="s">
        <v>10</v>
      </c>
      <c r="M364" s="95" t="s">
        <v>105</v>
      </c>
      <c r="N364" s="3" t="s">
        <v>106</v>
      </c>
      <c r="O364" s="3" t="s">
        <v>651</v>
      </c>
      <c r="P364" s="3" t="s">
        <v>6</v>
      </c>
      <c r="Q364" s="3" t="s">
        <v>6</v>
      </c>
      <c r="R364" s="95" t="s">
        <v>652</v>
      </c>
      <c r="S364" s="223" t="s">
        <v>5</v>
      </c>
      <c r="T364" s="223" t="s">
        <v>5</v>
      </c>
      <c r="U364" s="223" t="s">
        <v>5</v>
      </c>
      <c r="V364" s="223" t="s">
        <v>5</v>
      </c>
      <c r="W364" s="223" t="s">
        <v>5</v>
      </c>
      <c r="X364" s="3" t="s">
        <v>5</v>
      </c>
      <c r="Y364" s="3" t="s">
        <v>651</v>
      </c>
      <c r="Z364" s="3" t="s">
        <v>651</v>
      </c>
      <c r="AA364" s="3" t="s">
        <v>10</v>
      </c>
      <c r="AB364" s="223" t="s">
        <v>5</v>
      </c>
      <c r="AC364" s="3" t="s">
        <v>10</v>
      </c>
      <c r="AD364" s="3" t="s">
        <v>6</v>
      </c>
      <c r="AE364" s="95" t="s">
        <v>2265</v>
      </c>
    </row>
    <row r="365" spans="1:31" x14ac:dyDescent="0.35">
      <c r="A365" s="3" t="s">
        <v>185</v>
      </c>
      <c r="B365" s="3" t="s">
        <v>186</v>
      </c>
      <c r="C365" s="3">
        <v>3</v>
      </c>
      <c r="D365" s="95" t="s">
        <v>187</v>
      </c>
      <c r="E365" s="95" t="s">
        <v>1895</v>
      </c>
      <c r="F365" s="95" t="s">
        <v>4</v>
      </c>
      <c r="G365" s="223">
        <v>41620</v>
      </c>
      <c r="H365" s="223" t="s">
        <v>5</v>
      </c>
      <c r="I365" s="223">
        <v>43080</v>
      </c>
      <c r="J365" s="3">
        <v>42</v>
      </c>
      <c r="K365" s="3" t="s">
        <v>10</v>
      </c>
      <c r="L365" s="3" t="s">
        <v>10</v>
      </c>
      <c r="M365" s="95" t="s">
        <v>136</v>
      </c>
      <c r="N365" s="3" t="s">
        <v>138</v>
      </c>
      <c r="O365" s="3" t="s">
        <v>651</v>
      </c>
      <c r="P365" s="3" t="s">
        <v>6</v>
      </c>
      <c r="Q365" s="3" t="s">
        <v>6</v>
      </c>
      <c r="R365" s="95" t="s">
        <v>652</v>
      </c>
      <c r="S365" s="223" t="s">
        <v>5</v>
      </c>
      <c r="T365" s="223" t="s">
        <v>5</v>
      </c>
      <c r="U365" s="223" t="s">
        <v>5</v>
      </c>
      <c r="V365" s="223" t="s">
        <v>5</v>
      </c>
      <c r="W365" s="223" t="s">
        <v>5</v>
      </c>
      <c r="X365" s="3" t="s">
        <v>5</v>
      </c>
      <c r="Y365" s="3" t="s">
        <v>651</v>
      </c>
      <c r="Z365" s="3" t="s">
        <v>651</v>
      </c>
      <c r="AA365" s="3" t="s">
        <v>10</v>
      </c>
      <c r="AB365" s="223" t="s">
        <v>5</v>
      </c>
      <c r="AC365" s="3" t="s">
        <v>6</v>
      </c>
      <c r="AD365" s="3" t="s">
        <v>10</v>
      </c>
      <c r="AE365" s="95" t="s">
        <v>2263</v>
      </c>
    </row>
    <row r="366" spans="1:31" x14ac:dyDescent="0.35">
      <c r="A366" s="3" t="s">
        <v>188</v>
      </c>
      <c r="B366" s="3" t="s">
        <v>186</v>
      </c>
      <c r="C366" s="3">
        <v>3</v>
      </c>
      <c r="D366" s="95" t="s">
        <v>189</v>
      </c>
      <c r="E366" s="95" t="s">
        <v>1896</v>
      </c>
      <c r="F366" s="95" t="s">
        <v>4</v>
      </c>
      <c r="G366" s="223">
        <v>42824</v>
      </c>
      <c r="H366" s="223">
        <v>42856</v>
      </c>
      <c r="I366" s="223">
        <v>44681</v>
      </c>
      <c r="J366" s="3">
        <v>308</v>
      </c>
      <c r="K366" s="3" t="s">
        <v>10</v>
      </c>
      <c r="L366" s="3" t="s">
        <v>6</v>
      </c>
      <c r="M366" s="95" t="s">
        <v>190</v>
      </c>
      <c r="N366" s="3" t="s">
        <v>115</v>
      </c>
      <c r="O366" s="3" t="s">
        <v>49</v>
      </c>
      <c r="P366" s="3" t="s">
        <v>6</v>
      </c>
      <c r="Q366" s="3" t="s">
        <v>6</v>
      </c>
      <c r="R366" s="95" t="s">
        <v>50</v>
      </c>
      <c r="S366" s="223">
        <v>45540</v>
      </c>
      <c r="T366" s="223">
        <v>45565</v>
      </c>
      <c r="U366" s="223">
        <v>45540</v>
      </c>
      <c r="V366" s="223">
        <v>45540</v>
      </c>
      <c r="W366" s="223" t="s">
        <v>6</v>
      </c>
      <c r="X366" s="3" t="s">
        <v>26</v>
      </c>
      <c r="Y366" s="3" t="s">
        <v>3206</v>
      </c>
      <c r="Z366" s="3" t="s">
        <v>62</v>
      </c>
      <c r="AA366" s="3" t="s">
        <v>10</v>
      </c>
      <c r="AB366" s="223" t="s">
        <v>5</v>
      </c>
      <c r="AC366" s="3" t="s">
        <v>6</v>
      </c>
      <c r="AD366" s="3" t="s">
        <v>10</v>
      </c>
      <c r="AE366" s="95" t="s">
        <v>2263</v>
      </c>
    </row>
    <row r="367" spans="1:31" x14ac:dyDescent="0.35">
      <c r="A367" s="3" t="s">
        <v>191</v>
      </c>
      <c r="B367" s="3" t="s">
        <v>186</v>
      </c>
      <c r="C367" s="3">
        <v>3</v>
      </c>
      <c r="D367" s="95" t="s">
        <v>15</v>
      </c>
      <c r="E367" s="95" t="s">
        <v>484</v>
      </c>
      <c r="F367" s="95" t="s">
        <v>4</v>
      </c>
      <c r="G367" s="223">
        <v>44866</v>
      </c>
      <c r="H367" s="223">
        <v>44866</v>
      </c>
      <c r="I367" s="223">
        <v>46691</v>
      </c>
      <c r="J367" s="3">
        <v>21</v>
      </c>
      <c r="K367" s="3" t="s">
        <v>10</v>
      </c>
      <c r="L367" s="3" t="s">
        <v>6</v>
      </c>
      <c r="M367" s="95" t="s">
        <v>15</v>
      </c>
      <c r="N367" s="3" t="s">
        <v>16</v>
      </c>
      <c r="O367" s="3" t="s">
        <v>17</v>
      </c>
      <c r="P367" s="3" t="s">
        <v>6</v>
      </c>
      <c r="Q367" s="3" t="s">
        <v>6</v>
      </c>
      <c r="R367" s="95" t="s">
        <v>50</v>
      </c>
      <c r="S367" s="223">
        <v>45540</v>
      </c>
      <c r="T367" s="223">
        <v>45565</v>
      </c>
      <c r="U367" s="223">
        <v>45540</v>
      </c>
      <c r="V367" s="223">
        <v>45540</v>
      </c>
      <c r="W367" s="223" t="s">
        <v>6</v>
      </c>
      <c r="X367" s="3" t="s">
        <v>26</v>
      </c>
      <c r="Y367" s="3" t="s">
        <v>3203</v>
      </c>
      <c r="Z367" s="3" t="s">
        <v>3189</v>
      </c>
      <c r="AA367" s="3" t="s">
        <v>10</v>
      </c>
      <c r="AB367" s="223" t="s">
        <v>5</v>
      </c>
      <c r="AC367" s="3" t="s">
        <v>6</v>
      </c>
      <c r="AD367" s="3" t="s">
        <v>10</v>
      </c>
      <c r="AE367" s="95" t="s">
        <v>2265</v>
      </c>
    </row>
    <row r="368" spans="1:31" x14ac:dyDescent="0.35">
      <c r="A368" s="3" t="s">
        <v>192</v>
      </c>
      <c r="B368" s="3" t="s">
        <v>186</v>
      </c>
      <c r="C368" s="3">
        <v>3</v>
      </c>
      <c r="D368" s="95" t="s">
        <v>193</v>
      </c>
      <c r="E368" s="95" t="s">
        <v>1897</v>
      </c>
      <c r="F368" s="95" t="s">
        <v>4</v>
      </c>
      <c r="G368" s="223">
        <v>44044</v>
      </c>
      <c r="H368" s="223">
        <v>44044</v>
      </c>
      <c r="I368" s="223">
        <v>45869</v>
      </c>
      <c r="J368" s="3">
        <v>285</v>
      </c>
      <c r="K368" s="3" t="s">
        <v>10</v>
      </c>
      <c r="L368" s="3" t="s">
        <v>6</v>
      </c>
      <c r="M368" s="95" t="s">
        <v>136</v>
      </c>
      <c r="N368" s="3" t="s">
        <v>138</v>
      </c>
      <c r="O368" s="3" t="s">
        <v>8</v>
      </c>
      <c r="P368" s="3" t="s">
        <v>6</v>
      </c>
      <c r="Q368" s="3" t="s">
        <v>6</v>
      </c>
      <c r="R368" s="95" t="s">
        <v>50</v>
      </c>
      <c r="S368" s="223">
        <v>45540</v>
      </c>
      <c r="T368" s="223">
        <v>45565</v>
      </c>
      <c r="U368" s="223">
        <v>45540</v>
      </c>
      <c r="V368" s="223">
        <v>45540</v>
      </c>
      <c r="W368" s="223" t="s">
        <v>6</v>
      </c>
      <c r="X368" s="3" t="s">
        <v>26</v>
      </c>
      <c r="Y368" s="3" t="s">
        <v>3205</v>
      </c>
      <c r="Z368" s="3" t="s">
        <v>2249</v>
      </c>
      <c r="AA368" s="3" t="s">
        <v>10</v>
      </c>
      <c r="AB368" s="223" t="s">
        <v>5</v>
      </c>
      <c r="AC368" s="3" t="s">
        <v>6</v>
      </c>
      <c r="AD368" s="3" t="s">
        <v>10</v>
      </c>
      <c r="AE368" s="95" t="s">
        <v>2263</v>
      </c>
    </row>
    <row r="369" spans="1:31" x14ac:dyDescent="0.35">
      <c r="A369" s="3" t="s">
        <v>194</v>
      </c>
      <c r="B369" s="3" t="s">
        <v>186</v>
      </c>
      <c r="C369" s="3">
        <v>3</v>
      </c>
      <c r="D369" s="95" t="s">
        <v>195</v>
      </c>
      <c r="E369" s="95" t="s">
        <v>1898</v>
      </c>
      <c r="F369" s="95" t="s">
        <v>4</v>
      </c>
      <c r="G369" s="223">
        <v>44835</v>
      </c>
      <c r="H369" s="223">
        <v>44835</v>
      </c>
      <c r="I369" s="223">
        <v>46660</v>
      </c>
      <c r="J369" s="3">
        <v>525</v>
      </c>
      <c r="K369" s="3" t="s">
        <v>10</v>
      </c>
      <c r="L369" s="3" t="s">
        <v>6</v>
      </c>
      <c r="M369" s="95" t="s">
        <v>196</v>
      </c>
      <c r="N369" s="3" t="s">
        <v>61</v>
      </c>
      <c r="O369" s="3" t="s">
        <v>56</v>
      </c>
      <c r="P369" s="3" t="s">
        <v>6</v>
      </c>
      <c r="Q369" s="3" t="s">
        <v>6</v>
      </c>
      <c r="R369" s="95" t="s">
        <v>50</v>
      </c>
      <c r="S369" s="223">
        <v>45540</v>
      </c>
      <c r="T369" s="223">
        <v>45565</v>
      </c>
      <c r="U369" s="223">
        <v>45540</v>
      </c>
      <c r="V369" s="223">
        <v>45540</v>
      </c>
      <c r="W369" s="223" t="s">
        <v>6</v>
      </c>
      <c r="X369" s="3" t="s">
        <v>26</v>
      </c>
      <c r="Y369" s="3" t="s">
        <v>3208</v>
      </c>
      <c r="Z369" s="3" t="s">
        <v>62</v>
      </c>
      <c r="AA369" s="3" t="s">
        <v>10</v>
      </c>
      <c r="AB369" s="223" t="s">
        <v>5</v>
      </c>
      <c r="AC369" s="3" t="s">
        <v>6</v>
      </c>
      <c r="AD369" s="3" t="s">
        <v>10</v>
      </c>
      <c r="AE369" s="95" t="s">
        <v>2263</v>
      </c>
    </row>
    <row r="370" spans="1:31" x14ac:dyDescent="0.35">
      <c r="A370" s="3" t="s">
        <v>197</v>
      </c>
      <c r="B370" s="3" t="s">
        <v>186</v>
      </c>
      <c r="C370" s="3">
        <v>3</v>
      </c>
      <c r="D370" s="95" t="s">
        <v>198</v>
      </c>
      <c r="E370" s="95" t="s">
        <v>1899</v>
      </c>
      <c r="F370" s="95" t="s">
        <v>4</v>
      </c>
      <c r="G370" s="223">
        <v>44927</v>
      </c>
      <c r="H370" s="223">
        <v>44927</v>
      </c>
      <c r="I370" s="223">
        <v>46752</v>
      </c>
      <c r="J370" s="3">
        <v>37</v>
      </c>
      <c r="K370" s="3" t="s">
        <v>10</v>
      </c>
      <c r="L370" s="3" t="s">
        <v>6</v>
      </c>
      <c r="M370" s="95" t="s">
        <v>114</v>
      </c>
      <c r="N370" s="3" t="s">
        <v>115</v>
      </c>
      <c r="O370" s="3" t="s">
        <v>49</v>
      </c>
      <c r="P370" s="3" t="s">
        <v>6</v>
      </c>
      <c r="Q370" s="3" t="s">
        <v>6</v>
      </c>
      <c r="R370" s="95" t="s">
        <v>50</v>
      </c>
      <c r="S370" s="223">
        <v>45540</v>
      </c>
      <c r="T370" s="223">
        <v>45565</v>
      </c>
      <c r="U370" s="223">
        <v>45540</v>
      </c>
      <c r="V370" s="223">
        <v>45540</v>
      </c>
      <c r="W370" s="223" t="s">
        <v>6</v>
      </c>
      <c r="X370" s="3" t="s">
        <v>26</v>
      </c>
      <c r="Y370" s="3" t="s">
        <v>3207</v>
      </c>
      <c r="Z370" s="3" t="s">
        <v>62</v>
      </c>
      <c r="AA370" s="3" t="s">
        <v>10</v>
      </c>
      <c r="AB370" s="223" t="s">
        <v>5</v>
      </c>
      <c r="AC370" s="3" t="s">
        <v>6</v>
      </c>
      <c r="AD370" s="3" t="s">
        <v>10</v>
      </c>
      <c r="AE370" s="95" t="s">
        <v>2263</v>
      </c>
    </row>
    <row r="371" spans="1:31" x14ac:dyDescent="0.35">
      <c r="A371" s="3" t="s">
        <v>1105</v>
      </c>
      <c r="B371" s="3" t="s">
        <v>186</v>
      </c>
      <c r="C371" s="3">
        <v>3</v>
      </c>
      <c r="D371" s="95" t="s">
        <v>1965</v>
      </c>
      <c r="E371" s="95" t="s">
        <v>1900</v>
      </c>
      <c r="F371" s="95" t="s">
        <v>4</v>
      </c>
      <c r="G371" s="223">
        <v>43922</v>
      </c>
      <c r="H371" s="223">
        <v>43922</v>
      </c>
      <c r="I371" s="223">
        <v>45747</v>
      </c>
      <c r="J371" s="3">
        <v>2000</v>
      </c>
      <c r="K371" s="3" t="s">
        <v>10</v>
      </c>
      <c r="L371" s="3" t="s">
        <v>6</v>
      </c>
      <c r="M371" s="95" t="s">
        <v>19</v>
      </c>
      <c r="N371" s="3" t="s">
        <v>20</v>
      </c>
      <c r="O371" s="3" t="s">
        <v>21</v>
      </c>
      <c r="P371" s="3" t="s">
        <v>6</v>
      </c>
      <c r="Q371" s="3" t="s">
        <v>6</v>
      </c>
      <c r="R371" s="95" t="s">
        <v>50</v>
      </c>
      <c r="S371" s="223">
        <v>45540</v>
      </c>
      <c r="T371" s="223">
        <v>45565</v>
      </c>
      <c r="U371" s="223">
        <v>45540</v>
      </c>
      <c r="V371" s="223">
        <v>45540</v>
      </c>
      <c r="W371" s="223" t="s">
        <v>6</v>
      </c>
      <c r="X371" s="3" t="s">
        <v>26</v>
      </c>
      <c r="Y371" s="3" t="s">
        <v>3204</v>
      </c>
      <c r="Z371" s="3" t="s">
        <v>20</v>
      </c>
      <c r="AA371" s="3" t="s">
        <v>10</v>
      </c>
      <c r="AB371" s="223" t="s">
        <v>5</v>
      </c>
      <c r="AC371" s="3" t="s">
        <v>10</v>
      </c>
      <c r="AD371" s="3" t="s">
        <v>10</v>
      </c>
      <c r="AE371" s="95" t="s">
        <v>2263</v>
      </c>
    </row>
    <row r="372" spans="1:31" x14ac:dyDescent="0.35">
      <c r="A372" s="3" t="s">
        <v>199</v>
      </c>
      <c r="B372" s="3" t="s">
        <v>186</v>
      </c>
      <c r="C372" s="3">
        <v>3</v>
      </c>
      <c r="D372" s="95" t="s">
        <v>200</v>
      </c>
      <c r="E372" s="95" t="s">
        <v>1895</v>
      </c>
      <c r="F372" s="95" t="s">
        <v>4</v>
      </c>
      <c r="G372" s="223">
        <v>43080</v>
      </c>
      <c r="H372" s="223">
        <v>43080</v>
      </c>
      <c r="I372" s="223">
        <v>44906</v>
      </c>
      <c r="J372" s="3">
        <v>60</v>
      </c>
      <c r="K372" s="3" t="s">
        <v>10</v>
      </c>
      <c r="L372" s="3" t="s">
        <v>10</v>
      </c>
      <c r="M372" s="95" t="s">
        <v>201</v>
      </c>
      <c r="N372" s="3" t="s">
        <v>68</v>
      </c>
      <c r="O372" s="3" t="s">
        <v>651</v>
      </c>
      <c r="P372" s="3" t="s">
        <v>6</v>
      </c>
      <c r="Q372" s="3" t="s">
        <v>6</v>
      </c>
      <c r="R372" s="95" t="s">
        <v>652</v>
      </c>
      <c r="S372" s="223" t="s">
        <v>5</v>
      </c>
      <c r="T372" s="223" t="s">
        <v>5</v>
      </c>
      <c r="U372" s="223" t="s">
        <v>5</v>
      </c>
      <c r="V372" s="223" t="s">
        <v>5</v>
      </c>
      <c r="W372" s="223" t="s">
        <v>5</v>
      </c>
      <c r="X372" s="3" t="s">
        <v>5</v>
      </c>
      <c r="Y372" s="3" t="s">
        <v>651</v>
      </c>
      <c r="Z372" s="3" t="s">
        <v>651</v>
      </c>
      <c r="AA372" s="3" t="s">
        <v>10</v>
      </c>
      <c r="AB372" s="223" t="s">
        <v>5</v>
      </c>
      <c r="AC372" s="3" t="s">
        <v>6</v>
      </c>
      <c r="AD372" s="3" t="s">
        <v>10</v>
      </c>
      <c r="AE372" s="95" t="s">
        <v>2263</v>
      </c>
    </row>
    <row r="373" spans="1:31" x14ac:dyDescent="0.35">
      <c r="A373" s="3" t="s">
        <v>202</v>
      </c>
      <c r="B373" s="3" t="s">
        <v>186</v>
      </c>
      <c r="C373" s="3">
        <v>3</v>
      </c>
      <c r="D373" s="95" t="s">
        <v>203</v>
      </c>
      <c r="E373" s="95" t="s">
        <v>522</v>
      </c>
      <c r="F373" s="95" t="s">
        <v>4</v>
      </c>
      <c r="G373" s="223">
        <v>42948</v>
      </c>
      <c r="H373" s="223">
        <v>42948</v>
      </c>
      <c r="I373" s="223">
        <v>44773</v>
      </c>
      <c r="J373" s="3">
        <v>199</v>
      </c>
      <c r="K373" s="3" t="s">
        <v>10</v>
      </c>
      <c r="L373" s="3" t="s">
        <v>6</v>
      </c>
      <c r="M373" s="95" t="s">
        <v>204</v>
      </c>
      <c r="N373" s="3" t="s">
        <v>521</v>
      </c>
      <c r="O373" s="3" t="s">
        <v>56</v>
      </c>
      <c r="P373" s="3" t="s">
        <v>6</v>
      </c>
      <c r="Q373" s="3" t="s">
        <v>6</v>
      </c>
      <c r="R373" s="95" t="s">
        <v>50</v>
      </c>
      <c r="S373" s="223">
        <v>45540</v>
      </c>
      <c r="T373" s="223">
        <v>45565</v>
      </c>
      <c r="U373" s="223">
        <v>45540</v>
      </c>
      <c r="V373" s="223">
        <v>45540</v>
      </c>
      <c r="W373" s="223" t="s">
        <v>6</v>
      </c>
      <c r="X373" s="3" t="s">
        <v>26</v>
      </c>
      <c r="Y373" s="3" t="s">
        <v>3209</v>
      </c>
      <c r="Z373" s="3" t="s">
        <v>62</v>
      </c>
      <c r="AA373" s="3" t="s">
        <v>10</v>
      </c>
      <c r="AB373" s="223" t="s">
        <v>5</v>
      </c>
      <c r="AC373" s="3" t="s">
        <v>6</v>
      </c>
      <c r="AD373" s="3" t="s">
        <v>10</v>
      </c>
      <c r="AE373" s="95" t="s">
        <v>2265</v>
      </c>
    </row>
    <row r="374" spans="1:31" x14ac:dyDescent="0.35">
      <c r="A374" s="3" t="s">
        <v>1107</v>
      </c>
      <c r="B374" s="3" t="s">
        <v>186</v>
      </c>
      <c r="C374" s="3">
        <v>3</v>
      </c>
      <c r="D374" s="95" t="s">
        <v>1108</v>
      </c>
      <c r="E374" s="95" t="s">
        <v>1901</v>
      </c>
      <c r="F374" s="95" t="s">
        <v>4</v>
      </c>
      <c r="G374" s="223">
        <v>44958</v>
      </c>
      <c r="H374" s="223">
        <v>44958</v>
      </c>
      <c r="I374" s="223">
        <v>46783</v>
      </c>
      <c r="J374" s="3">
        <v>989</v>
      </c>
      <c r="K374" s="3" t="s">
        <v>10</v>
      </c>
      <c r="L374" s="3" t="s">
        <v>6</v>
      </c>
      <c r="M374" s="95" t="s">
        <v>27</v>
      </c>
      <c r="N374" s="3" t="s">
        <v>28</v>
      </c>
      <c r="O374" s="3" t="s">
        <v>25</v>
      </c>
      <c r="P374" s="3" t="s">
        <v>6</v>
      </c>
      <c r="Q374" s="3" t="s">
        <v>6</v>
      </c>
      <c r="R374" s="95" t="s">
        <v>50</v>
      </c>
      <c r="S374" s="223">
        <v>45540</v>
      </c>
      <c r="T374" s="223">
        <v>45565</v>
      </c>
      <c r="U374" s="223">
        <v>45540</v>
      </c>
      <c r="V374" s="223">
        <v>45540</v>
      </c>
      <c r="W374" s="223" t="s">
        <v>6</v>
      </c>
      <c r="X374" s="3" t="s">
        <v>26</v>
      </c>
      <c r="Y374" s="3" t="s">
        <v>3202</v>
      </c>
      <c r="Z374" s="3" t="s">
        <v>28</v>
      </c>
      <c r="AA374" s="3" t="s">
        <v>10</v>
      </c>
      <c r="AB374" s="223" t="s">
        <v>5</v>
      </c>
      <c r="AC374" s="3" t="s">
        <v>6</v>
      </c>
      <c r="AD374" s="3" t="s">
        <v>10</v>
      </c>
      <c r="AE374" s="95" t="s">
        <v>2263</v>
      </c>
    </row>
    <row r="375" spans="1:31" x14ac:dyDescent="0.35">
      <c r="A375" s="3" t="s">
        <v>2417</v>
      </c>
      <c r="B375" s="3" t="s">
        <v>186</v>
      </c>
      <c r="C375" s="3">
        <v>3</v>
      </c>
      <c r="D375" s="95" t="s">
        <v>1111</v>
      </c>
      <c r="E375" s="95" t="s">
        <v>1902</v>
      </c>
      <c r="F375" s="95" t="s">
        <v>4</v>
      </c>
      <c r="G375" s="223">
        <v>43217</v>
      </c>
      <c r="H375" s="223">
        <v>43404</v>
      </c>
      <c r="I375" s="223">
        <v>45229</v>
      </c>
      <c r="J375" s="3">
        <v>60</v>
      </c>
      <c r="K375" s="3" t="s">
        <v>10</v>
      </c>
      <c r="L375" s="3" t="s">
        <v>10</v>
      </c>
      <c r="M375" s="95" t="s">
        <v>2555</v>
      </c>
      <c r="N375" s="3" t="s">
        <v>52</v>
      </c>
      <c r="O375" s="3" t="s">
        <v>651</v>
      </c>
      <c r="P375" s="3" t="s">
        <v>6</v>
      </c>
      <c r="Q375" s="3" t="s">
        <v>6</v>
      </c>
      <c r="R375" s="95" t="s">
        <v>652</v>
      </c>
      <c r="S375" s="223" t="s">
        <v>5</v>
      </c>
      <c r="T375" s="223" t="s">
        <v>5</v>
      </c>
      <c r="U375" s="223" t="s">
        <v>5</v>
      </c>
      <c r="V375" s="223" t="s">
        <v>5</v>
      </c>
      <c r="W375" s="223" t="s">
        <v>5</v>
      </c>
      <c r="X375" s="3" t="s">
        <v>5</v>
      </c>
      <c r="Y375" s="3" t="s">
        <v>651</v>
      </c>
      <c r="Z375" s="3" t="s">
        <v>651</v>
      </c>
      <c r="AA375" s="3" t="s">
        <v>10</v>
      </c>
      <c r="AB375" s="223" t="s">
        <v>5</v>
      </c>
      <c r="AC375" s="3" t="s">
        <v>10</v>
      </c>
      <c r="AD375" s="3" t="s">
        <v>6</v>
      </c>
      <c r="AE375" s="95" t="s">
        <v>2265</v>
      </c>
    </row>
    <row r="376" spans="1:31" x14ac:dyDescent="0.35">
      <c r="A376" s="3" t="s">
        <v>1109</v>
      </c>
      <c r="B376" s="3" t="s">
        <v>186</v>
      </c>
      <c r="C376" s="3">
        <v>3</v>
      </c>
      <c r="D376" s="95" t="s">
        <v>1110</v>
      </c>
      <c r="E376" s="95" t="s">
        <v>1902</v>
      </c>
      <c r="F376" s="95" t="s">
        <v>4</v>
      </c>
      <c r="G376" s="223">
        <v>43217</v>
      </c>
      <c r="H376" s="223">
        <v>43404</v>
      </c>
      <c r="I376" s="223">
        <v>45229</v>
      </c>
      <c r="J376" s="3">
        <v>30</v>
      </c>
      <c r="K376" s="3" t="s">
        <v>10</v>
      </c>
      <c r="L376" s="3" t="s">
        <v>10</v>
      </c>
      <c r="M376" s="95" t="s">
        <v>2555</v>
      </c>
      <c r="N376" s="3" t="s">
        <v>52</v>
      </c>
      <c r="O376" s="3" t="s">
        <v>651</v>
      </c>
      <c r="P376" s="3" t="s">
        <v>6</v>
      </c>
      <c r="Q376" s="3" t="s">
        <v>6</v>
      </c>
      <c r="R376" s="95" t="s">
        <v>652</v>
      </c>
      <c r="S376" s="223" t="s">
        <v>5</v>
      </c>
      <c r="T376" s="223" t="s">
        <v>5</v>
      </c>
      <c r="U376" s="223" t="s">
        <v>5</v>
      </c>
      <c r="V376" s="223" t="s">
        <v>5</v>
      </c>
      <c r="W376" s="223" t="s">
        <v>5</v>
      </c>
      <c r="X376" s="3" t="s">
        <v>5</v>
      </c>
      <c r="Y376" s="3" t="s">
        <v>651</v>
      </c>
      <c r="Z376" s="3" t="s">
        <v>651</v>
      </c>
      <c r="AA376" s="3" t="s">
        <v>10</v>
      </c>
      <c r="AB376" s="223" t="s">
        <v>5</v>
      </c>
      <c r="AC376" s="3" t="s">
        <v>10</v>
      </c>
      <c r="AD376" s="3" t="s">
        <v>6</v>
      </c>
      <c r="AE376" s="95" t="s">
        <v>2265</v>
      </c>
    </row>
    <row r="377" spans="1:31" x14ac:dyDescent="0.35">
      <c r="A377" s="3" t="s">
        <v>1112</v>
      </c>
      <c r="B377" s="3" t="s">
        <v>186</v>
      </c>
      <c r="C377" s="3">
        <v>3</v>
      </c>
      <c r="D377" s="95" t="s">
        <v>1113</v>
      </c>
      <c r="E377" s="95" t="s">
        <v>1903</v>
      </c>
      <c r="F377" s="95" t="s">
        <v>2418</v>
      </c>
      <c r="G377" s="223">
        <v>42005</v>
      </c>
      <c r="H377" s="223">
        <v>42005</v>
      </c>
      <c r="I377" s="223">
        <v>43830</v>
      </c>
      <c r="J377" s="3">
        <v>5000</v>
      </c>
      <c r="K377" s="3" t="s">
        <v>10</v>
      </c>
      <c r="L377" s="3" t="s">
        <v>10</v>
      </c>
      <c r="M377" s="95" t="s">
        <v>23</v>
      </c>
      <c r="N377" s="3" t="s">
        <v>24</v>
      </c>
      <c r="O377" s="3" t="s">
        <v>651</v>
      </c>
      <c r="P377" s="3" t="s">
        <v>6</v>
      </c>
      <c r="Q377" s="3" t="s">
        <v>6</v>
      </c>
      <c r="R377" s="95" t="s">
        <v>652</v>
      </c>
      <c r="S377" s="223" t="s">
        <v>5</v>
      </c>
      <c r="T377" s="223" t="s">
        <v>5</v>
      </c>
      <c r="U377" s="223" t="s">
        <v>5</v>
      </c>
      <c r="V377" s="223" t="s">
        <v>5</v>
      </c>
      <c r="W377" s="223" t="s">
        <v>5</v>
      </c>
      <c r="X377" s="3" t="s">
        <v>5</v>
      </c>
      <c r="Y377" s="3" t="s">
        <v>651</v>
      </c>
      <c r="Z377" s="3" t="s">
        <v>651</v>
      </c>
      <c r="AA377" s="3" t="s">
        <v>6</v>
      </c>
      <c r="AB377" s="223">
        <v>41639</v>
      </c>
      <c r="AC377" s="3" t="s">
        <v>10</v>
      </c>
      <c r="AD377" s="3" t="s">
        <v>10</v>
      </c>
      <c r="AE377" s="95" t="s">
        <v>2263</v>
      </c>
    </row>
    <row r="378" spans="1:31" x14ac:dyDescent="0.35">
      <c r="A378" s="3" t="s">
        <v>205</v>
      </c>
      <c r="B378" s="3" t="s">
        <v>79</v>
      </c>
      <c r="C378" s="3">
        <v>1</v>
      </c>
      <c r="D378" s="95" t="s">
        <v>206</v>
      </c>
      <c r="E378" s="95" t="s">
        <v>207</v>
      </c>
      <c r="F378" s="95" t="s">
        <v>4</v>
      </c>
      <c r="G378" s="223">
        <v>41760</v>
      </c>
      <c r="H378" s="223">
        <v>41760</v>
      </c>
      <c r="I378" s="223">
        <v>43554</v>
      </c>
      <c r="J378" s="3">
        <v>12</v>
      </c>
      <c r="K378" s="3" t="s">
        <v>10</v>
      </c>
      <c r="L378" s="3" t="s">
        <v>6</v>
      </c>
      <c r="M378" s="95" t="s">
        <v>109</v>
      </c>
      <c r="N378" s="3" t="s">
        <v>110</v>
      </c>
      <c r="O378" s="3" t="s">
        <v>25</v>
      </c>
      <c r="P378" s="3" t="s">
        <v>6</v>
      </c>
      <c r="Q378" s="3" t="s">
        <v>6</v>
      </c>
      <c r="R378" s="95" t="s">
        <v>50</v>
      </c>
      <c r="S378" s="223">
        <v>43374</v>
      </c>
      <c r="T378" s="223">
        <v>43434</v>
      </c>
      <c r="U378" s="223">
        <v>43313</v>
      </c>
      <c r="V378" s="223">
        <v>43313</v>
      </c>
      <c r="W378" s="223" t="s">
        <v>6</v>
      </c>
      <c r="X378" s="3" t="s">
        <v>26</v>
      </c>
      <c r="Y378" s="3" t="s">
        <v>2111</v>
      </c>
      <c r="Z378" s="3" t="s">
        <v>3189</v>
      </c>
      <c r="AA378" s="3" t="s">
        <v>2372</v>
      </c>
      <c r="AB378" s="223" t="s">
        <v>5</v>
      </c>
      <c r="AC378" s="3" t="s">
        <v>10</v>
      </c>
      <c r="AD378" s="3" t="s">
        <v>10</v>
      </c>
      <c r="AE378" s="95" t="s">
        <v>2265</v>
      </c>
    </row>
    <row r="379" spans="1:31" x14ac:dyDescent="0.35">
      <c r="A379" s="3" t="s">
        <v>1114</v>
      </c>
      <c r="B379" s="3" t="s">
        <v>79</v>
      </c>
      <c r="C379" s="3">
        <v>1</v>
      </c>
      <c r="D379" s="95" t="s">
        <v>1115</v>
      </c>
      <c r="E379" s="95" t="s">
        <v>1116</v>
      </c>
      <c r="F379" s="95" t="s">
        <v>4</v>
      </c>
      <c r="G379" s="223">
        <v>42217</v>
      </c>
      <c r="H379" s="223">
        <v>42217</v>
      </c>
      <c r="I379" s="223">
        <v>44043</v>
      </c>
      <c r="J379" s="3">
        <v>2</v>
      </c>
      <c r="K379" s="3" t="s">
        <v>10</v>
      </c>
      <c r="L379" s="3" t="s">
        <v>6</v>
      </c>
      <c r="M379" s="95" t="s">
        <v>19</v>
      </c>
      <c r="N379" s="3" t="s">
        <v>20</v>
      </c>
      <c r="O379" s="3" t="s">
        <v>21</v>
      </c>
      <c r="P379" s="3" t="s">
        <v>6</v>
      </c>
      <c r="Q379" s="3" t="s">
        <v>6</v>
      </c>
      <c r="R379" s="95" t="s">
        <v>50</v>
      </c>
      <c r="S379" s="223">
        <v>43675</v>
      </c>
      <c r="T379" s="223">
        <v>43756</v>
      </c>
      <c r="U379" s="223">
        <v>43647</v>
      </c>
      <c r="V379" s="223">
        <v>43647</v>
      </c>
      <c r="W379" s="223" t="s">
        <v>6</v>
      </c>
      <c r="X379" s="3" t="s">
        <v>26</v>
      </c>
      <c r="Y379" s="3" t="s">
        <v>2943</v>
      </c>
      <c r="Z379" s="3" t="s">
        <v>20</v>
      </c>
      <c r="AA379" s="3" t="s">
        <v>10</v>
      </c>
      <c r="AB379" s="223" t="s">
        <v>5</v>
      </c>
      <c r="AC379" s="3" t="s">
        <v>10</v>
      </c>
      <c r="AD379" s="3" t="s">
        <v>10</v>
      </c>
      <c r="AE379" s="95" t="s">
        <v>2263</v>
      </c>
    </row>
    <row r="380" spans="1:31" x14ac:dyDescent="0.35">
      <c r="A380" s="3" t="s">
        <v>1117</v>
      </c>
      <c r="B380" s="3" t="s">
        <v>79</v>
      </c>
      <c r="C380" s="3">
        <v>1</v>
      </c>
      <c r="D380" s="95" t="s">
        <v>1118</v>
      </c>
      <c r="E380" s="95" t="s">
        <v>1119</v>
      </c>
      <c r="F380" s="95" t="s">
        <v>4</v>
      </c>
      <c r="G380" s="223">
        <v>42828</v>
      </c>
      <c r="H380" s="223">
        <v>42828</v>
      </c>
      <c r="I380" s="223">
        <v>44653</v>
      </c>
      <c r="J380" s="3">
        <v>3</v>
      </c>
      <c r="K380" s="3" t="s">
        <v>10</v>
      </c>
      <c r="L380" s="3" t="s">
        <v>6</v>
      </c>
      <c r="M380" s="95" t="s">
        <v>19</v>
      </c>
      <c r="N380" s="3" t="s">
        <v>20</v>
      </c>
      <c r="O380" s="3" t="s">
        <v>21</v>
      </c>
      <c r="P380" s="3" t="s">
        <v>6</v>
      </c>
      <c r="Q380" s="3" t="s">
        <v>6</v>
      </c>
      <c r="R380" s="95" t="s">
        <v>50</v>
      </c>
      <c r="S380" s="223">
        <v>43675</v>
      </c>
      <c r="T380" s="223">
        <v>43756</v>
      </c>
      <c r="U380" s="223">
        <v>43647</v>
      </c>
      <c r="V380" s="223">
        <v>43647</v>
      </c>
      <c r="W380" s="223" t="s">
        <v>6</v>
      </c>
      <c r="X380" s="3" t="s">
        <v>26</v>
      </c>
      <c r="Y380" s="3" t="s">
        <v>2943</v>
      </c>
      <c r="Z380" s="3" t="s">
        <v>20</v>
      </c>
      <c r="AA380" s="3" t="s">
        <v>10</v>
      </c>
      <c r="AB380" s="223" t="s">
        <v>5</v>
      </c>
      <c r="AC380" s="3" t="s">
        <v>10</v>
      </c>
      <c r="AD380" s="3" t="s">
        <v>10</v>
      </c>
      <c r="AE380" s="95" t="s">
        <v>2263</v>
      </c>
    </row>
    <row r="381" spans="1:31" x14ac:dyDescent="0.35">
      <c r="A381" s="3" t="s">
        <v>1120</v>
      </c>
      <c r="B381" s="3" t="s">
        <v>79</v>
      </c>
      <c r="C381" s="3">
        <v>1</v>
      </c>
      <c r="D381" s="95" t="s">
        <v>1121</v>
      </c>
      <c r="E381" s="95" t="s">
        <v>1122</v>
      </c>
      <c r="F381" s="95" t="s">
        <v>4</v>
      </c>
      <c r="G381" s="223">
        <v>44094</v>
      </c>
      <c r="H381" s="223">
        <v>44094</v>
      </c>
      <c r="I381" s="223">
        <v>45919</v>
      </c>
      <c r="J381" s="3">
        <v>1</v>
      </c>
      <c r="K381" s="3" t="s">
        <v>10</v>
      </c>
      <c r="L381" s="3" t="s">
        <v>10</v>
      </c>
      <c r="M381" s="95" t="s">
        <v>204</v>
      </c>
      <c r="N381" s="3" t="s">
        <v>62</v>
      </c>
      <c r="O381" s="3" t="s">
        <v>651</v>
      </c>
      <c r="P381" s="3" t="s">
        <v>6</v>
      </c>
      <c r="Q381" s="3" t="s">
        <v>6</v>
      </c>
      <c r="R381" s="95" t="s">
        <v>652</v>
      </c>
      <c r="S381" s="223" t="s">
        <v>5</v>
      </c>
      <c r="T381" s="223" t="s">
        <v>5</v>
      </c>
      <c r="U381" s="223" t="s">
        <v>5</v>
      </c>
      <c r="V381" s="223" t="s">
        <v>5</v>
      </c>
      <c r="W381" s="223" t="s">
        <v>5</v>
      </c>
      <c r="X381" s="3" t="s">
        <v>5</v>
      </c>
      <c r="Y381" s="3" t="s">
        <v>651</v>
      </c>
      <c r="Z381" s="3" t="s">
        <v>651</v>
      </c>
      <c r="AA381" s="3" t="s">
        <v>10</v>
      </c>
      <c r="AB381" s="223" t="s">
        <v>5</v>
      </c>
      <c r="AC381" s="3" t="s">
        <v>6</v>
      </c>
      <c r="AD381" s="3" t="s">
        <v>10</v>
      </c>
      <c r="AE381" s="95" t="s">
        <v>2263</v>
      </c>
    </row>
    <row r="382" spans="1:31" x14ac:dyDescent="0.35">
      <c r="A382" s="3" t="s">
        <v>1123</v>
      </c>
      <c r="B382" s="3" t="s">
        <v>79</v>
      </c>
      <c r="C382" s="3">
        <v>1</v>
      </c>
      <c r="D382" s="95" t="s">
        <v>1124</v>
      </c>
      <c r="E382" s="95" t="s">
        <v>1119</v>
      </c>
      <c r="F382" s="95" t="s">
        <v>4</v>
      </c>
      <c r="G382" s="223">
        <v>44060</v>
      </c>
      <c r="H382" s="223">
        <v>44060</v>
      </c>
      <c r="I382" s="223">
        <v>45885</v>
      </c>
      <c r="J382" s="3">
        <v>4</v>
      </c>
      <c r="K382" s="3" t="s">
        <v>10</v>
      </c>
      <c r="L382" s="3" t="s">
        <v>6</v>
      </c>
      <c r="M382" s="95" t="s">
        <v>19</v>
      </c>
      <c r="N382" s="3" t="s">
        <v>20</v>
      </c>
      <c r="O382" s="3" t="s">
        <v>21</v>
      </c>
      <c r="P382" s="3" t="s">
        <v>6</v>
      </c>
      <c r="Q382" s="3" t="s">
        <v>6</v>
      </c>
      <c r="R382" s="95" t="s">
        <v>50</v>
      </c>
      <c r="S382" s="223">
        <v>43675</v>
      </c>
      <c r="T382" s="223">
        <v>43756</v>
      </c>
      <c r="U382" s="223">
        <v>43647</v>
      </c>
      <c r="V382" s="223">
        <v>43647</v>
      </c>
      <c r="W382" s="223" t="s">
        <v>6</v>
      </c>
      <c r="X382" s="3" t="s">
        <v>26</v>
      </c>
      <c r="Y382" s="3" t="s">
        <v>2943</v>
      </c>
      <c r="Z382" s="3" t="s">
        <v>20</v>
      </c>
      <c r="AA382" s="3" t="s">
        <v>10</v>
      </c>
      <c r="AB382" s="223" t="s">
        <v>5</v>
      </c>
      <c r="AC382" s="3" t="s">
        <v>10</v>
      </c>
      <c r="AD382" s="3" t="s">
        <v>10</v>
      </c>
      <c r="AE382" s="95" t="s">
        <v>2263</v>
      </c>
    </row>
    <row r="383" spans="1:31" x14ac:dyDescent="0.35">
      <c r="A383" s="3" t="s">
        <v>208</v>
      </c>
      <c r="B383" s="3" t="s">
        <v>79</v>
      </c>
      <c r="C383" s="3">
        <v>1</v>
      </c>
      <c r="D383" s="95" t="s">
        <v>209</v>
      </c>
      <c r="E383" s="95" t="s">
        <v>210</v>
      </c>
      <c r="F383" s="95" t="s">
        <v>4</v>
      </c>
      <c r="G383" s="223">
        <v>42115</v>
      </c>
      <c r="H383" s="223">
        <v>42115</v>
      </c>
      <c r="I383" s="223">
        <v>43941</v>
      </c>
      <c r="J383" s="3">
        <v>110</v>
      </c>
      <c r="K383" s="3" t="s">
        <v>10</v>
      </c>
      <c r="L383" s="3" t="s">
        <v>10</v>
      </c>
      <c r="M383" s="95" t="s">
        <v>23</v>
      </c>
      <c r="N383" s="3" t="s">
        <v>62</v>
      </c>
      <c r="O383" s="3" t="s">
        <v>651</v>
      </c>
      <c r="P383" s="3" t="s">
        <v>6</v>
      </c>
      <c r="Q383" s="3" t="s">
        <v>6</v>
      </c>
      <c r="R383" s="95" t="s">
        <v>652</v>
      </c>
      <c r="S383" s="223" t="s">
        <v>5</v>
      </c>
      <c r="T383" s="223" t="s">
        <v>5</v>
      </c>
      <c r="U383" s="223" t="s">
        <v>5</v>
      </c>
      <c r="V383" s="223" t="s">
        <v>5</v>
      </c>
      <c r="W383" s="223" t="s">
        <v>5</v>
      </c>
      <c r="X383" s="3" t="s">
        <v>5</v>
      </c>
      <c r="Y383" s="3" t="s">
        <v>651</v>
      </c>
      <c r="Z383" s="3" t="s">
        <v>651</v>
      </c>
      <c r="AA383" s="3" t="s">
        <v>10</v>
      </c>
      <c r="AB383" s="223" t="s">
        <v>5</v>
      </c>
      <c r="AC383" s="3" t="s">
        <v>10</v>
      </c>
      <c r="AD383" s="3" t="s">
        <v>10</v>
      </c>
      <c r="AE383" s="95" t="s">
        <v>2263</v>
      </c>
    </row>
    <row r="384" spans="1:31" x14ac:dyDescent="0.35">
      <c r="A384" s="3" t="s">
        <v>1125</v>
      </c>
      <c r="B384" s="3" t="s">
        <v>79</v>
      </c>
      <c r="C384" s="3">
        <v>1</v>
      </c>
      <c r="D384" s="95" t="s">
        <v>1126</v>
      </c>
      <c r="E384" s="95" t="s">
        <v>1127</v>
      </c>
      <c r="F384" s="95" t="s">
        <v>4</v>
      </c>
      <c r="G384" s="223">
        <v>43689</v>
      </c>
      <c r="H384" s="223">
        <v>43689</v>
      </c>
      <c r="I384" s="223">
        <v>45515</v>
      </c>
      <c r="J384" s="3">
        <v>6</v>
      </c>
      <c r="K384" s="3" t="s">
        <v>10</v>
      </c>
      <c r="L384" s="3" t="s">
        <v>10</v>
      </c>
      <c r="M384" s="95" t="s">
        <v>60</v>
      </c>
      <c r="N384" s="3" t="s">
        <v>351</v>
      </c>
      <c r="O384" s="3" t="s">
        <v>651</v>
      </c>
      <c r="P384" s="3" t="s">
        <v>6</v>
      </c>
      <c r="Q384" s="3" t="s">
        <v>6</v>
      </c>
      <c r="R384" s="95" t="s">
        <v>652</v>
      </c>
      <c r="S384" s="223" t="s">
        <v>5</v>
      </c>
      <c r="T384" s="223" t="s">
        <v>5</v>
      </c>
      <c r="U384" s="223" t="s">
        <v>5</v>
      </c>
      <c r="V384" s="223" t="s">
        <v>5</v>
      </c>
      <c r="W384" s="223" t="s">
        <v>5</v>
      </c>
      <c r="X384" s="3" t="s">
        <v>5</v>
      </c>
      <c r="Y384" s="3" t="s">
        <v>651</v>
      </c>
      <c r="Z384" s="3" t="s">
        <v>651</v>
      </c>
      <c r="AA384" s="3" t="s">
        <v>10</v>
      </c>
      <c r="AB384" s="223" t="s">
        <v>5</v>
      </c>
      <c r="AC384" s="3" t="s">
        <v>10</v>
      </c>
      <c r="AD384" s="3" t="s">
        <v>10</v>
      </c>
      <c r="AE384" s="95" t="s">
        <v>2263</v>
      </c>
    </row>
    <row r="385" spans="1:31" x14ac:dyDescent="0.35">
      <c r="A385" s="3" t="s">
        <v>1128</v>
      </c>
      <c r="B385" s="3" t="s">
        <v>79</v>
      </c>
      <c r="C385" s="3">
        <v>1</v>
      </c>
      <c r="D385" s="95" t="s">
        <v>1129</v>
      </c>
      <c r="E385" s="95" t="s">
        <v>1130</v>
      </c>
      <c r="F385" s="95" t="s">
        <v>4</v>
      </c>
      <c r="G385" s="223">
        <v>42065</v>
      </c>
      <c r="H385" s="223">
        <v>42065</v>
      </c>
      <c r="I385" s="223">
        <v>43891</v>
      </c>
      <c r="J385" s="3">
        <v>2</v>
      </c>
      <c r="K385" s="3" t="s">
        <v>10</v>
      </c>
      <c r="L385" s="3" t="s">
        <v>6</v>
      </c>
      <c r="M385" s="95" t="s">
        <v>19</v>
      </c>
      <c r="N385" s="3" t="s">
        <v>20</v>
      </c>
      <c r="O385" s="3" t="s">
        <v>21</v>
      </c>
      <c r="P385" s="3" t="s">
        <v>6</v>
      </c>
      <c r="Q385" s="3" t="s">
        <v>6</v>
      </c>
      <c r="R385" s="95" t="s">
        <v>50</v>
      </c>
      <c r="S385" s="223">
        <v>43675</v>
      </c>
      <c r="T385" s="223">
        <v>43756</v>
      </c>
      <c r="U385" s="223">
        <v>43647</v>
      </c>
      <c r="V385" s="223">
        <v>43647</v>
      </c>
      <c r="W385" s="223" t="s">
        <v>6</v>
      </c>
      <c r="X385" s="3" t="s">
        <v>26</v>
      </c>
      <c r="Y385" s="3" t="s">
        <v>2943</v>
      </c>
      <c r="Z385" s="3" t="s">
        <v>20</v>
      </c>
      <c r="AA385" s="3" t="s">
        <v>10</v>
      </c>
      <c r="AB385" s="223" t="s">
        <v>5</v>
      </c>
      <c r="AC385" s="3" t="s">
        <v>10</v>
      </c>
      <c r="AD385" s="3" t="s">
        <v>10</v>
      </c>
      <c r="AE385" s="95" t="s">
        <v>2263</v>
      </c>
    </row>
    <row r="386" spans="1:31" x14ac:dyDescent="0.35">
      <c r="A386" s="3" t="s">
        <v>2419</v>
      </c>
      <c r="B386" s="3" t="s">
        <v>79</v>
      </c>
      <c r="C386" s="3">
        <v>1</v>
      </c>
      <c r="D386" s="95" t="s">
        <v>80</v>
      </c>
      <c r="E386" s="95" t="s">
        <v>81</v>
      </c>
      <c r="F386" s="95" t="s">
        <v>4</v>
      </c>
      <c r="G386" s="223">
        <v>38919</v>
      </c>
      <c r="H386" s="223">
        <v>38919</v>
      </c>
      <c r="I386" s="223">
        <v>39467</v>
      </c>
      <c r="J386" s="3">
        <v>200</v>
      </c>
      <c r="K386" s="3" t="s">
        <v>10</v>
      </c>
      <c r="L386" s="3" t="s">
        <v>10</v>
      </c>
      <c r="M386" s="95" t="s">
        <v>23</v>
      </c>
      <c r="N386" s="3" t="s">
        <v>24</v>
      </c>
      <c r="O386" s="3" t="s">
        <v>651</v>
      </c>
      <c r="P386" s="3" t="s">
        <v>6</v>
      </c>
      <c r="Q386" s="3" t="s">
        <v>6</v>
      </c>
      <c r="R386" s="95" t="s">
        <v>652</v>
      </c>
      <c r="S386" s="223" t="s">
        <v>5</v>
      </c>
      <c r="T386" s="223" t="s">
        <v>5</v>
      </c>
      <c r="U386" s="223" t="s">
        <v>5</v>
      </c>
      <c r="V386" s="223" t="s">
        <v>5</v>
      </c>
      <c r="W386" s="223" t="s">
        <v>5</v>
      </c>
      <c r="X386" s="3" t="s">
        <v>5</v>
      </c>
      <c r="Y386" s="3" t="s">
        <v>651</v>
      </c>
      <c r="Z386" s="3" t="s">
        <v>651</v>
      </c>
      <c r="AA386" s="3" t="s">
        <v>10</v>
      </c>
      <c r="AB386" s="223" t="s">
        <v>5</v>
      </c>
      <c r="AC386" s="3" t="s">
        <v>10</v>
      </c>
      <c r="AD386" s="3" t="s">
        <v>10</v>
      </c>
      <c r="AE386" s="95" t="s">
        <v>2263</v>
      </c>
    </row>
    <row r="387" spans="1:31" x14ac:dyDescent="0.35">
      <c r="A387" s="3" t="s">
        <v>1131</v>
      </c>
      <c r="B387" s="3" t="s">
        <v>79</v>
      </c>
      <c r="C387" s="3">
        <v>1</v>
      </c>
      <c r="D387" s="95" t="s">
        <v>65</v>
      </c>
      <c r="E387" s="95" t="s">
        <v>1132</v>
      </c>
      <c r="F387" s="95" t="s">
        <v>4</v>
      </c>
      <c r="G387" s="223">
        <v>44743</v>
      </c>
      <c r="H387" s="223">
        <v>44743</v>
      </c>
      <c r="I387" s="223">
        <v>46568</v>
      </c>
      <c r="J387" s="3">
        <v>30</v>
      </c>
      <c r="K387" s="3" t="s">
        <v>10</v>
      </c>
      <c r="L387" s="3" t="s">
        <v>6</v>
      </c>
      <c r="M387" s="95" t="s">
        <v>2555</v>
      </c>
      <c r="N387" s="3" t="s">
        <v>52</v>
      </c>
      <c r="O387" s="3" t="s">
        <v>17</v>
      </c>
      <c r="P387" s="3" t="s">
        <v>6</v>
      </c>
      <c r="Q387" s="3" t="s">
        <v>6</v>
      </c>
      <c r="R387" s="95" t="s">
        <v>50</v>
      </c>
      <c r="S387" s="223">
        <v>43591</v>
      </c>
      <c r="T387" s="223">
        <v>43749</v>
      </c>
      <c r="U387" s="223">
        <v>43679</v>
      </c>
      <c r="V387" s="223">
        <v>43679</v>
      </c>
      <c r="W387" s="223" t="s">
        <v>6</v>
      </c>
      <c r="X387" s="3" t="s">
        <v>26</v>
      </c>
      <c r="Y387" s="3" t="s">
        <v>2745</v>
      </c>
      <c r="Z387" s="3" t="s">
        <v>52</v>
      </c>
      <c r="AA387" s="3" t="s">
        <v>10</v>
      </c>
      <c r="AB387" s="223" t="s">
        <v>5</v>
      </c>
      <c r="AC387" s="3" t="s">
        <v>10</v>
      </c>
      <c r="AD387" s="3" t="s">
        <v>6</v>
      </c>
      <c r="AE387" s="95" t="s">
        <v>2265</v>
      </c>
    </row>
    <row r="388" spans="1:31" x14ac:dyDescent="0.35">
      <c r="A388" s="3" t="s">
        <v>1133</v>
      </c>
      <c r="B388" s="3" t="s">
        <v>79</v>
      </c>
      <c r="C388" s="3">
        <v>1</v>
      </c>
      <c r="D388" s="95" t="s">
        <v>1136</v>
      </c>
      <c r="E388" s="95" t="s">
        <v>1132</v>
      </c>
      <c r="F388" s="95" t="s">
        <v>4</v>
      </c>
      <c r="G388" s="223">
        <v>44538</v>
      </c>
      <c r="H388" s="223">
        <v>44835</v>
      </c>
      <c r="I388" s="223">
        <v>46660</v>
      </c>
      <c r="J388" s="3">
        <v>8</v>
      </c>
      <c r="K388" s="3" t="s">
        <v>10</v>
      </c>
      <c r="L388" s="3" t="s">
        <v>6</v>
      </c>
      <c r="M388" s="95" t="s">
        <v>2555</v>
      </c>
      <c r="N388" s="3" t="s">
        <v>52</v>
      </c>
      <c r="O388" s="3" t="s">
        <v>17</v>
      </c>
      <c r="P388" s="3" t="s">
        <v>6</v>
      </c>
      <c r="Q388" s="3" t="s">
        <v>6</v>
      </c>
      <c r="R388" s="95" t="s">
        <v>50</v>
      </c>
      <c r="S388" s="223">
        <v>43591</v>
      </c>
      <c r="T388" s="223">
        <v>43749</v>
      </c>
      <c r="U388" s="223">
        <v>43679</v>
      </c>
      <c r="V388" s="223">
        <v>43679</v>
      </c>
      <c r="W388" s="223" t="s">
        <v>6</v>
      </c>
      <c r="X388" s="3" t="s">
        <v>26</v>
      </c>
      <c r="Y388" s="3" t="s">
        <v>2745</v>
      </c>
      <c r="Z388" s="3" t="s">
        <v>52</v>
      </c>
      <c r="AA388" s="3" t="s">
        <v>10</v>
      </c>
      <c r="AB388" s="223" t="s">
        <v>5</v>
      </c>
      <c r="AC388" s="3" t="s">
        <v>10</v>
      </c>
      <c r="AD388" s="3" t="s">
        <v>6</v>
      </c>
      <c r="AE388" s="95" t="s">
        <v>2265</v>
      </c>
    </row>
    <row r="389" spans="1:31" x14ac:dyDescent="0.35">
      <c r="A389" s="3" t="s">
        <v>1135</v>
      </c>
      <c r="B389" s="3" t="s">
        <v>79</v>
      </c>
      <c r="C389" s="3">
        <v>1</v>
      </c>
      <c r="D389" s="95" t="s">
        <v>1134</v>
      </c>
      <c r="E389" s="95" t="s">
        <v>1132</v>
      </c>
      <c r="F389" s="95" t="s">
        <v>4</v>
      </c>
      <c r="G389" s="223">
        <v>44426</v>
      </c>
      <c r="H389" s="223">
        <v>44743</v>
      </c>
      <c r="I389" s="223">
        <v>46568</v>
      </c>
      <c r="J389" s="3">
        <v>2</v>
      </c>
      <c r="K389" s="3" t="s">
        <v>10</v>
      </c>
      <c r="L389" s="3" t="s">
        <v>6</v>
      </c>
      <c r="M389" s="95" t="s">
        <v>2555</v>
      </c>
      <c r="N389" s="3" t="s">
        <v>52</v>
      </c>
      <c r="O389" s="3" t="s">
        <v>17</v>
      </c>
      <c r="P389" s="3" t="s">
        <v>6</v>
      </c>
      <c r="Q389" s="3" t="s">
        <v>6</v>
      </c>
      <c r="R389" s="95" t="s">
        <v>50</v>
      </c>
      <c r="S389" s="223">
        <v>43591</v>
      </c>
      <c r="T389" s="223">
        <v>43749</v>
      </c>
      <c r="U389" s="223">
        <v>43679</v>
      </c>
      <c r="V389" s="223">
        <v>43679</v>
      </c>
      <c r="W389" s="223" t="s">
        <v>6</v>
      </c>
      <c r="X389" s="3" t="s">
        <v>26</v>
      </c>
      <c r="Y389" s="3" t="s">
        <v>2745</v>
      </c>
      <c r="Z389" s="3" t="s">
        <v>52</v>
      </c>
      <c r="AA389" s="3" t="s">
        <v>10</v>
      </c>
      <c r="AB389" s="223" t="s">
        <v>5</v>
      </c>
      <c r="AC389" s="3" t="s">
        <v>10</v>
      </c>
      <c r="AD389" s="3" t="s">
        <v>6</v>
      </c>
      <c r="AE389" s="95" t="s">
        <v>2265</v>
      </c>
    </row>
    <row r="390" spans="1:31" x14ac:dyDescent="0.35">
      <c r="A390" s="3" t="s">
        <v>211</v>
      </c>
      <c r="B390" s="3" t="s">
        <v>79</v>
      </c>
      <c r="C390" s="3">
        <v>1</v>
      </c>
      <c r="D390" s="95" t="s">
        <v>212</v>
      </c>
      <c r="E390" s="95" t="s">
        <v>213</v>
      </c>
      <c r="F390" s="95" t="s">
        <v>4</v>
      </c>
      <c r="G390" s="223">
        <v>42711</v>
      </c>
      <c r="H390" s="223" t="s">
        <v>5</v>
      </c>
      <c r="I390" s="223">
        <v>44536</v>
      </c>
      <c r="J390" s="3">
        <v>904</v>
      </c>
      <c r="K390" s="3" t="s">
        <v>10</v>
      </c>
      <c r="L390" s="3" t="s">
        <v>10</v>
      </c>
      <c r="M390" s="95" t="s">
        <v>27</v>
      </c>
      <c r="N390" s="3" t="s">
        <v>28</v>
      </c>
      <c r="O390" s="3" t="s">
        <v>651</v>
      </c>
      <c r="P390" s="3" t="s">
        <v>6</v>
      </c>
      <c r="Q390" s="3" t="s">
        <v>6</v>
      </c>
      <c r="R390" s="95" t="s">
        <v>652</v>
      </c>
      <c r="S390" s="223" t="s">
        <v>5</v>
      </c>
      <c r="T390" s="223" t="s">
        <v>5</v>
      </c>
      <c r="U390" s="223" t="s">
        <v>5</v>
      </c>
      <c r="V390" s="223" t="s">
        <v>5</v>
      </c>
      <c r="W390" s="223" t="s">
        <v>5</v>
      </c>
      <c r="X390" s="3" t="s">
        <v>5</v>
      </c>
      <c r="Y390" s="3" t="s">
        <v>651</v>
      </c>
      <c r="Z390" s="3" t="s">
        <v>651</v>
      </c>
      <c r="AA390" s="3" t="s">
        <v>10</v>
      </c>
      <c r="AB390" s="223" t="s">
        <v>5</v>
      </c>
      <c r="AC390" s="3" t="s">
        <v>6</v>
      </c>
      <c r="AD390" s="3" t="s">
        <v>10</v>
      </c>
      <c r="AE390" s="95" t="s">
        <v>2263</v>
      </c>
    </row>
    <row r="391" spans="1:31" x14ac:dyDescent="0.35">
      <c r="A391" s="3" t="s">
        <v>1137</v>
      </c>
      <c r="B391" s="3" t="s">
        <v>214</v>
      </c>
      <c r="C391" s="3">
        <v>5</v>
      </c>
      <c r="D391" s="95" t="s">
        <v>1138</v>
      </c>
      <c r="E391" s="95" t="s">
        <v>1139</v>
      </c>
      <c r="F391" s="95" t="s">
        <v>651</v>
      </c>
      <c r="G391" s="223">
        <v>38007</v>
      </c>
      <c r="H391" s="223" t="s">
        <v>5</v>
      </c>
      <c r="I391" s="223">
        <v>39903</v>
      </c>
      <c r="J391" s="3">
        <v>1</v>
      </c>
      <c r="K391" s="3" t="s">
        <v>10</v>
      </c>
      <c r="L391" s="3" t="s">
        <v>10</v>
      </c>
      <c r="M391" s="95" t="s">
        <v>2555</v>
      </c>
      <c r="N391" s="3" t="s">
        <v>52</v>
      </c>
      <c r="O391" s="3" t="s">
        <v>651</v>
      </c>
      <c r="P391" s="3" t="s">
        <v>6</v>
      </c>
      <c r="Q391" s="3" t="s">
        <v>10</v>
      </c>
      <c r="R391" s="95" t="s">
        <v>3235</v>
      </c>
      <c r="S391" s="223" t="s">
        <v>5</v>
      </c>
      <c r="T391" s="223" t="s">
        <v>5</v>
      </c>
      <c r="U391" s="223" t="s">
        <v>5</v>
      </c>
      <c r="V391" s="223" t="s">
        <v>5</v>
      </c>
      <c r="W391" s="223" t="s">
        <v>5</v>
      </c>
      <c r="X391" s="3" t="s">
        <v>5</v>
      </c>
      <c r="Y391" s="3" t="s">
        <v>651</v>
      </c>
      <c r="Z391" s="3" t="s">
        <v>651</v>
      </c>
      <c r="AA391" s="3" t="s">
        <v>651</v>
      </c>
      <c r="AB391" s="223" t="s">
        <v>5</v>
      </c>
      <c r="AC391" s="3" t="s">
        <v>651</v>
      </c>
      <c r="AD391" s="3" t="s">
        <v>651</v>
      </c>
      <c r="AE391" s="95" t="s">
        <v>651</v>
      </c>
    </row>
    <row r="392" spans="1:31" x14ac:dyDescent="0.35">
      <c r="A392" s="3" t="s">
        <v>1140</v>
      </c>
      <c r="B392" s="3" t="s">
        <v>214</v>
      </c>
      <c r="C392" s="3">
        <v>5</v>
      </c>
      <c r="D392" s="95" t="s">
        <v>1141</v>
      </c>
      <c r="E392" s="95" t="s">
        <v>4</v>
      </c>
      <c r="F392" s="95" t="s">
        <v>2420</v>
      </c>
      <c r="G392" s="223">
        <v>43917</v>
      </c>
      <c r="H392" s="223">
        <v>43922</v>
      </c>
      <c r="I392" s="223">
        <v>45747</v>
      </c>
      <c r="J392" s="3">
        <v>224</v>
      </c>
      <c r="K392" s="3" t="s">
        <v>10</v>
      </c>
      <c r="L392" s="3" t="s">
        <v>10</v>
      </c>
      <c r="M392" s="95" t="s">
        <v>105</v>
      </c>
      <c r="N392" s="3" t="s">
        <v>106</v>
      </c>
      <c r="O392" s="3" t="s">
        <v>651</v>
      </c>
      <c r="P392" s="3" t="s">
        <v>6</v>
      </c>
      <c r="Q392" s="3" t="s">
        <v>6</v>
      </c>
      <c r="R392" s="95" t="s">
        <v>652</v>
      </c>
      <c r="S392" s="223" t="s">
        <v>5</v>
      </c>
      <c r="T392" s="223" t="s">
        <v>5</v>
      </c>
      <c r="U392" s="223" t="s">
        <v>5</v>
      </c>
      <c r="V392" s="223" t="s">
        <v>5</v>
      </c>
      <c r="W392" s="223" t="s">
        <v>5</v>
      </c>
      <c r="X392" s="3" t="s">
        <v>5</v>
      </c>
      <c r="Y392" s="3" t="s">
        <v>651</v>
      </c>
      <c r="Z392" s="3" t="s">
        <v>651</v>
      </c>
      <c r="AA392" s="3" t="s">
        <v>6</v>
      </c>
      <c r="AB392" s="223">
        <v>42230</v>
      </c>
      <c r="AC392" s="3" t="s">
        <v>10</v>
      </c>
      <c r="AD392" s="3" t="s">
        <v>6</v>
      </c>
      <c r="AE392" s="95" t="s">
        <v>2265</v>
      </c>
    </row>
    <row r="393" spans="1:31" x14ac:dyDescent="0.35">
      <c r="A393" s="3" t="s">
        <v>1142</v>
      </c>
      <c r="B393" s="3" t="s">
        <v>214</v>
      </c>
      <c r="C393" s="3">
        <v>5</v>
      </c>
      <c r="D393" s="95" t="s">
        <v>1143</v>
      </c>
      <c r="E393" s="95" t="s">
        <v>2421</v>
      </c>
      <c r="F393" s="95" t="s">
        <v>2420</v>
      </c>
      <c r="G393" s="223">
        <v>44428</v>
      </c>
      <c r="H393" s="223">
        <v>44593</v>
      </c>
      <c r="I393" s="223">
        <v>46418</v>
      </c>
      <c r="J393" s="3">
        <v>10</v>
      </c>
      <c r="K393" s="3" t="s">
        <v>10</v>
      </c>
      <c r="L393" s="3" t="s">
        <v>10</v>
      </c>
      <c r="M393" s="95" t="s">
        <v>19</v>
      </c>
      <c r="N393" s="3" t="s">
        <v>20</v>
      </c>
      <c r="O393" s="3" t="s">
        <v>651</v>
      </c>
      <c r="P393" s="3" t="s">
        <v>6</v>
      </c>
      <c r="Q393" s="3" t="s">
        <v>6</v>
      </c>
      <c r="R393" s="95" t="s">
        <v>652</v>
      </c>
      <c r="S393" s="223" t="s">
        <v>5</v>
      </c>
      <c r="T393" s="223" t="s">
        <v>5</v>
      </c>
      <c r="U393" s="223" t="s">
        <v>5</v>
      </c>
      <c r="V393" s="223" t="s">
        <v>5</v>
      </c>
      <c r="W393" s="223" t="s">
        <v>5</v>
      </c>
      <c r="X393" s="3" t="s">
        <v>5</v>
      </c>
      <c r="Y393" s="3" t="s">
        <v>651</v>
      </c>
      <c r="Z393" s="3" t="s">
        <v>651</v>
      </c>
      <c r="AA393" s="3" t="s">
        <v>6</v>
      </c>
      <c r="AB393" s="223">
        <v>42230</v>
      </c>
      <c r="AC393" s="3" t="s">
        <v>10</v>
      </c>
      <c r="AD393" s="3" t="s">
        <v>10</v>
      </c>
      <c r="AE393" s="95" t="s">
        <v>2263</v>
      </c>
    </row>
    <row r="394" spans="1:31" x14ac:dyDescent="0.35">
      <c r="A394" s="3" t="s">
        <v>1144</v>
      </c>
      <c r="B394" s="3" t="s">
        <v>214</v>
      </c>
      <c r="C394" s="3">
        <v>5</v>
      </c>
      <c r="D394" s="95" t="s">
        <v>1145</v>
      </c>
      <c r="E394" s="95" t="s">
        <v>2422</v>
      </c>
      <c r="F394" s="95" t="s">
        <v>2420</v>
      </c>
      <c r="G394" s="223">
        <v>44468</v>
      </c>
      <c r="H394" s="223">
        <v>44593</v>
      </c>
      <c r="I394" s="223">
        <v>46418</v>
      </c>
      <c r="J394" s="3">
        <v>58</v>
      </c>
      <c r="K394" s="3" t="s">
        <v>10</v>
      </c>
      <c r="L394" s="3" t="s">
        <v>10</v>
      </c>
      <c r="M394" s="95" t="s">
        <v>19</v>
      </c>
      <c r="N394" s="3" t="s">
        <v>20</v>
      </c>
      <c r="O394" s="3" t="s">
        <v>651</v>
      </c>
      <c r="P394" s="3" t="s">
        <v>6</v>
      </c>
      <c r="Q394" s="3" t="s">
        <v>6</v>
      </c>
      <c r="R394" s="95" t="s">
        <v>652</v>
      </c>
      <c r="S394" s="223" t="s">
        <v>5</v>
      </c>
      <c r="T394" s="223" t="s">
        <v>5</v>
      </c>
      <c r="U394" s="223" t="s">
        <v>5</v>
      </c>
      <c r="V394" s="223" t="s">
        <v>5</v>
      </c>
      <c r="W394" s="223" t="s">
        <v>5</v>
      </c>
      <c r="X394" s="3" t="s">
        <v>5</v>
      </c>
      <c r="Y394" s="3" t="s">
        <v>651</v>
      </c>
      <c r="Z394" s="3" t="s">
        <v>651</v>
      </c>
      <c r="AA394" s="3" t="s">
        <v>6</v>
      </c>
      <c r="AB394" s="223">
        <v>42230</v>
      </c>
      <c r="AC394" s="3" t="s">
        <v>10</v>
      </c>
      <c r="AD394" s="3" t="s">
        <v>10</v>
      </c>
      <c r="AE394" s="95" t="s">
        <v>2263</v>
      </c>
    </row>
    <row r="395" spans="1:31" x14ac:dyDescent="0.35">
      <c r="A395" s="3" t="s">
        <v>1146</v>
      </c>
      <c r="B395" s="3" t="s">
        <v>214</v>
      </c>
      <c r="C395" s="3">
        <v>5</v>
      </c>
      <c r="D395" s="95" t="s">
        <v>1147</v>
      </c>
      <c r="E395" s="95" t="s">
        <v>2423</v>
      </c>
      <c r="F395" s="95" t="s">
        <v>2420</v>
      </c>
      <c r="G395" s="223">
        <v>44428</v>
      </c>
      <c r="H395" s="223">
        <v>44593</v>
      </c>
      <c r="I395" s="223">
        <v>46418</v>
      </c>
      <c r="J395" s="3">
        <v>3</v>
      </c>
      <c r="K395" s="3" t="s">
        <v>10</v>
      </c>
      <c r="L395" s="3" t="s">
        <v>10</v>
      </c>
      <c r="M395" s="95" t="s">
        <v>19</v>
      </c>
      <c r="N395" s="3" t="s">
        <v>20</v>
      </c>
      <c r="O395" s="3" t="s">
        <v>651</v>
      </c>
      <c r="P395" s="3" t="s">
        <v>6</v>
      </c>
      <c r="Q395" s="3" t="s">
        <v>6</v>
      </c>
      <c r="R395" s="95" t="s">
        <v>652</v>
      </c>
      <c r="S395" s="223" t="s">
        <v>5</v>
      </c>
      <c r="T395" s="223" t="s">
        <v>5</v>
      </c>
      <c r="U395" s="223" t="s">
        <v>5</v>
      </c>
      <c r="V395" s="223" t="s">
        <v>5</v>
      </c>
      <c r="W395" s="223" t="s">
        <v>5</v>
      </c>
      <c r="X395" s="3" t="s">
        <v>5</v>
      </c>
      <c r="Y395" s="3" t="s">
        <v>651</v>
      </c>
      <c r="Z395" s="3" t="s">
        <v>651</v>
      </c>
      <c r="AA395" s="3" t="s">
        <v>6</v>
      </c>
      <c r="AB395" s="223">
        <v>42230</v>
      </c>
      <c r="AC395" s="3" t="s">
        <v>10</v>
      </c>
      <c r="AD395" s="3" t="s">
        <v>10</v>
      </c>
      <c r="AE395" s="95" t="s">
        <v>2263</v>
      </c>
    </row>
    <row r="396" spans="1:31" x14ac:dyDescent="0.35">
      <c r="A396" s="3" t="s">
        <v>1148</v>
      </c>
      <c r="B396" s="3" t="s">
        <v>214</v>
      </c>
      <c r="C396" s="3">
        <v>5</v>
      </c>
      <c r="D396" s="95" t="s">
        <v>1149</v>
      </c>
      <c r="E396" s="95" t="s">
        <v>2424</v>
      </c>
      <c r="F396" s="95" t="s">
        <v>2420</v>
      </c>
      <c r="G396" s="223">
        <v>44428</v>
      </c>
      <c r="H396" s="223">
        <v>44593</v>
      </c>
      <c r="I396" s="223">
        <v>46418</v>
      </c>
      <c r="J396" s="3">
        <v>4</v>
      </c>
      <c r="K396" s="3" t="s">
        <v>10</v>
      </c>
      <c r="L396" s="3" t="s">
        <v>10</v>
      </c>
      <c r="M396" s="95" t="s">
        <v>19</v>
      </c>
      <c r="N396" s="3" t="s">
        <v>20</v>
      </c>
      <c r="O396" s="3" t="s">
        <v>651</v>
      </c>
      <c r="P396" s="3" t="s">
        <v>6</v>
      </c>
      <c r="Q396" s="3" t="s">
        <v>6</v>
      </c>
      <c r="R396" s="95" t="s">
        <v>652</v>
      </c>
      <c r="S396" s="223" t="s">
        <v>5</v>
      </c>
      <c r="T396" s="223" t="s">
        <v>5</v>
      </c>
      <c r="U396" s="223" t="s">
        <v>5</v>
      </c>
      <c r="V396" s="223" t="s">
        <v>5</v>
      </c>
      <c r="W396" s="223" t="s">
        <v>5</v>
      </c>
      <c r="X396" s="3" t="s">
        <v>5</v>
      </c>
      <c r="Y396" s="3" t="s">
        <v>651</v>
      </c>
      <c r="Z396" s="3" t="s">
        <v>651</v>
      </c>
      <c r="AA396" s="3" t="s">
        <v>6</v>
      </c>
      <c r="AB396" s="223">
        <v>42230</v>
      </c>
      <c r="AC396" s="3" t="s">
        <v>10</v>
      </c>
      <c r="AD396" s="3" t="s">
        <v>10</v>
      </c>
      <c r="AE396" s="95" t="s">
        <v>2263</v>
      </c>
    </row>
    <row r="397" spans="1:31" x14ac:dyDescent="0.35">
      <c r="A397" s="3" t="s">
        <v>1150</v>
      </c>
      <c r="B397" s="3" t="s">
        <v>214</v>
      </c>
      <c r="C397" s="3">
        <v>5</v>
      </c>
      <c r="D397" s="95" t="s">
        <v>1151</v>
      </c>
      <c r="E397" s="95" t="s">
        <v>2425</v>
      </c>
      <c r="F397" s="95" t="s">
        <v>2420</v>
      </c>
      <c r="G397" s="223">
        <v>43921</v>
      </c>
      <c r="H397" s="223">
        <v>43922</v>
      </c>
      <c r="I397" s="223">
        <v>45747</v>
      </c>
      <c r="J397" s="3">
        <v>53</v>
      </c>
      <c r="K397" s="3" t="s">
        <v>10</v>
      </c>
      <c r="L397" s="3" t="s">
        <v>10</v>
      </c>
      <c r="M397" s="95" t="s">
        <v>1152</v>
      </c>
      <c r="N397" s="3" t="s">
        <v>68</v>
      </c>
      <c r="O397" s="3" t="s">
        <v>651</v>
      </c>
      <c r="P397" s="3" t="s">
        <v>6</v>
      </c>
      <c r="Q397" s="3" t="s">
        <v>6</v>
      </c>
      <c r="R397" s="95" t="s">
        <v>652</v>
      </c>
      <c r="S397" s="223" t="s">
        <v>5</v>
      </c>
      <c r="T397" s="223" t="s">
        <v>5</v>
      </c>
      <c r="U397" s="223" t="s">
        <v>5</v>
      </c>
      <c r="V397" s="223" t="s">
        <v>5</v>
      </c>
      <c r="W397" s="223" t="s">
        <v>5</v>
      </c>
      <c r="X397" s="3" t="s">
        <v>5</v>
      </c>
      <c r="Y397" s="3" t="s">
        <v>651</v>
      </c>
      <c r="Z397" s="3" t="s">
        <v>651</v>
      </c>
      <c r="AA397" s="3" t="s">
        <v>6</v>
      </c>
      <c r="AB397" s="223">
        <v>42230</v>
      </c>
      <c r="AC397" s="3" t="s">
        <v>6</v>
      </c>
      <c r="AD397" s="3" t="s">
        <v>10</v>
      </c>
      <c r="AE397" s="95" t="s">
        <v>2263</v>
      </c>
    </row>
    <row r="398" spans="1:31" x14ac:dyDescent="0.35">
      <c r="A398" s="3" t="s">
        <v>215</v>
      </c>
      <c r="B398" s="3" t="s">
        <v>214</v>
      </c>
      <c r="C398" s="3">
        <v>5</v>
      </c>
      <c r="D398" s="95" t="s">
        <v>3152</v>
      </c>
      <c r="E398" s="95" t="s">
        <v>422</v>
      </c>
      <c r="F398" s="95" t="s">
        <v>437</v>
      </c>
      <c r="G398" s="223">
        <v>44455</v>
      </c>
      <c r="H398" s="223">
        <v>44500</v>
      </c>
      <c r="I398" s="223">
        <v>46326</v>
      </c>
      <c r="J398" s="3">
        <v>1</v>
      </c>
      <c r="K398" s="3" t="s">
        <v>6</v>
      </c>
      <c r="L398" s="3" t="s">
        <v>6</v>
      </c>
      <c r="M398" s="95" t="s">
        <v>19</v>
      </c>
      <c r="N398" s="3" t="s">
        <v>20</v>
      </c>
      <c r="O398" s="3" t="s">
        <v>21</v>
      </c>
      <c r="P398" s="3" t="s">
        <v>6</v>
      </c>
      <c r="Q398" s="3" t="s">
        <v>6</v>
      </c>
      <c r="R398" s="95" t="s">
        <v>22</v>
      </c>
      <c r="S398" s="223">
        <v>43675</v>
      </c>
      <c r="T398" s="223">
        <v>43756</v>
      </c>
      <c r="U398" s="223">
        <v>43647</v>
      </c>
      <c r="V398" s="223">
        <v>43647</v>
      </c>
      <c r="W398" s="223" t="s">
        <v>6</v>
      </c>
      <c r="X398" s="3" t="s">
        <v>26</v>
      </c>
      <c r="Y398" s="3" t="s">
        <v>2116</v>
      </c>
      <c r="Z398" s="3" t="s">
        <v>20</v>
      </c>
      <c r="AA398" s="3" t="s">
        <v>6</v>
      </c>
      <c r="AB398" s="223">
        <v>44442</v>
      </c>
      <c r="AC398" s="3" t="s">
        <v>10</v>
      </c>
      <c r="AD398" s="3" t="s">
        <v>10</v>
      </c>
      <c r="AE398" s="95" t="s">
        <v>2263</v>
      </c>
    </row>
    <row r="399" spans="1:31" x14ac:dyDescent="0.35">
      <c r="A399" s="3" t="s">
        <v>1153</v>
      </c>
      <c r="B399" s="3" t="s">
        <v>214</v>
      </c>
      <c r="C399" s="3">
        <v>5</v>
      </c>
      <c r="D399" s="95" t="s">
        <v>1154</v>
      </c>
      <c r="E399" s="95" t="s">
        <v>2426</v>
      </c>
      <c r="F399" s="95" t="s">
        <v>2420</v>
      </c>
      <c r="G399" s="223">
        <v>42736</v>
      </c>
      <c r="H399" s="223" t="s">
        <v>5</v>
      </c>
      <c r="I399" s="223">
        <v>44592</v>
      </c>
      <c r="J399" s="3">
        <v>172</v>
      </c>
      <c r="K399" s="3" t="s">
        <v>10</v>
      </c>
      <c r="L399" s="3" t="s">
        <v>10</v>
      </c>
      <c r="M399" s="95" t="s">
        <v>204</v>
      </c>
      <c r="N399" s="3" t="s">
        <v>521</v>
      </c>
      <c r="O399" s="3" t="s">
        <v>651</v>
      </c>
      <c r="P399" s="3" t="s">
        <v>6</v>
      </c>
      <c r="Q399" s="3" t="s">
        <v>6</v>
      </c>
      <c r="R399" s="95" t="s">
        <v>652</v>
      </c>
      <c r="S399" s="223" t="s">
        <v>5</v>
      </c>
      <c r="T399" s="223" t="s">
        <v>5</v>
      </c>
      <c r="U399" s="223" t="s">
        <v>5</v>
      </c>
      <c r="V399" s="223" t="s">
        <v>5</v>
      </c>
      <c r="W399" s="223" t="s">
        <v>5</v>
      </c>
      <c r="X399" s="3" t="s">
        <v>5</v>
      </c>
      <c r="Y399" s="3" t="s">
        <v>651</v>
      </c>
      <c r="Z399" s="3" t="s">
        <v>651</v>
      </c>
      <c r="AA399" s="3" t="s">
        <v>6</v>
      </c>
      <c r="AB399" s="223">
        <v>42230</v>
      </c>
      <c r="AC399" s="3" t="s">
        <v>10</v>
      </c>
      <c r="AD399" s="3" t="s">
        <v>10</v>
      </c>
      <c r="AE399" s="95" t="s">
        <v>2263</v>
      </c>
    </row>
    <row r="400" spans="1:31" x14ac:dyDescent="0.35">
      <c r="A400" s="3" t="s">
        <v>1155</v>
      </c>
      <c r="B400" s="3" t="s">
        <v>214</v>
      </c>
      <c r="C400" s="3">
        <v>5</v>
      </c>
      <c r="D400" s="95" t="s">
        <v>899</v>
      </c>
      <c r="E400" s="95" t="s">
        <v>2427</v>
      </c>
      <c r="F400" s="95" t="s">
        <v>2420</v>
      </c>
      <c r="G400" s="223">
        <v>44984</v>
      </c>
      <c r="H400" s="223">
        <v>45017</v>
      </c>
      <c r="I400" s="223">
        <v>46843</v>
      </c>
      <c r="J400" s="3">
        <v>153</v>
      </c>
      <c r="K400" s="3" t="s">
        <v>10</v>
      </c>
      <c r="L400" s="3" t="s">
        <v>10</v>
      </c>
      <c r="M400" s="95" t="s">
        <v>173</v>
      </c>
      <c r="N400" s="3" t="s">
        <v>174</v>
      </c>
      <c r="O400" s="3" t="s">
        <v>651</v>
      </c>
      <c r="P400" s="3" t="s">
        <v>6</v>
      </c>
      <c r="Q400" s="3" t="s">
        <v>6</v>
      </c>
      <c r="R400" s="95" t="s">
        <v>652</v>
      </c>
      <c r="S400" s="223" t="s">
        <v>5</v>
      </c>
      <c r="T400" s="223" t="s">
        <v>5</v>
      </c>
      <c r="U400" s="223" t="s">
        <v>5</v>
      </c>
      <c r="V400" s="223" t="s">
        <v>5</v>
      </c>
      <c r="W400" s="223" t="s">
        <v>5</v>
      </c>
      <c r="X400" s="3" t="s">
        <v>5</v>
      </c>
      <c r="Y400" s="3" t="s">
        <v>651</v>
      </c>
      <c r="Z400" s="3" t="s">
        <v>651</v>
      </c>
      <c r="AA400" s="3" t="s">
        <v>6</v>
      </c>
      <c r="AB400" s="223">
        <v>42230</v>
      </c>
      <c r="AC400" s="3" t="s">
        <v>6</v>
      </c>
      <c r="AD400" s="3" t="s">
        <v>10</v>
      </c>
      <c r="AE400" s="95" t="s">
        <v>2263</v>
      </c>
    </row>
    <row r="401" spans="1:31" x14ac:dyDescent="0.35">
      <c r="A401" s="3" t="s">
        <v>1156</v>
      </c>
      <c r="B401" s="3" t="s">
        <v>214</v>
      </c>
      <c r="C401" s="3">
        <v>5</v>
      </c>
      <c r="D401" s="95" t="s">
        <v>1157</v>
      </c>
      <c r="E401" s="95" t="s">
        <v>2428</v>
      </c>
      <c r="F401" s="95" t="s">
        <v>2420</v>
      </c>
      <c r="G401" s="223">
        <v>43725</v>
      </c>
      <c r="H401" s="223">
        <v>43922</v>
      </c>
      <c r="I401" s="223">
        <v>45747</v>
      </c>
      <c r="J401" s="3">
        <v>26</v>
      </c>
      <c r="K401" s="3" t="s">
        <v>10</v>
      </c>
      <c r="L401" s="3" t="s">
        <v>10</v>
      </c>
      <c r="M401" s="95" t="s">
        <v>114</v>
      </c>
      <c r="N401" s="3" t="s">
        <v>115</v>
      </c>
      <c r="O401" s="3" t="s">
        <v>651</v>
      </c>
      <c r="P401" s="3" t="s">
        <v>6</v>
      </c>
      <c r="Q401" s="3" t="s">
        <v>6</v>
      </c>
      <c r="R401" s="95" t="s">
        <v>652</v>
      </c>
      <c r="S401" s="223" t="s">
        <v>5</v>
      </c>
      <c r="T401" s="223" t="s">
        <v>5</v>
      </c>
      <c r="U401" s="223" t="s">
        <v>5</v>
      </c>
      <c r="V401" s="223" t="s">
        <v>5</v>
      </c>
      <c r="W401" s="223" t="s">
        <v>5</v>
      </c>
      <c r="X401" s="3" t="s">
        <v>5</v>
      </c>
      <c r="Y401" s="3" t="s">
        <v>651</v>
      </c>
      <c r="Z401" s="3" t="s">
        <v>651</v>
      </c>
      <c r="AA401" s="3" t="s">
        <v>6</v>
      </c>
      <c r="AB401" s="223">
        <v>42230</v>
      </c>
      <c r="AC401" s="3" t="s">
        <v>6</v>
      </c>
      <c r="AD401" s="3" t="s">
        <v>10</v>
      </c>
      <c r="AE401" s="95" t="s">
        <v>2265</v>
      </c>
    </row>
    <row r="402" spans="1:31" x14ac:dyDescent="0.35">
      <c r="A402" s="3" t="s">
        <v>1158</v>
      </c>
      <c r="B402" s="3" t="s">
        <v>214</v>
      </c>
      <c r="C402" s="3">
        <v>5</v>
      </c>
      <c r="D402" s="95" t="s">
        <v>1159</v>
      </c>
      <c r="E402" s="95" t="s">
        <v>2429</v>
      </c>
      <c r="F402" s="95" t="s">
        <v>2420</v>
      </c>
      <c r="G402" s="223">
        <v>43825</v>
      </c>
      <c r="H402" s="223">
        <v>43922</v>
      </c>
      <c r="I402" s="223">
        <v>45747</v>
      </c>
      <c r="J402" s="3">
        <v>22</v>
      </c>
      <c r="K402" s="3" t="s">
        <v>10</v>
      </c>
      <c r="L402" s="3" t="s">
        <v>10</v>
      </c>
      <c r="M402" s="95" t="s">
        <v>47</v>
      </c>
      <c r="N402" s="3" t="s">
        <v>48</v>
      </c>
      <c r="O402" s="3" t="s">
        <v>651</v>
      </c>
      <c r="P402" s="3" t="s">
        <v>6</v>
      </c>
      <c r="Q402" s="3" t="s">
        <v>6</v>
      </c>
      <c r="R402" s="95" t="s">
        <v>652</v>
      </c>
      <c r="S402" s="223" t="s">
        <v>5</v>
      </c>
      <c r="T402" s="223" t="s">
        <v>5</v>
      </c>
      <c r="U402" s="223" t="s">
        <v>5</v>
      </c>
      <c r="V402" s="223" t="s">
        <v>5</v>
      </c>
      <c r="W402" s="223" t="s">
        <v>5</v>
      </c>
      <c r="X402" s="3" t="s">
        <v>5</v>
      </c>
      <c r="Y402" s="3" t="s">
        <v>651</v>
      </c>
      <c r="Z402" s="3" t="s">
        <v>651</v>
      </c>
      <c r="AA402" s="3" t="s">
        <v>6</v>
      </c>
      <c r="AB402" s="223">
        <v>42230</v>
      </c>
      <c r="AC402" s="3" t="s">
        <v>6</v>
      </c>
      <c r="AD402" s="3" t="s">
        <v>6</v>
      </c>
      <c r="AE402" s="95" t="s">
        <v>2265</v>
      </c>
    </row>
    <row r="403" spans="1:31" x14ac:dyDescent="0.35">
      <c r="A403" s="3" t="s">
        <v>1160</v>
      </c>
      <c r="B403" s="3" t="s">
        <v>214</v>
      </c>
      <c r="C403" s="3">
        <v>5</v>
      </c>
      <c r="D403" s="95" t="s">
        <v>1161</v>
      </c>
      <c r="E403" s="95" t="s">
        <v>2430</v>
      </c>
      <c r="F403" s="95" t="s">
        <v>2420</v>
      </c>
      <c r="G403" s="223">
        <v>41668</v>
      </c>
      <c r="H403" s="223">
        <v>41730</v>
      </c>
      <c r="I403" s="223">
        <v>43555</v>
      </c>
      <c r="J403" s="3">
        <v>232</v>
      </c>
      <c r="K403" s="3" t="s">
        <v>10</v>
      </c>
      <c r="L403" s="3" t="s">
        <v>10</v>
      </c>
      <c r="M403" s="95" t="s">
        <v>47</v>
      </c>
      <c r="N403" s="3" t="s">
        <v>48</v>
      </c>
      <c r="O403" s="3" t="s">
        <v>651</v>
      </c>
      <c r="P403" s="3" t="s">
        <v>6</v>
      </c>
      <c r="Q403" s="3" t="s">
        <v>6</v>
      </c>
      <c r="R403" s="95" t="s">
        <v>652</v>
      </c>
      <c r="S403" s="223" t="s">
        <v>5</v>
      </c>
      <c r="T403" s="223" t="s">
        <v>5</v>
      </c>
      <c r="U403" s="223" t="s">
        <v>5</v>
      </c>
      <c r="V403" s="223" t="s">
        <v>5</v>
      </c>
      <c r="W403" s="223" t="s">
        <v>5</v>
      </c>
      <c r="X403" s="3" t="s">
        <v>5</v>
      </c>
      <c r="Y403" s="3" t="s">
        <v>651</v>
      </c>
      <c r="Z403" s="3" t="s">
        <v>651</v>
      </c>
      <c r="AA403" s="3" t="s">
        <v>6</v>
      </c>
      <c r="AB403" s="223">
        <v>42230</v>
      </c>
      <c r="AC403" s="3" t="s">
        <v>6</v>
      </c>
      <c r="AD403" s="3" t="s">
        <v>6</v>
      </c>
      <c r="AE403" s="95" t="s">
        <v>2265</v>
      </c>
    </row>
    <row r="404" spans="1:31" x14ac:dyDescent="0.35">
      <c r="A404" s="3" t="s">
        <v>1162</v>
      </c>
      <c r="B404" s="3" t="s">
        <v>214</v>
      </c>
      <c r="C404" s="3">
        <v>5</v>
      </c>
      <c r="D404" s="95" t="s">
        <v>1163</v>
      </c>
      <c r="E404" s="95" t="s">
        <v>2431</v>
      </c>
      <c r="F404" s="95" t="s">
        <v>2420</v>
      </c>
      <c r="G404" s="223">
        <v>37595</v>
      </c>
      <c r="H404" s="223">
        <v>37713</v>
      </c>
      <c r="I404" s="223">
        <v>39539</v>
      </c>
      <c r="J404" s="3">
        <v>248</v>
      </c>
      <c r="K404" s="3" t="s">
        <v>10</v>
      </c>
      <c r="L404" s="3" t="s">
        <v>10</v>
      </c>
      <c r="M404" s="95" t="s">
        <v>2555</v>
      </c>
      <c r="N404" s="3" t="s">
        <v>52</v>
      </c>
      <c r="O404" s="3" t="s">
        <v>651</v>
      </c>
      <c r="P404" s="3" t="s">
        <v>6</v>
      </c>
      <c r="Q404" s="3" t="s">
        <v>6</v>
      </c>
      <c r="R404" s="95" t="s">
        <v>652</v>
      </c>
      <c r="S404" s="223" t="s">
        <v>5</v>
      </c>
      <c r="T404" s="223" t="s">
        <v>5</v>
      </c>
      <c r="U404" s="223" t="s">
        <v>5</v>
      </c>
      <c r="V404" s="223" t="s">
        <v>5</v>
      </c>
      <c r="W404" s="223" t="s">
        <v>5</v>
      </c>
      <c r="X404" s="3" t="s">
        <v>5</v>
      </c>
      <c r="Y404" s="3" t="s">
        <v>651</v>
      </c>
      <c r="Z404" s="3" t="s">
        <v>651</v>
      </c>
      <c r="AA404" s="3" t="s">
        <v>6</v>
      </c>
      <c r="AB404" s="223">
        <v>42230</v>
      </c>
      <c r="AC404" s="3" t="s">
        <v>10</v>
      </c>
      <c r="AD404" s="3" t="s">
        <v>6</v>
      </c>
      <c r="AE404" s="95" t="s">
        <v>2265</v>
      </c>
    </row>
    <row r="405" spans="1:31" x14ac:dyDescent="0.35">
      <c r="A405" s="3" t="s">
        <v>1164</v>
      </c>
      <c r="B405" s="3" t="s">
        <v>214</v>
      </c>
      <c r="C405" s="3">
        <v>5</v>
      </c>
      <c r="D405" s="95" t="s">
        <v>1165</v>
      </c>
      <c r="E405" s="95" t="s">
        <v>1166</v>
      </c>
      <c r="F405" s="95" t="s">
        <v>2420</v>
      </c>
      <c r="G405" s="223">
        <v>43852</v>
      </c>
      <c r="H405" s="223">
        <v>43922</v>
      </c>
      <c r="I405" s="223">
        <v>45747</v>
      </c>
      <c r="J405" s="3">
        <v>53</v>
      </c>
      <c r="K405" s="3" t="s">
        <v>10</v>
      </c>
      <c r="L405" s="3" t="s">
        <v>10</v>
      </c>
      <c r="M405" s="95" t="s">
        <v>116</v>
      </c>
      <c r="N405" s="3" t="s">
        <v>117</v>
      </c>
      <c r="O405" s="3" t="s">
        <v>651</v>
      </c>
      <c r="P405" s="3" t="s">
        <v>6</v>
      </c>
      <c r="Q405" s="3" t="s">
        <v>6</v>
      </c>
      <c r="R405" s="95" t="s">
        <v>652</v>
      </c>
      <c r="S405" s="223" t="s">
        <v>5</v>
      </c>
      <c r="T405" s="223" t="s">
        <v>5</v>
      </c>
      <c r="U405" s="223" t="s">
        <v>5</v>
      </c>
      <c r="V405" s="223" t="s">
        <v>5</v>
      </c>
      <c r="W405" s="223" t="s">
        <v>5</v>
      </c>
      <c r="X405" s="3" t="s">
        <v>5</v>
      </c>
      <c r="Y405" s="3" t="s">
        <v>651</v>
      </c>
      <c r="Z405" s="3" t="s">
        <v>651</v>
      </c>
      <c r="AA405" s="3" t="s">
        <v>6</v>
      </c>
      <c r="AB405" s="223">
        <v>42230</v>
      </c>
      <c r="AC405" s="3" t="s">
        <v>6</v>
      </c>
      <c r="AD405" s="3" t="s">
        <v>10</v>
      </c>
      <c r="AE405" s="95" t="s">
        <v>2265</v>
      </c>
    </row>
    <row r="406" spans="1:31" x14ac:dyDescent="0.35">
      <c r="A406" s="3" t="s">
        <v>1167</v>
      </c>
      <c r="B406" s="3" t="s">
        <v>214</v>
      </c>
      <c r="C406" s="3">
        <v>5</v>
      </c>
      <c r="D406" s="95" t="s">
        <v>722</v>
      </c>
      <c r="E406" s="95" t="s">
        <v>2432</v>
      </c>
      <c r="F406" s="95" t="s">
        <v>2420</v>
      </c>
      <c r="G406" s="223">
        <v>44985</v>
      </c>
      <c r="H406" s="223">
        <v>45017</v>
      </c>
      <c r="I406" s="223">
        <v>46843</v>
      </c>
      <c r="J406" s="3">
        <v>34</v>
      </c>
      <c r="K406" s="3" t="s">
        <v>10</v>
      </c>
      <c r="L406" s="3" t="s">
        <v>10</v>
      </c>
      <c r="M406" s="95" t="s">
        <v>136</v>
      </c>
      <c r="N406" s="3" t="s">
        <v>138</v>
      </c>
      <c r="O406" s="3" t="s">
        <v>651</v>
      </c>
      <c r="P406" s="3" t="s">
        <v>6</v>
      </c>
      <c r="Q406" s="3" t="s">
        <v>6</v>
      </c>
      <c r="R406" s="95" t="s">
        <v>652</v>
      </c>
      <c r="S406" s="223" t="s">
        <v>5</v>
      </c>
      <c r="T406" s="223" t="s">
        <v>5</v>
      </c>
      <c r="U406" s="223" t="s">
        <v>5</v>
      </c>
      <c r="V406" s="223" t="s">
        <v>5</v>
      </c>
      <c r="W406" s="223" t="s">
        <v>5</v>
      </c>
      <c r="X406" s="3" t="s">
        <v>5</v>
      </c>
      <c r="Y406" s="3" t="s">
        <v>651</v>
      </c>
      <c r="Z406" s="3" t="s">
        <v>651</v>
      </c>
      <c r="AA406" s="3" t="s">
        <v>6</v>
      </c>
      <c r="AB406" s="223">
        <v>42230</v>
      </c>
      <c r="AC406" s="3" t="s">
        <v>6</v>
      </c>
      <c r="AD406" s="3" t="s">
        <v>10</v>
      </c>
      <c r="AE406" s="95" t="s">
        <v>2263</v>
      </c>
    </row>
    <row r="407" spans="1:31" x14ac:dyDescent="0.35">
      <c r="A407" s="3" t="s">
        <v>1168</v>
      </c>
      <c r="B407" s="3" t="s">
        <v>214</v>
      </c>
      <c r="C407" s="3">
        <v>5</v>
      </c>
      <c r="D407" s="95" t="s">
        <v>1169</v>
      </c>
      <c r="E407" s="95" t="s">
        <v>2433</v>
      </c>
      <c r="F407" s="95" t="s">
        <v>2420</v>
      </c>
      <c r="G407" s="223">
        <v>43706</v>
      </c>
      <c r="H407" s="223">
        <v>43922</v>
      </c>
      <c r="I407" s="223">
        <v>45747</v>
      </c>
      <c r="J407" s="3">
        <v>24</v>
      </c>
      <c r="K407" s="3" t="s">
        <v>10</v>
      </c>
      <c r="L407" s="3" t="s">
        <v>10</v>
      </c>
      <c r="M407" s="95" t="s">
        <v>196</v>
      </c>
      <c r="N407" s="3" t="s">
        <v>61</v>
      </c>
      <c r="O407" s="3" t="s">
        <v>651</v>
      </c>
      <c r="P407" s="3" t="s">
        <v>6</v>
      </c>
      <c r="Q407" s="3" t="s">
        <v>6</v>
      </c>
      <c r="R407" s="95" t="s">
        <v>652</v>
      </c>
      <c r="S407" s="223" t="s">
        <v>5</v>
      </c>
      <c r="T407" s="223" t="s">
        <v>5</v>
      </c>
      <c r="U407" s="223" t="s">
        <v>5</v>
      </c>
      <c r="V407" s="223" t="s">
        <v>5</v>
      </c>
      <c r="W407" s="223" t="s">
        <v>5</v>
      </c>
      <c r="X407" s="3" t="s">
        <v>5</v>
      </c>
      <c r="Y407" s="3" t="s">
        <v>651</v>
      </c>
      <c r="Z407" s="3" t="s">
        <v>651</v>
      </c>
      <c r="AA407" s="3" t="s">
        <v>6</v>
      </c>
      <c r="AB407" s="223">
        <v>42230</v>
      </c>
      <c r="AC407" s="3" t="s">
        <v>6</v>
      </c>
      <c r="AD407" s="3" t="s">
        <v>10</v>
      </c>
      <c r="AE407" s="95" t="s">
        <v>2263</v>
      </c>
    </row>
    <row r="408" spans="1:31" x14ac:dyDescent="0.35">
      <c r="A408" s="3" t="s">
        <v>1170</v>
      </c>
      <c r="B408" s="3" t="s">
        <v>214</v>
      </c>
      <c r="C408" s="3">
        <v>5</v>
      </c>
      <c r="D408" s="95" t="s">
        <v>1171</v>
      </c>
      <c r="E408" s="95" t="s">
        <v>2434</v>
      </c>
      <c r="F408" s="95" t="s">
        <v>2420</v>
      </c>
      <c r="G408" s="223">
        <v>43794</v>
      </c>
      <c r="H408" s="223">
        <v>43922</v>
      </c>
      <c r="I408" s="223">
        <v>45747</v>
      </c>
      <c r="J408" s="3">
        <v>4</v>
      </c>
      <c r="K408" s="3" t="s">
        <v>10</v>
      </c>
      <c r="L408" s="3" t="s">
        <v>10</v>
      </c>
      <c r="M408" s="95" t="s">
        <v>1172</v>
      </c>
      <c r="N408" s="3" t="s">
        <v>62</v>
      </c>
      <c r="O408" s="3" t="s">
        <v>651</v>
      </c>
      <c r="P408" s="3" t="s">
        <v>6</v>
      </c>
      <c r="Q408" s="3" t="s">
        <v>6</v>
      </c>
      <c r="R408" s="95" t="s">
        <v>652</v>
      </c>
      <c r="S408" s="223" t="s">
        <v>5</v>
      </c>
      <c r="T408" s="223" t="s">
        <v>5</v>
      </c>
      <c r="U408" s="223" t="s">
        <v>5</v>
      </c>
      <c r="V408" s="223" t="s">
        <v>5</v>
      </c>
      <c r="W408" s="223" t="s">
        <v>5</v>
      </c>
      <c r="X408" s="3" t="s">
        <v>5</v>
      </c>
      <c r="Y408" s="3" t="s">
        <v>651</v>
      </c>
      <c r="Z408" s="3" t="s">
        <v>651</v>
      </c>
      <c r="AA408" s="3" t="s">
        <v>6</v>
      </c>
      <c r="AB408" s="223">
        <v>42230</v>
      </c>
      <c r="AC408" s="3" t="s">
        <v>6</v>
      </c>
      <c r="AD408" s="3" t="s">
        <v>6</v>
      </c>
      <c r="AE408" s="95" t="s">
        <v>2265</v>
      </c>
    </row>
    <row r="409" spans="1:31" x14ac:dyDescent="0.35">
      <c r="A409" s="3" t="s">
        <v>1966</v>
      </c>
      <c r="B409" s="3" t="s">
        <v>214</v>
      </c>
      <c r="C409" s="3">
        <v>5</v>
      </c>
      <c r="D409" s="95" t="s">
        <v>1967</v>
      </c>
      <c r="E409" s="95" t="s">
        <v>2272</v>
      </c>
      <c r="F409" s="95" t="s">
        <v>437</v>
      </c>
      <c r="G409" s="223">
        <v>44211</v>
      </c>
      <c r="H409" s="223">
        <v>44256</v>
      </c>
      <c r="I409" s="223">
        <v>46081</v>
      </c>
      <c r="J409" s="3">
        <v>0</v>
      </c>
      <c r="K409" s="3" t="s">
        <v>6</v>
      </c>
      <c r="L409" s="3" t="s">
        <v>6</v>
      </c>
      <c r="M409" s="95" t="s">
        <v>27</v>
      </c>
      <c r="N409" s="3" t="s">
        <v>28</v>
      </c>
      <c r="O409" s="3" t="s">
        <v>25</v>
      </c>
      <c r="P409" s="3" t="s">
        <v>6</v>
      </c>
      <c r="Q409" s="3" t="s">
        <v>6</v>
      </c>
      <c r="R409" s="95" t="s">
        <v>22</v>
      </c>
      <c r="S409" s="223">
        <v>43374</v>
      </c>
      <c r="T409" s="223">
        <v>43553</v>
      </c>
      <c r="U409" s="223">
        <v>43009</v>
      </c>
      <c r="V409" s="223">
        <v>43009</v>
      </c>
      <c r="W409" s="223" t="s">
        <v>6</v>
      </c>
      <c r="X409" s="3" t="s">
        <v>26</v>
      </c>
      <c r="Y409" s="3" t="s">
        <v>2100</v>
      </c>
      <c r="Z409" s="3" t="s">
        <v>28</v>
      </c>
      <c r="AA409" s="3" t="s">
        <v>6</v>
      </c>
      <c r="AB409" s="223">
        <v>42159</v>
      </c>
      <c r="AC409" s="3" t="s">
        <v>6</v>
      </c>
      <c r="AD409" s="3" t="s">
        <v>10</v>
      </c>
      <c r="AE409" s="95" t="s">
        <v>2263</v>
      </c>
    </row>
    <row r="410" spans="1:31" x14ac:dyDescent="0.35">
      <c r="A410" s="3" t="s">
        <v>216</v>
      </c>
      <c r="B410" s="3" t="s">
        <v>214</v>
      </c>
      <c r="C410" s="3">
        <v>5</v>
      </c>
      <c r="D410" s="95" t="s">
        <v>1968</v>
      </c>
      <c r="E410" s="95" t="s">
        <v>1912</v>
      </c>
      <c r="F410" s="95" t="s">
        <v>437</v>
      </c>
      <c r="G410" s="223">
        <v>44609</v>
      </c>
      <c r="H410" s="223">
        <v>44609</v>
      </c>
      <c r="I410" s="223">
        <v>46434</v>
      </c>
      <c r="J410" s="3">
        <v>9</v>
      </c>
      <c r="K410" s="3" t="s">
        <v>6</v>
      </c>
      <c r="L410" s="3" t="s">
        <v>6</v>
      </c>
      <c r="M410" s="95" t="s">
        <v>23</v>
      </c>
      <c r="N410" s="3" t="s">
        <v>24</v>
      </c>
      <c r="O410" s="3" t="s">
        <v>25</v>
      </c>
      <c r="P410" s="3" t="s">
        <v>6</v>
      </c>
      <c r="Q410" s="3" t="s">
        <v>6</v>
      </c>
      <c r="R410" s="95" t="s">
        <v>22</v>
      </c>
      <c r="S410" s="223">
        <v>43374</v>
      </c>
      <c r="T410" s="223">
        <v>43497</v>
      </c>
      <c r="U410" s="223">
        <v>42644</v>
      </c>
      <c r="V410" s="223">
        <v>42644</v>
      </c>
      <c r="W410" s="223" t="s">
        <v>6</v>
      </c>
      <c r="X410" s="3" t="s">
        <v>26</v>
      </c>
      <c r="Y410" s="3" t="s">
        <v>2093</v>
      </c>
      <c r="Z410" s="3" t="s">
        <v>24</v>
      </c>
      <c r="AA410" s="3" t="s">
        <v>6</v>
      </c>
      <c r="AB410" s="223">
        <v>42782</v>
      </c>
      <c r="AC410" s="3" t="s">
        <v>10</v>
      </c>
      <c r="AD410" s="3" t="s">
        <v>10</v>
      </c>
      <c r="AE410" s="95" t="s">
        <v>2263</v>
      </c>
    </row>
    <row r="411" spans="1:31" x14ac:dyDescent="0.35">
      <c r="A411" s="3" t="s">
        <v>2800</v>
      </c>
      <c r="B411" s="3" t="s">
        <v>214</v>
      </c>
      <c r="C411" s="3">
        <v>5</v>
      </c>
      <c r="D411" s="95" t="s">
        <v>1574</v>
      </c>
      <c r="E411" s="95" t="s">
        <v>1575</v>
      </c>
      <c r="F411" s="95" t="s">
        <v>2420</v>
      </c>
      <c r="G411" s="223">
        <v>42069</v>
      </c>
      <c r="H411" s="223" t="s">
        <v>5</v>
      </c>
      <c r="I411" s="223">
        <v>42069</v>
      </c>
      <c r="J411" s="3">
        <v>612</v>
      </c>
      <c r="K411" s="3" t="s">
        <v>10</v>
      </c>
      <c r="L411" s="3" t="s">
        <v>10</v>
      </c>
      <c r="M411" s="95" t="s">
        <v>23</v>
      </c>
      <c r="N411" s="3" t="s">
        <v>24</v>
      </c>
      <c r="O411" s="3" t="s">
        <v>651</v>
      </c>
      <c r="P411" s="3" t="s">
        <v>6</v>
      </c>
      <c r="Q411" s="3" t="s">
        <v>6</v>
      </c>
      <c r="R411" s="95" t="s">
        <v>652</v>
      </c>
      <c r="S411" s="223" t="s">
        <v>5</v>
      </c>
      <c r="T411" s="223" t="s">
        <v>5</v>
      </c>
      <c r="U411" s="223" t="s">
        <v>5</v>
      </c>
      <c r="V411" s="223" t="s">
        <v>5</v>
      </c>
      <c r="W411" s="223" t="s">
        <v>5</v>
      </c>
      <c r="X411" s="3" t="s">
        <v>5</v>
      </c>
      <c r="Y411" s="3" t="s">
        <v>651</v>
      </c>
      <c r="Z411" s="3" t="s">
        <v>651</v>
      </c>
      <c r="AA411" s="3" t="s">
        <v>6</v>
      </c>
      <c r="AB411" s="223">
        <v>42230</v>
      </c>
      <c r="AC411" s="3" t="s">
        <v>10</v>
      </c>
      <c r="AD411" s="3" t="s">
        <v>10</v>
      </c>
      <c r="AE411" s="95" t="s">
        <v>2263</v>
      </c>
    </row>
    <row r="412" spans="1:31" x14ac:dyDescent="0.35">
      <c r="A412" s="3" t="s">
        <v>1173</v>
      </c>
      <c r="B412" s="3" t="s">
        <v>214</v>
      </c>
      <c r="C412" s="3">
        <v>5</v>
      </c>
      <c r="D412" s="95" t="s">
        <v>1174</v>
      </c>
      <c r="E412" s="95" t="s">
        <v>2435</v>
      </c>
      <c r="F412" s="95" t="s">
        <v>651</v>
      </c>
      <c r="G412" s="223">
        <v>39590</v>
      </c>
      <c r="H412" s="223" t="s">
        <v>5</v>
      </c>
      <c r="I412" s="223">
        <v>41365</v>
      </c>
      <c r="J412" s="3">
        <v>45</v>
      </c>
      <c r="K412" s="3" t="s">
        <v>10</v>
      </c>
      <c r="L412" s="3" t="s">
        <v>10</v>
      </c>
      <c r="M412" s="95" t="s">
        <v>2555</v>
      </c>
      <c r="N412" s="3" t="s">
        <v>52</v>
      </c>
      <c r="O412" s="3" t="s">
        <v>651</v>
      </c>
      <c r="P412" s="3" t="s">
        <v>6</v>
      </c>
      <c r="Q412" s="3" t="s">
        <v>10</v>
      </c>
      <c r="R412" s="95" t="s">
        <v>3235</v>
      </c>
      <c r="S412" s="223" t="s">
        <v>5</v>
      </c>
      <c r="T412" s="223" t="s">
        <v>5</v>
      </c>
      <c r="U412" s="223" t="s">
        <v>5</v>
      </c>
      <c r="V412" s="223" t="s">
        <v>5</v>
      </c>
      <c r="W412" s="223" t="s">
        <v>5</v>
      </c>
      <c r="X412" s="3" t="s">
        <v>5</v>
      </c>
      <c r="Y412" s="3" t="s">
        <v>651</v>
      </c>
      <c r="Z412" s="3" t="s">
        <v>651</v>
      </c>
      <c r="AA412" s="3" t="s">
        <v>651</v>
      </c>
      <c r="AB412" s="223" t="s">
        <v>5</v>
      </c>
      <c r="AC412" s="3" t="s">
        <v>651</v>
      </c>
      <c r="AD412" s="3" t="s">
        <v>651</v>
      </c>
      <c r="AE412" s="95" t="s">
        <v>651</v>
      </c>
    </row>
    <row r="413" spans="1:31" x14ac:dyDescent="0.35">
      <c r="A413" s="3" t="s">
        <v>1175</v>
      </c>
      <c r="B413" s="3" t="s">
        <v>214</v>
      </c>
      <c r="C413" s="3">
        <v>5</v>
      </c>
      <c r="D413" s="95" t="s">
        <v>1176</v>
      </c>
      <c r="E413" s="95" t="s">
        <v>2436</v>
      </c>
      <c r="F413" s="95" t="s">
        <v>2420</v>
      </c>
      <c r="G413" s="223">
        <v>44131</v>
      </c>
      <c r="H413" s="223">
        <v>44287</v>
      </c>
      <c r="I413" s="223">
        <v>46112</v>
      </c>
      <c r="J413" s="3">
        <v>947</v>
      </c>
      <c r="K413" s="3" t="s">
        <v>10</v>
      </c>
      <c r="L413" s="3" t="s">
        <v>10</v>
      </c>
      <c r="M413" s="95" t="s">
        <v>27</v>
      </c>
      <c r="N413" s="3" t="s">
        <v>28</v>
      </c>
      <c r="O413" s="3" t="s">
        <v>651</v>
      </c>
      <c r="P413" s="3" t="s">
        <v>6</v>
      </c>
      <c r="Q413" s="3" t="s">
        <v>6</v>
      </c>
      <c r="R413" s="95" t="s">
        <v>652</v>
      </c>
      <c r="S413" s="223" t="s">
        <v>5</v>
      </c>
      <c r="T413" s="223" t="s">
        <v>5</v>
      </c>
      <c r="U413" s="223" t="s">
        <v>5</v>
      </c>
      <c r="V413" s="223" t="s">
        <v>5</v>
      </c>
      <c r="W413" s="223" t="s">
        <v>5</v>
      </c>
      <c r="X413" s="3" t="s">
        <v>5</v>
      </c>
      <c r="Y413" s="3" t="s">
        <v>651</v>
      </c>
      <c r="Z413" s="3" t="s">
        <v>651</v>
      </c>
      <c r="AA413" s="3" t="s">
        <v>6</v>
      </c>
      <c r="AB413" s="223">
        <v>42230</v>
      </c>
      <c r="AC413" s="3" t="s">
        <v>10</v>
      </c>
      <c r="AD413" s="3" t="s">
        <v>10</v>
      </c>
      <c r="AE413" s="95" t="s">
        <v>2263</v>
      </c>
    </row>
    <row r="414" spans="1:31" x14ac:dyDescent="0.35">
      <c r="A414" s="3" t="s">
        <v>1177</v>
      </c>
      <c r="B414" s="3" t="s">
        <v>214</v>
      </c>
      <c r="C414" s="3">
        <v>5</v>
      </c>
      <c r="D414" s="95" t="s">
        <v>1178</v>
      </c>
      <c r="E414" s="95" t="s">
        <v>1179</v>
      </c>
      <c r="F414" s="95" t="s">
        <v>2420</v>
      </c>
      <c r="G414" s="223">
        <v>42264</v>
      </c>
      <c r="H414" s="223">
        <v>42461</v>
      </c>
      <c r="I414" s="223">
        <v>44286</v>
      </c>
      <c r="J414" s="3" t="s">
        <v>5</v>
      </c>
      <c r="K414" s="3" t="s">
        <v>10</v>
      </c>
      <c r="L414" s="3" t="s">
        <v>10</v>
      </c>
      <c r="M414" s="95" t="s">
        <v>27</v>
      </c>
      <c r="N414" s="3" t="s">
        <v>28</v>
      </c>
      <c r="O414" s="3" t="s">
        <v>651</v>
      </c>
      <c r="P414" s="3" t="s">
        <v>6</v>
      </c>
      <c r="Q414" s="3" t="s">
        <v>6</v>
      </c>
      <c r="R414" s="95" t="s">
        <v>652</v>
      </c>
      <c r="S414" s="223" t="s">
        <v>5</v>
      </c>
      <c r="T414" s="223" t="s">
        <v>5</v>
      </c>
      <c r="U414" s="223" t="s">
        <v>5</v>
      </c>
      <c r="V414" s="223" t="s">
        <v>5</v>
      </c>
      <c r="W414" s="223" t="s">
        <v>5</v>
      </c>
      <c r="X414" s="3" t="s">
        <v>5</v>
      </c>
      <c r="Y414" s="3" t="s">
        <v>651</v>
      </c>
      <c r="Z414" s="3" t="s">
        <v>651</v>
      </c>
      <c r="AA414" s="3" t="s">
        <v>6</v>
      </c>
      <c r="AB414" s="223">
        <v>42230</v>
      </c>
      <c r="AC414" s="3" t="s">
        <v>10</v>
      </c>
      <c r="AD414" s="3" t="s">
        <v>10</v>
      </c>
      <c r="AE414" s="95" t="s">
        <v>2263</v>
      </c>
    </row>
    <row r="415" spans="1:31" x14ac:dyDescent="0.35">
      <c r="A415" s="3" t="s">
        <v>1180</v>
      </c>
      <c r="B415" s="3" t="s">
        <v>214</v>
      </c>
      <c r="C415" s="3">
        <v>5</v>
      </c>
      <c r="D415" s="95" t="s">
        <v>1181</v>
      </c>
      <c r="E415" s="95" t="s">
        <v>2437</v>
      </c>
      <c r="F415" s="95" t="s">
        <v>2420</v>
      </c>
      <c r="G415" s="223">
        <v>40822</v>
      </c>
      <c r="H415" s="223">
        <v>41036</v>
      </c>
      <c r="I415" s="223">
        <v>42826</v>
      </c>
      <c r="J415" s="3">
        <v>539</v>
      </c>
      <c r="K415" s="3" t="s">
        <v>10</v>
      </c>
      <c r="L415" s="3" t="s">
        <v>10</v>
      </c>
      <c r="M415" s="95" t="s">
        <v>27</v>
      </c>
      <c r="N415" s="3" t="s">
        <v>28</v>
      </c>
      <c r="O415" s="3" t="s">
        <v>651</v>
      </c>
      <c r="P415" s="3" t="s">
        <v>6</v>
      </c>
      <c r="Q415" s="3" t="s">
        <v>6</v>
      </c>
      <c r="R415" s="95" t="s">
        <v>652</v>
      </c>
      <c r="S415" s="223" t="s">
        <v>5</v>
      </c>
      <c r="T415" s="223" t="s">
        <v>5</v>
      </c>
      <c r="U415" s="223" t="s">
        <v>5</v>
      </c>
      <c r="V415" s="223" t="s">
        <v>5</v>
      </c>
      <c r="W415" s="223" t="s">
        <v>5</v>
      </c>
      <c r="X415" s="3" t="s">
        <v>5</v>
      </c>
      <c r="Y415" s="3" t="s">
        <v>651</v>
      </c>
      <c r="Z415" s="3" t="s">
        <v>651</v>
      </c>
      <c r="AA415" s="3" t="s">
        <v>6</v>
      </c>
      <c r="AB415" s="223">
        <v>42230</v>
      </c>
      <c r="AC415" s="3" t="s">
        <v>10</v>
      </c>
      <c r="AD415" s="3" t="s">
        <v>10</v>
      </c>
      <c r="AE415" s="95" t="s">
        <v>2263</v>
      </c>
    </row>
    <row r="416" spans="1:31" x14ac:dyDescent="0.35">
      <c r="A416" s="3" t="s">
        <v>1182</v>
      </c>
      <c r="B416" s="3" t="s">
        <v>214</v>
      </c>
      <c r="C416" s="3">
        <v>5</v>
      </c>
      <c r="D416" s="95" t="s">
        <v>1183</v>
      </c>
      <c r="E416" s="95" t="s">
        <v>2438</v>
      </c>
      <c r="F416" s="95" t="s">
        <v>2420</v>
      </c>
      <c r="G416" s="223">
        <v>44823</v>
      </c>
      <c r="H416" s="223">
        <v>45017</v>
      </c>
      <c r="I416" s="223">
        <v>46843</v>
      </c>
      <c r="J416" s="3">
        <v>437</v>
      </c>
      <c r="K416" s="3" t="s">
        <v>10</v>
      </c>
      <c r="L416" s="3" t="s">
        <v>10</v>
      </c>
      <c r="M416" s="95" t="s">
        <v>27</v>
      </c>
      <c r="N416" s="3" t="s">
        <v>28</v>
      </c>
      <c r="O416" s="3" t="s">
        <v>651</v>
      </c>
      <c r="P416" s="3" t="s">
        <v>6</v>
      </c>
      <c r="Q416" s="3" t="s">
        <v>6</v>
      </c>
      <c r="R416" s="95" t="s">
        <v>652</v>
      </c>
      <c r="S416" s="223" t="s">
        <v>5</v>
      </c>
      <c r="T416" s="223" t="s">
        <v>5</v>
      </c>
      <c r="U416" s="223" t="s">
        <v>5</v>
      </c>
      <c r="V416" s="223" t="s">
        <v>5</v>
      </c>
      <c r="W416" s="223" t="s">
        <v>5</v>
      </c>
      <c r="X416" s="3" t="s">
        <v>5</v>
      </c>
      <c r="Y416" s="3" t="s">
        <v>651</v>
      </c>
      <c r="Z416" s="3" t="s">
        <v>651</v>
      </c>
      <c r="AA416" s="3" t="s">
        <v>6</v>
      </c>
      <c r="AB416" s="223">
        <v>42230</v>
      </c>
      <c r="AC416" s="3" t="s">
        <v>10</v>
      </c>
      <c r="AD416" s="3" t="s">
        <v>10</v>
      </c>
      <c r="AE416" s="95" t="s">
        <v>2263</v>
      </c>
    </row>
    <row r="417" spans="1:31" x14ac:dyDescent="0.35">
      <c r="A417" s="3" t="s">
        <v>1184</v>
      </c>
      <c r="B417" s="3" t="s">
        <v>214</v>
      </c>
      <c r="C417" s="3">
        <v>5</v>
      </c>
      <c r="D417" s="95" t="s">
        <v>1185</v>
      </c>
      <c r="E417" s="95" t="s">
        <v>2439</v>
      </c>
      <c r="F417" s="95" t="s">
        <v>2420</v>
      </c>
      <c r="G417" s="223">
        <v>41180</v>
      </c>
      <c r="H417" s="223">
        <v>41365</v>
      </c>
      <c r="I417" s="223">
        <v>43190</v>
      </c>
      <c r="J417" s="3">
        <v>24</v>
      </c>
      <c r="K417" s="3" t="s">
        <v>10</v>
      </c>
      <c r="L417" s="3" t="s">
        <v>10</v>
      </c>
      <c r="M417" s="95" t="s">
        <v>27</v>
      </c>
      <c r="N417" s="3" t="s">
        <v>28</v>
      </c>
      <c r="O417" s="3" t="s">
        <v>651</v>
      </c>
      <c r="P417" s="3" t="s">
        <v>6</v>
      </c>
      <c r="Q417" s="3" t="s">
        <v>6</v>
      </c>
      <c r="R417" s="95" t="s">
        <v>652</v>
      </c>
      <c r="S417" s="223" t="s">
        <v>5</v>
      </c>
      <c r="T417" s="223" t="s">
        <v>5</v>
      </c>
      <c r="U417" s="223" t="s">
        <v>5</v>
      </c>
      <c r="V417" s="223" t="s">
        <v>5</v>
      </c>
      <c r="W417" s="223" t="s">
        <v>5</v>
      </c>
      <c r="X417" s="3" t="s">
        <v>5</v>
      </c>
      <c r="Y417" s="3" t="s">
        <v>651</v>
      </c>
      <c r="Z417" s="3" t="s">
        <v>651</v>
      </c>
      <c r="AA417" s="3" t="s">
        <v>6</v>
      </c>
      <c r="AB417" s="223">
        <v>42230</v>
      </c>
      <c r="AC417" s="3" t="s">
        <v>10</v>
      </c>
      <c r="AD417" s="3" t="s">
        <v>10</v>
      </c>
      <c r="AE417" s="95" t="s">
        <v>2263</v>
      </c>
    </row>
    <row r="418" spans="1:31" x14ac:dyDescent="0.35">
      <c r="A418" s="3" t="s">
        <v>1186</v>
      </c>
      <c r="B418" s="3" t="s">
        <v>214</v>
      </c>
      <c r="C418" s="3">
        <v>5</v>
      </c>
      <c r="D418" s="95" t="s">
        <v>1187</v>
      </c>
      <c r="E418" s="95" t="s">
        <v>2440</v>
      </c>
      <c r="F418" s="95" t="s">
        <v>2420</v>
      </c>
      <c r="G418" s="223">
        <v>45195</v>
      </c>
      <c r="H418" s="223">
        <v>45383</v>
      </c>
      <c r="I418" s="223">
        <v>47208</v>
      </c>
      <c r="J418" s="3">
        <v>417</v>
      </c>
      <c r="K418" s="3" t="s">
        <v>10</v>
      </c>
      <c r="L418" s="3" t="s">
        <v>10</v>
      </c>
      <c r="M418" s="95" t="s">
        <v>27</v>
      </c>
      <c r="N418" s="3" t="s">
        <v>28</v>
      </c>
      <c r="O418" s="3" t="s">
        <v>651</v>
      </c>
      <c r="P418" s="3" t="s">
        <v>6</v>
      </c>
      <c r="Q418" s="3" t="s">
        <v>6</v>
      </c>
      <c r="R418" s="95" t="s">
        <v>652</v>
      </c>
      <c r="S418" s="223" t="s">
        <v>5</v>
      </c>
      <c r="T418" s="223" t="s">
        <v>5</v>
      </c>
      <c r="U418" s="223" t="s">
        <v>5</v>
      </c>
      <c r="V418" s="223" t="s">
        <v>5</v>
      </c>
      <c r="W418" s="223" t="s">
        <v>5</v>
      </c>
      <c r="X418" s="3" t="s">
        <v>5</v>
      </c>
      <c r="Y418" s="3" t="s">
        <v>651</v>
      </c>
      <c r="Z418" s="3" t="s">
        <v>651</v>
      </c>
      <c r="AA418" s="3" t="s">
        <v>6</v>
      </c>
      <c r="AB418" s="223">
        <v>42230</v>
      </c>
      <c r="AC418" s="3" t="s">
        <v>10</v>
      </c>
      <c r="AD418" s="3" t="s">
        <v>10</v>
      </c>
      <c r="AE418" s="95" t="s">
        <v>2263</v>
      </c>
    </row>
    <row r="419" spans="1:31" x14ac:dyDescent="0.35">
      <c r="A419" s="3" t="s">
        <v>1188</v>
      </c>
      <c r="B419" s="3" t="s">
        <v>214</v>
      </c>
      <c r="C419" s="3">
        <v>5</v>
      </c>
      <c r="D419" s="95" t="s">
        <v>1189</v>
      </c>
      <c r="E419" s="95" t="s">
        <v>2441</v>
      </c>
      <c r="F419" s="95" t="s">
        <v>2420</v>
      </c>
      <c r="G419" s="223">
        <v>43706</v>
      </c>
      <c r="H419" s="223">
        <v>43922</v>
      </c>
      <c r="I419" s="223">
        <v>45747</v>
      </c>
      <c r="J419" s="3">
        <v>431</v>
      </c>
      <c r="K419" s="3" t="s">
        <v>10</v>
      </c>
      <c r="L419" s="3" t="s">
        <v>10</v>
      </c>
      <c r="M419" s="95" t="s">
        <v>27</v>
      </c>
      <c r="N419" s="3" t="s">
        <v>28</v>
      </c>
      <c r="O419" s="3" t="s">
        <v>651</v>
      </c>
      <c r="P419" s="3" t="s">
        <v>6</v>
      </c>
      <c r="Q419" s="3" t="s">
        <v>6</v>
      </c>
      <c r="R419" s="95" t="s">
        <v>652</v>
      </c>
      <c r="S419" s="223" t="s">
        <v>5</v>
      </c>
      <c r="T419" s="223" t="s">
        <v>5</v>
      </c>
      <c r="U419" s="223" t="s">
        <v>5</v>
      </c>
      <c r="V419" s="223" t="s">
        <v>5</v>
      </c>
      <c r="W419" s="223" t="s">
        <v>5</v>
      </c>
      <c r="X419" s="3" t="s">
        <v>5</v>
      </c>
      <c r="Y419" s="3" t="s">
        <v>651</v>
      </c>
      <c r="Z419" s="3" t="s">
        <v>651</v>
      </c>
      <c r="AA419" s="3" t="s">
        <v>6</v>
      </c>
      <c r="AB419" s="223">
        <v>42230</v>
      </c>
      <c r="AC419" s="3" t="s">
        <v>10</v>
      </c>
      <c r="AD419" s="3" t="s">
        <v>10</v>
      </c>
      <c r="AE419" s="95" t="s">
        <v>2263</v>
      </c>
    </row>
    <row r="420" spans="1:31" x14ac:dyDescent="0.35">
      <c r="A420" s="3" t="s">
        <v>1190</v>
      </c>
      <c r="B420" s="3" t="s">
        <v>219</v>
      </c>
      <c r="C420" s="3">
        <v>5</v>
      </c>
      <c r="D420" s="95" t="s">
        <v>1191</v>
      </c>
      <c r="E420" s="95" t="s">
        <v>2442</v>
      </c>
      <c r="F420" s="95" t="s">
        <v>4</v>
      </c>
      <c r="G420" s="223">
        <v>40863</v>
      </c>
      <c r="H420" s="223">
        <v>40863</v>
      </c>
      <c r="I420" s="223">
        <v>42674</v>
      </c>
      <c r="J420" s="3">
        <v>6</v>
      </c>
      <c r="K420" s="3" t="s">
        <v>10</v>
      </c>
      <c r="L420" s="3" t="s">
        <v>10</v>
      </c>
      <c r="M420" s="95" t="s">
        <v>19</v>
      </c>
      <c r="N420" s="3" t="s">
        <v>20</v>
      </c>
      <c r="O420" s="3" t="s">
        <v>651</v>
      </c>
      <c r="P420" s="3" t="s">
        <v>6</v>
      </c>
      <c r="Q420" s="3" t="s">
        <v>6</v>
      </c>
      <c r="R420" s="95" t="s">
        <v>652</v>
      </c>
      <c r="S420" s="223" t="s">
        <v>5</v>
      </c>
      <c r="T420" s="223" t="s">
        <v>5</v>
      </c>
      <c r="U420" s="223" t="s">
        <v>5</v>
      </c>
      <c r="V420" s="223" t="s">
        <v>5</v>
      </c>
      <c r="W420" s="223" t="s">
        <v>5</v>
      </c>
      <c r="X420" s="3" t="s">
        <v>5</v>
      </c>
      <c r="Y420" s="3" t="s">
        <v>651</v>
      </c>
      <c r="Z420" s="3" t="s">
        <v>651</v>
      </c>
      <c r="AA420" s="3" t="s">
        <v>10</v>
      </c>
      <c r="AB420" s="223" t="s">
        <v>5</v>
      </c>
      <c r="AC420" s="3" t="s">
        <v>10</v>
      </c>
      <c r="AD420" s="3" t="s">
        <v>10</v>
      </c>
      <c r="AE420" s="95" t="s">
        <v>2265</v>
      </c>
    </row>
    <row r="421" spans="1:31" x14ac:dyDescent="0.35">
      <c r="A421" s="3" t="s">
        <v>1192</v>
      </c>
      <c r="B421" s="3" t="s">
        <v>219</v>
      </c>
      <c r="C421" s="3">
        <v>5</v>
      </c>
      <c r="D421" s="95" t="s">
        <v>1193</v>
      </c>
      <c r="E421" s="95" t="s">
        <v>2443</v>
      </c>
      <c r="F421" s="95" t="s">
        <v>4</v>
      </c>
      <c r="G421" s="223">
        <v>40863</v>
      </c>
      <c r="H421" s="223">
        <v>40863</v>
      </c>
      <c r="I421" s="223">
        <v>42674</v>
      </c>
      <c r="J421" s="3">
        <v>0</v>
      </c>
      <c r="K421" s="3" t="s">
        <v>10</v>
      </c>
      <c r="L421" s="3" t="s">
        <v>10</v>
      </c>
      <c r="M421" s="95" t="s">
        <v>19</v>
      </c>
      <c r="N421" s="3" t="s">
        <v>20</v>
      </c>
      <c r="O421" s="3" t="s">
        <v>651</v>
      </c>
      <c r="P421" s="3" t="s">
        <v>6</v>
      </c>
      <c r="Q421" s="3" t="s">
        <v>6</v>
      </c>
      <c r="R421" s="95" t="s">
        <v>652</v>
      </c>
      <c r="S421" s="223" t="s">
        <v>5</v>
      </c>
      <c r="T421" s="223" t="s">
        <v>5</v>
      </c>
      <c r="U421" s="223" t="s">
        <v>5</v>
      </c>
      <c r="V421" s="223" t="s">
        <v>5</v>
      </c>
      <c r="W421" s="223" t="s">
        <v>5</v>
      </c>
      <c r="X421" s="3" t="s">
        <v>5</v>
      </c>
      <c r="Y421" s="3" t="s">
        <v>651</v>
      </c>
      <c r="Z421" s="3" t="s">
        <v>651</v>
      </c>
      <c r="AA421" s="3" t="s">
        <v>10</v>
      </c>
      <c r="AB421" s="223" t="s">
        <v>5</v>
      </c>
      <c r="AC421" s="3" t="s">
        <v>10</v>
      </c>
      <c r="AD421" s="3" t="s">
        <v>10</v>
      </c>
      <c r="AE421" s="95" t="s">
        <v>2265</v>
      </c>
    </row>
    <row r="422" spans="1:31" x14ac:dyDescent="0.35">
      <c r="A422" s="3" t="s">
        <v>1194</v>
      </c>
      <c r="B422" s="3" t="s">
        <v>219</v>
      </c>
      <c r="C422" s="3">
        <v>5</v>
      </c>
      <c r="D422" s="95" t="s">
        <v>1195</v>
      </c>
      <c r="E422" s="95" t="s">
        <v>2444</v>
      </c>
      <c r="F422" s="95" t="s">
        <v>4</v>
      </c>
      <c r="G422" s="223">
        <v>40644</v>
      </c>
      <c r="H422" s="223">
        <v>40644</v>
      </c>
      <c r="I422" s="223">
        <v>42674</v>
      </c>
      <c r="J422" s="3">
        <v>0</v>
      </c>
      <c r="K422" s="3" t="s">
        <v>10</v>
      </c>
      <c r="L422" s="3" t="s">
        <v>10</v>
      </c>
      <c r="M422" s="95" t="s">
        <v>19</v>
      </c>
      <c r="N422" s="3" t="s">
        <v>20</v>
      </c>
      <c r="O422" s="3" t="s">
        <v>651</v>
      </c>
      <c r="P422" s="3" t="s">
        <v>6</v>
      </c>
      <c r="Q422" s="3" t="s">
        <v>6</v>
      </c>
      <c r="R422" s="95" t="s">
        <v>652</v>
      </c>
      <c r="S422" s="223" t="s">
        <v>5</v>
      </c>
      <c r="T422" s="223" t="s">
        <v>5</v>
      </c>
      <c r="U422" s="223" t="s">
        <v>5</v>
      </c>
      <c r="V422" s="223" t="s">
        <v>5</v>
      </c>
      <c r="W422" s="223" t="s">
        <v>5</v>
      </c>
      <c r="X422" s="3" t="s">
        <v>5</v>
      </c>
      <c r="Y422" s="3" t="s">
        <v>651</v>
      </c>
      <c r="Z422" s="3" t="s">
        <v>651</v>
      </c>
      <c r="AA422" s="3" t="s">
        <v>10</v>
      </c>
      <c r="AB422" s="223" t="s">
        <v>5</v>
      </c>
      <c r="AC422" s="3" t="s">
        <v>10</v>
      </c>
      <c r="AD422" s="3" t="s">
        <v>10</v>
      </c>
      <c r="AE422" s="95" t="s">
        <v>2265</v>
      </c>
    </row>
    <row r="423" spans="1:31" x14ac:dyDescent="0.35">
      <c r="A423" s="3" t="s">
        <v>1196</v>
      </c>
      <c r="B423" s="3" t="s">
        <v>219</v>
      </c>
      <c r="C423" s="3">
        <v>5</v>
      </c>
      <c r="D423" s="95" t="s">
        <v>1197</v>
      </c>
      <c r="E423" s="95" t="s">
        <v>2445</v>
      </c>
      <c r="F423" s="95" t="s">
        <v>4</v>
      </c>
      <c r="G423" s="223">
        <v>40644</v>
      </c>
      <c r="H423" s="223">
        <v>40644</v>
      </c>
      <c r="I423" s="223">
        <v>42674</v>
      </c>
      <c r="J423" s="3">
        <v>0</v>
      </c>
      <c r="K423" s="3" t="s">
        <v>10</v>
      </c>
      <c r="L423" s="3" t="s">
        <v>10</v>
      </c>
      <c r="M423" s="95" t="s">
        <v>19</v>
      </c>
      <c r="N423" s="3" t="s">
        <v>20</v>
      </c>
      <c r="O423" s="3" t="s">
        <v>651</v>
      </c>
      <c r="P423" s="3" t="s">
        <v>6</v>
      </c>
      <c r="Q423" s="3" t="s">
        <v>6</v>
      </c>
      <c r="R423" s="95" t="s">
        <v>652</v>
      </c>
      <c r="S423" s="223" t="s">
        <v>5</v>
      </c>
      <c r="T423" s="223" t="s">
        <v>5</v>
      </c>
      <c r="U423" s="223" t="s">
        <v>5</v>
      </c>
      <c r="V423" s="223" t="s">
        <v>5</v>
      </c>
      <c r="W423" s="223" t="s">
        <v>5</v>
      </c>
      <c r="X423" s="3" t="s">
        <v>5</v>
      </c>
      <c r="Y423" s="3" t="s">
        <v>651</v>
      </c>
      <c r="Z423" s="3" t="s">
        <v>651</v>
      </c>
      <c r="AA423" s="3" t="s">
        <v>10</v>
      </c>
      <c r="AB423" s="223" t="s">
        <v>5</v>
      </c>
      <c r="AC423" s="3" t="s">
        <v>10</v>
      </c>
      <c r="AD423" s="3" t="s">
        <v>10</v>
      </c>
      <c r="AE423" s="95" t="s">
        <v>2265</v>
      </c>
    </row>
    <row r="424" spans="1:31" x14ac:dyDescent="0.35">
      <c r="A424" s="3" t="s">
        <v>218</v>
      </c>
      <c r="B424" s="3" t="s">
        <v>219</v>
      </c>
      <c r="C424" s="3">
        <v>5</v>
      </c>
      <c r="D424" s="95" t="s">
        <v>3153</v>
      </c>
      <c r="E424" s="95" t="s">
        <v>422</v>
      </c>
      <c r="F424" s="95" t="s">
        <v>437</v>
      </c>
      <c r="G424" s="223">
        <v>44455</v>
      </c>
      <c r="H424" s="223">
        <v>44500</v>
      </c>
      <c r="I424" s="223">
        <v>46326</v>
      </c>
      <c r="J424" s="3">
        <v>0</v>
      </c>
      <c r="K424" s="3" t="s">
        <v>6</v>
      </c>
      <c r="L424" s="3" t="s">
        <v>6</v>
      </c>
      <c r="M424" s="95" t="s">
        <v>19</v>
      </c>
      <c r="N424" s="3" t="s">
        <v>20</v>
      </c>
      <c r="O424" s="3" t="s">
        <v>21</v>
      </c>
      <c r="P424" s="3" t="s">
        <v>6</v>
      </c>
      <c r="Q424" s="3" t="s">
        <v>6</v>
      </c>
      <c r="R424" s="95" t="s">
        <v>22</v>
      </c>
      <c r="S424" s="223">
        <v>43675</v>
      </c>
      <c r="T424" s="223">
        <v>43756</v>
      </c>
      <c r="U424" s="223">
        <v>43647</v>
      </c>
      <c r="V424" s="223">
        <v>43647</v>
      </c>
      <c r="W424" s="223" t="s">
        <v>6</v>
      </c>
      <c r="X424" s="3" t="s">
        <v>26</v>
      </c>
      <c r="Y424" s="3" t="s">
        <v>2116</v>
      </c>
      <c r="Z424" s="3" t="s">
        <v>20</v>
      </c>
      <c r="AA424" s="3" t="s">
        <v>6</v>
      </c>
      <c r="AB424" s="223">
        <v>44442</v>
      </c>
      <c r="AC424" s="3" t="s">
        <v>10</v>
      </c>
      <c r="AD424" s="3" t="s">
        <v>10</v>
      </c>
      <c r="AE424" s="95" t="s">
        <v>2263</v>
      </c>
    </row>
    <row r="425" spans="1:31" x14ac:dyDescent="0.35">
      <c r="A425" s="3" t="s">
        <v>1198</v>
      </c>
      <c r="B425" s="3" t="s">
        <v>219</v>
      </c>
      <c r="C425" s="3">
        <v>5</v>
      </c>
      <c r="D425" s="95" t="s">
        <v>1199</v>
      </c>
      <c r="E425" s="95" t="s">
        <v>1200</v>
      </c>
      <c r="F425" s="95" t="s">
        <v>4</v>
      </c>
      <c r="G425" s="223">
        <v>43862</v>
      </c>
      <c r="H425" s="223">
        <v>43862</v>
      </c>
      <c r="I425" s="223">
        <v>45688</v>
      </c>
      <c r="J425" s="3">
        <v>21</v>
      </c>
      <c r="K425" s="3" t="s">
        <v>10</v>
      </c>
      <c r="L425" s="3" t="s">
        <v>10</v>
      </c>
      <c r="M425" s="95" t="s">
        <v>173</v>
      </c>
      <c r="N425" s="3" t="s">
        <v>174</v>
      </c>
      <c r="O425" s="3" t="s">
        <v>651</v>
      </c>
      <c r="P425" s="3" t="s">
        <v>6</v>
      </c>
      <c r="Q425" s="3" t="s">
        <v>6</v>
      </c>
      <c r="R425" s="95" t="s">
        <v>652</v>
      </c>
      <c r="S425" s="223" t="s">
        <v>5</v>
      </c>
      <c r="T425" s="223" t="s">
        <v>5</v>
      </c>
      <c r="U425" s="223" t="s">
        <v>5</v>
      </c>
      <c r="V425" s="223" t="s">
        <v>5</v>
      </c>
      <c r="W425" s="223" t="s">
        <v>5</v>
      </c>
      <c r="X425" s="3" t="s">
        <v>5</v>
      </c>
      <c r="Y425" s="3" t="s">
        <v>651</v>
      </c>
      <c r="Z425" s="3" t="s">
        <v>651</v>
      </c>
      <c r="AA425" s="3" t="s">
        <v>10</v>
      </c>
      <c r="AB425" s="223" t="s">
        <v>5</v>
      </c>
      <c r="AC425" s="3" t="s">
        <v>6</v>
      </c>
      <c r="AD425" s="3" t="s">
        <v>10</v>
      </c>
      <c r="AE425" s="95" t="s">
        <v>2265</v>
      </c>
    </row>
    <row r="426" spans="1:31" x14ac:dyDescent="0.35">
      <c r="A426" s="3" t="s">
        <v>1201</v>
      </c>
      <c r="B426" s="3" t="s">
        <v>219</v>
      </c>
      <c r="C426" s="3">
        <v>5</v>
      </c>
      <c r="D426" s="95" t="s">
        <v>1202</v>
      </c>
      <c r="E426" s="95" t="s">
        <v>1203</v>
      </c>
      <c r="F426" s="95" t="s">
        <v>4</v>
      </c>
      <c r="G426" s="223">
        <v>43862</v>
      </c>
      <c r="H426" s="223">
        <v>43862</v>
      </c>
      <c r="I426" s="223">
        <v>45688</v>
      </c>
      <c r="J426" s="3">
        <v>15</v>
      </c>
      <c r="K426" s="3" t="s">
        <v>10</v>
      </c>
      <c r="L426" s="3" t="s">
        <v>10</v>
      </c>
      <c r="M426" s="95" t="s">
        <v>173</v>
      </c>
      <c r="N426" s="3" t="s">
        <v>174</v>
      </c>
      <c r="O426" s="3" t="s">
        <v>651</v>
      </c>
      <c r="P426" s="3" t="s">
        <v>6</v>
      </c>
      <c r="Q426" s="3" t="s">
        <v>6</v>
      </c>
      <c r="R426" s="95" t="s">
        <v>652</v>
      </c>
      <c r="S426" s="223" t="s">
        <v>5</v>
      </c>
      <c r="T426" s="223" t="s">
        <v>5</v>
      </c>
      <c r="U426" s="223" t="s">
        <v>5</v>
      </c>
      <c r="V426" s="223" t="s">
        <v>5</v>
      </c>
      <c r="W426" s="223" t="s">
        <v>5</v>
      </c>
      <c r="X426" s="3" t="s">
        <v>5</v>
      </c>
      <c r="Y426" s="3" t="s">
        <v>651</v>
      </c>
      <c r="Z426" s="3" t="s">
        <v>651</v>
      </c>
      <c r="AA426" s="3" t="s">
        <v>10</v>
      </c>
      <c r="AB426" s="223" t="s">
        <v>5</v>
      </c>
      <c r="AC426" s="3" t="s">
        <v>6</v>
      </c>
      <c r="AD426" s="3" t="s">
        <v>10</v>
      </c>
      <c r="AE426" s="95" t="s">
        <v>2265</v>
      </c>
    </row>
    <row r="427" spans="1:31" x14ac:dyDescent="0.35">
      <c r="A427" s="3" t="s">
        <v>1204</v>
      </c>
      <c r="B427" s="3" t="s">
        <v>219</v>
      </c>
      <c r="C427" s="3">
        <v>5</v>
      </c>
      <c r="D427" s="95" t="s">
        <v>1205</v>
      </c>
      <c r="E427" s="95" t="s">
        <v>2446</v>
      </c>
      <c r="F427" s="95" t="s">
        <v>4</v>
      </c>
      <c r="G427" s="223">
        <v>44228</v>
      </c>
      <c r="H427" s="223">
        <v>44228</v>
      </c>
      <c r="I427" s="223">
        <v>46053</v>
      </c>
      <c r="J427" s="3">
        <v>999</v>
      </c>
      <c r="K427" s="3" t="s">
        <v>10</v>
      </c>
      <c r="L427" s="3" t="s">
        <v>10</v>
      </c>
      <c r="M427" s="95" t="s">
        <v>105</v>
      </c>
      <c r="N427" s="3" t="s">
        <v>106</v>
      </c>
      <c r="O427" s="3" t="s">
        <v>651</v>
      </c>
      <c r="P427" s="3" t="s">
        <v>6</v>
      </c>
      <c r="Q427" s="3" t="s">
        <v>6</v>
      </c>
      <c r="R427" s="95" t="s">
        <v>652</v>
      </c>
      <c r="S427" s="223" t="s">
        <v>5</v>
      </c>
      <c r="T427" s="223" t="s">
        <v>5</v>
      </c>
      <c r="U427" s="223" t="s">
        <v>5</v>
      </c>
      <c r="V427" s="223" t="s">
        <v>5</v>
      </c>
      <c r="W427" s="223" t="s">
        <v>5</v>
      </c>
      <c r="X427" s="3" t="s">
        <v>5</v>
      </c>
      <c r="Y427" s="3" t="s">
        <v>651</v>
      </c>
      <c r="Z427" s="3" t="s">
        <v>651</v>
      </c>
      <c r="AA427" s="3" t="s">
        <v>10</v>
      </c>
      <c r="AB427" s="223" t="s">
        <v>5</v>
      </c>
      <c r="AC427" s="3" t="s">
        <v>10</v>
      </c>
      <c r="AD427" s="3" t="s">
        <v>6</v>
      </c>
      <c r="AE427" s="95" t="s">
        <v>2265</v>
      </c>
    </row>
    <row r="428" spans="1:31" x14ac:dyDescent="0.35">
      <c r="A428" s="3" t="s">
        <v>1206</v>
      </c>
      <c r="B428" s="3" t="s">
        <v>219</v>
      </c>
      <c r="C428" s="3">
        <v>5</v>
      </c>
      <c r="D428" s="95" t="s">
        <v>1207</v>
      </c>
      <c r="E428" s="95" t="s">
        <v>2447</v>
      </c>
      <c r="F428" s="95" t="s">
        <v>4</v>
      </c>
      <c r="G428" s="223">
        <v>44722</v>
      </c>
      <c r="H428" s="223">
        <v>44722</v>
      </c>
      <c r="I428" s="223">
        <v>46538</v>
      </c>
      <c r="J428" s="3">
        <v>236</v>
      </c>
      <c r="K428" s="3" t="s">
        <v>10</v>
      </c>
      <c r="L428" s="3" t="s">
        <v>10</v>
      </c>
      <c r="M428" s="95" t="s">
        <v>1208</v>
      </c>
      <c r="N428" s="3" t="s">
        <v>115</v>
      </c>
      <c r="O428" s="3" t="s">
        <v>651</v>
      </c>
      <c r="P428" s="3" t="s">
        <v>6</v>
      </c>
      <c r="Q428" s="3" t="s">
        <v>6</v>
      </c>
      <c r="R428" s="95" t="s">
        <v>652</v>
      </c>
      <c r="S428" s="223" t="s">
        <v>5</v>
      </c>
      <c r="T428" s="223" t="s">
        <v>5</v>
      </c>
      <c r="U428" s="223" t="s">
        <v>5</v>
      </c>
      <c r="V428" s="223" t="s">
        <v>5</v>
      </c>
      <c r="W428" s="223" t="s">
        <v>5</v>
      </c>
      <c r="X428" s="3" t="s">
        <v>5</v>
      </c>
      <c r="Y428" s="3" t="s">
        <v>651</v>
      </c>
      <c r="Z428" s="3" t="s">
        <v>651</v>
      </c>
      <c r="AA428" s="3" t="s">
        <v>10</v>
      </c>
      <c r="AB428" s="223" t="s">
        <v>5</v>
      </c>
      <c r="AC428" s="3" t="s">
        <v>6</v>
      </c>
      <c r="AD428" s="3" t="s">
        <v>10</v>
      </c>
      <c r="AE428" s="95" t="s">
        <v>2265</v>
      </c>
    </row>
    <row r="429" spans="1:31" x14ac:dyDescent="0.35">
      <c r="A429" s="3" t="s">
        <v>1209</v>
      </c>
      <c r="B429" s="3" t="s">
        <v>219</v>
      </c>
      <c r="C429" s="3">
        <v>5</v>
      </c>
      <c r="D429" s="95" t="s">
        <v>1210</v>
      </c>
      <c r="E429" s="95" t="s">
        <v>1211</v>
      </c>
      <c r="F429" s="95" t="s">
        <v>4</v>
      </c>
      <c r="G429" s="223">
        <v>40451</v>
      </c>
      <c r="H429" s="223">
        <v>40451</v>
      </c>
      <c r="I429" s="223">
        <v>42247</v>
      </c>
      <c r="J429" s="3">
        <v>26</v>
      </c>
      <c r="K429" s="3" t="s">
        <v>10</v>
      </c>
      <c r="L429" s="3" t="s">
        <v>10</v>
      </c>
      <c r="M429" s="95" t="s">
        <v>47</v>
      </c>
      <c r="N429" s="3" t="s">
        <v>48</v>
      </c>
      <c r="O429" s="3" t="s">
        <v>651</v>
      </c>
      <c r="P429" s="3" t="s">
        <v>6</v>
      </c>
      <c r="Q429" s="3" t="s">
        <v>6</v>
      </c>
      <c r="R429" s="95" t="s">
        <v>652</v>
      </c>
      <c r="S429" s="223" t="s">
        <v>5</v>
      </c>
      <c r="T429" s="223" t="s">
        <v>5</v>
      </c>
      <c r="U429" s="223" t="s">
        <v>5</v>
      </c>
      <c r="V429" s="223" t="s">
        <v>5</v>
      </c>
      <c r="W429" s="223" t="s">
        <v>5</v>
      </c>
      <c r="X429" s="3" t="s">
        <v>5</v>
      </c>
      <c r="Y429" s="3" t="s">
        <v>651</v>
      </c>
      <c r="Z429" s="3" t="s">
        <v>651</v>
      </c>
      <c r="AA429" s="3" t="s">
        <v>10</v>
      </c>
      <c r="AB429" s="223" t="s">
        <v>5</v>
      </c>
      <c r="AC429" s="3" t="s">
        <v>6</v>
      </c>
      <c r="AD429" s="3" t="s">
        <v>6</v>
      </c>
      <c r="AE429" s="95" t="s">
        <v>2265</v>
      </c>
    </row>
    <row r="430" spans="1:31" x14ac:dyDescent="0.35">
      <c r="A430" s="3" t="s">
        <v>2448</v>
      </c>
      <c r="B430" s="3" t="s">
        <v>219</v>
      </c>
      <c r="C430" s="3">
        <v>5</v>
      </c>
      <c r="D430" s="95" t="s">
        <v>2449</v>
      </c>
      <c r="E430" s="95" t="s">
        <v>2450</v>
      </c>
      <c r="F430" s="95" t="s">
        <v>4</v>
      </c>
      <c r="G430" s="223">
        <v>45261</v>
      </c>
      <c r="H430" s="223">
        <v>45261</v>
      </c>
      <c r="I430" s="223">
        <v>47087</v>
      </c>
      <c r="J430" s="3">
        <v>195</v>
      </c>
      <c r="K430" s="3" t="s">
        <v>10</v>
      </c>
      <c r="L430" s="3" t="s">
        <v>10</v>
      </c>
      <c r="M430" s="95" t="s">
        <v>47</v>
      </c>
      <c r="N430" s="3" t="s">
        <v>48</v>
      </c>
      <c r="O430" s="3" t="s">
        <v>651</v>
      </c>
      <c r="P430" s="3" t="s">
        <v>6</v>
      </c>
      <c r="Q430" s="3" t="s">
        <v>6</v>
      </c>
      <c r="R430" s="95" t="s">
        <v>652</v>
      </c>
      <c r="S430" s="223" t="s">
        <v>5</v>
      </c>
      <c r="T430" s="223" t="s">
        <v>5</v>
      </c>
      <c r="U430" s="223" t="s">
        <v>5</v>
      </c>
      <c r="V430" s="223" t="s">
        <v>5</v>
      </c>
      <c r="W430" s="223" t="s">
        <v>5</v>
      </c>
      <c r="X430" s="3" t="s">
        <v>5</v>
      </c>
      <c r="Y430" s="3" t="s">
        <v>651</v>
      </c>
      <c r="Z430" s="3" t="s">
        <v>651</v>
      </c>
      <c r="AA430" s="3" t="s">
        <v>10</v>
      </c>
      <c r="AB430" s="223" t="s">
        <v>5</v>
      </c>
      <c r="AC430" s="3" t="s">
        <v>6</v>
      </c>
      <c r="AD430" s="3" t="s">
        <v>6</v>
      </c>
      <c r="AE430" s="95" t="s">
        <v>2265</v>
      </c>
    </row>
    <row r="431" spans="1:31" x14ac:dyDescent="0.35">
      <c r="A431" s="3" t="s">
        <v>1212</v>
      </c>
      <c r="B431" s="3" t="s">
        <v>219</v>
      </c>
      <c r="C431" s="3">
        <v>5</v>
      </c>
      <c r="D431" s="95" t="s">
        <v>1213</v>
      </c>
      <c r="E431" s="95" t="s">
        <v>1214</v>
      </c>
      <c r="F431" s="95" t="s">
        <v>4</v>
      </c>
      <c r="G431" s="223">
        <v>45108</v>
      </c>
      <c r="H431" s="223">
        <v>45108</v>
      </c>
      <c r="I431" s="223">
        <v>46934</v>
      </c>
      <c r="J431" s="3">
        <v>21</v>
      </c>
      <c r="K431" s="3" t="s">
        <v>10</v>
      </c>
      <c r="L431" s="3" t="s">
        <v>10</v>
      </c>
      <c r="M431" s="95" t="s">
        <v>116</v>
      </c>
      <c r="N431" s="3" t="s">
        <v>117</v>
      </c>
      <c r="O431" s="3" t="s">
        <v>651</v>
      </c>
      <c r="P431" s="3" t="s">
        <v>6</v>
      </c>
      <c r="Q431" s="3" t="s">
        <v>6</v>
      </c>
      <c r="R431" s="95" t="s">
        <v>652</v>
      </c>
      <c r="S431" s="223" t="s">
        <v>5</v>
      </c>
      <c r="T431" s="223" t="s">
        <v>5</v>
      </c>
      <c r="U431" s="223" t="s">
        <v>5</v>
      </c>
      <c r="V431" s="223" t="s">
        <v>5</v>
      </c>
      <c r="W431" s="223" t="s">
        <v>5</v>
      </c>
      <c r="X431" s="3" t="s">
        <v>5</v>
      </c>
      <c r="Y431" s="3" t="s">
        <v>651</v>
      </c>
      <c r="Z431" s="3" t="s">
        <v>651</v>
      </c>
      <c r="AA431" s="3" t="s">
        <v>10</v>
      </c>
      <c r="AB431" s="223" t="s">
        <v>5</v>
      </c>
      <c r="AC431" s="3" t="s">
        <v>6</v>
      </c>
      <c r="AD431" s="3" t="s">
        <v>10</v>
      </c>
      <c r="AE431" s="95" t="s">
        <v>2265</v>
      </c>
    </row>
    <row r="432" spans="1:31" x14ac:dyDescent="0.35">
      <c r="A432" s="3" t="s">
        <v>1215</v>
      </c>
      <c r="B432" s="3" t="s">
        <v>219</v>
      </c>
      <c r="C432" s="3">
        <v>5</v>
      </c>
      <c r="D432" s="95" t="s">
        <v>1216</v>
      </c>
      <c r="E432" s="95" t="s">
        <v>2451</v>
      </c>
      <c r="F432" s="95" t="s">
        <v>4</v>
      </c>
      <c r="G432" s="223">
        <v>44682</v>
      </c>
      <c r="H432" s="223">
        <v>44682</v>
      </c>
      <c r="I432" s="223">
        <v>46507</v>
      </c>
      <c r="J432" s="3">
        <v>16</v>
      </c>
      <c r="K432" s="3" t="s">
        <v>10</v>
      </c>
      <c r="L432" s="3" t="s">
        <v>10</v>
      </c>
      <c r="M432" s="95" t="s">
        <v>992</v>
      </c>
      <c r="N432" s="3" t="s">
        <v>68</v>
      </c>
      <c r="O432" s="3" t="s">
        <v>651</v>
      </c>
      <c r="P432" s="3" t="s">
        <v>6</v>
      </c>
      <c r="Q432" s="3" t="s">
        <v>6</v>
      </c>
      <c r="R432" s="95" t="s">
        <v>652</v>
      </c>
      <c r="S432" s="223" t="s">
        <v>5</v>
      </c>
      <c r="T432" s="223" t="s">
        <v>5</v>
      </c>
      <c r="U432" s="223" t="s">
        <v>5</v>
      </c>
      <c r="V432" s="223" t="s">
        <v>5</v>
      </c>
      <c r="W432" s="223" t="s">
        <v>5</v>
      </c>
      <c r="X432" s="3" t="s">
        <v>5</v>
      </c>
      <c r="Y432" s="3" t="s">
        <v>651</v>
      </c>
      <c r="Z432" s="3" t="s">
        <v>651</v>
      </c>
      <c r="AA432" s="3" t="s">
        <v>10</v>
      </c>
      <c r="AB432" s="223" t="s">
        <v>5</v>
      </c>
      <c r="AC432" s="3" t="s">
        <v>6</v>
      </c>
      <c r="AD432" s="3" t="s">
        <v>10</v>
      </c>
      <c r="AE432" s="95" t="s">
        <v>2265</v>
      </c>
    </row>
    <row r="433" spans="1:31" x14ac:dyDescent="0.35">
      <c r="A433" s="3" t="s">
        <v>1969</v>
      </c>
      <c r="B433" s="3" t="s">
        <v>219</v>
      </c>
      <c r="C433" s="3">
        <v>5</v>
      </c>
      <c r="D433" s="95" t="s">
        <v>217</v>
      </c>
      <c r="E433" s="95" t="s">
        <v>2272</v>
      </c>
      <c r="F433" s="95" t="s">
        <v>437</v>
      </c>
      <c r="G433" s="223">
        <v>44211</v>
      </c>
      <c r="H433" s="223">
        <v>44256</v>
      </c>
      <c r="I433" s="223">
        <v>46081</v>
      </c>
      <c r="J433" s="3">
        <v>0</v>
      </c>
      <c r="K433" s="3" t="s">
        <v>6</v>
      </c>
      <c r="L433" s="3" t="s">
        <v>6</v>
      </c>
      <c r="M433" s="95" t="s">
        <v>27</v>
      </c>
      <c r="N433" s="3" t="s">
        <v>28</v>
      </c>
      <c r="O433" s="3" t="s">
        <v>25</v>
      </c>
      <c r="P433" s="3" t="s">
        <v>6</v>
      </c>
      <c r="Q433" s="3" t="s">
        <v>6</v>
      </c>
      <c r="R433" s="95" t="s">
        <v>22</v>
      </c>
      <c r="S433" s="223">
        <v>43374</v>
      </c>
      <c r="T433" s="223">
        <v>43553</v>
      </c>
      <c r="U433" s="223">
        <v>43009</v>
      </c>
      <c r="V433" s="223">
        <v>43009</v>
      </c>
      <c r="W433" s="223" t="s">
        <v>6</v>
      </c>
      <c r="X433" s="3" t="s">
        <v>26</v>
      </c>
      <c r="Y433" s="3" t="s">
        <v>2100</v>
      </c>
      <c r="Z433" s="3" t="s">
        <v>28</v>
      </c>
      <c r="AA433" s="3" t="s">
        <v>6</v>
      </c>
      <c r="AB433" s="223">
        <v>42159</v>
      </c>
      <c r="AC433" s="3" t="s">
        <v>6</v>
      </c>
      <c r="AD433" s="3" t="s">
        <v>10</v>
      </c>
      <c r="AE433" s="95" t="s">
        <v>2263</v>
      </c>
    </row>
    <row r="434" spans="1:31" x14ac:dyDescent="0.35">
      <c r="A434" s="3" t="s">
        <v>220</v>
      </c>
      <c r="B434" s="3" t="s">
        <v>219</v>
      </c>
      <c r="C434" s="3">
        <v>5</v>
      </c>
      <c r="D434" s="95" t="s">
        <v>1970</v>
      </c>
      <c r="E434" s="95" t="s">
        <v>1912</v>
      </c>
      <c r="F434" s="95" t="s">
        <v>437</v>
      </c>
      <c r="G434" s="223">
        <v>44609</v>
      </c>
      <c r="H434" s="223">
        <v>44609</v>
      </c>
      <c r="I434" s="223">
        <v>46434</v>
      </c>
      <c r="J434" s="3">
        <v>48</v>
      </c>
      <c r="K434" s="3" t="s">
        <v>6</v>
      </c>
      <c r="L434" s="3" t="s">
        <v>6</v>
      </c>
      <c r="M434" s="95" t="s">
        <v>23</v>
      </c>
      <c r="N434" s="3" t="s">
        <v>24</v>
      </c>
      <c r="O434" s="3" t="s">
        <v>25</v>
      </c>
      <c r="P434" s="3" t="s">
        <v>6</v>
      </c>
      <c r="Q434" s="3" t="s">
        <v>6</v>
      </c>
      <c r="R434" s="95" t="s">
        <v>22</v>
      </c>
      <c r="S434" s="223">
        <v>43374</v>
      </c>
      <c r="T434" s="223">
        <v>43497</v>
      </c>
      <c r="U434" s="223">
        <v>42644</v>
      </c>
      <c r="V434" s="223">
        <v>42644</v>
      </c>
      <c r="W434" s="223" t="s">
        <v>6</v>
      </c>
      <c r="X434" s="3" t="s">
        <v>26</v>
      </c>
      <c r="Y434" s="3" t="s">
        <v>2093</v>
      </c>
      <c r="Z434" s="3" t="s">
        <v>24</v>
      </c>
      <c r="AA434" s="3" t="s">
        <v>6</v>
      </c>
      <c r="AB434" s="223">
        <v>42782</v>
      </c>
      <c r="AC434" s="3" t="s">
        <v>10</v>
      </c>
      <c r="AD434" s="3" t="s">
        <v>10</v>
      </c>
      <c r="AE434" s="95" t="s">
        <v>2263</v>
      </c>
    </row>
    <row r="435" spans="1:31" x14ac:dyDescent="0.35">
      <c r="A435" s="3" t="s">
        <v>1217</v>
      </c>
      <c r="B435" s="3" t="s">
        <v>219</v>
      </c>
      <c r="C435" s="3">
        <v>5</v>
      </c>
      <c r="D435" s="95" t="s">
        <v>1218</v>
      </c>
      <c r="E435" s="95" t="s">
        <v>2452</v>
      </c>
      <c r="F435" s="95" t="s">
        <v>4</v>
      </c>
      <c r="G435" s="223">
        <v>44151</v>
      </c>
      <c r="H435" s="223">
        <v>44151</v>
      </c>
      <c r="I435" s="223">
        <v>45976</v>
      </c>
      <c r="J435" s="3">
        <v>247</v>
      </c>
      <c r="K435" s="3" t="s">
        <v>10</v>
      </c>
      <c r="L435" s="3" t="s">
        <v>10</v>
      </c>
      <c r="M435" s="95" t="s">
        <v>2555</v>
      </c>
      <c r="N435" s="3" t="s">
        <v>52</v>
      </c>
      <c r="O435" s="3" t="s">
        <v>651</v>
      </c>
      <c r="P435" s="3" t="s">
        <v>6</v>
      </c>
      <c r="Q435" s="3" t="s">
        <v>6</v>
      </c>
      <c r="R435" s="95" t="s">
        <v>652</v>
      </c>
      <c r="S435" s="223" t="s">
        <v>5</v>
      </c>
      <c r="T435" s="223" t="s">
        <v>5</v>
      </c>
      <c r="U435" s="223" t="s">
        <v>5</v>
      </c>
      <c r="V435" s="223" t="s">
        <v>5</v>
      </c>
      <c r="W435" s="223" t="s">
        <v>5</v>
      </c>
      <c r="X435" s="3" t="s">
        <v>5</v>
      </c>
      <c r="Y435" s="3" t="s">
        <v>651</v>
      </c>
      <c r="Z435" s="3" t="s">
        <v>651</v>
      </c>
      <c r="AA435" s="3" t="s">
        <v>10</v>
      </c>
      <c r="AB435" s="223" t="s">
        <v>5</v>
      </c>
      <c r="AC435" s="3" t="s">
        <v>10</v>
      </c>
      <c r="AD435" s="3" t="s">
        <v>6</v>
      </c>
      <c r="AE435" s="95" t="s">
        <v>2265</v>
      </c>
    </row>
    <row r="436" spans="1:31" x14ac:dyDescent="0.35">
      <c r="A436" s="3" t="s">
        <v>1219</v>
      </c>
      <c r="B436" s="3" t="s">
        <v>219</v>
      </c>
      <c r="C436" s="3">
        <v>5</v>
      </c>
      <c r="D436" s="95" t="s">
        <v>1220</v>
      </c>
      <c r="E436" s="95" t="s">
        <v>2453</v>
      </c>
      <c r="F436" s="95" t="s">
        <v>4</v>
      </c>
      <c r="G436" s="223">
        <v>43922</v>
      </c>
      <c r="H436" s="223" t="s">
        <v>5</v>
      </c>
      <c r="I436" s="223">
        <v>45747</v>
      </c>
      <c r="J436" s="3" t="s">
        <v>5</v>
      </c>
      <c r="K436" s="3" t="s">
        <v>10</v>
      </c>
      <c r="L436" s="3" t="s">
        <v>10</v>
      </c>
      <c r="M436" s="95" t="s">
        <v>27</v>
      </c>
      <c r="N436" s="3" t="s">
        <v>28</v>
      </c>
      <c r="O436" s="3" t="s">
        <v>651</v>
      </c>
      <c r="P436" s="3" t="s">
        <v>6</v>
      </c>
      <c r="Q436" s="3" t="s">
        <v>6</v>
      </c>
      <c r="R436" s="95" t="s">
        <v>652</v>
      </c>
      <c r="S436" s="223" t="s">
        <v>5</v>
      </c>
      <c r="T436" s="223" t="s">
        <v>5</v>
      </c>
      <c r="U436" s="223" t="s">
        <v>5</v>
      </c>
      <c r="V436" s="223" t="s">
        <v>5</v>
      </c>
      <c r="W436" s="223" t="s">
        <v>5</v>
      </c>
      <c r="X436" s="3" t="s">
        <v>5</v>
      </c>
      <c r="Y436" s="3" t="s">
        <v>651</v>
      </c>
      <c r="Z436" s="3" t="s">
        <v>651</v>
      </c>
      <c r="AA436" s="3" t="s">
        <v>10</v>
      </c>
      <c r="AB436" s="223" t="s">
        <v>5</v>
      </c>
      <c r="AC436" s="3" t="s">
        <v>10</v>
      </c>
      <c r="AD436" s="3" t="s">
        <v>10</v>
      </c>
      <c r="AE436" s="95" t="s">
        <v>2265</v>
      </c>
    </row>
    <row r="437" spans="1:31" x14ac:dyDescent="0.35">
      <c r="A437" s="3" t="s">
        <v>1221</v>
      </c>
      <c r="B437" s="3" t="s">
        <v>219</v>
      </c>
      <c r="C437" s="3">
        <v>5</v>
      </c>
      <c r="D437" s="95" t="s">
        <v>1222</v>
      </c>
      <c r="E437" s="95" t="s">
        <v>2454</v>
      </c>
      <c r="F437" s="95" t="s">
        <v>4</v>
      </c>
      <c r="G437" s="223">
        <v>43313</v>
      </c>
      <c r="H437" s="223" t="s">
        <v>5</v>
      </c>
      <c r="I437" s="223">
        <v>45138</v>
      </c>
      <c r="J437" s="3" t="s">
        <v>5</v>
      </c>
      <c r="K437" s="3" t="s">
        <v>10</v>
      </c>
      <c r="L437" s="3" t="s">
        <v>10</v>
      </c>
      <c r="M437" s="95" t="s">
        <v>23</v>
      </c>
      <c r="N437" s="3" t="s">
        <v>24</v>
      </c>
      <c r="O437" s="3" t="s">
        <v>651</v>
      </c>
      <c r="P437" s="3" t="s">
        <v>6</v>
      </c>
      <c r="Q437" s="3" t="s">
        <v>6</v>
      </c>
      <c r="R437" s="95" t="s">
        <v>652</v>
      </c>
      <c r="S437" s="223" t="s">
        <v>5</v>
      </c>
      <c r="T437" s="223" t="s">
        <v>5</v>
      </c>
      <c r="U437" s="223" t="s">
        <v>5</v>
      </c>
      <c r="V437" s="223" t="s">
        <v>5</v>
      </c>
      <c r="W437" s="223" t="s">
        <v>5</v>
      </c>
      <c r="X437" s="3" t="s">
        <v>5</v>
      </c>
      <c r="Y437" s="3" t="s">
        <v>651</v>
      </c>
      <c r="Z437" s="3" t="s">
        <v>651</v>
      </c>
      <c r="AA437" s="3" t="s">
        <v>10</v>
      </c>
      <c r="AB437" s="223" t="s">
        <v>5</v>
      </c>
      <c r="AC437" s="3" t="s">
        <v>10</v>
      </c>
      <c r="AD437" s="3" t="s">
        <v>10</v>
      </c>
      <c r="AE437" s="95" t="s">
        <v>2265</v>
      </c>
    </row>
    <row r="438" spans="1:31" x14ac:dyDescent="0.35">
      <c r="A438" s="3" t="s">
        <v>1223</v>
      </c>
      <c r="B438" s="3" t="s">
        <v>583</v>
      </c>
      <c r="C438" s="3">
        <v>7</v>
      </c>
      <c r="D438" s="95" t="s">
        <v>2801</v>
      </c>
      <c r="E438" s="95" t="s">
        <v>2802</v>
      </c>
      <c r="F438" s="95" t="s">
        <v>651</v>
      </c>
      <c r="G438" s="223">
        <v>44986</v>
      </c>
      <c r="H438" s="223">
        <v>44986</v>
      </c>
      <c r="I438" s="223">
        <v>46812</v>
      </c>
      <c r="J438" s="3" t="s">
        <v>2266</v>
      </c>
      <c r="K438" s="3" t="s">
        <v>10</v>
      </c>
      <c r="L438" s="3" t="s">
        <v>10</v>
      </c>
      <c r="M438" s="95" t="s">
        <v>105</v>
      </c>
      <c r="N438" s="3" t="s">
        <v>106</v>
      </c>
      <c r="O438" s="3" t="s">
        <v>651</v>
      </c>
      <c r="P438" s="3" t="s">
        <v>10</v>
      </c>
      <c r="Q438" s="3" t="s">
        <v>6</v>
      </c>
      <c r="R438" s="95" t="s">
        <v>2267</v>
      </c>
      <c r="S438" s="223" t="s">
        <v>5</v>
      </c>
      <c r="T438" s="223" t="s">
        <v>5</v>
      </c>
      <c r="U438" s="223" t="s">
        <v>5</v>
      </c>
      <c r="V438" s="223" t="s">
        <v>5</v>
      </c>
      <c r="W438" s="223" t="s">
        <v>5</v>
      </c>
      <c r="X438" s="3" t="s">
        <v>5</v>
      </c>
      <c r="Y438" s="3" t="s">
        <v>651</v>
      </c>
      <c r="Z438" s="3" t="s">
        <v>651</v>
      </c>
      <c r="AA438" s="3" t="s">
        <v>651</v>
      </c>
      <c r="AB438" s="223" t="s">
        <v>5</v>
      </c>
      <c r="AC438" s="3" t="s">
        <v>651</v>
      </c>
      <c r="AD438" s="3" t="s">
        <v>651</v>
      </c>
      <c r="AE438" s="95" t="s">
        <v>651</v>
      </c>
    </row>
    <row r="439" spans="1:31" x14ac:dyDescent="0.35">
      <c r="A439" s="3" t="s">
        <v>1224</v>
      </c>
      <c r="B439" s="3" t="s">
        <v>583</v>
      </c>
      <c r="C439" s="3">
        <v>7</v>
      </c>
      <c r="D439" s="95" t="s">
        <v>2803</v>
      </c>
      <c r="E439" s="95" t="s">
        <v>2804</v>
      </c>
      <c r="F439" s="95" t="s">
        <v>2805</v>
      </c>
      <c r="G439" s="223">
        <v>44501</v>
      </c>
      <c r="H439" s="223">
        <v>44501</v>
      </c>
      <c r="I439" s="223">
        <v>46326</v>
      </c>
      <c r="J439" s="3">
        <v>4</v>
      </c>
      <c r="K439" s="3" t="s">
        <v>10</v>
      </c>
      <c r="L439" s="3" t="s">
        <v>10</v>
      </c>
      <c r="M439" s="95" t="s">
        <v>1208</v>
      </c>
      <c r="N439" s="3" t="s">
        <v>115</v>
      </c>
      <c r="O439" s="3" t="s">
        <v>651</v>
      </c>
      <c r="P439" s="3" t="s">
        <v>6</v>
      </c>
      <c r="Q439" s="3" t="s">
        <v>6</v>
      </c>
      <c r="R439" s="95" t="s">
        <v>652</v>
      </c>
      <c r="S439" s="223" t="s">
        <v>5</v>
      </c>
      <c r="T439" s="223" t="s">
        <v>5</v>
      </c>
      <c r="U439" s="223" t="s">
        <v>5</v>
      </c>
      <c r="V439" s="223" t="s">
        <v>5</v>
      </c>
      <c r="W439" s="223" t="s">
        <v>5</v>
      </c>
      <c r="X439" s="3" t="s">
        <v>5</v>
      </c>
      <c r="Y439" s="3" t="s">
        <v>651</v>
      </c>
      <c r="Z439" s="3" t="s">
        <v>651</v>
      </c>
      <c r="AA439" s="3" t="s">
        <v>6</v>
      </c>
      <c r="AB439" s="223">
        <v>44197</v>
      </c>
      <c r="AC439" s="3" t="s">
        <v>6</v>
      </c>
      <c r="AD439" s="3" t="s">
        <v>10</v>
      </c>
      <c r="AE439" s="95" t="s">
        <v>2265</v>
      </c>
    </row>
    <row r="440" spans="1:31" x14ac:dyDescent="0.35">
      <c r="A440" s="3" t="s">
        <v>1225</v>
      </c>
      <c r="B440" s="3" t="s">
        <v>583</v>
      </c>
      <c r="C440" s="3">
        <v>7</v>
      </c>
      <c r="D440" s="95" t="s">
        <v>2806</v>
      </c>
      <c r="E440" s="95" t="s">
        <v>2807</v>
      </c>
      <c r="F440" s="95" t="s">
        <v>2805</v>
      </c>
      <c r="G440" s="223">
        <v>45426</v>
      </c>
      <c r="H440" s="223">
        <v>45426</v>
      </c>
      <c r="I440" s="223">
        <v>47167</v>
      </c>
      <c r="J440" s="3">
        <v>11</v>
      </c>
      <c r="K440" s="3" t="s">
        <v>10</v>
      </c>
      <c r="L440" s="3" t="s">
        <v>10</v>
      </c>
      <c r="M440" s="95" t="s">
        <v>109</v>
      </c>
      <c r="N440" s="3" t="s">
        <v>110</v>
      </c>
      <c r="O440" s="3" t="s">
        <v>651</v>
      </c>
      <c r="P440" s="3" t="s">
        <v>6</v>
      </c>
      <c r="Q440" s="3" t="s">
        <v>6</v>
      </c>
      <c r="R440" s="95" t="s">
        <v>652</v>
      </c>
      <c r="S440" s="223" t="s">
        <v>5</v>
      </c>
      <c r="T440" s="223" t="s">
        <v>5</v>
      </c>
      <c r="U440" s="223" t="s">
        <v>5</v>
      </c>
      <c r="V440" s="223" t="s">
        <v>5</v>
      </c>
      <c r="W440" s="223" t="s">
        <v>5</v>
      </c>
      <c r="X440" s="3" t="s">
        <v>5</v>
      </c>
      <c r="Y440" s="3" t="s">
        <v>651</v>
      </c>
      <c r="Z440" s="3" t="s">
        <v>651</v>
      </c>
      <c r="AA440" s="3" t="s">
        <v>6</v>
      </c>
      <c r="AB440" s="223">
        <v>44197</v>
      </c>
      <c r="AC440" s="3" t="s">
        <v>6</v>
      </c>
      <c r="AD440" s="3" t="s">
        <v>10</v>
      </c>
      <c r="AE440" s="95" t="s">
        <v>2265</v>
      </c>
    </row>
    <row r="441" spans="1:31" x14ac:dyDescent="0.35">
      <c r="A441" s="3" t="s">
        <v>1226</v>
      </c>
      <c r="B441" s="3" t="s">
        <v>583</v>
      </c>
      <c r="C441" s="3">
        <v>7</v>
      </c>
      <c r="D441" s="95" t="s">
        <v>1227</v>
      </c>
      <c r="E441" s="95" t="s">
        <v>2808</v>
      </c>
      <c r="F441" s="95" t="s">
        <v>2805</v>
      </c>
      <c r="G441" s="223">
        <v>45474</v>
      </c>
      <c r="H441" s="223">
        <v>45474</v>
      </c>
      <c r="I441" s="223">
        <v>47299</v>
      </c>
      <c r="J441" s="3">
        <v>37</v>
      </c>
      <c r="K441" s="3" t="s">
        <v>10</v>
      </c>
      <c r="L441" s="3" t="s">
        <v>10</v>
      </c>
      <c r="M441" s="95" t="s">
        <v>1228</v>
      </c>
      <c r="N441" s="3" t="s">
        <v>68</v>
      </c>
      <c r="O441" s="3" t="s">
        <v>651</v>
      </c>
      <c r="P441" s="3" t="s">
        <v>6</v>
      </c>
      <c r="Q441" s="3" t="s">
        <v>6</v>
      </c>
      <c r="R441" s="95" t="s">
        <v>652</v>
      </c>
      <c r="S441" s="223" t="s">
        <v>5</v>
      </c>
      <c r="T441" s="223" t="s">
        <v>5</v>
      </c>
      <c r="U441" s="223" t="s">
        <v>5</v>
      </c>
      <c r="V441" s="223" t="s">
        <v>5</v>
      </c>
      <c r="W441" s="223" t="s">
        <v>5</v>
      </c>
      <c r="X441" s="3" t="s">
        <v>5</v>
      </c>
      <c r="Y441" s="3" t="s">
        <v>651</v>
      </c>
      <c r="Z441" s="3" t="s">
        <v>651</v>
      </c>
      <c r="AA441" s="3" t="s">
        <v>6</v>
      </c>
      <c r="AB441" s="223">
        <v>44197</v>
      </c>
      <c r="AC441" s="3" t="s">
        <v>6</v>
      </c>
      <c r="AD441" s="3" t="s">
        <v>10</v>
      </c>
      <c r="AE441" s="95" t="s">
        <v>2263</v>
      </c>
    </row>
    <row r="442" spans="1:31" x14ac:dyDescent="0.35">
      <c r="A442" s="3" t="s">
        <v>2809</v>
      </c>
      <c r="B442" s="3" t="s">
        <v>583</v>
      </c>
      <c r="C442" s="3">
        <v>7</v>
      </c>
      <c r="D442" s="95" t="s">
        <v>2810</v>
      </c>
      <c r="E442" s="95" t="s">
        <v>2811</v>
      </c>
      <c r="F442" s="95" t="s">
        <v>2805</v>
      </c>
      <c r="G442" s="223">
        <v>44743</v>
      </c>
      <c r="H442" s="223">
        <v>44743</v>
      </c>
      <c r="I442" s="223">
        <v>46568</v>
      </c>
      <c r="J442" s="3">
        <v>83</v>
      </c>
      <c r="K442" s="3" t="s">
        <v>10</v>
      </c>
      <c r="L442" s="3" t="s">
        <v>10</v>
      </c>
      <c r="M442" s="95" t="s">
        <v>60</v>
      </c>
      <c r="N442" s="3" t="s">
        <v>62</v>
      </c>
      <c r="O442" s="3" t="s">
        <v>651</v>
      </c>
      <c r="P442" s="3" t="s">
        <v>6</v>
      </c>
      <c r="Q442" s="3" t="s">
        <v>6</v>
      </c>
      <c r="R442" s="95" t="s">
        <v>652</v>
      </c>
      <c r="S442" s="223" t="s">
        <v>5</v>
      </c>
      <c r="T442" s="223" t="s">
        <v>5</v>
      </c>
      <c r="U442" s="223" t="s">
        <v>5</v>
      </c>
      <c r="V442" s="223" t="s">
        <v>5</v>
      </c>
      <c r="W442" s="223" t="s">
        <v>5</v>
      </c>
      <c r="X442" s="3" t="s">
        <v>5</v>
      </c>
      <c r="Y442" s="3" t="s">
        <v>651</v>
      </c>
      <c r="Z442" s="3" t="s">
        <v>651</v>
      </c>
      <c r="AA442" s="3" t="s">
        <v>6</v>
      </c>
      <c r="AB442" s="223">
        <v>44197</v>
      </c>
      <c r="AC442" s="3" t="s">
        <v>6</v>
      </c>
      <c r="AD442" s="3" t="s">
        <v>10</v>
      </c>
      <c r="AE442" s="95" t="s">
        <v>2263</v>
      </c>
    </row>
    <row r="443" spans="1:31" x14ac:dyDescent="0.35">
      <c r="A443" s="3" t="s">
        <v>1229</v>
      </c>
      <c r="B443" s="3" t="s">
        <v>583</v>
      </c>
      <c r="C443" s="3">
        <v>7</v>
      </c>
      <c r="D443" s="95" t="s">
        <v>2812</v>
      </c>
      <c r="E443" s="95" t="s">
        <v>2813</v>
      </c>
      <c r="F443" s="95" t="s">
        <v>2805</v>
      </c>
      <c r="G443" s="223">
        <v>44562</v>
      </c>
      <c r="H443" s="223">
        <v>44562</v>
      </c>
      <c r="I443" s="223">
        <v>46387</v>
      </c>
      <c r="J443" s="3">
        <v>4</v>
      </c>
      <c r="K443" s="3" t="s">
        <v>10</v>
      </c>
      <c r="L443" s="3" t="s">
        <v>10</v>
      </c>
      <c r="M443" s="95" t="s">
        <v>60</v>
      </c>
      <c r="N443" s="3" t="s">
        <v>174</v>
      </c>
      <c r="O443" s="3" t="s">
        <v>651</v>
      </c>
      <c r="P443" s="3" t="s">
        <v>6</v>
      </c>
      <c r="Q443" s="3" t="s">
        <v>6</v>
      </c>
      <c r="R443" s="95" t="s">
        <v>652</v>
      </c>
      <c r="S443" s="223" t="s">
        <v>5</v>
      </c>
      <c r="T443" s="223" t="s">
        <v>5</v>
      </c>
      <c r="U443" s="223" t="s">
        <v>5</v>
      </c>
      <c r="V443" s="223" t="s">
        <v>5</v>
      </c>
      <c r="W443" s="223" t="s">
        <v>5</v>
      </c>
      <c r="X443" s="3" t="s">
        <v>5</v>
      </c>
      <c r="Y443" s="3" t="s">
        <v>651</v>
      </c>
      <c r="Z443" s="3" t="s">
        <v>651</v>
      </c>
      <c r="AA443" s="3" t="s">
        <v>6</v>
      </c>
      <c r="AB443" s="223">
        <v>44197</v>
      </c>
      <c r="AC443" s="3" t="s">
        <v>6</v>
      </c>
      <c r="AD443" s="3" t="s">
        <v>10</v>
      </c>
      <c r="AE443" s="95" t="s">
        <v>2265</v>
      </c>
    </row>
    <row r="444" spans="1:31" x14ac:dyDescent="0.35">
      <c r="A444" s="3" t="s">
        <v>1230</v>
      </c>
      <c r="B444" s="3" t="s">
        <v>583</v>
      </c>
      <c r="C444" s="3">
        <v>7</v>
      </c>
      <c r="D444" s="95" t="s">
        <v>2814</v>
      </c>
      <c r="E444" s="95" t="s">
        <v>2815</v>
      </c>
      <c r="F444" s="95" t="s">
        <v>2805</v>
      </c>
      <c r="G444" s="223">
        <v>44822</v>
      </c>
      <c r="H444" s="223">
        <v>44822</v>
      </c>
      <c r="I444" s="223">
        <v>46647</v>
      </c>
      <c r="J444" s="3">
        <v>197</v>
      </c>
      <c r="K444" s="3" t="s">
        <v>10</v>
      </c>
      <c r="L444" s="3" t="s">
        <v>10</v>
      </c>
      <c r="M444" s="95" t="s">
        <v>933</v>
      </c>
      <c r="N444" s="3" t="s">
        <v>28</v>
      </c>
      <c r="O444" s="3" t="s">
        <v>651</v>
      </c>
      <c r="P444" s="3" t="s">
        <v>6</v>
      </c>
      <c r="Q444" s="3" t="s">
        <v>6</v>
      </c>
      <c r="R444" s="95" t="s">
        <v>652</v>
      </c>
      <c r="S444" s="223" t="s">
        <v>5</v>
      </c>
      <c r="T444" s="223" t="s">
        <v>5</v>
      </c>
      <c r="U444" s="223" t="s">
        <v>5</v>
      </c>
      <c r="V444" s="223" t="s">
        <v>5</v>
      </c>
      <c r="W444" s="223" t="s">
        <v>5</v>
      </c>
      <c r="X444" s="3" t="s">
        <v>5</v>
      </c>
      <c r="Y444" s="3" t="s">
        <v>651</v>
      </c>
      <c r="Z444" s="3" t="s">
        <v>651</v>
      </c>
      <c r="AA444" s="3" t="s">
        <v>6</v>
      </c>
      <c r="AB444" s="223">
        <v>44197</v>
      </c>
      <c r="AC444" s="3" t="s">
        <v>6</v>
      </c>
      <c r="AD444" s="3" t="s">
        <v>10</v>
      </c>
      <c r="AE444" s="95" t="s">
        <v>2263</v>
      </c>
    </row>
    <row r="445" spans="1:31" x14ac:dyDescent="0.35">
      <c r="A445" s="3" t="s">
        <v>1231</v>
      </c>
      <c r="B445" s="3" t="s">
        <v>583</v>
      </c>
      <c r="C445" s="3">
        <v>7</v>
      </c>
      <c r="D445" s="95" t="s">
        <v>1232</v>
      </c>
      <c r="E445" s="95" t="s">
        <v>2816</v>
      </c>
      <c r="F445" s="95" t="s">
        <v>2805</v>
      </c>
      <c r="G445" s="223">
        <v>44682</v>
      </c>
      <c r="H445" s="223">
        <v>44682</v>
      </c>
      <c r="I445" s="223">
        <v>46507</v>
      </c>
      <c r="J445" s="3">
        <v>718</v>
      </c>
      <c r="K445" s="3" t="s">
        <v>10</v>
      </c>
      <c r="L445" s="3" t="s">
        <v>10</v>
      </c>
      <c r="M445" s="95" t="s">
        <v>1233</v>
      </c>
      <c r="N445" s="3" t="s">
        <v>115</v>
      </c>
      <c r="O445" s="3" t="s">
        <v>651</v>
      </c>
      <c r="P445" s="3" t="s">
        <v>6</v>
      </c>
      <c r="Q445" s="3" t="s">
        <v>6</v>
      </c>
      <c r="R445" s="95" t="s">
        <v>652</v>
      </c>
      <c r="S445" s="223" t="s">
        <v>5</v>
      </c>
      <c r="T445" s="223" t="s">
        <v>5</v>
      </c>
      <c r="U445" s="223" t="s">
        <v>5</v>
      </c>
      <c r="V445" s="223" t="s">
        <v>5</v>
      </c>
      <c r="W445" s="223" t="s">
        <v>5</v>
      </c>
      <c r="X445" s="3" t="s">
        <v>5</v>
      </c>
      <c r="Y445" s="3" t="s">
        <v>651</v>
      </c>
      <c r="Z445" s="3" t="s">
        <v>651</v>
      </c>
      <c r="AA445" s="3" t="s">
        <v>6</v>
      </c>
      <c r="AB445" s="223">
        <v>44197</v>
      </c>
      <c r="AC445" s="3" t="s">
        <v>6</v>
      </c>
      <c r="AD445" s="3" t="s">
        <v>10</v>
      </c>
      <c r="AE445" s="95" t="s">
        <v>2265</v>
      </c>
    </row>
    <row r="446" spans="1:31" x14ac:dyDescent="0.35">
      <c r="A446" s="3" t="s">
        <v>1234</v>
      </c>
      <c r="B446" s="3" t="s">
        <v>583</v>
      </c>
      <c r="C446" s="3">
        <v>7</v>
      </c>
      <c r="D446" s="95" t="s">
        <v>2817</v>
      </c>
      <c r="E446" s="95" t="s">
        <v>2818</v>
      </c>
      <c r="F446" s="95" t="s">
        <v>2805</v>
      </c>
      <c r="G446" s="223">
        <v>44704</v>
      </c>
      <c r="H446" s="223">
        <v>44704</v>
      </c>
      <c r="I446" s="223">
        <v>46529</v>
      </c>
      <c r="J446" s="3">
        <v>58</v>
      </c>
      <c r="K446" s="3" t="s">
        <v>10</v>
      </c>
      <c r="L446" s="3" t="s">
        <v>10</v>
      </c>
      <c r="M446" s="95" t="s">
        <v>1235</v>
      </c>
      <c r="N446" s="3" t="s">
        <v>115</v>
      </c>
      <c r="O446" s="3" t="s">
        <v>651</v>
      </c>
      <c r="P446" s="3" t="s">
        <v>6</v>
      </c>
      <c r="Q446" s="3" t="s">
        <v>6</v>
      </c>
      <c r="R446" s="95" t="s">
        <v>652</v>
      </c>
      <c r="S446" s="223" t="s">
        <v>5</v>
      </c>
      <c r="T446" s="223" t="s">
        <v>5</v>
      </c>
      <c r="U446" s="223" t="s">
        <v>5</v>
      </c>
      <c r="V446" s="223" t="s">
        <v>5</v>
      </c>
      <c r="W446" s="223" t="s">
        <v>5</v>
      </c>
      <c r="X446" s="3" t="s">
        <v>5</v>
      </c>
      <c r="Y446" s="3" t="s">
        <v>651</v>
      </c>
      <c r="Z446" s="3" t="s">
        <v>651</v>
      </c>
      <c r="AA446" s="3" t="s">
        <v>6</v>
      </c>
      <c r="AB446" s="223">
        <v>44197</v>
      </c>
      <c r="AC446" s="3" t="s">
        <v>6</v>
      </c>
      <c r="AD446" s="3" t="s">
        <v>10</v>
      </c>
      <c r="AE446" s="95" t="s">
        <v>2265</v>
      </c>
    </row>
    <row r="447" spans="1:31" x14ac:dyDescent="0.35">
      <c r="A447" s="3" t="s">
        <v>1236</v>
      </c>
      <c r="B447" s="3" t="s">
        <v>583</v>
      </c>
      <c r="C447" s="3">
        <v>7</v>
      </c>
      <c r="D447" s="95" t="s">
        <v>2819</v>
      </c>
      <c r="E447" s="95" t="s">
        <v>2820</v>
      </c>
      <c r="F447" s="95" t="s">
        <v>2805</v>
      </c>
      <c r="G447" s="223">
        <v>45347</v>
      </c>
      <c r="H447" s="223">
        <v>45347</v>
      </c>
      <c r="I447" s="223">
        <v>47173</v>
      </c>
      <c r="J447" s="3">
        <v>123</v>
      </c>
      <c r="K447" s="3" t="s">
        <v>10</v>
      </c>
      <c r="L447" s="3" t="s">
        <v>10</v>
      </c>
      <c r="M447" s="95" t="s">
        <v>116</v>
      </c>
      <c r="N447" s="3" t="s">
        <v>117</v>
      </c>
      <c r="O447" s="3" t="s">
        <v>651</v>
      </c>
      <c r="P447" s="3" t="s">
        <v>6</v>
      </c>
      <c r="Q447" s="3" t="s">
        <v>6</v>
      </c>
      <c r="R447" s="95" t="s">
        <v>652</v>
      </c>
      <c r="S447" s="223" t="s">
        <v>5</v>
      </c>
      <c r="T447" s="223" t="s">
        <v>5</v>
      </c>
      <c r="U447" s="223" t="s">
        <v>5</v>
      </c>
      <c r="V447" s="223" t="s">
        <v>5</v>
      </c>
      <c r="W447" s="223" t="s">
        <v>5</v>
      </c>
      <c r="X447" s="3" t="s">
        <v>5</v>
      </c>
      <c r="Y447" s="3" t="s">
        <v>651</v>
      </c>
      <c r="Z447" s="3" t="s">
        <v>651</v>
      </c>
      <c r="AA447" s="3" t="s">
        <v>6</v>
      </c>
      <c r="AB447" s="223">
        <v>44197</v>
      </c>
      <c r="AC447" s="3" t="s">
        <v>6</v>
      </c>
      <c r="AD447" s="3" t="s">
        <v>10</v>
      </c>
      <c r="AE447" s="95" t="s">
        <v>2265</v>
      </c>
    </row>
    <row r="448" spans="1:31" x14ac:dyDescent="0.35">
      <c r="A448" s="3" t="s">
        <v>1238</v>
      </c>
      <c r="B448" s="3" t="s">
        <v>583</v>
      </c>
      <c r="C448" s="3">
        <v>7</v>
      </c>
      <c r="D448" s="95" t="s">
        <v>1239</v>
      </c>
      <c r="E448" s="95" t="s">
        <v>2821</v>
      </c>
      <c r="F448" s="95" t="s">
        <v>2805</v>
      </c>
      <c r="G448" s="223">
        <v>45146</v>
      </c>
      <c r="H448" s="223">
        <v>45146</v>
      </c>
      <c r="I448" s="223">
        <v>46972</v>
      </c>
      <c r="J448" s="3">
        <v>14</v>
      </c>
      <c r="K448" s="3" t="s">
        <v>10</v>
      </c>
      <c r="L448" s="3" t="s">
        <v>10</v>
      </c>
      <c r="M448" s="95" t="s">
        <v>116</v>
      </c>
      <c r="N448" s="3" t="s">
        <v>117</v>
      </c>
      <c r="O448" s="3" t="s">
        <v>651</v>
      </c>
      <c r="P448" s="3" t="s">
        <v>6</v>
      </c>
      <c r="Q448" s="3" t="s">
        <v>6</v>
      </c>
      <c r="R448" s="95" t="s">
        <v>652</v>
      </c>
      <c r="S448" s="223" t="s">
        <v>5</v>
      </c>
      <c r="T448" s="223" t="s">
        <v>5</v>
      </c>
      <c r="U448" s="223" t="s">
        <v>5</v>
      </c>
      <c r="V448" s="223" t="s">
        <v>5</v>
      </c>
      <c r="W448" s="223" t="s">
        <v>5</v>
      </c>
      <c r="X448" s="3" t="s">
        <v>5</v>
      </c>
      <c r="Y448" s="3" t="s">
        <v>651</v>
      </c>
      <c r="Z448" s="3" t="s">
        <v>651</v>
      </c>
      <c r="AA448" s="3" t="s">
        <v>6</v>
      </c>
      <c r="AB448" s="223">
        <v>44197</v>
      </c>
      <c r="AC448" s="3" t="s">
        <v>6</v>
      </c>
      <c r="AD448" s="3" t="s">
        <v>10</v>
      </c>
      <c r="AE448" s="95" t="s">
        <v>2265</v>
      </c>
    </row>
    <row r="449" spans="1:31" x14ac:dyDescent="0.35">
      <c r="A449" s="3" t="s">
        <v>1240</v>
      </c>
      <c r="B449" s="3" t="s">
        <v>583</v>
      </c>
      <c r="C449" s="3">
        <v>7</v>
      </c>
      <c r="D449" s="95" t="s">
        <v>2822</v>
      </c>
      <c r="E449" s="95" t="s">
        <v>2823</v>
      </c>
      <c r="F449" s="95" t="s">
        <v>2805</v>
      </c>
      <c r="G449" s="223">
        <v>44839</v>
      </c>
      <c r="H449" s="223">
        <v>44839</v>
      </c>
      <c r="I449" s="223">
        <v>46664</v>
      </c>
      <c r="J449" s="3">
        <v>9</v>
      </c>
      <c r="K449" s="3" t="s">
        <v>10</v>
      </c>
      <c r="L449" s="3" t="s">
        <v>10</v>
      </c>
      <c r="M449" s="95" t="s">
        <v>136</v>
      </c>
      <c r="N449" s="3" t="s">
        <v>138</v>
      </c>
      <c r="O449" s="3" t="s">
        <v>651</v>
      </c>
      <c r="P449" s="3" t="s">
        <v>6</v>
      </c>
      <c r="Q449" s="3" t="s">
        <v>6</v>
      </c>
      <c r="R449" s="95" t="s">
        <v>652</v>
      </c>
      <c r="S449" s="223" t="s">
        <v>5</v>
      </c>
      <c r="T449" s="223" t="s">
        <v>5</v>
      </c>
      <c r="U449" s="223" t="s">
        <v>5</v>
      </c>
      <c r="V449" s="223" t="s">
        <v>5</v>
      </c>
      <c r="W449" s="223" t="s">
        <v>5</v>
      </c>
      <c r="X449" s="3" t="s">
        <v>5</v>
      </c>
      <c r="Y449" s="3" t="s">
        <v>651</v>
      </c>
      <c r="Z449" s="3" t="s">
        <v>651</v>
      </c>
      <c r="AA449" s="3" t="s">
        <v>6</v>
      </c>
      <c r="AB449" s="223">
        <v>44197</v>
      </c>
      <c r="AC449" s="3" t="s">
        <v>6</v>
      </c>
      <c r="AD449" s="3" t="s">
        <v>10</v>
      </c>
      <c r="AE449" s="95" t="s">
        <v>2263</v>
      </c>
    </row>
    <row r="450" spans="1:31" x14ac:dyDescent="0.35">
      <c r="A450" s="3" t="s">
        <v>1241</v>
      </c>
      <c r="B450" s="3" t="s">
        <v>583</v>
      </c>
      <c r="C450" s="3">
        <v>7</v>
      </c>
      <c r="D450" s="95" t="s">
        <v>2824</v>
      </c>
      <c r="E450" s="95" t="s">
        <v>2825</v>
      </c>
      <c r="F450" s="95" t="s">
        <v>2805</v>
      </c>
      <c r="G450" s="223">
        <v>45505</v>
      </c>
      <c r="H450" s="223">
        <v>45505</v>
      </c>
      <c r="I450" s="223">
        <v>47330</v>
      </c>
      <c r="J450" s="3">
        <v>11</v>
      </c>
      <c r="K450" s="3" t="s">
        <v>10</v>
      </c>
      <c r="L450" s="3" t="s">
        <v>10</v>
      </c>
      <c r="M450" s="95" t="s">
        <v>1242</v>
      </c>
      <c r="N450" s="3" t="s">
        <v>62</v>
      </c>
      <c r="O450" s="3" t="s">
        <v>651</v>
      </c>
      <c r="P450" s="3" t="s">
        <v>6</v>
      </c>
      <c r="Q450" s="3" t="s">
        <v>6</v>
      </c>
      <c r="R450" s="95" t="s">
        <v>652</v>
      </c>
      <c r="S450" s="223" t="s">
        <v>5</v>
      </c>
      <c r="T450" s="223" t="s">
        <v>5</v>
      </c>
      <c r="U450" s="223" t="s">
        <v>5</v>
      </c>
      <c r="V450" s="223" t="s">
        <v>5</v>
      </c>
      <c r="W450" s="223" t="s">
        <v>5</v>
      </c>
      <c r="X450" s="3" t="s">
        <v>5</v>
      </c>
      <c r="Y450" s="3" t="s">
        <v>651</v>
      </c>
      <c r="Z450" s="3" t="s">
        <v>651</v>
      </c>
      <c r="AA450" s="3" t="s">
        <v>6</v>
      </c>
      <c r="AB450" s="223">
        <v>44197</v>
      </c>
      <c r="AC450" s="3" t="s">
        <v>6</v>
      </c>
      <c r="AD450" s="3" t="s">
        <v>10</v>
      </c>
      <c r="AE450" s="95" t="s">
        <v>2263</v>
      </c>
    </row>
    <row r="451" spans="1:31" x14ac:dyDescent="0.35">
      <c r="A451" s="3" t="s">
        <v>1243</v>
      </c>
      <c r="B451" s="3" t="s">
        <v>583</v>
      </c>
      <c r="C451" s="3">
        <v>7</v>
      </c>
      <c r="D451" s="95" t="s">
        <v>2826</v>
      </c>
      <c r="E451" s="95" t="s">
        <v>2827</v>
      </c>
      <c r="F451" s="95" t="s">
        <v>2805</v>
      </c>
      <c r="G451" s="223">
        <v>45505</v>
      </c>
      <c r="H451" s="223">
        <v>45505</v>
      </c>
      <c r="I451" s="223">
        <v>47330</v>
      </c>
      <c r="J451" s="3">
        <v>11</v>
      </c>
      <c r="K451" s="3" t="s">
        <v>10</v>
      </c>
      <c r="L451" s="3" t="s">
        <v>10</v>
      </c>
      <c r="M451" s="95" t="s">
        <v>1242</v>
      </c>
      <c r="N451" s="3" t="s">
        <v>62</v>
      </c>
      <c r="O451" s="3" t="s">
        <v>651</v>
      </c>
      <c r="P451" s="3" t="s">
        <v>6</v>
      </c>
      <c r="Q451" s="3" t="s">
        <v>6</v>
      </c>
      <c r="R451" s="95" t="s">
        <v>652</v>
      </c>
      <c r="S451" s="223" t="s">
        <v>5</v>
      </c>
      <c r="T451" s="223" t="s">
        <v>5</v>
      </c>
      <c r="U451" s="223" t="s">
        <v>5</v>
      </c>
      <c r="V451" s="223" t="s">
        <v>5</v>
      </c>
      <c r="W451" s="223" t="s">
        <v>5</v>
      </c>
      <c r="X451" s="3" t="s">
        <v>5</v>
      </c>
      <c r="Y451" s="3" t="s">
        <v>651</v>
      </c>
      <c r="Z451" s="3" t="s">
        <v>651</v>
      </c>
      <c r="AA451" s="3" t="s">
        <v>6</v>
      </c>
      <c r="AB451" s="223">
        <v>44197</v>
      </c>
      <c r="AC451" s="3" t="s">
        <v>6</v>
      </c>
      <c r="AD451" s="3" t="s">
        <v>10</v>
      </c>
      <c r="AE451" s="95" t="s">
        <v>2263</v>
      </c>
    </row>
    <row r="452" spans="1:31" x14ac:dyDescent="0.35">
      <c r="A452" s="3" t="s">
        <v>1244</v>
      </c>
      <c r="B452" s="3" t="s">
        <v>583</v>
      </c>
      <c r="C452" s="3">
        <v>7</v>
      </c>
      <c r="D452" s="95" t="s">
        <v>1749</v>
      </c>
      <c r="E452" s="95" t="s">
        <v>2828</v>
      </c>
      <c r="F452" s="95" t="s">
        <v>2805</v>
      </c>
      <c r="G452" s="223">
        <v>45356</v>
      </c>
      <c r="H452" s="223">
        <v>45356</v>
      </c>
      <c r="I452" s="223">
        <v>47181</v>
      </c>
      <c r="J452" s="3">
        <v>17</v>
      </c>
      <c r="K452" s="3" t="s">
        <v>10</v>
      </c>
      <c r="L452" s="3" t="s">
        <v>10</v>
      </c>
      <c r="M452" s="95" t="s">
        <v>737</v>
      </c>
      <c r="N452" s="3" t="s">
        <v>28</v>
      </c>
      <c r="O452" s="3" t="s">
        <v>651</v>
      </c>
      <c r="P452" s="3" t="s">
        <v>6</v>
      </c>
      <c r="Q452" s="3" t="s">
        <v>6</v>
      </c>
      <c r="R452" s="95" t="s">
        <v>652</v>
      </c>
      <c r="S452" s="223" t="s">
        <v>5</v>
      </c>
      <c r="T452" s="223" t="s">
        <v>5</v>
      </c>
      <c r="U452" s="223" t="s">
        <v>5</v>
      </c>
      <c r="V452" s="223" t="s">
        <v>5</v>
      </c>
      <c r="W452" s="223" t="s">
        <v>5</v>
      </c>
      <c r="X452" s="3" t="s">
        <v>5</v>
      </c>
      <c r="Y452" s="3" t="s">
        <v>651</v>
      </c>
      <c r="Z452" s="3" t="s">
        <v>651</v>
      </c>
      <c r="AA452" s="3" t="s">
        <v>6</v>
      </c>
      <c r="AB452" s="223">
        <v>44197</v>
      </c>
      <c r="AC452" s="3" t="s">
        <v>6</v>
      </c>
      <c r="AD452" s="3" t="s">
        <v>10</v>
      </c>
      <c r="AE452" s="95" t="s">
        <v>2263</v>
      </c>
    </row>
    <row r="453" spans="1:31" x14ac:dyDescent="0.35">
      <c r="A453" s="3" t="s">
        <v>1245</v>
      </c>
      <c r="B453" s="3" t="s">
        <v>583</v>
      </c>
      <c r="C453" s="3">
        <v>7</v>
      </c>
      <c r="D453" s="95" t="s">
        <v>2829</v>
      </c>
      <c r="E453" s="95" t="s">
        <v>2830</v>
      </c>
      <c r="F453" s="95" t="s">
        <v>2805</v>
      </c>
      <c r="G453" s="223">
        <v>43678</v>
      </c>
      <c r="H453" s="223">
        <v>43678</v>
      </c>
      <c r="I453" s="223">
        <v>45504</v>
      </c>
      <c r="J453" s="3">
        <v>109</v>
      </c>
      <c r="K453" s="3" t="s">
        <v>10</v>
      </c>
      <c r="L453" s="3" t="s">
        <v>10</v>
      </c>
      <c r="M453" s="95" t="s">
        <v>196</v>
      </c>
      <c r="N453" s="3" t="s">
        <v>61</v>
      </c>
      <c r="O453" s="3" t="s">
        <v>651</v>
      </c>
      <c r="P453" s="3" t="s">
        <v>6</v>
      </c>
      <c r="Q453" s="3" t="s">
        <v>6</v>
      </c>
      <c r="R453" s="95" t="s">
        <v>652</v>
      </c>
      <c r="S453" s="223" t="s">
        <v>5</v>
      </c>
      <c r="T453" s="223" t="s">
        <v>5</v>
      </c>
      <c r="U453" s="223" t="s">
        <v>5</v>
      </c>
      <c r="V453" s="223" t="s">
        <v>5</v>
      </c>
      <c r="W453" s="223" t="s">
        <v>5</v>
      </c>
      <c r="X453" s="3" t="s">
        <v>5</v>
      </c>
      <c r="Y453" s="3" t="s">
        <v>651</v>
      </c>
      <c r="Z453" s="3" t="s">
        <v>651</v>
      </c>
      <c r="AA453" s="3" t="s">
        <v>6</v>
      </c>
      <c r="AB453" s="223">
        <v>44197</v>
      </c>
      <c r="AC453" s="3" t="s">
        <v>6</v>
      </c>
      <c r="AD453" s="3" t="s">
        <v>10</v>
      </c>
      <c r="AE453" s="95" t="s">
        <v>2263</v>
      </c>
    </row>
    <row r="454" spans="1:31" x14ac:dyDescent="0.35">
      <c r="A454" s="3" t="s">
        <v>1246</v>
      </c>
      <c r="B454" s="3" t="s">
        <v>583</v>
      </c>
      <c r="C454" s="3">
        <v>7</v>
      </c>
      <c r="D454" s="95" t="s">
        <v>2831</v>
      </c>
      <c r="E454" s="95" t="s">
        <v>2832</v>
      </c>
      <c r="F454" s="95" t="s">
        <v>2805</v>
      </c>
      <c r="G454" s="223">
        <v>44896</v>
      </c>
      <c r="H454" s="223">
        <v>44896</v>
      </c>
      <c r="I454" s="223">
        <v>46721</v>
      </c>
      <c r="J454" s="3">
        <v>85</v>
      </c>
      <c r="K454" s="3" t="s">
        <v>10</v>
      </c>
      <c r="L454" s="3" t="s">
        <v>10</v>
      </c>
      <c r="M454" s="95" t="s">
        <v>1247</v>
      </c>
      <c r="N454" s="3" t="s">
        <v>62</v>
      </c>
      <c r="O454" s="3" t="s">
        <v>651</v>
      </c>
      <c r="P454" s="3" t="s">
        <v>6</v>
      </c>
      <c r="Q454" s="3" t="s">
        <v>6</v>
      </c>
      <c r="R454" s="95" t="s">
        <v>652</v>
      </c>
      <c r="S454" s="223" t="s">
        <v>5</v>
      </c>
      <c r="T454" s="223" t="s">
        <v>5</v>
      </c>
      <c r="U454" s="223" t="s">
        <v>5</v>
      </c>
      <c r="V454" s="223" t="s">
        <v>5</v>
      </c>
      <c r="W454" s="223" t="s">
        <v>5</v>
      </c>
      <c r="X454" s="3" t="s">
        <v>5</v>
      </c>
      <c r="Y454" s="3" t="s">
        <v>651</v>
      </c>
      <c r="Z454" s="3" t="s">
        <v>651</v>
      </c>
      <c r="AA454" s="3" t="s">
        <v>6</v>
      </c>
      <c r="AB454" s="223">
        <v>44197</v>
      </c>
      <c r="AC454" s="3" t="s">
        <v>10</v>
      </c>
      <c r="AD454" s="3" t="s">
        <v>10</v>
      </c>
      <c r="AE454" s="95" t="s">
        <v>2263</v>
      </c>
    </row>
    <row r="455" spans="1:31" x14ac:dyDescent="0.35">
      <c r="A455" s="3" t="s">
        <v>1248</v>
      </c>
      <c r="B455" s="3" t="s">
        <v>583</v>
      </c>
      <c r="C455" s="3">
        <v>7</v>
      </c>
      <c r="D455" s="95" t="s">
        <v>2833</v>
      </c>
      <c r="E455" s="95" t="s">
        <v>2834</v>
      </c>
      <c r="F455" s="95" t="s">
        <v>2805</v>
      </c>
      <c r="G455" s="223">
        <v>44713</v>
      </c>
      <c r="H455" s="223">
        <v>44713</v>
      </c>
      <c r="I455" s="223">
        <v>46538</v>
      </c>
      <c r="J455" s="3">
        <v>42</v>
      </c>
      <c r="K455" s="3" t="s">
        <v>10</v>
      </c>
      <c r="L455" s="3" t="s">
        <v>10</v>
      </c>
      <c r="M455" s="95" t="s">
        <v>730</v>
      </c>
      <c r="N455" s="3" t="s">
        <v>62</v>
      </c>
      <c r="O455" s="3" t="s">
        <v>651</v>
      </c>
      <c r="P455" s="3" t="s">
        <v>6</v>
      </c>
      <c r="Q455" s="3" t="s">
        <v>6</v>
      </c>
      <c r="R455" s="95" t="s">
        <v>652</v>
      </c>
      <c r="S455" s="223" t="s">
        <v>5</v>
      </c>
      <c r="T455" s="223" t="s">
        <v>5</v>
      </c>
      <c r="U455" s="223" t="s">
        <v>5</v>
      </c>
      <c r="V455" s="223" t="s">
        <v>5</v>
      </c>
      <c r="W455" s="223" t="s">
        <v>5</v>
      </c>
      <c r="X455" s="3" t="s">
        <v>5</v>
      </c>
      <c r="Y455" s="3" t="s">
        <v>651</v>
      </c>
      <c r="Z455" s="3" t="s">
        <v>651</v>
      </c>
      <c r="AA455" s="3" t="s">
        <v>6</v>
      </c>
      <c r="AB455" s="223">
        <v>44197</v>
      </c>
      <c r="AC455" s="3" t="s">
        <v>10</v>
      </c>
      <c r="AD455" s="3" t="s">
        <v>10</v>
      </c>
      <c r="AE455" s="95" t="s">
        <v>2263</v>
      </c>
    </row>
    <row r="456" spans="1:31" x14ac:dyDescent="0.35">
      <c r="A456" s="3" t="s">
        <v>1249</v>
      </c>
      <c r="B456" s="3" t="s">
        <v>583</v>
      </c>
      <c r="C456" s="3">
        <v>7</v>
      </c>
      <c r="D456" s="95" t="s">
        <v>3125</v>
      </c>
      <c r="E456" s="95" t="s">
        <v>2835</v>
      </c>
      <c r="F456" s="95" t="s">
        <v>2805</v>
      </c>
      <c r="G456" s="223">
        <v>44798</v>
      </c>
      <c r="H456" s="223">
        <v>44798</v>
      </c>
      <c r="I456" s="223">
        <v>46623</v>
      </c>
      <c r="J456" s="3">
        <v>134</v>
      </c>
      <c r="K456" s="3" t="s">
        <v>10</v>
      </c>
      <c r="L456" s="3" t="s">
        <v>10</v>
      </c>
      <c r="M456" s="95" t="s">
        <v>1172</v>
      </c>
      <c r="N456" s="3" t="s">
        <v>48</v>
      </c>
      <c r="O456" s="3" t="s">
        <v>651</v>
      </c>
      <c r="P456" s="3" t="s">
        <v>6</v>
      </c>
      <c r="Q456" s="3" t="s">
        <v>6</v>
      </c>
      <c r="R456" s="95" t="s">
        <v>652</v>
      </c>
      <c r="S456" s="223" t="s">
        <v>5</v>
      </c>
      <c r="T456" s="223" t="s">
        <v>5</v>
      </c>
      <c r="U456" s="223" t="s">
        <v>5</v>
      </c>
      <c r="V456" s="223" t="s">
        <v>5</v>
      </c>
      <c r="W456" s="223" t="s">
        <v>5</v>
      </c>
      <c r="X456" s="3" t="s">
        <v>5</v>
      </c>
      <c r="Y456" s="3" t="s">
        <v>651</v>
      </c>
      <c r="Z456" s="3" t="s">
        <v>651</v>
      </c>
      <c r="AA456" s="3" t="s">
        <v>6</v>
      </c>
      <c r="AB456" s="223">
        <v>44197</v>
      </c>
      <c r="AC456" s="3" t="s">
        <v>10</v>
      </c>
      <c r="AD456" s="3" t="s">
        <v>6</v>
      </c>
      <c r="AE456" s="95" t="s">
        <v>2265</v>
      </c>
    </row>
    <row r="457" spans="1:31" x14ac:dyDescent="0.35">
      <c r="A457" s="3" t="s">
        <v>1250</v>
      </c>
      <c r="B457" s="3" t="s">
        <v>583</v>
      </c>
      <c r="C457" s="3">
        <v>7</v>
      </c>
      <c r="D457" s="95" t="s">
        <v>2836</v>
      </c>
      <c r="E457" s="95" t="s">
        <v>2837</v>
      </c>
      <c r="F457" s="95" t="s">
        <v>2805</v>
      </c>
      <c r="G457" s="223">
        <v>44378</v>
      </c>
      <c r="H457" s="223">
        <v>44378</v>
      </c>
      <c r="I457" s="223">
        <v>46203</v>
      </c>
      <c r="J457" s="3">
        <v>106</v>
      </c>
      <c r="K457" s="3" t="s">
        <v>10</v>
      </c>
      <c r="L457" s="3" t="s">
        <v>10</v>
      </c>
      <c r="M457" s="95" t="s">
        <v>114</v>
      </c>
      <c r="N457" s="3" t="s">
        <v>115</v>
      </c>
      <c r="O457" s="3" t="s">
        <v>651</v>
      </c>
      <c r="P457" s="3" t="s">
        <v>6</v>
      </c>
      <c r="Q457" s="3" t="s">
        <v>6</v>
      </c>
      <c r="R457" s="95" t="s">
        <v>652</v>
      </c>
      <c r="S457" s="223" t="s">
        <v>5</v>
      </c>
      <c r="T457" s="223" t="s">
        <v>5</v>
      </c>
      <c r="U457" s="223" t="s">
        <v>5</v>
      </c>
      <c r="V457" s="223" t="s">
        <v>5</v>
      </c>
      <c r="W457" s="223" t="s">
        <v>5</v>
      </c>
      <c r="X457" s="3" t="s">
        <v>5</v>
      </c>
      <c r="Y457" s="3" t="s">
        <v>651</v>
      </c>
      <c r="Z457" s="3" t="s">
        <v>651</v>
      </c>
      <c r="AA457" s="3" t="s">
        <v>6</v>
      </c>
      <c r="AB457" s="223">
        <v>44197</v>
      </c>
      <c r="AC457" s="3" t="s">
        <v>6</v>
      </c>
      <c r="AD457" s="3" t="s">
        <v>10</v>
      </c>
      <c r="AE457" s="95" t="s">
        <v>2265</v>
      </c>
    </row>
    <row r="458" spans="1:31" x14ac:dyDescent="0.35">
      <c r="A458" s="3" t="s">
        <v>1251</v>
      </c>
      <c r="B458" s="3" t="s">
        <v>583</v>
      </c>
      <c r="C458" s="3">
        <v>7</v>
      </c>
      <c r="D458" s="95" t="s">
        <v>1004</v>
      </c>
      <c r="E458" s="95" t="s">
        <v>2838</v>
      </c>
      <c r="F458" s="95" t="s">
        <v>2805</v>
      </c>
      <c r="G458" s="223">
        <v>44562</v>
      </c>
      <c r="H458" s="223">
        <v>44562</v>
      </c>
      <c r="I458" s="223">
        <v>46387</v>
      </c>
      <c r="J458" s="3">
        <v>8</v>
      </c>
      <c r="K458" s="3" t="s">
        <v>10</v>
      </c>
      <c r="L458" s="3" t="s">
        <v>10</v>
      </c>
      <c r="M458" s="95" t="s">
        <v>19</v>
      </c>
      <c r="N458" s="3" t="s">
        <v>20</v>
      </c>
      <c r="O458" s="3" t="s">
        <v>651</v>
      </c>
      <c r="P458" s="3" t="s">
        <v>6</v>
      </c>
      <c r="Q458" s="3" t="s">
        <v>6</v>
      </c>
      <c r="R458" s="95" t="s">
        <v>652</v>
      </c>
      <c r="S458" s="223" t="s">
        <v>5</v>
      </c>
      <c r="T458" s="223" t="s">
        <v>5</v>
      </c>
      <c r="U458" s="223" t="s">
        <v>5</v>
      </c>
      <c r="V458" s="223" t="s">
        <v>5</v>
      </c>
      <c r="W458" s="223" t="s">
        <v>5</v>
      </c>
      <c r="X458" s="3" t="s">
        <v>5</v>
      </c>
      <c r="Y458" s="3" t="s">
        <v>651</v>
      </c>
      <c r="Z458" s="3" t="s">
        <v>651</v>
      </c>
      <c r="AA458" s="3" t="s">
        <v>6</v>
      </c>
      <c r="AB458" s="223">
        <v>44197</v>
      </c>
      <c r="AC458" s="3" t="s">
        <v>10</v>
      </c>
      <c r="AD458" s="3" t="s">
        <v>10</v>
      </c>
      <c r="AE458" s="95" t="s">
        <v>2263</v>
      </c>
    </row>
    <row r="459" spans="1:31" x14ac:dyDescent="0.35">
      <c r="A459" s="3" t="s">
        <v>1252</v>
      </c>
      <c r="B459" s="3" t="s">
        <v>583</v>
      </c>
      <c r="C459" s="3">
        <v>7</v>
      </c>
      <c r="D459" s="95" t="s">
        <v>2839</v>
      </c>
      <c r="E459" s="95" t="s">
        <v>2840</v>
      </c>
      <c r="F459" s="95" t="s">
        <v>2805</v>
      </c>
      <c r="G459" s="223">
        <v>44951</v>
      </c>
      <c r="H459" s="223">
        <v>44951</v>
      </c>
      <c r="I459" s="223">
        <v>46776</v>
      </c>
      <c r="J459" s="3">
        <v>7</v>
      </c>
      <c r="K459" s="3" t="s">
        <v>10</v>
      </c>
      <c r="L459" s="3" t="s">
        <v>10</v>
      </c>
      <c r="M459" s="95" t="s">
        <v>1253</v>
      </c>
      <c r="N459" s="3" t="s">
        <v>62</v>
      </c>
      <c r="O459" s="3" t="s">
        <v>651</v>
      </c>
      <c r="P459" s="3" t="s">
        <v>6</v>
      </c>
      <c r="Q459" s="3" t="s">
        <v>6</v>
      </c>
      <c r="R459" s="95" t="s">
        <v>652</v>
      </c>
      <c r="S459" s="223" t="s">
        <v>5</v>
      </c>
      <c r="T459" s="223" t="s">
        <v>5</v>
      </c>
      <c r="U459" s="223" t="s">
        <v>5</v>
      </c>
      <c r="V459" s="223" t="s">
        <v>5</v>
      </c>
      <c r="W459" s="223" t="s">
        <v>5</v>
      </c>
      <c r="X459" s="3" t="s">
        <v>5</v>
      </c>
      <c r="Y459" s="3" t="s">
        <v>651</v>
      </c>
      <c r="Z459" s="3" t="s">
        <v>651</v>
      </c>
      <c r="AA459" s="3" t="s">
        <v>6</v>
      </c>
      <c r="AB459" s="223">
        <v>44197</v>
      </c>
      <c r="AC459" s="3" t="s">
        <v>10</v>
      </c>
      <c r="AD459" s="3" t="s">
        <v>10</v>
      </c>
      <c r="AE459" s="95" t="s">
        <v>2263</v>
      </c>
    </row>
    <row r="460" spans="1:31" x14ac:dyDescent="0.35">
      <c r="A460" s="3" t="s">
        <v>1254</v>
      </c>
      <c r="B460" s="3" t="s">
        <v>583</v>
      </c>
      <c r="C460" s="3">
        <v>7</v>
      </c>
      <c r="D460" s="95" t="s">
        <v>2841</v>
      </c>
      <c r="E460" s="95" t="s">
        <v>2842</v>
      </c>
      <c r="F460" s="95" t="s">
        <v>2805</v>
      </c>
      <c r="G460" s="223">
        <v>44805</v>
      </c>
      <c r="H460" s="223">
        <v>44805</v>
      </c>
      <c r="I460" s="223">
        <v>46630</v>
      </c>
      <c r="J460" s="3">
        <v>5</v>
      </c>
      <c r="K460" s="3" t="s">
        <v>10</v>
      </c>
      <c r="L460" s="3" t="s">
        <v>10</v>
      </c>
      <c r="M460" s="95" t="s">
        <v>1255</v>
      </c>
      <c r="N460" s="3" t="s">
        <v>68</v>
      </c>
      <c r="O460" s="3" t="s">
        <v>651</v>
      </c>
      <c r="P460" s="3" t="s">
        <v>6</v>
      </c>
      <c r="Q460" s="3" t="s">
        <v>6</v>
      </c>
      <c r="R460" s="95" t="s">
        <v>652</v>
      </c>
      <c r="S460" s="223" t="s">
        <v>5</v>
      </c>
      <c r="T460" s="223" t="s">
        <v>5</v>
      </c>
      <c r="U460" s="223" t="s">
        <v>5</v>
      </c>
      <c r="V460" s="223" t="s">
        <v>5</v>
      </c>
      <c r="W460" s="223" t="s">
        <v>5</v>
      </c>
      <c r="X460" s="3" t="s">
        <v>5</v>
      </c>
      <c r="Y460" s="3" t="s">
        <v>651</v>
      </c>
      <c r="Z460" s="3" t="s">
        <v>651</v>
      </c>
      <c r="AA460" s="3" t="s">
        <v>6</v>
      </c>
      <c r="AB460" s="223">
        <v>44197</v>
      </c>
      <c r="AC460" s="3" t="s">
        <v>6</v>
      </c>
      <c r="AD460" s="3" t="s">
        <v>10</v>
      </c>
      <c r="AE460" s="95" t="s">
        <v>2263</v>
      </c>
    </row>
    <row r="461" spans="1:31" x14ac:dyDescent="0.35">
      <c r="A461" s="3" t="s">
        <v>1256</v>
      </c>
      <c r="B461" s="3" t="s">
        <v>583</v>
      </c>
      <c r="C461" s="3">
        <v>7</v>
      </c>
      <c r="D461" s="95" t="s">
        <v>2843</v>
      </c>
      <c r="E461" s="95" t="s">
        <v>2844</v>
      </c>
      <c r="F461" s="95" t="s">
        <v>2805</v>
      </c>
      <c r="G461" s="223">
        <v>45145</v>
      </c>
      <c r="H461" s="223">
        <v>45145</v>
      </c>
      <c r="I461" s="223">
        <v>46971</v>
      </c>
      <c r="J461" s="3">
        <v>25</v>
      </c>
      <c r="K461" s="3" t="s">
        <v>10</v>
      </c>
      <c r="L461" s="3" t="s">
        <v>10</v>
      </c>
      <c r="M461" s="95" t="s">
        <v>60</v>
      </c>
      <c r="N461" s="3" t="s">
        <v>62</v>
      </c>
      <c r="O461" s="3" t="s">
        <v>651</v>
      </c>
      <c r="P461" s="3" t="s">
        <v>6</v>
      </c>
      <c r="Q461" s="3" t="s">
        <v>6</v>
      </c>
      <c r="R461" s="95" t="s">
        <v>652</v>
      </c>
      <c r="S461" s="223" t="s">
        <v>5</v>
      </c>
      <c r="T461" s="223" t="s">
        <v>5</v>
      </c>
      <c r="U461" s="223" t="s">
        <v>5</v>
      </c>
      <c r="V461" s="223" t="s">
        <v>5</v>
      </c>
      <c r="W461" s="223" t="s">
        <v>5</v>
      </c>
      <c r="X461" s="3" t="s">
        <v>5</v>
      </c>
      <c r="Y461" s="3" t="s">
        <v>651</v>
      </c>
      <c r="Z461" s="3" t="s">
        <v>651</v>
      </c>
      <c r="AA461" s="3" t="s">
        <v>6</v>
      </c>
      <c r="AB461" s="223">
        <v>44197</v>
      </c>
      <c r="AC461" s="3" t="s">
        <v>10</v>
      </c>
      <c r="AD461" s="3" t="s">
        <v>10</v>
      </c>
      <c r="AE461" s="95" t="s">
        <v>2263</v>
      </c>
    </row>
    <row r="462" spans="1:31" x14ac:dyDescent="0.35">
      <c r="A462" s="3" t="s">
        <v>1257</v>
      </c>
      <c r="B462" s="3" t="s">
        <v>583</v>
      </c>
      <c r="C462" s="3">
        <v>7</v>
      </c>
      <c r="D462" s="95" t="s">
        <v>2845</v>
      </c>
      <c r="E462" s="95" t="s">
        <v>2846</v>
      </c>
      <c r="F462" s="95" t="s">
        <v>2805</v>
      </c>
      <c r="G462" s="223">
        <v>45474</v>
      </c>
      <c r="H462" s="223">
        <v>45474</v>
      </c>
      <c r="I462" s="223">
        <v>47299</v>
      </c>
      <c r="J462" s="3">
        <v>533</v>
      </c>
      <c r="K462" s="3" t="s">
        <v>10</v>
      </c>
      <c r="L462" s="3" t="s">
        <v>10</v>
      </c>
      <c r="M462" s="95" t="s">
        <v>47</v>
      </c>
      <c r="N462" s="3" t="s">
        <v>48</v>
      </c>
      <c r="O462" s="3" t="s">
        <v>651</v>
      </c>
      <c r="P462" s="3" t="s">
        <v>6</v>
      </c>
      <c r="Q462" s="3" t="s">
        <v>6</v>
      </c>
      <c r="R462" s="95" t="s">
        <v>652</v>
      </c>
      <c r="S462" s="223" t="s">
        <v>5</v>
      </c>
      <c r="T462" s="223" t="s">
        <v>5</v>
      </c>
      <c r="U462" s="223" t="s">
        <v>5</v>
      </c>
      <c r="V462" s="223" t="s">
        <v>5</v>
      </c>
      <c r="W462" s="223" t="s">
        <v>5</v>
      </c>
      <c r="X462" s="3" t="s">
        <v>5</v>
      </c>
      <c r="Y462" s="3" t="s">
        <v>651</v>
      </c>
      <c r="Z462" s="3" t="s">
        <v>651</v>
      </c>
      <c r="AA462" s="3" t="s">
        <v>6</v>
      </c>
      <c r="AB462" s="223">
        <v>44197</v>
      </c>
      <c r="AC462" s="3" t="s">
        <v>6</v>
      </c>
      <c r="AD462" s="3" t="s">
        <v>10</v>
      </c>
      <c r="AE462" s="95" t="s">
        <v>2265</v>
      </c>
    </row>
    <row r="463" spans="1:31" x14ac:dyDescent="0.35">
      <c r="A463" s="3" t="s">
        <v>2847</v>
      </c>
      <c r="B463" s="3" t="s">
        <v>583</v>
      </c>
      <c r="C463" s="3">
        <v>7</v>
      </c>
      <c r="D463" s="95" t="s">
        <v>3127</v>
      </c>
      <c r="E463" s="95" t="s">
        <v>2848</v>
      </c>
      <c r="F463" s="95" t="s">
        <v>2805</v>
      </c>
      <c r="G463" s="223">
        <v>44470</v>
      </c>
      <c r="H463" s="223">
        <v>44470</v>
      </c>
      <c r="I463" s="223">
        <v>46295</v>
      </c>
      <c r="J463" s="3">
        <v>88</v>
      </c>
      <c r="K463" s="3" t="s">
        <v>10</v>
      </c>
      <c r="L463" s="3" t="s">
        <v>10</v>
      </c>
      <c r="M463" s="95" t="s">
        <v>2555</v>
      </c>
      <c r="N463" s="3" t="s">
        <v>52</v>
      </c>
      <c r="O463" s="3" t="s">
        <v>651</v>
      </c>
      <c r="P463" s="3" t="s">
        <v>6</v>
      </c>
      <c r="Q463" s="3" t="s">
        <v>6</v>
      </c>
      <c r="R463" s="95" t="s">
        <v>652</v>
      </c>
      <c r="S463" s="223" t="s">
        <v>5</v>
      </c>
      <c r="T463" s="223" t="s">
        <v>5</v>
      </c>
      <c r="U463" s="223" t="s">
        <v>5</v>
      </c>
      <c r="V463" s="223" t="s">
        <v>5</v>
      </c>
      <c r="W463" s="223" t="s">
        <v>5</v>
      </c>
      <c r="X463" s="3" t="s">
        <v>5</v>
      </c>
      <c r="Y463" s="3" t="s">
        <v>651</v>
      </c>
      <c r="Z463" s="3" t="s">
        <v>651</v>
      </c>
      <c r="AA463" s="3" t="s">
        <v>6</v>
      </c>
      <c r="AB463" s="223">
        <v>44197</v>
      </c>
      <c r="AC463" s="3" t="s">
        <v>10</v>
      </c>
      <c r="AD463" s="3" t="s">
        <v>6</v>
      </c>
      <c r="AE463" s="95" t="s">
        <v>2265</v>
      </c>
    </row>
    <row r="464" spans="1:31" x14ac:dyDescent="0.35">
      <c r="A464" s="3" t="s">
        <v>1258</v>
      </c>
      <c r="B464" s="3" t="s">
        <v>583</v>
      </c>
      <c r="C464" s="3">
        <v>7</v>
      </c>
      <c r="D464" s="95" t="s">
        <v>2849</v>
      </c>
      <c r="E464" s="95" t="s">
        <v>2850</v>
      </c>
      <c r="F464" s="95" t="s">
        <v>651</v>
      </c>
      <c r="G464" s="223">
        <v>45646</v>
      </c>
      <c r="H464" s="223">
        <v>45646</v>
      </c>
      <c r="I464" s="223">
        <v>47471</v>
      </c>
      <c r="J464" s="3" t="s">
        <v>2266</v>
      </c>
      <c r="K464" s="3" t="s">
        <v>10</v>
      </c>
      <c r="L464" s="3" t="s">
        <v>10</v>
      </c>
      <c r="M464" s="95" t="s">
        <v>23</v>
      </c>
      <c r="N464" s="3" t="s">
        <v>239</v>
      </c>
      <c r="O464" s="3" t="s">
        <v>651</v>
      </c>
      <c r="P464" s="3" t="s">
        <v>10</v>
      </c>
      <c r="Q464" s="3" t="s">
        <v>6</v>
      </c>
      <c r="R464" s="95" t="s">
        <v>2267</v>
      </c>
      <c r="S464" s="223" t="s">
        <v>5</v>
      </c>
      <c r="T464" s="223" t="s">
        <v>5</v>
      </c>
      <c r="U464" s="223" t="s">
        <v>5</v>
      </c>
      <c r="V464" s="223" t="s">
        <v>5</v>
      </c>
      <c r="W464" s="223" t="s">
        <v>5</v>
      </c>
      <c r="X464" s="3" t="s">
        <v>5</v>
      </c>
      <c r="Y464" s="3" t="s">
        <v>651</v>
      </c>
      <c r="Z464" s="3" t="s">
        <v>651</v>
      </c>
      <c r="AA464" s="3" t="s">
        <v>651</v>
      </c>
      <c r="AB464" s="223" t="s">
        <v>5</v>
      </c>
      <c r="AC464" s="3" t="s">
        <v>651</v>
      </c>
      <c r="AD464" s="3" t="s">
        <v>651</v>
      </c>
      <c r="AE464" s="95" t="s">
        <v>651</v>
      </c>
    </row>
    <row r="465" spans="1:31" x14ac:dyDescent="0.35">
      <c r="A465" s="3" t="s">
        <v>1259</v>
      </c>
      <c r="B465" s="3" t="s">
        <v>583</v>
      </c>
      <c r="C465" s="3">
        <v>7</v>
      </c>
      <c r="D465" s="95" t="s">
        <v>1260</v>
      </c>
      <c r="E465" s="95" t="s">
        <v>2851</v>
      </c>
      <c r="F465" s="95" t="s">
        <v>651</v>
      </c>
      <c r="G465" s="223">
        <v>44075</v>
      </c>
      <c r="H465" s="223">
        <v>44075</v>
      </c>
      <c r="I465" s="223">
        <v>45900</v>
      </c>
      <c r="J465" s="3" t="s">
        <v>2266</v>
      </c>
      <c r="K465" s="3" t="s">
        <v>10</v>
      </c>
      <c r="L465" s="3" t="s">
        <v>10</v>
      </c>
      <c r="M465" s="95" t="s">
        <v>27</v>
      </c>
      <c r="N465" s="3" t="s">
        <v>239</v>
      </c>
      <c r="O465" s="3" t="s">
        <v>651</v>
      </c>
      <c r="P465" s="3" t="s">
        <v>10</v>
      </c>
      <c r="Q465" s="3" t="s">
        <v>6</v>
      </c>
      <c r="R465" s="95" t="s">
        <v>2267</v>
      </c>
      <c r="S465" s="223" t="s">
        <v>5</v>
      </c>
      <c r="T465" s="223" t="s">
        <v>5</v>
      </c>
      <c r="U465" s="223" t="s">
        <v>5</v>
      </c>
      <c r="V465" s="223" t="s">
        <v>5</v>
      </c>
      <c r="W465" s="223" t="s">
        <v>5</v>
      </c>
      <c r="X465" s="3" t="s">
        <v>5</v>
      </c>
      <c r="Y465" s="3" t="s">
        <v>651</v>
      </c>
      <c r="Z465" s="3" t="s">
        <v>651</v>
      </c>
      <c r="AA465" s="3" t="s">
        <v>651</v>
      </c>
      <c r="AB465" s="223" t="s">
        <v>5</v>
      </c>
      <c r="AC465" s="3" t="s">
        <v>651</v>
      </c>
      <c r="AD465" s="3" t="s">
        <v>651</v>
      </c>
      <c r="AE465" s="95" t="s">
        <v>651</v>
      </c>
    </row>
    <row r="466" spans="1:31" x14ac:dyDescent="0.35">
      <c r="A466" s="3" t="s">
        <v>1261</v>
      </c>
      <c r="B466" s="3" t="s">
        <v>583</v>
      </c>
      <c r="C466" s="3">
        <v>7</v>
      </c>
      <c r="D466" s="95" t="s">
        <v>2852</v>
      </c>
      <c r="E466" s="95" t="s">
        <v>2853</v>
      </c>
      <c r="F466" s="95" t="s">
        <v>651</v>
      </c>
      <c r="G466" s="223">
        <v>44136</v>
      </c>
      <c r="H466" s="223">
        <v>44136</v>
      </c>
      <c r="I466" s="223">
        <v>45961</v>
      </c>
      <c r="J466" s="3" t="s">
        <v>2266</v>
      </c>
      <c r="K466" s="3" t="s">
        <v>10</v>
      </c>
      <c r="L466" s="3" t="s">
        <v>10</v>
      </c>
      <c r="M466" s="95" t="s">
        <v>27</v>
      </c>
      <c r="N466" s="3" t="s">
        <v>28</v>
      </c>
      <c r="O466" s="3" t="s">
        <v>651</v>
      </c>
      <c r="P466" s="3" t="s">
        <v>10</v>
      </c>
      <c r="Q466" s="3" t="s">
        <v>6</v>
      </c>
      <c r="R466" s="95" t="s">
        <v>2267</v>
      </c>
      <c r="S466" s="223" t="s">
        <v>5</v>
      </c>
      <c r="T466" s="223" t="s">
        <v>5</v>
      </c>
      <c r="U466" s="223" t="s">
        <v>5</v>
      </c>
      <c r="V466" s="223" t="s">
        <v>5</v>
      </c>
      <c r="W466" s="223" t="s">
        <v>5</v>
      </c>
      <c r="X466" s="3" t="s">
        <v>5</v>
      </c>
      <c r="Y466" s="3" t="s">
        <v>651</v>
      </c>
      <c r="Z466" s="3" t="s">
        <v>651</v>
      </c>
      <c r="AA466" s="3" t="s">
        <v>651</v>
      </c>
      <c r="AB466" s="223" t="s">
        <v>5</v>
      </c>
      <c r="AC466" s="3" t="s">
        <v>651</v>
      </c>
      <c r="AD466" s="3" t="s">
        <v>651</v>
      </c>
      <c r="AE466" s="95" t="s">
        <v>651</v>
      </c>
    </row>
    <row r="467" spans="1:31" x14ac:dyDescent="0.35">
      <c r="A467" s="3" t="s">
        <v>1262</v>
      </c>
      <c r="B467" s="3" t="s">
        <v>583</v>
      </c>
      <c r="C467" s="3">
        <v>7</v>
      </c>
      <c r="D467" s="95" t="s">
        <v>2854</v>
      </c>
      <c r="E467" s="95" t="s">
        <v>2855</v>
      </c>
      <c r="F467" s="95" t="s">
        <v>651</v>
      </c>
      <c r="G467" s="223">
        <v>44691</v>
      </c>
      <c r="H467" s="223">
        <v>44691</v>
      </c>
      <c r="I467" s="223">
        <v>46516</v>
      </c>
      <c r="J467" s="3" t="s">
        <v>2266</v>
      </c>
      <c r="K467" s="3" t="s">
        <v>10</v>
      </c>
      <c r="L467" s="3" t="s">
        <v>10</v>
      </c>
      <c r="M467" s="95" t="s">
        <v>27</v>
      </c>
      <c r="N467" s="3" t="s">
        <v>28</v>
      </c>
      <c r="O467" s="3" t="s">
        <v>651</v>
      </c>
      <c r="P467" s="3" t="s">
        <v>10</v>
      </c>
      <c r="Q467" s="3" t="s">
        <v>6</v>
      </c>
      <c r="R467" s="95" t="s">
        <v>2267</v>
      </c>
      <c r="S467" s="223" t="s">
        <v>5</v>
      </c>
      <c r="T467" s="223" t="s">
        <v>5</v>
      </c>
      <c r="U467" s="223" t="s">
        <v>5</v>
      </c>
      <c r="V467" s="223" t="s">
        <v>5</v>
      </c>
      <c r="W467" s="223" t="s">
        <v>5</v>
      </c>
      <c r="X467" s="3" t="s">
        <v>5</v>
      </c>
      <c r="Y467" s="3" t="s">
        <v>651</v>
      </c>
      <c r="Z467" s="3" t="s">
        <v>651</v>
      </c>
      <c r="AA467" s="3" t="s">
        <v>651</v>
      </c>
      <c r="AB467" s="223" t="s">
        <v>5</v>
      </c>
      <c r="AC467" s="3" t="s">
        <v>651</v>
      </c>
      <c r="AD467" s="3" t="s">
        <v>651</v>
      </c>
      <c r="AE467" s="95" t="s">
        <v>651</v>
      </c>
    </row>
    <row r="468" spans="1:31" x14ac:dyDescent="0.35">
      <c r="A468" s="3" t="s">
        <v>1263</v>
      </c>
      <c r="B468" s="3" t="s">
        <v>583</v>
      </c>
      <c r="C468" s="3">
        <v>7</v>
      </c>
      <c r="D468" s="95" t="s">
        <v>1264</v>
      </c>
      <c r="E468" s="95" t="s">
        <v>2856</v>
      </c>
      <c r="F468" s="95" t="s">
        <v>2805</v>
      </c>
      <c r="G468" s="223">
        <v>45196</v>
      </c>
      <c r="H468" s="223">
        <v>45196</v>
      </c>
      <c r="I468" s="223">
        <v>47022</v>
      </c>
      <c r="J468" s="3">
        <v>5</v>
      </c>
      <c r="K468" s="3" t="s">
        <v>10</v>
      </c>
      <c r="L468" s="3" t="s">
        <v>10</v>
      </c>
      <c r="M468" s="95" t="s">
        <v>27</v>
      </c>
      <c r="N468" s="3" t="s">
        <v>28</v>
      </c>
      <c r="O468" s="3" t="s">
        <v>651</v>
      </c>
      <c r="P468" s="3" t="s">
        <v>6</v>
      </c>
      <c r="Q468" s="3" t="s">
        <v>6</v>
      </c>
      <c r="R468" s="95" t="s">
        <v>652</v>
      </c>
      <c r="S468" s="223" t="s">
        <v>5</v>
      </c>
      <c r="T468" s="223" t="s">
        <v>5</v>
      </c>
      <c r="U468" s="223" t="s">
        <v>5</v>
      </c>
      <c r="V468" s="223" t="s">
        <v>5</v>
      </c>
      <c r="W468" s="223" t="s">
        <v>5</v>
      </c>
      <c r="X468" s="3" t="s">
        <v>5</v>
      </c>
      <c r="Y468" s="3" t="s">
        <v>651</v>
      </c>
      <c r="Z468" s="3" t="s">
        <v>651</v>
      </c>
      <c r="AA468" s="3" t="s">
        <v>6</v>
      </c>
      <c r="AB468" s="223">
        <v>44197</v>
      </c>
      <c r="AC468" s="3" t="s">
        <v>6</v>
      </c>
      <c r="AD468" s="3" t="s">
        <v>10</v>
      </c>
      <c r="AE468" s="95" t="s">
        <v>2263</v>
      </c>
    </row>
    <row r="469" spans="1:31" x14ac:dyDescent="0.35">
      <c r="A469" s="3" t="s">
        <v>1265</v>
      </c>
      <c r="B469" s="3" t="s">
        <v>583</v>
      </c>
      <c r="C469" s="3">
        <v>7</v>
      </c>
      <c r="D469" s="95" t="s">
        <v>1266</v>
      </c>
      <c r="E469" s="95" t="s">
        <v>2857</v>
      </c>
      <c r="F469" s="95" t="s">
        <v>651</v>
      </c>
      <c r="G469" s="223">
        <v>45272</v>
      </c>
      <c r="H469" s="223">
        <v>45272</v>
      </c>
      <c r="I469" s="223">
        <v>47098</v>
      </c>
      <c r="J469" s="3" t="s">
        <v>2266</v>
      </c>
      <c r="K469" s="3" t="s">
        <v>10</v>
      </c>
      <c r="L469" s="3" t="s">
        <v>10</v>
      </c>
      <c r="M469" s="95" t="s">
        <v>27</v>
      </c>
      <c r="N469" s="3" t="s">
        <v>28</v>
      </c>
      <c r="O469" s="3" t="s">
        <v>651</v>
      </c>
      <c r="P469" s="3" t="s">
        <v>10</v>
      </c>
      <c r="Q469" s="3" t="s">
        <v>6</v>
      </c>
      <c r="R469" s="95" t="s">
        <v>2267</v>
      </c>
      <c r="S469" s="223" t="s">
        <v>5</v>
      </c>
      <c r="T469" s="223" t="s">
        <v>5</v>
      </c>
      <c r="U469" s="223" t="s">
        <v>5</v>
      </c>
      <c r="V469" s="223" t="s">
        <v>5</v>
      </c>
      <c r="W469" s="223" t="s">
        <v>5</v>
      </c>
      <c r="X469" s="3" t="s">
        <v>5</v>
      </c>
      <c r="Y469" s="3" t="s">
        <v>651</v>
      </c>
      <c r="Z469" s="3" t="s">
        <v>651</v>
      </c>
      <c r="AA469" s="3" t="s">
        <v>651</v>
      </c>
      <c r="AB469" s="223" t="s">
        <v>5</v>
      </c>
      <c r="AC469" s="3" t="s">
        <v>651</v>
      </c>
      <c r="AD469" s="3" t="s">
        <v>651</v>
      </c>
      <c r="AE469" s="95" t="s">
        <v>651</v>
      </c>
    </row>
    <row r="470" spans="1:31" x14ac:dyDescent="0.35">
      <c r="A470" s="3" t="s">
        <v>1267</v>
      </c>
      <c r="B470" s="3" t="s">
        <v>583</v>
      </c>
      <c r="C470" s="3">
        <v>7</v>
      </c>
      <c r="D470" s="95" t="s">
        <v>3129</v>
      </c>
      <c r="E470" s="95" t="s">
        <v>2858</v>
      </c>
      <c r="F470" s="95" t="s">
        <v>651</v>
      </c>
      <c r="G470" s="223">
        <v>44896</v>
      </c>
      <c r="H470" s="223">
        <v>44896</v>
      </c>
      <c r="I470" s="223">
        <v>46721</v>
      </c>
      <c r="J470" s="3" t="s">
        <v>2266</v>
      </c>
      <c r="K470" s="3" t="s">
        <v>10</v>
      </c>
      <c r="L470" s="3" t="s">
        <v>10</v>
      </c>
      <c r="M470" s="95" t="s">
        <v>27</v>
      </c>
      <c r="N470" s="3" t="s">
        <v>28</v>
      </c>
      <c r="O470" s="3" t="s">
        <v>651</v>
      </c>
      <c r="P470" s="3" t="s">
        <v>10</v>
      </c>
      <c r="Q470" s="3" t="s">
        <v>6</v>
      </c>
      <c r="R470" s="95" t="s">
        <v>2267</v>
      </c>
      <c r="S470" s="223" t="s">
        <v>5</v>
      </c>
      <c r="T470" s="223" t="s">
        <v>5</v>
      </c>
      <c r="U470" s="223" t="s">
        <v>5</v>
      </c>
      <c r="V470" s="223" t="s">
        <v>5</v>
      </c>
      <c r="W470" s="223" t="s">
        <v>5</v>
      </c>
      <c r="X470" s="3" t="s">
        <v>5</v>
      </c>
      <c r="Y470" s="3" t="s">
        <v>651</v>
      </c>
      <c r="Z470" s="3" t="s">
        <v>651</v>
      </c>
      <c r="AA470" s="3" t="s">
        <v>651</v>
      </c>
      <c r="AB470" s="223" t="s">
        <v>5</v>
      </c>
      <c r="AC470" s="3" t="s">
        <v>651</v>
      </c>
      <c r="AD470" s="3" t="s">
        <v>651</v>
      </c>
      <c r="AE470" s="95" t="s">
        <v>651</v>
      </c>
    </row>
    <row r="471" spans="1:31" x14ac:dyDescent="0.35">
      <c r="A471" s="3" t="s">
        <v>1268</v>
      </c>
      <c r="B471" s="3" t="s">
        <v>583</v>
      </c>
      <c r="C471" s="3">
        <v>7</v>
      </c>
      <c r="D471" s="95" t="s">
        <v>1269</v>
      </c>
      <c r="E471" s="95" t="s">
        <v>2859</v>
      </c>
      <c r="F471" s="95" t="s">
        <v>2805</v>
      </c>
      <c r="G471" s="223">
        <v>44893</v>
      </c>
      <c r="H471" s="223">
        <v>44893</v>
      </c>
      <c r="I471" s="223">
        <v>46718</v>
      </c>
      <c r="J471" s="3">
        <v>19</v>
      </c>
      <c r="K471" s="3" t="s">
        <v>10</v>
      </c>
      <c r="L471" s="3" t="s">
        <v>10</v>
      </c>
      <c r="M471" s="95" t="s">
        <v>27</v>
      </c>
      <c r="N471" s="3" t="s">
        <v>28</v>
      </c>
      <c r="O471" s="3" t="s">
        <v>651</v>
      </c>
      <c r="P471" s="3" t="s">
        <v>6</v>
      </c>
      <c r="Q471" s="3" t="s">
        <v>6</v>
      </c>
      <c r="R471" s="95" t="s">
        <v>652</v>
      </c>
      <c r="S471" s="223" t="s">
        <v>5</v>
      </c>
      <c r="T471" s="223" t="s">
        <v>5</v>
      </c>
      <c r="U471" s="223" t="s">
        <v>5</v>
      </c>
      <c r="V471" s="223" t="s">
        <v>5</v>
      </c>
      <c r="W471" s="223" t="s">
        <v>5</v>
      </c>
      <c r="X471" s="3" t="s">
        <v>5</v>
      </c>
      <c r="Y471" s="3" t="s">
        <v>651</v>
      </c>
      <c r="Z471" s="3" t="s">
        <v>651</v>
      </c>
      <c r="AA471" s="3" t="s">
        <v>6</v>
      </c>
      <c r="AB471" s="223">
        <v>44197</v>
      </c>
      <c r="AC471" s="3" t="s">
        <v>6</v>
      </c>
      <c r="AD471" s="3" t="s">
        <v>10</v>
      </c>
      <c r="AE471" s="95" t="s">
        <v>2263</v>
      </c>
    </row>
    <row r="472" spans="1:31" x14ac:dyDescent="0.35">
      <c r="A472" s="3" t="s">
        <v>1270</v>
      </c>
      <c r="B472" s="3" t="s">
        <v>583</v>
      </c>
      <c r="C472" s="3">
        <v>7</v>
      </c>
      <c r="D472" s="95" t="s">
        <v>1271</v>
      </c>
      <c r="E472" s="95" t="s">
        <v>2860</v>
      </c>
      <c r="F472" s="95" t="s">
        <v>651</v>
      </c>
      <c r="G472" s="223">
        <v>45566</v>
      </c>
      <c r="H472" s="223">
        <v>45566</v>
      </c>
      <c r="I472" s="223">
        <v>47391</v>
      </c>
      <c r="J472" s="3" t="s">
        <v>2266</v>
      </c>
      <c r="K472" s="3" t="s">
        <v>10</v>
      </c>
      <c r="L472" s="3" t="s">
        <v>10</v>
      </c>
      <c r="M472" s="95" t="s">
        <v>27</v>
      </c>
      <c r="N472" s="3" t="s">
        <v>28</v>
      </c>
      <c r="O472" s="3" t="s">
        <v>651</v>
      </c>
      <c r="P472" s="3" t="s">
        <v>10</v>
      </c>
      <c r="Q472" s="3" t="s">
        <v>6</v>
      </c>
      <c r="R472" s="95" t="s">
        <v>2267</v>
      </c>
      <c r="S472" s="223" t="s">
        <v>5</v>
      </c>
      <c r="T472" s="223" t="s">
        <v>5</v>
      </c>
      <c r="U472" s="223" t="s">
        <v>5</v>
      </c>
      <c r="V472" s="223" t="s">
        <v>5</v>
      </c>
      <c r="W472" s="223" t="s">
        <v>5</v>
      </c>
      <c r="X472" s="3" t="s">
        <v>5</v>
      </c>
      <c r="Y472" s="3" t="s">
        <v>651</v>
      </c>
      <c r="Z472" s="3" t="s">
        <v>651</v>
      </c>
      <c r="AA472" s="3" t="s">
        <v>651</v>
      </c>
      <c r="AB472" s="223" t="s">
        <v>5</v>
      </c>
      <c r="AC472" s="3" t="s">
        <v>651</v>
      </c>
      <c r="AD472" s="3" t="s">
        <v>651</v>
      </c>
      <c r="AE472" s="95" t="s">
        <v>651</v>
      </c>
    </row>
    <row r="473" spans="1:31" x14ac:dyDescent="0.35">
      <c r="A473" s="3" t="s">
        <v>1272</v>
      </c>
      <c r="B473" s="3" t="s">
        <v>583</v>
      </c>
      <c r="C473" s="3">
        <v>7</v>
      </c>
      <c r="D473" s="95" t="s">
        <v>3126</v>
      </c>
      <c r="E473" s="95" t="s">
        <v>2861</v>
      </c>
      <c r="F473" s="95" t="s">
        <v>2805</v>
      </c>
      <c r="G473" s="223">
        <v>44470</v>
      </c>
      <c r="H473" s="223">
        <v>44470</v>
      </c>
      <c r="I473" s="223">
        <v>46295</v>
      </c>
      <c r="J473" s="3">
        <v>5</v>
      </c>
      <c r="K473" s="3" t="s">
        <v>10</v>
      </c>
      <c r="L473" s="3" t="s">
        <v>10</v>
      </c>
      <c r="M473" s="95" t="s">
        <v>27</v>
      </c>
      <c r="N473" s="3" t="s">
        <v>52</v>
      </c>
      <c r="O473" s="3" t="s">
        <v>651</v>
      </c>
      <c r="P473" s="3" t="s">
        <v>6</v>
      </c>
      <c r="Q473" s="3" t="s">
        <v>6</v>
      </c>
      <c r="R473" s="95" t="s">
        <v>652</v>
      </c>
      <c r="S473" s="223" t="s">
        <v>5</v>
      </c>
      <c r="T473" s="223" t="s">
        <v>5</v>
      </c>
      <c r="U473" s="223" t="s">
        <v>5</v>
      </c>
      <c r="V473" s="223" t="s">
        <v>5</v>
      </c>
      <c r="W473" s="223" t="s">
        <v>5</v>
      </c>
      <c r="X473" s="3" t="s">
        <v>5</v>
      </c>
      <c r="Y473" s="3" t="s">
        <v>651</v>
      </c>
      <c r="Z473" s="3" t="s">
        <v>651</v>
      </c>
      <c r="AA473" s="3" t="s">
        <v>6</v>
      </c>
      <c r="AB473" s="223">
        <v>44197</v>
      </c>
      <c r="AC473" s="3" t="s">
        <v>10</v>
      </c>
      <c r="AD473" s="3" t="s">
        <v>6</v>
      </c>
      <c r="AE473" s="95" t="s">
        <v>2265</v>
      </c>
    </row>
    <row r="474" spans="1:31" x14ac:dyDescent="0.35">
      <c r="A474" s="3" t="s">
        <v>1273</v>
      </c>
      <c r="B474" s="3" t="s">
        <v>583</v>
      </c>
      <c r="C474" s="3">
        <v>7</v>
      </c>
      <c r="D474" s="95" t="s">
        <v>3128</v>
      </c>
      <c r="E474" s="95" t="s">
        <v>2862</v>
      </c>
      <c r="F474" s="95" t="s">
        <v>2805</v>
      </c>
      <c r="G474" s="223">
        <v>44747</v>
      </c>
      <c r="H474" s="223">
        <v>44747</v>
      </c>
      <c r="I474" s="223">
        <v>46572</v>
      </c>
      <c r="J474" s="3">
        <v>28</v>
      </c>
      <c r="K474" s="3" t="s">
        <v>10</v>
      </c>
      <c r="L474" s="3" t="s">
        <v>10</v>
      </c>
      <c r="M474" s="95" t="s">
        <v>27</v>
      </c>
      <c r="N474" s="3" t="s">
        <v>24</v>
      </c>
      <c r="O474" s="3" t="s">
        <v>651</v>
      </c>
      <c r="P474" s="3" t="s">
        <v>6</v>
      </c>
      <c r="Q474" s="3" t="s">
        <v>6</v>
      </c>
      <c r="R474" s="95" t="s">
        <v>652</v>
      </c>
      <c r="S474" s="223" t="s">
        <v>5</v>
      </c>
      <c r="T474" s="223" t="s">
        <v>5</v>
      </c>
      <c r="U474" s="223" t="s">
        <v>5</v>
      </c>
      <c r="V474" s="223" t="s">
        <v>5</v>
      </c>
      <c r="W474" s="223" t="s">
        <v>5</v>
      </c>
      <c r="X474" s="3" t="s">
        <v>5</v>
      </c>
      <c r="Y474" s="3" t="s">
        <v>651</v>
      </c>
      <c r="Z474" s="3" t="s">
        <v>651</v>
      </c>
      <c r="AA474" s="3" t="s">
        <v>6</v>
      </c>
      <c r="AB474" s="223">
        <v>44197</v>
      </c>
      <c r="AC474" s="3" t="s">
        <v>10</v>
      </c>
      <c r="AD474" s="3" t="s">
        <v>10</v>
      </c>
      <c r="AE474" s="95" t="s">
        <v>2263</v>
      </c>
    </row>
    <row r="475" spans="1:31" x14ac:dyDescent="0.35">
      <c r="A475" s="3" t="s">
        <v>1274</v>
      </c>
      <c r="B475" s="3" t="s">
        <v>583</v>
      </c>
      <c r="C475" s="3">
        <v>7</v>
      </c>
      <c r="D475" s="95" t="s">
        <v>2863</v>
      </c>
      <c r="E475" s="95" t="s">
        <v>2864</v>
      </c>
      <c r="F475" s="95" t="s">
        <v>651</v>
      </c>
      <c r="G475" s="223">
        <v>45222</v>
      </c>
      <c r="H475" s="223">
        <v>45222</v>
      </c>
      <c r="I475" s="223">
        <v>47048</v>
      </c>
      <c r="J475" s="3" t="s">
        <v>2266</v>
      </c>
      <c r="K475" s="3" t="s">
        <v>10</v>
      </c>
      <c r="L475" s="3" t="s">
        <v>10</v>
      </c>
      <c r="M475" s="95" t="s">
        <v>27</v>
      </c>
      <c r="N475" s="3" t="s">
        <v>28</v>
      </c>
      <c r="O475" s="3" t="s">
        <v>651</v>
      </c>
      <c r="P475" s="3" t="s">
        <v>10</v>
      </c>
      <c r="Q475" s="3" t="s">
        <v>6</v>
      </c>
      <c r="R475" s="95" t="s">
        <v>2267</v>
      </c>
      <c r="S475" s="223" t="s">
        <v>5</v>
      </c>
      <c r="T475" s="223" t="s">
        <v>5</v>
      </c>
      <c r="U475" s="223" t="s">
        <v>5</v>
      </c>
      <c r="V475" s="223" t="s">
        <v>5</v>
      </c>
      <c r="W475" s="223" t="s">
        <v>5</v>
      </c>
      <c r="X475" s="3" t="s">
        <v>5</v>
      </c>
      <c r="Y475" s="3" t="s">
        <v>651</v>
      </c>
      <c r="Z475" s="3" t="s">
        <v>651</v>
      </c>
      <c r="AA475" s="3" t="s">
        <v>651</v>
      </c>
      <c r="AB475" s="223" t="s">
        <v>5</v>
      </c>
      <c r="AC475" s="3" t="s">
        <v>651</v>
      </c>
      <c r="AD475" s="3" t="s">
        <v>651</v>
      </c>
      <c r="AE475" s="95" t="s">
        <v>651</v>
      </c>
    </row>
    <row r="476" spans="1:31" x14ac:dyDescent="0.35">
      <c r="A476" s="3" t="s">
        <v>1275</v>
      </c>
      <c r="B476" s="3" t="s">
        <v>583</v>
      </c>
      <c r="C476" s="3">
        <v>7</v>
      </c>
      <c r="D476" s="95" t="s">
        <v>2865</v>
      </c>
      <c r="E476" s="95" t="s">
        <v>2866</v>
      </c>
      <c r="F476" s="95" t="s">
        <v>651</v>
      </c>
      <c r="G476" s="223">
        <v>45545</v>
      </c>
      <c r="H476" s="223">
        <v>45545</v>
      </c>
      <c r="I476" s="223">
        <v>47370</v>
      </c>
      <c r="J476" s="3" t="s">
        <v>2266</v>
      </c>
      <c r="K476" s="3" t="s">
        <v>10</v>
      </c>
      <c r="L476" s="3" t="s">
        <v>10</v>
      </c>
      <c r="M476" s="95" t="s">
        <v>27</v>
      </c>
      <c r="N476" s="3" t="s">
        <v>28</v>
      </c>
      <c r="O476" s="3" t="s">
        <v>651</v>
      </c>
      <c r="P476" s="3" t="s">
        <v>10</v>
      </c>
      <c r="Q476" s="3" t="s">
        <v>6</v>
      </c>
      <c r="R476" s="95" t="s">
        <v>2267</v>
      </c>
      <c r="S476" s="223" t="s">
        <v>5</v>
      </c>
      <c r="T476" s="223" t="s">
        <v>5</v>
      </c>
      <c r="U476" s="223" t="s">
        <v>5</v>
      </c>
      <c r="V476" s="223" t="s">
        <v>5</v>
      </c>
      <c r="W476" s="223" t="s">
        <v>5</v>
      </c>
      <c r="X476" s="3" t="s">
        <v>5</v>
      </c>
      <c r="Y476" s="3" t="s">
        <v>651</v>
      </c>
      <c r="Z476" s="3" t="s">
        <v>651</v>
      </c>
      <c r="AA476" s="3" t="s">
        <v>651</v>
      </c>
      <c r="AB476" s="223" t="s">
        <v>5</v>
      </c>
      <c r="AC476" s="3" t="s">
        <v>651</v>
      </c>
      <c r="AD476" s="3" t="s">
        <v>651</v>
      </c>
      <c r="AE476" s="95" t="s">
        <v>651</v>
      </c>
    </row>
    <row r="477" spans="1:31" x14ac:dyDescent="0.35">
      <c r="A477" s="3" t="s">
        <v>1276</v>
      </c>
      <c r="B477" s="3" t="s">
        <v>583</v>
      </c>
      <c r="C477" s="3">
        <v>7</v>
      </c>
      <c r="D477" s="95" t="s">
        <v>1277</v>
      </c>
      <c r="E477" s="95" t="s">
        <v>2867</v>
      </c>
      <c r="F477" s="95" t="s">
        <v>2805</v>
      </c>
      <c r="G477" s="223">
        <v>45413</v>
      </c>
      <c r="H477" s="223">
        <v>45413</v>
      </c>
      <c r="I477" s="223">
        <v>47238</v>
      </c>
      <c r="J477" s="3">
        <v>31</v>
      </c>
      <c r="K477" s="3" t="s">
        <v>10</v>
      </c>
      <c r="L477" s="3" t="s">
        <v>10</v>
      </c>
      <c r="M477" s="95" t="s">
        <v>23</v>
      </c>
      <c r="N477" s="3" t="s">
        <v>28</v>
      </c>
      <c r="O477" s="3" t="s">
        <v>651</v>
      </c>
      <c r="P477" s="3" t="s">
        <v>6</v>
      </c>
      <c r="Q477" s="3" t="s">
        <v>6</v>
      </c>
      <c r="R477" s="95" t="s">
        <v>652</v>
      </c>
      <c r="S477" s="223" t="s">
        <v>5</v>
      </c>
      <c r="T477" s="223" t="s">
        <v>5</v>
      </c>
      <c r="U477" s="223" t="s">
        <v>5</v>
      </c>
      <c r="V477" s="223" t="s">
        <v>5</v>
      </c>
      <c r="W477" s="223" t="s">
        <v>5</v>
      </c>
      <c r="X477" s="3" t="s">
        <v>5</v>
      </c>
      <c r="Y477" s="3" t="s">
        <v>651</v>
      </c>
      <c r="Z477" s="3" t="s">
        <v>651</v>
      </c>
      <c r="AA477" s="3" t="s">
        <v>6</v>
      </c>
      <c r="AB477" s="223">
        <v>44197</v>
      </c>
      <c r="AC477" s="3" t="s">
        <v>6</v>
      </c>
      <c r="AD477" s="3" t="s">
        <v>10</v>
      </c>
      <c r="AE477" s="95" t="s">
        <v>2263</v>
      </c>
    </row>
    <row r="478" spans="1:31" x14ac:dyDescent="0.35">
      <c r="A478" s="3" t="s">
        <v>1278</v>
      </c>
      <c r="B478" s="3" t="s">
        <v>583</v>
      </c>
      <c r="C478" s="3">
        <v>7</v>
      </c>
      <c r="D478" s="95" t="s">
        <v>1279</v>
      </c>
      <c r="E478" s="95" t="s">
        <v>2868</v>
      </c>
      <c r="F478" s="95" t="s">
        <v>651</v>
      </c>
      <c r="G478" s="223">
        <v>44600</v>
      </c>
      <c r="H478" s="223">
        <v>44600</v>
      </c>
      <c r="I478" s="223">
        <v>46425</v>
      </c>
      <c r="J478" s="3" t="s">
        <v>2266</v>
      </c>
      <c r="K478" s="3" t="s">
        <v>10</v>
      </c>
      <c r="L478" s="3" t="s">
        <v>10</v>
      </c>
      <c r="M478" s="95" t="s">
        <v>23</v>
      </c>
      <c r="N478" s="3" t="s">
        <v>24</v>
      </c>
      <c r="O478" s="3" t="s">
        <v>651</v>
      </c>
      <c r="P478" s="3" t="s">
        <v>10</v>
      </c>
      <c r="Q478" s="3" t="s">
        <v>6</v>
      </c>
      <c r="R478" s="95" t="s">
        <v>2267</v>
      </c>
      <c r="S478" s="223" t="s">
        <v>5</v>
      </c>
      <c r="T478" s="223" t="s">
        <v>5</v>
      </c>
      <c r="U478" s="223" t="s">
        <v>5</v>
      </c>
      <c r="V478" s="223" t="s">
        <v>5</v>
      </c>
      <c r="W478" s="223" t="s">
        <v>5</v>
      </c>
      <c r="X478" s="3" t="s">
        <v>5</v>
      </c>
      <c r="Y478" s="3" t="s">
        <v>651</v>
      </c>
      <c r="Z478" s="3" t="s">
        <v>651</v>
      </c>
      <c r="AA478" s="3" t="s">
        <v>651</v>
      </c>
      <c r="AB478" s="223" t="s">
        <v>5</v>
      </c>
      <c r="AC478" s="3" t="s">
        <v>651</v>
      </c>
      <c r="AD478" s="3" t="s">
        <v>651</v>
      </c>
      <c r="AE478" s="95" t="s">
        <v>651</v>
      </c>
    </row>
    <row r="479" spans="1:31" x14ac:dyDescent="0.35">
      <c r="A479" s="3" t="s">
        <v>2869</v>
      </c>
      <c r="B479" s="3" t="s">
        <v>222</v>
      </c>
      <c r="C479" s="3">
        <v>9</v>
      </c>
      <c r="D479" s="95" t="s">
        <v>3154</v>
      </c>
      <c r="E479" s="95" t="s">
        <v>422</v>
      </c>
      <c r="F479" s="95" t="s">
        <v>437</v>
      </c>
      <c r="G479" s="223">
        <v>44455</v>
      </c>
      <c r="H479" s="223">
        <v>44500</v>
      </c>
      <c r="I479" s="223">
        <v>46326</v>
      </c>
      <c r="J479" s="3">
        <v>0</v>
      </c>
      <c r="K479" s="3" t="s">
        <v>6</v>
      </c>
      <c r="L479" s="3" t="s">
        <v>6</v>
      </c>
      <c r="M479" s="95" t="s">
        <v>19</v>
      </c>
      <c r="N479" s="3" t="s">
        <v>20</v>
      </c>
      <c r="O479" s="3" t="s">
        <v>21</v>
      </c>
      <c r="P479" s="3" t="s">
        <v>6</v>
      </c>
      <c r="Q479" s="3" t="s">
        <v>6</v>
      </c>
      <c r="R479" s="95" t="s">
        <v>22</v>
      </c>
      <c r="S479" s="223">
        <v>43675</v>
      </c>
      <c r="T479" s="223">
        <v>43756</v>
      </c>
      <c r="U479" s="223">
        <v>43647</v>
      </c>
      <c r="V479" s="223">
        <v>43647</v>
      </c>
      <c r="W479" s="223" t="s">
        <v>6</v>
      </c>
      <c r="X479" s="3" t="s">
        <v>26</v>
      </c>
      <c r="Y479" s="3" t="s">
        <v>2116</v>
      </c>
      <c r="Z479" s="3" t="s">
        <v>20</v>
      </c>
      <c r="AA479" s="3" t="s">
        <v>6</v>
      </c>
      <c r="AB479" s="223">
        <v>44442</v>
      </c>
      <c r="AC479" s="3" t="s">
        <v>10</v>
      </c>
      <c r="AD479" s="3" t="s">
        <v>10</v>
      </c>
      <c r="AE479" s="95" t="s">
        <v>2263</v>
      </c>
    </row>
    <row r="480" spans="1:31" x14ac:dyDescent="0.35">
      <c r="A480" s="3" t="s">
        <v>221</v>
      </c>
      <c r="B480" s="3" t="s">
        <v>222</v>
      </c>
      <c r="C480" s="3">
        <v>9</v>
      </c>
      <c r="D480" s="95" t="s">
        <v>223</v>
      </c>
      <c r="E480" s="95" t="s">
        <v>2272</v>
      </c>
      <c r="F480" s="95" t="s">
        <v>437</v>
      </c>
      <c r="G480" s="223">
        <v>44211</v>
      </c>
      <c r="H480" s="223">
        <v>44256</v>
      </c>
      <c r="I480" s="223">
        <v>46081</v>
      </c>
      <c r="J480" s="3">
        <v>0</v>
      </c>
      <c r="K480" s="3" t="s">
        <v>6</v>
      </c>
      <c r="L480" s="3" t="s">
        <v>6</v>
      </c>
      <c r="M480" s="95" t="s">
        <v>27</v>
      </c>
      <c r="N480" s="3" t="s">
        <v>28</v>
      </c>
      <c r="O480" s="3" t="s">
        <v>25</v>
      </c>
      <c r="P480" s="3" t="s">
        <v>6</v>
      </c>
      <c r="Q480" s="3" t="s">
        <v>6</v>
      </c>
      <c r="R480" s="95" t="s">
        <v>22</v>
      </c>
      <c r="S480" s="223">
        <v>43374</v>
      </c>
      <c r="T480" s="223">
        <v>43553</v>
      </c>
      <c r="U480" s="223">
        <v>43009</v>
      </c>
      <c r="V480" s="223">
        <v>43009</v>
      </c>
      <c r="W480" s="223" t="s">
        <v>6</v>
      </c>
      <c r="X480" s="3" t="s">
        <v>26</v>
      </c>
      <c r="Y480" s="3" t="s">
        <v>2100</v>
      </c>
      <c r="Z480" s="3" t="s">
        <v>28</v>
      </c>
      <c r="AA480" s="3" t="s">
        <v>6</v>
      </c>
      <c r="AB480" s="223">
        <v>42159</v>
      </c>
      <c r="AC480" s="3" t="s">
        <v>6</v>
      </c>
      <c r="AD480" s="3" t="s">
        <v>10</v>
      </c>
      <c r="AE480" s="95" t="s">
        <v>2263</v>
      </c>
    </row>
    <row r="481" spans="1:31" x14ac:dyDescent="0.35">
      <c r="A481" s="3" t="s">
        <v>224</v>
      </c>
      <c r="B481" s="3" t="s">
        <v>222</v>
      </c>
      <c r="C481" s="3">
        <v>9</v>
      </c>
      <c r="D481" s="95" t="s">
        <v>1971</v>
      </c>
      <c r="E481" s="95" t="s">
        <v>1912</v>
      </c>
      <c r="F481" s="95" t="s">
        <v>437</v>
      </c>
      <c r="G481" s="223">
        <v>44609</v>
      </c>
      <c r="H481" s="223">
        <v>44609</v>
      </c>
      <c r="I481" s="223">
        <v>46434</v>
      </c>
      <c r="J481" s="3">
        <v>21</v>
      </c>
      <c r="K481" s="3" t="s">
        <v>6</v>
      </c>
      <c r="L481" s="3" t="s">
        <v>6</v>
      </c>
      <c r="M481" s="95" t="s">
        <v>23</v>
      </c>
      <c r="N481" s="3" t="s">
        <v>24</v>
      </c>
      <c r="O481" s="3" t="s">
        <v>25</v>
      </c>
      <c r="P481" s="3" t="s">
        <v>6</v>
      </c>
      <c r="Q481" s="3" t="s">
        <v>6</v>
      </c>
      <c r="R481" s="95" t="s">
        <v>22</v>
      </c>
      <c r="S481" s="223">
        <v>43374</v>
      </c>
      <c r="T481" s="223">
        <v>43497</v>
      </c>
      <c r="U481" s="223">
        <v>42644</v>
      </c>
      <c r="V481" s="223">
        <v>42644</v>
      </c>
      <c r="W481" s="223" t="s">
        <v>6</v>
      </c>
      <c r="X481" s="3" t="s">
        <v>26</v>
      </c>
      <c r="Y481" s="3" t="s">
        <v>2093</v>
      </c>
      <c r="Z481" s="3" t="s">
        <v>24</v>
      </c>
      <c r="AA481" s="3" t="s">
        <v>6</v>
      </c>
      <c r="AB481" s="223">
        <v>42782</v>
      </c>
      <c r="AC481" s="3" t="s">
        <v>10</v>
      </c>
      <c r="AD481" s="3" t="s">
        <v>10</v>
      </c>
      <c r="AE481" s="95" t="s">
        <v>2263</v>
      </c>
    </row>
    <row r="482" spans="1:31" x14ac:dyDescent="0.35">
      <c r="A482" s="3" t="s">
        <v>225</v>
      </c>
      <c r="B482" s="3" t="s">
        <v>226</v>
      </c>
      <c r="C482" s="3">
        <v>4</v>
      </c>
      <c r="D482" s="95" t="s">
        <v>3155</v>
      </c>
      <c r="E482" s="95" t="s">
        <v>422</v>
      </c>
      <c r="F482" s="95" t="s">
        <v>437</v>
      </c>
      <c r="G482" s="223">
        <v>44455</v>
      </c>
      <c r="H482" s="223">
        <v>44500</v>
      </c>
      <c r="I482" s="223">
        <v>46326</v>
      </c>
      <c r="J482" s="3">
        <v>0</v>
      </c>
      <c r="K482" s="3" t="s">
        <v>6</v>
      </c>
      <c r="L482" s="3" t="s">
        <v>6</v>
      </c>
      <c r="M482" s="95" t="s">
        <v>19</v>
      </c>
      <c r="N482" s="3" t="s">
        <v>20</v>
      </c>
      <c r="O482" s="3" t="s">
        <v>21</v>
      </c>
      <c r="P482" s="3" t="s">
        <v>6</v>
      </c>
      <c r="Q482" s="3" t="s">
        <v>6</v>
      </c>
      <c r="R482" s="95" t="s">
        <v>22</v>
      </c>
      <c r="S482" s="223">
        <v>43675</v>
      </c>
      <c r="T482" s="223">
        <v>43756</v>
      </c>
      <c r="U482" s="223">
        <v>43647</v>
      </c>
      <c r="V482" s="223">
        <v>43647</v>
      </c>
      <c r="W482" s="223" t="s">
        <v>6</v>
      </c>
      <c r="X482" s="3" t="s">
        <v>26</v>
      </c>
      <c r="Y482" s="3" t="s">
        <v>2116</v>
      </c>
      <c r="Z482" s="3" t="s">
        <v>20</v>
      </c>
      <c r="AA482" s="3" t="s">
        <v>6</v>
      </c>
      <c r="AB482" s="223">
        <v>44442</v>
      </c>
      <c r="AC482" s="3" t="s">
        <v>10</v>
      </c>
      <c r="AD482" s="3" t="s">
        <v>10</v>
      </c>
      <c r="AE482" s="95" t="s">
        <v>2263</v>
      </c>
    </row>
    <row r="483" spans="1:31" x14ac:dyDescent="0.35">
      <c r="A483" s="3" t="s">
        <v>227</v>
      </c>
      <c r="B483" s="3" t="s">
        <v>226</v>
      </c>
      <c r="C483" s="3">
        <v>4</v>
      </c>
      <c r="D483" s="95" t="s">
        <v>228</v>
      </c>
      <c r="E483" s="95" t="s">
        <v>229</v>
      </c>
      <c r="F483" s="95" t="s">
        <v>4</v>
      </c>
      <c r="G483" s="223">
        <v>44173</v>
      </c>
      <c r="H483" s="223">
        <v>44173</v>
      </c>
      <c r="I483" s="223">
        <v>45991</v>
      </c>
      <c r="J483" s="3">
        <v>170</v>
      </c>
      <c r="K483" s="3" t="s">
        <v>10</v>
      </c>
      <c r="L483" s="3" t="s">
        <v>6</v>
      </c>
      <c r="M483" s="95" t="s">
        <v>230</v>
      </c>
      <c r="N483" s="3" t="s">
        <v>28</v>
      </c>
      <c r="O483" s="3" t="s">
        <v>25</v>
      </c>
      <c r="P483" s="3" t="s">
        <v>6</v>
      </c>
      <c r="Q483" s="3" t="s">
        <v>6</v>
      </c>
      <c r="R483" s="95" t="s">
        <v>50</v>
      </c>
      <c r="S483" s="223">
        <v>43374</v>
      </c>
      <c r="T483" s="223">
        <v>43553</v>
      </c>
      <c r="U483" s="223">
        <v>43433</v>
      </c>
      <c r="V483" s="223">
        <v>43433</v>
      </c>
      <c r="W483" s="223" t="s">
        <v>6</v>
      </c>
      <c r="X483" s="3" t="s">
        <v>26</v>
      </c>
      <c r="Y483" s="3" t="s">
        <v>2938</v>
      </c>
      <c r="Z483" s="3" t="s">
        <v>28</v>
      </c>
      <c r="AA483" s="3" t="s">
        <v>2372</v>
      </c>
      <c r="AB483" s="223" t="s">
        <v>5</v>
      </c>
      <c r="AC483" s="3" t="s">
        <v>6</v>
      </c>
      <c r="AD483" s="3" t="s">
        <v>10</v>
      </c>
      <c r="AE483" s="95" t="s">
        <v>2263</v>
      </c>
    </row>
    <row r="484" spans="1:31" x14ac:dyDescent="0.35">
      <c r="A484" s="3" t="s">
        <v>231</v>
      </c>
      <c r="B484" s="3" t="s">
        <v>226</v>
      </c>
      <c r="C484" s="3">
        <v>4</v>
      </c>
      <c r="D484" s="95" t="s">
        <v>232</v>
      </c>
      <c r="E484" s="95" t="s">
        <v>233</v>
      </c>
      <c r="F484" s="95" t="s">
        <v>4</v>
      </c>
      <c r="G484" s="223">
        <v>44670</v>
      </c>
      <c r="H484" s="223">
        <v>44670</v>
      </c>
      <c r="I484" s="223">
        <v>46477</v>
      </c>
      <c r="J484" s="3">
        <v>82</v>
      </c>
      <c r="K484" s="3" t="s">
        <v>10</v>
      </c>
      <c r="L484" s="3" t="s">
        <v>6</v>
      </c>
      <c r="M484" s="95" t="s">
        <v>67</v>
      </c>
      <c r="N484" s="3" t="s">
        <v>68</v>
      </c>
      <c r="O484" s="3" t="s">
        <v>49</v>
      </c>
      <c r="P484" s="3" t="s">
        <v>6</v>
      </c>
      <c r="Q484" s="3" t="s">
        <v>6</v>
      </c>
      <c r="R484" s="95" t="s">
        <v>50</v>
      </c>
      <c r="S484" s="223">
        <v>43528</v>
      </c>
      <c r="T484" s="223">
        <v>43588</v>
      </c>
      <c r="U484" s="223">
        <v>43221</v>
      </c>
      <c r="V484" s="223">
        <v>43221</v>
      </c>
      <c r="W484" s="223" t="s">
        <v>6</v>
      </c>
      <c r="X484" s="3" t="s">
        <v>26</v>
      </c>
      <c r="Y484" s="3" t="s">
        <v>2139</v>
      </c>
      <c r="Z484" s="3" t="s">
        <v>2249</v>
      </c>
      <c r="AA484" s="3" t="s">
        <v>10</v>
      </c>
      <c r="AB484" s="223" t="s">
        <v>5</v>
      </c>
      <c r="AC484" s="3" t="s">
        <v>6</v>
      </c>
      <c r="AD484" s="3" t="s">
        <v>10</v>
      </c>
      <c r="AE484" s="95" t="s">
        <v>2263</v>
      </c>
    </row>
    <row r="485" spans="1:31" x14ac:dyDescent="0.35">
      <c r="A485" s="3" t="s">
        <v>234</v>
      </c>
      <c r="B485" s="3" t="s">
        <v>226</v>
      </c>
      <c r="C485" s="3">
        <v>4</v>
      </c>
      <c r="D485" s="95" t="s">
        <v>136</v>
      </c>
      <c r="E485" s="95" t="s">
        <v>235</v>
      </c>
      <c r="F485" s="95" t="s">
        <v>4</v>
      </c>
      <c r="G485" s="223">
        <v>44719</v>
      </c>
      <c r="H485" s="223">
        <v>44719</v>
      </c>
      <c r="I485" s="223">
        <v>46538</v>
      </c>
      <c r="J485" s="3">
        <v>37</v>
      </c>
      <c r="K485" s="3" t="s">
        <v>10</v>
      </c>
      <c r="L485" s="3" t="s">
        <v>6</v>
      </c>
      <c r="M485" s="95" t="s">
        <v>136</v>
      </c>
      <c r="N485" s="3" t="s">
        <v>138</v>
      </c>
      <c r="O485" s="3" t="s">
        <v>8</v>
      </c>
      <c r="P485" s="3" t="s">
        <v>6</v>
      </c>
      <c r="Q485" s="3" t="s">
        <v>6</v>
      </c>
      <c r="R485" s="95" t="s">
        <v>50</v>
      </c>
      <c r="S485" s="223">
        <v>43759</v>
      </c>
      <c r="T485" s="223">
        <v>43819</v>
      </c>
      <c r="U485" s="223">
        <v>43800</v>
      </c>
      <c r="V485" s="223">
        <v>43800</v>
      </c>
      <c r="W485" s="223" t="s">
        <v>6</v>
      </c>
      <c r="X485" s="3" t="s">
        <v>26</v>
      </c>
      <c r="Y485" s="3" t="s">
        <v>2139</v>
      </c>
      <c r="Z485" s="3" t="s">
        <v>2249</v>
      </c>
      <c r="AA485" s="3" t="s">
        <v>10</v>
      </c>
      <c r="AB485" s="223" t="s">
        <v>5</v>
      </c>
      <c r="AC485" s="3" t="s">
        <v>6</v>
      </c>
      <c r="AD485" s="3" t="s">
        <v>10</v>
      </c>
      <c r="AE485" s="95" t="s">
        <v>2263</v>
      </c>
    </row>
    <row r="486" spans="1:31" x14ac:dyDescent="0.35">
      <c r="A486" s="3" t="s">
        <v>236</v>
      </c>
      <c r="B486" s="3" t="s">
        <v>226</v>
      </c>
      <c r="C486" s="3">
        <v>4</v>
      </c>
      <c r="D486" s="95" t="s">
        <v>237</v>
      </c>
      <c r="E486" s="95" t="s">
        <v>238</v>
      </c>
      <c r="F486" s="95" t="s">
        <v>4</v>
      </c>
      <c r="G486" s="223">
        <v>44621</v>
      </c>
      <c r="H486" s="223">
        <v>44621</v>
      </c>
      <c r="I486" s="223">
        <v>46446</v>
      </c>
      <c r="J486" s="3">
        <v>78</v>
      </c>
      <c r="K486" s="3" t="s">
        <v>10</v>
      </c>
      <c r="L486" s="3" t="s">
        <v>6</v>
      </c>
      <c r="M486" s="95" t="s">
        <v>3310</v>
      </c>
      <c r="N486" s="3" t="s">
        <v>28</v>
      </c>
      <c r="O486" s="3" t="s">
        <v>25</v>
      </c>
      <c r="P486" s="3" t="s">
        <v>6</v>
      </c>
      <c r="Q486" s="3" t="s">
        <v>6</v>
      </c>
      <c r="R486" s="95" t="s">
        <v>50</v>
      </c>
      <c r="S486" s="223">
        <v>43794</v>
      </c>
      <c r="T486" s="223">
        <v>43833</v>
      </c>
      <c r="U486" s="223">
        <v>43800</v>
      </c>
      <c r="V486" s="223">
        <v>43800</v>
      </c>
      <c r="W486" s="223" t="s">
        <v>6</v>
      </c>
      <c r="X486" s="3" t="s">
        <v>51</v>
      </c>
      <c r="Y486" s="3" t="s">
        <v>2938</v>
      </c>
      <c r="Z486" s="3" t="s">
        <v>28</v>
      </c>
      <c r="AA486" s="3" t="s">
        <v>10</v>
      </c>
      <c r="AB486" s="223" t="s">
        <v>5</v>
      </c>
      <c r="AC486" s="3" t="s">
        <v>6</v>
      </c>
      <c r="AD486" s="3" t="s">
        <v>10</v>
      </c>
      <c r="AE486" s="95" t="s">
        <v>2263</v>
      </c>
    </row>
    <row r="487" spans="1:31" x14ac:dyDescent="0.35">
      <c r="A487" s="3" t="s">
        <v>1280</v>
      </c>
      <c r="B487" s="3" t="s">
        <v>226</v>
      </c>
      <c r="C487" s="3">
        <v>4</v>
      </c>
      <c r="D487" s="95" t="s">
        <v>1281</v>
      </c>
      <c r="E487" s="95" t="s">
        <v>5</v>
      </c>
      <c r="F487" s="95" t="s">
        <v>651</v>
      </c>
      <c r="G487" s="223">
        <v>39395</v>
      </c>
      <c r="H487" s="223" t="s">
        <v>5</v>
      </c>
      <c r="I487" s="223">
        <v>41213</v>
      </c>
      <c r="J487" s="3">
        <v>6</v>
      </c>
      <c r="K487" s="3" t="s">
        <v>10</v>
      </c>
      <c r="L487" s="3" t="s">
        <v>10</v>
      </c>
      <c r="M487" s="95" t="s">
        <v>116</v>
      </c>
      <c r="N487" s="3" t="s">
        <v>117</v>
      </c>
      <c r="O487" s="3" t="s">
        <v>651</v>
      </c>
      <c r="P487" s="3" t="s">
        <v>6</v>
      </c>
      <c r="Q487" s="3" t="s">
        <v>10</v>
      </c>
      <c r="R487" s="95" t="s">
        <v>3235</v>
      </c>
      <c r="S487" s="223" t="s">
        <v>5</v>
      </c>
      <c r="T487" s="223" t="s">
        <v>5</v>
      </c>
      <c r="U487" s="223" t="s">
        <v>5</v>
      </c>
      <c r="V487" s="223" t="s">
        <v>5</v>
      </c>
      <c r="W487" s="223" t="s">
        <v>5</v>
      </c>
      <c r="X487" s="3" t="s">
        <v>5</v>
      </c>
      <c r="Y487" s="3" t="s">
        <v>651</v>
      </c>
      <c r="Z487" s="3" t="s">
        <v>651</v>
      </c>
      <c r="AA487" s="3" t="s">
        <v>651</v>
      </c>
      <c r="AB487" s="223" t="s">
        <v>5</v>
      </c>
      <c r="AC487" s="3" t="s">
        <v>651</v>
      </c>
      <c r="AD487" s="3" t="s">
        <v>651</v>
      </c>
      <c r="AE487" s="95" t="s">
        <v>651</v>
      </c>
    </row>
    <row r="488" spans="1:31" x14ac:dyDescent="0.35">
      <c r="A488" s="3" t="s">
        <v>240</v>
      </c>
      <c r="B488" s="3" t="s">
        <v>226</v>
      </c>
      <c r="C488" s="3">
        <v>4</v>
      </c>
      <c r="D488" s="95" t="s">
        <v>241</v>
      </c>
      <c r="E488" s="95" t="s">
        <v>430</v>
      </c>
      <c r="F488" s="95" t="s">
        <v>4</v>
      </c>
      <c r="G488" s="223">
        <v>44531</v>
      </c>
      <c r="H488" s="223">
        <v>44531</v>
      </c>
      <c r="I488" s="223">
        <v>46356</v>
      </c>
      <c r="J488" s="3">
        <v>45</v>
      </c>
      <c r="K488" s="3" t="s">
        <v>10</v>
      </c>
      <c r="L488" s="3" t="s">
        <v>6</v>
      </c>
      <c r="M488" s="95" t="s">
        <v>105</v>
      </c>
      <c r="N488" s="3" t="s">
        <v>106</v>
      </c>
      <c r="O488" s="3" t="s">
        <v>49</v>
      </c>
      <c r="P488" s="3" t="s">
        <v>6</v>
      </c>
      <c r="Q488" s="3" t="s">
        <v>6</v>
      </c>
      <c r="R488" s="95" t="s">
        <v>50</v>
      </c>
      <c r="S488" s="223">
        <v>43437</v>
      </c>
      <c r="T488" s="223">
        <v>43602</v>
      </c>
      <c r="U488" s="223">
        <v>43252</v>
      </c>
      <c r="V488" s="223">
        <v>43252</v>
      </c>
      <c r="W488" s="223" t="s">
        <v>6</v>
      </c>
      <c r="X488" s="3" t="s">
        <v>51</v>
      </c>
      <c r="Y488" s="3" t="s">
        <v>2133</v>
      </c>
      <c r="Z488" s="3" t="s">
        <v>106</v>
      </c>
      <c r="AA488" s="3" t="s">
        <v>10</v>
      </c>
      <c r="AB488" s="223" t="s">
        <v>5</v>
      </c>
      <c r="AC488" s="3" t="s">
        <v>10</v>
      </c>
      <c r="AD488" s="3" t="s">
        <v>6</v>
      </c>
      <c r="AE488" s="95" t="s">
        <v>2265</v>
      </c>
    </row>
    <row r="489" spans="1:31" x14ac:dyDescent="0.35">
      <c r="A489" s="3" t="s">
        <v>1282</v>
      </c>
      <c r="B489" s="3" t="s">
        <v>226</v>
      </c>
      <c r="C489" s="3">
        <v>4</v>
      </c>
      <c r="D489" s="95" t="s">
        <v>1283</v>
      </c>
      <c r="E489" s="95" t="s">
        <v>2455</v>
      </c>
      <c r="F489" s="95" t="s">
        <v>651</v>
      </c>
      <c r="G489" s="223">
        <v>44683</v>
      </c>
      <c r="H489" s="223">
        <v>44683</v>
      </c>
      <c r="I489" s="223">
        <v>46507</v>
      </c>
      <c r="J489" s="3" t="s">
        <v>2266</v>
      </c>
      <c r="K489" s="3" t="s">
        <v>10</v>
      </c>
      <c r="L489" s="3" t="s">
        <v>10</v>
      </c>
      <c r="M489" s="95" t="s">
        <v>19</v>
      </c>
      <c r="N489" s="3" t="s">
        <v>20</v>
      </c>
      <c r="O489" s="3" t="s">
        <v>651</v>
      </c>
      <c r="P489" s="3" t="s">
        <v>10</v>
      </c>
      <c r="Q489" s="3" t="s">
        <v>10</v>
      </c>
      <c r="R489" s="95" t="s">
        <v>993</v>
      </c>
      <c r="S489" s="223" t="s">
        <v>5</v>
      </c>
      <c r="T489" s="223" t="s">
        <v>5</v>
      </c>
      <c r="U489" s="223" t="s">
        <v>5</v>
      </c>
      <c r="V489" s="223" t="s">
        <v>5</v>
      </c>
      <c r="W489" s="223" t="s">
        <v>5</v>
      </c>
      <c r="X489" s="3" t="s">
        <v>5</v>
      </c>
      <c r="Y489" s="3" t="s">
        <v>651</v>
      </c>
      <c r="Z489" s="3" t="s">
        <v>651</v>
      </c>
      <c r="AA489" s="3" t="s">
        <v>651</v>
      </c>
      <c r="AB489" s="223" t="s">
        <v>5</v>
      </c>
      <c r="AC489" s="3" t="s">
        <v>651</v>
      </c>
      <c r="AD489" s="3" t="s">
        <v>651</v>
      </c>
      <c r="AE489" s="95" t="s">
        <v>651</v>
      </c>
    </row>
    <row r="490" spans="1:31" x14ac:dyDescent="0.35">
      <c r="A490" s="3" t="s">
        <v>242</v>
      </c>
      <c r="B490" s="3" t="s">
        <v>226</v>
      </c>
      <c r="C490" s="3">
        <v>4</v>
      </c>
      <c r="D490" s="95" t="s">
        <v>243</v>
      </c>
      <c r="E490" s="95" t="s">
        <v>244</v>
      </c>
      <c r="F490" s="95" t="s">
        <v>4</v>
      </c>
      <c r="G490" s="223">
        <v>44175</v>
      </c>
      <c r="H490" s="223">
        <v>44175</v>
      </c>
      <c r="I490" s="223">
        <v>45991</v>
      </c>
      <c r="J490" s="3">
        <v>1010</v>
      </c>
      <c r="K490" s="3" t="s">
        <v>10</v>
      </c>
      <c r="L490" s="3" t="s">
        <v>6</v>
      </c>
      <c r="M490" s="95" t="s">
        <v>27</v>
      </c>
      <c r="N490" s="3" t="s">
        <v>28</v>
      </c>
      <c r="O490" s="3" t="s">
        <v>25</v>
      </c>
      <c r="P490" s="3" t="s">
        <v>6</v>
      </c>
      <c r="Q490" s="3" t="s">
        <v>6</v>
      </c>
      <c r="R490" s="95" t="s">
        <v>50</v>
      </c>
      <c r="S490" s="223">
        <v>43374</v>
      </c>
      <c r="T490" s="223">
        <v>43553</v>
      </c>
      <c r="U490" s="223">
        <v>43433</v>
      </c>
      <c r="V490" s="223">
        <v>43433</v>
      </c>
      <c r="W490" s="223" t="s">
        <v>6</v>
      </c>
      <c r="X490" s="3" t="s">
        <v>26</v>
      </c>
      <c r="Y490" s="3" t="s">
        <v>2938</v>
      </c>
      <c r="Z490" s="3" t="s">
        <v>28</v>
      </c>
      <c r="AA490" s="3" t="s">
        <v>2372</v>
      </c>
      <c r="AB490" s="223" t="s">
        <v>5</v>
      </c>
      <c r="AC490" s="3" t="s">
        <v>6</v>
      </c>
      <c r="AD490" s="3" t="s">
        <v>10</v>
      </c>
      <c r="AE490" s="95" t="s">
        <v>2263</v>
      </c>
    </row>
    <row r="491" spans="1:31" x14ac:dyDescent="0.35">
      <c r="A491" s="3" t="s">
        <v>245</v>
      </c>
      <c r="B491" s="3" t="s">
        <v>226</v>
      </c>
      <c r="C491" s="3">
        <v>4</v>
      </c>
      <c r="D491" s="95" t="s">
        <v>1972</v>
      </c>
      <c r="E491" s="95" t="s">
        <v>1912</v>
      </c>
      <c r="F491" s="95" t="s">
        <v>437</v>
      </c>
      <c r="G491" s="223">
        <v>44609</v>
      </c>
      <c r="H491" s="223">
        <v>44609</v>
      </c>
      <c r="I491" s="223">
        <v>46434</v>
      </c>
      <c r="J491" s="3">
        <v>0</v>
      </c>
      <c r="K491" s="3" t="s">
        <v>6</v>
      </c>
      <c r="L491" s="3" t="s">
        <v>6</v>
      </c>
      <c r="M491" s="95" t="s">
        <v>23</v>
      </c>
      <c r="N491" s="3" t="s">
        <v>24</v>
      </c>
      <c r="O491" s="3" t="s">
        <v>25</v>
      </c>
      <c r="P491" s="3" t="s">
        <v>6</v>
      </c>
      <c r="Q491" s="3" t="s">
        <v>6</v>
      </c>
      <c r="R491" s="95" t="s">
        <v>22</v>
      </c>
      <c r="S491" s="223">
        <v>43374</v>
      </c>
      <c r="T491" s="223">
        <v>43497</v>
      </c>
      <c r="U491" s="223">
        <v>42644</v>
      </c>
      <c r="V491" s="223">
        <v>42644</v>
      </c>
      <c r="W491" s="223" t="s">
        <v>6</v>
      </c>
      <c r="X491" s="3" t="s">
        <v>26</v>
      </c>
      <c r="Y491" s="3" t="s">
        <v>2093</v>
      </c>
      <c r="Z491" s="3" t="s">
        <v>24</v>
      </c>
      <c r="AA491" s="3" t="s">
        <v>6</v>
      </c>
      <c r="AB491" s="223">
        <v>42782</v>
      </c>
      <c r="AC491" s="3" t="s">
        <v>10</v>
      </c>
      <c r="AD491" s="3" t="s">
        <v>10</v>
      </c>
      <c r="AE491" s="95" t="s">
        <v>2263</v>
      </c>
    </row>
    <row r="492" spans="1:31" x14ac:dyDescent="0.35">
      <c r="A492" s="3" t="s">
        <v>2232</v>
      </c>
      <c r="B492" s="3" t="s">
        <v>226</v>
      </c>
      <c r="C492" s="3">
        <v>4</v>
      </c>
      <c r="D492" s="95" t="s">
        <v>2238</v>
      </c>
      <c r="E492" s="95" t="s">
        <v>2272</v>
      </c>
      <c r="F492" s="95" t="s">
        <v>437</v>
      </c>
      <c r="G492" s="223">
        <v>44211</v>
      </c>
      <c r="H492" s="223">
        <v>44256</v>
      </c>
      <c r="I492" s="223">
        <v>46081</v>
      </c>
      <c r="J492" s="3">
        <v>0</v>
      </c>
      <c r="K492" s="3" t="s">
        <v>6</v>
      </c>
      <c r="L492" s="3" t="s">
        <v>6</v>
      </c>
      <c r="M492" s="95" t="s">
        <v>27</v>
      </c>
      <c r="N492" s="3" t="s">
        <v>28</v>
      </c>
      <c r="O492" s="3" t="s">
        <v>25</v>
      </c>
      <c r="P492" s="3" t="s">
        <v>6</v>
      </c>
      <c r="Q492" s="3" t="s">
        <v>6</v>
      </c>
      <c r="R492" s="95" t="s">
        <v>22</v>
      </c>
      <c r="S492" s="223">
        <v>43374</v>
      </c>
      <c r="T492" s="223">
        <v>43553</v>
      </c>
      <c r="U492" s="223">
        <v>43009</v>
      </c>
      <c r="V492" s="223">
        <v>43009</v>
      </c>
      <c r="W492" s="223" t="s">
        <v>6</v>
      </c>
      <c r="X492" s="3" t="s">
        <v>26</v>
      </c>
      <c r="Y492" s="3" t="s">
        <v>2100</v>
      </c>
      <c r="Z492" s="3" t="s">
        <v>28</v>
      </c>
      <c r="AA492" s="3" t="s">
        <v>6</v>
      </c>
      <c r="AB492" s="223">
        <v>42159</v>
      </c>
      <c r="AC492" s="3" t="s">
        <v>6</v>
      </c>
      <c r="AD492" s="3" t="s">
        <v>10</v>
      </c>
      <c r="AE492" s="95" t="s">
        <v>2263</v>
      </c>
    </row>
    <row r="493" spans="1:31" x14ac:dyDescent="0.35">
      <c r="A493" s="3" t="s">
        <v>246</v>
      </c>
      <c r="B493" s="3" t="s">
        <v>226</v>
      </c>
      <c r="C493" s="3">
        <v>4</v>
      </c>
      <c r="D493" s="95" t="s">
        <v>247</v>
      </c>
      <c r="E493" s="95" t="s">
        <v>248</v>
      </c>
      <c r="F493" s="95" t="s">
        <v>4</v>
      </c>
      <c r="G493" s="223">
        <v>44596</v>
      </c>
      <c r="H493" s="223">
        <v>44596</v>
      </c>
      <c r="I493" s="223">
        <v>46418</v>
      </c>
      <c r="J493" s="3">
        <v>1685</v>
      </c>
      <c r="K493" s="3" t="s">
        <v>10</v>
      </c>
      <c r="L493" s="3" t="s">
        <v>6</v>
      </c>
      <c r="M493" s="95" t="s">
        <v>23</v>
      </c>
      <c r="N493" s="3" t="s">
        <v>24</v>
      </c>
      <c r="O493" s="3" t="s">
        <v>25</v>
      </c>
      <c r="P493" s="3" t="s">
        <v>6</v>
      </c>
      <c r="Q493" s="3" t="s">
        <v>6</v>
      </c>
      <c r="R493" s="95" t="s">
        <v>50</v>
      </c>
      <c r="S493" s="223">
        <v>43374</v>
      </c>
      <c r="T493" s="223">
        <v>43497</v>
      </c>
      <c r="U493" s="223">
        <v>43433</v>
      </c>
      <c r="V493" s="223">
        <v>43433</v>
      </c>
      <c r="W493" s="223" t="s">
        <v>6</v>
      </c>
      <c r="X493" s="3" t="s">
        <v>26</v>
      </c>
      <c r="Y493" s="3" t="s">
        <v>2097</v>
      </c>
      <c r="Z493" s="3" t="s">
        <v>24</v>
      </c>
      <c r="AA493" s="3" t="s">
        <v>2372</v>
      </c>
      <c r="AB493" s="223" t="s">
        <v>5</v>
      </c>
      <c r="AC493" s="3" t="s">
        <v>10</v>
      </c>
      <c r="AD493" s="3" t="s">
        <v>10</v>
      </c>
      <c r="AE493" s="95" t="s">
        <v>2263</v>
      </c>
    </row>
    <row r="494" spans="1:31" x14ac:dyDescent="0.35">
      <c r="A494" s="3" t="s">
        <v>1284</v>
      </c>
      <c r="B494" s="3" t="s">
        <v>226</v>
      </c>
      <c r="C494" s="3">
        <v>4</v>
      </c>
      <c r="D494" s="95" t="s">
        <v>1100</v>
      </c>
      <c r="E494" s="95" t="s">
        <v>1285</v>
      </c>
      <c r="F494" s="95" t="s">
        <v>651</v>
      </c>
      <c r="G494" s="223">
        <v>43605</v>
      </c>
      <c r="H494" s="223" t="s">
        <v>5</v>
      </c>
      <c r="I494" s="223">
        <v>45412</v>
      </c>
      <c r="J494" s="3" t="s">
        <v>2266</v>
      </c>
      <c r="K494" s="3" t="s">
        <v>10</v>
      </c>
      <c r="L494" s="3" t="s">
        <v>10</v>
      </c>
      <c r="M494" s="95" t="s">
        <v>23</v>
      </c>
      <c r="N494" s="3" t="s">
        <v>24</v>
      </c>
      <c r="O494" s="3" t="s">
        <v>651</v>
      </c>
      <c r="P494" s="3" t="s">
        <v>10</v>
      </c>
      <c r="Q494" s="3" t="s">
        <v>6</v>
      </c>
      <c r="R494" s="95" t="s">
        <v>2267</v>
      </c>
      <c r="S494" s="223" t="s">
        <v>5</v>
      </c>
      <c r="T494" s="223" t="s">
        <v>5</v>
      </c>
      <c r="U494" s="223" t="s">
        <v>5</v>
      </c>
      <c r="V494" s="223" t="s">
        <v>5</v>
      </c>
      <c r="W494" s="223" t="s">
        <v>5</v>
      </c>
      <c r="X494" s="3" t="s">
        <v>5</v>
      </c>
      <c r="Y494" s="3" t="s">
        <v>651</v>
      </c>
      <c r="Z494" s="3" t="s">
        <v>651</v>
      </c>
      <c r="AA494" s="3" t="s">
        <v>651</v>
      </c>
      <c r="AB494" s="223" t="s">
        <v>5</v>
      </c>
      <c r="AC494" s="3" t="s">
        <v>651</v>
      </c>
      <c r="AD494" s="3" t="s">
        <v>651</v>
      </c>
      <c r="AE494" s="95" t="s">
        <v>651</v>
      </c>
    </row>
    <row r="495" spans="1:31" x14ac:dyDescent="0.35">
      <c r="A495" s="3" t="s">
        <v>249</v>
      </c>
      <c r="B495" s="3" t="s">
        <v>226</v>
      </c>
      <c r="C495" s="3">
        <v>4</v>
      </c>
      <c r="D495" s="95" t="s">
        <v>250</v>
      </c>
      <c r="E495" s="95" t="s">
        <v>251</v>
      </c>
      <c r="F495" s="95" t="s">
        <v>4</v>
      </c>
      <c r="G495" s="223">
        <v>43193</v>
      </c>
      <c r="H495" s="223" t="s">
        <v>5</v>
      </c>
      <c r="I495" s="223">
        <v>45016</v>
      </c>
      <c r="J495" s="3">
        <v>909</v>
      </c>
      <c r="K495" s="3" t="s">
        <v>10</v>
      </c>
      <c r="L495" s="3" t="s">
        <v>6</v>
      </c>
      <c r="M495" s="95" t="s">
        <v>27</v>
      </c>
      <c r="N495" s="3" t="s">
        <v>28</v>
      </c>
      <c r="O495" s="3" t="s">
        <v>25</v>
      </c>
      <c r="P495" s="3" t="s">
        <v>6</v>
      </c>
      <c r="Q495" s="3" t="s">
        <v>6</v>
      </c>
      <c r="R495" s="95" t="s">
        <v>50</v>
      </c>
      <c r="S495" s="223">
        <v>43374</v>
      </c>
      <c r="T495" s="223">
        <v>43553</v>
      </c>
      <c r="U495" s="223">
        <v>43433</v>
      </c>
      <c r="V495" s="223">
        <v>43433</v>
      </c>
      <c r="W495" s="223" t="s">
        <v>6</v>
      </c>
      <c r="X495" s="3" t="s">
        <v>26</v>
      </c>
      <c r="Y495" s="3" t="s">
        <v>2938</v>
      </c>
      <c r="Z495" s="3" t="s">
        <v>28</v>
      </c>
      <c r="AA495" s="3" t="s">
        <v>2372</v>
      </c>
      <c r="AB495" s="223" t="s">
        <v>5</v>
      </c>
      <c r="AC495" s="3" t="s">
        <v>6</v>
      </c>
      <c r="AD495" s="3" t="s">
        <v>10</v>
      </c>
      <c r="AE495" s="95" t="s">
        <v>2263</v>
      </c>
    </row>
    <row r="496" spans="1:31" x14ac:dyDescent="0.35">
      <c r="A496" s="3" t="s">
        <v>252</v>
      </c>
      <c r="B496" s="3" t="s">
        <v>226</v>
      </c>
      <c r="C496" s="3">
        <v>4</v>
      </c>
      <c r="D496" s="95" t="s">
        <v>253</v>
      </c>
      <c r="E496" s="95" t="s">
        <v>254</v>
      </c>
      <c r="F496" s="95" t="s">
        <v>4</v>
      </c>
      <c r="G496" s="223">
        <v>44858</v>
      </c>
      <c r="H496" s="223">
        <v>44858</v>
      </c>
      <c r="I496" s="223">
        <v>46660</v>
      </c>
      <c r="J496" s="3">
        <v>70</v>
      </c>
      <c r="K496" s="3" t="s">
        <v>10</v>
      </c>
      <c r="L496" s="3" t="s">
        <v>6</v>
      </c>
      <c r="M496" s="95" t="s">
        <v>27</v>
      </c>
      <c r="N496" s="3" t="s">
        <v>28</v>
      </c>
      <c r="O496" s="3" t="s">
        <v>25</v>
      </c>
      <c r="P496" s="3" t="s">
        <v>6</v>
      </c>
      <c r="Q496" s="3" t="s">
        <v>6</v>
      </c>
      <c r="R496" s="95" t="s">
        <v>50</v>
      </c>
      <c r="S496" s="223">
        <v>43374</v>
      </c>
      <c r="T496" s="223">
        <v>43553</v>
      </c>
      <c r="U496" s="223">
        <v>43433</v>
      </c>
      <c r="V496" s="223">
        <v>43433</v>
      </c>
      <c r="W496" s="223" t="s">
        <v>6</v>
      </c>
      <c r="X496" s="3" t="s">
        <v>26</v>
      </c>
      <c r="Y496" s="3" t="s">
        <v>2938</v>
      </c>
      <c r="Z496" s="3" t="s">
        <v>28</v>
      </c>
      <c r="AA496" s="3" t="s">
        <v>2372</v>
      </c>
      <c r="AB496" s="223" t="s">
        <v>5</v>
      </c>
      <c r="AC496" s="3" t="s">
        <v>6</v>
      </c>
      <c r="AD496" s="3" t="s">
        <v>10</v>
      </c>
      <c r="AE496" s="95" t="s">
        <v>2263</v>
      </c>
    </row>
    <row r="497" spans="1:31" x14ac:dyDescent="0.35">
      <c r="A497" s="3" t="s">
        <v>255</v>
      </c>
      <c r="B497" s="3" t="s">
        <v>226</v>
      </c>
      <c r="C497" s="3">
        <v>4</v>
      </c>
      <c r="D497" s="95" t="s">
        <v>256</v>
      </c>
      <c r="E497" s="95" t="s">
        <v>498</v>
      </c>
      <c r="F497" s="95" t="s">
        <v>4</v>
      </c>
      <c r="G497" s="223">
        <v>42447</v>
      </c>
      <c r="H497" s="223" t="s">
        <v>5</v>
      </c>
      <c r="I497" s="223">
        <v>44255</v>
      </c>
      <c r="J497" s="3">
        <v>37</v>
      </c>
      <c r="K497" s="3" t="s">
        <v>10</v>
      </c>
      <c r="L497" s="3" t="s">
        <v>6</v>
      </c>
      <c r="M497" s="95" t="s">
        <v>2555</v>
      </c>
      <c r="N497" s="3" t="s">
        <v>52</v>
      </c>
      <c r="O497" s="3" t="s">
        <v>17</v>
      </c>
      <c r="P497" s="3" t="s">
        <v>6</v>
      </c>
      <c r="Q497" s="3" t="s">
        <v>6</v>
      </c>
      <c r="R497" s="95" t="s">
        <v>50</v>
      </c>
      <c r="S497" s="223">
        <v>43591</v>
      </c>
      <c r="T497" s="223">
        <v>43749</v>
      </c>
      <c r="U497" s="223">
        <v>43679</v>
      </c>
      <c r="V497" s="223">
        <v>43679</v>
      </c>
      <c r="W497" s="223" t="s">
        <v>6</v>
      </c>
      <c r="X497" s="3" t="s">
        <v>26</v>
      </c>
      <c r="Y497" s="3" t="s">
        <v>2126</v>
      </c>
      <c r="Z497" s="3" t="s">
        <v>52</v>
      </c>
      <c r="AA497" s="3" t="s">
        <v>10</v>
      </c>
      <c r="AB497" s="223" t="s">
        <v>5</v>
      </c>
      <c r="AC497" s="3" t="s">
        <v>10</v>
      </c>
      <c r="AD497" s="3" t="s">
        <v>6</v>
      </c>
      <c r="AE497" s="95" t="s">
        <v>2265</v>
      </c>
    </row>
    <row r="498" spans="1:31" x14ac:dyDescent="0.35">
      <c r="A498" s="3" t="s">
        <v>510</v>
      </c>
      <c r="B498" s="3" t="s">
        <v>258</v>
      </c>
      <c r="C498" s="3">
        <v>8</v>
      </c>
      <c r="D498" s="95" t="s">
        <v>3176</v>
      </c>
      <c r="E498" s="95" t="s">
        <v>505</v>
      </c>
      <c r="F498" s="95" t="s">
        <v>4</v>
      </c>
      <c r="G498" s="223">
        <v>43666</v>
      </c>
      <c r="H498" s="223">
        <v>43666</v>
      </c>
      <c r="I498" s="223">
        <v>45473</v>
      </c>
      <c r="J498" s="3">
        <v>1</v>
      </c>
      <c r="K498" s="3" t="s">
        <v>6</v>
      </c>
      <c r="L498" s="3" t="s">
        <v>6</v>
      </c>
      <c r="M498" s="95" t="s">
        <v>116</v>
      </c>
      <c r="N498" s="3" t="s">
        <v>117</v>
      </c>
      <c r="O498" s="3" t="s">
        <v>17</v>
      </c>
      <c r="P498" s="3" t="s">
        <v>6</v>
      </c>
      <c r="Q498" s="3" t="s">
        <v>6</v>
      </c>
      <c r="R498" s="95" t="s">
        <v>9</v>
      </c>
      <c r="S498" s="223">
        <v>43591</v>
      </c>
      <c r="T498" s="223">
        <v>43651</v>
      </c>
      <c r="U498" s="223">
        <v>43616</v>
      </c>
      <c r="V498" s="223">
        <v>43616</v>
      </c>
      <c r="W498" s="223" t="s">
        <v>6</v>
      </c>
      <c r="X498" s="3" t="s">
        <v>26</v>
      </c>
      <c r="Y498" s="3" t="s">
        <v>2932</v>
      </c>
      <c r="Z498" s="3" t="s">
        <v>2924</v>
      </c>
      <c r="AA498" s="3" t="s">
        <v>2254</v>
      </c>
      <c r="AB498" s="223" t="s">
        <v>5</v>
      </c>
      <c r="AC498" s="3" t="s">
        <v>6</v>
      </c>
      <c r="AD498" s="3" t="s">
        <v>10</v>
      </c>
      <c r="AE498" s="95" t="s">
        <v>2265</v>
      </c>
    </row>
    <row r="499" spans="1:31" x14ac:dyDescent="0.35">
      <c r="A499" s="3" t="s">
        <v>1286</v>
      </c>
      <c r="B499" s="3" t="s">
        <v>258</v>
      </c>
      <c r="C499" s="3">
        <v>8</v>
      </c>
      <c r="D499" s="95" t="s">
        <v>315</v>
      </c>
      <c r="E499" s="95" t="s">
        <v>2456</v>
      </c>
      <c r="F499" s="95" t="s">
        <v>2457</v>
      </c>
      <c r="G499" s="223">
        <v>45230</v>
      </c>
      <c r="H499" s="223">
        <v>45231</v>
      </c>
      <c r="I499" s="223">
        <v>47057</v>
      </c>
      <c r="J499" s="3">
        <v>115</v>
      </c>
      <c r="K499" s="3" t="s">
        <v>10</v>
      </c>
      <c r="L499" s="3" t="s">
        <v>10</v>
      </c>
      <c r="M499" s="95" t="s">
        <v>105</v>
      </c>
      <c r="N499" s="3" t="s">
        <v>106</v>
      </c>
      <c r="O499" s="3" t="s">
        <v>651</v>
      </c>
      <c r="P499" s="3" t="s">
        <v>6</v>
      </c>
      <c r="Q499" s="3" t="s">
        <v>6</v>
      </c>
      <c r="R499" s="95" t="s">
        <v>652</v>
      </c>
      <c r="S499" s="223" t="s">
        <v>5</v>
      </c>
      <c r="T499" s="223" t="s">
        <v>5</v>
      </c>
      <c r="U499" s="223" t="s">
        <v>5</v>
      </c>
      <c r="V499" s="223" t="s">
        <v>5</v>
      </c>
      <c r="W499" s="223" t="s">
        <v>5</v>
      </c>
      <c r="X499" s="3" t="s">
        <v>5</v>
      </c>
      <c r="Y499" s="3" t="s">
        <v>651</v>
      </c>
      <c r="Z499" s="3" t="s">
        <v>651</v>
      </c>
      <c r="AA499" s="3" t="s">
        <v>6</v>
      </c>
      <c r="AB499" s="223">
        <v>43252</v>
      </c>
      <c r="AC499" s="3" t="s">
        <v>10</v>
      </c>
      <c r="AD499" s="3" t="s">
        <v>6</v>
      </c>
      <c r="AE499" s="95" t="s">
        <v>2265</v>
      </c>
    </row>
    <row r="500" spans="1:31" x14ac:dyDescent="0.35">
      <c r="A500" s="3" t="s">
        <v>1287</v>
      </c>
      <c r="B500" s="3" t="s">
        <v>258</v>
      </c>
      <c r="C500" s="3">
        <v>8</v>
      </c>
      <c r="D500" s="95" t="s">
        <v>1288</v>
      </c>
      <c r="E500" s="95" t="s">
        <v>2458</v>
      </c>
      <c r="F500" s="95" t="s">
        <v>2457</v>
      </c>
      <c r="G500" s="223">
        <v>43776</v>
      </c>
      <c r="H500" s="223">
        <v>43891</v>
      </c>
      <c r="I500" s="223">
        <v>45716</v>
      </c>
      <c r="J500" s="3">
        <v>32</v>
      </c>
      <c r="K500" s="3" t="s">
        <v>10</v>
      </c>
      <c r="L500" s="3" t="s">
        <v>10</v>
      </c>
      <c r="M500" s="95" t="s">
        <v>169</v>
      </c>
      <c r="N500" s="3" t="s">
        <v>170</v>
      </c>
      <c r="O500" s="3" t="s">
        <v>651</v>
      </c>
      <c r="P500" s="3" t="s">
        <v>6</v>
      </c>
      <c r="Q500" s="3" t="s">
        <v>6</v>
      </c>
      <c r="R500" s="95" t="s">
        <v>652</v>
      </c>
      <c r="S500" s="223" t="s">
        <v>5</v>
      </c>
      <c r="T500" s="223" t="s">
        <v>5</v>
      </c>
      <c r="U500" s="223" t="s">
        <v>5</v>
      </c>
      <c r="V500" s="223" t="s">
        <v>5</v>
      </c>
      <c r="W500" s="223" t="s">
        <v>5</v>
      </c>
      <c r="X500" s="3" t="s">
        <v>5</v>
      </c>
      <c r="Y500" s="3" t="s">
        <v>651</v>
      </c>
      <c r="Z500" s="3" t="s">
        <v>651</v>
      </c>
      <c r="AA500" s="3" t="s">
        <v>6</v>
      </c>
      <c r="AB500" s="223">
        <v>43252</v>
      </c>
      <c r="AC500" s="3" t="s">
        <v>6</v>
      </c>
      <c r="AD500" s="3" t="s">
        <v>10</v>
      </c>
      <c r="AE500" s="95" t="s">
        <v>2263</v>
      </c>
    </row>
    <row r="501" spans="1:31" x14ac:dyDescent="0.35">
      <c r="A501" s="3" t="s">
        <v>257</v>
      </c>
      <c r="B501" s="3" t="s">
        <v>258</v>
      </c>
      <c r="C501" s="3">
        <v>8</v>
      </c>
      <c r="D501" s="95" t="s">
        <v>3156</v>
      </c>
      <c r="E501" s="95" t="s">
        <v>422</v>
      </c>
      <c r="F501" s="95" t="s">
        <v>437</v>
      </c>
      <c r="G501" s="223">
        <v>44455</v>
      </c>
      <c r="H501" s="223">
        <v>44500</v>
      </c>
      <c r="I501" s="223">
        <v>46326</v>
      </c>
      <c r="J501" s="3">
        <v>0</v>
      </c>
      <c r="K501" s="3" t="s">
        <v>6</v>
      </c>
      <c r="L501" s="3" t="s">
        <v>6</v>
      </c>
      <c r="M501" s="95" t="s">
        <v>19</v>
      </c>
      <c r="N501" s="3" t="s">
        <v>20</v>
      </c>
      <c r="O501" s="3" t="s">
        <v>21</v>
      </c>
      <c r="P501" s="3" t="s">
        <v>6</v>
      </c>
      <c r="Q501" s="3" t="s">
        <v>6</v>
      </c>
      <c r="R501" s="95" t="s">
        <v>22</v>
      </c>
      <c r="S501" s="223">
        <v>43675</v>
      </c>
      <c r="T501" s="223">
        <v>43756</v>
      </c>
      <c r="U501" s="223">
        <v>43647</v>
      </c>
      <c r="V501" s="223">
        <v>43647</v>
      </c>
      <c r="W501" s="223" t="s">
        <v>6</v>
      </c>
      <c r="X501" s="3" t="s">
        <v>26</v>
      </c>
      <c r="Y501" s="3" t="s">
        <v>2116</v>
      </c>
      <c r="Z501" s="3" t="s">
        <v>20</v>
      </c>
      <c r="AA501" s="3" t="s">
        <v>6</v>
      </c>
      <c r="AB501" s="223">
        <v>44442</v>
      </c>
      <c r="AC501" s="3" t="s">
        <v>10</v>
      </c>
      <c r="AD501" s="3" t="s">
        <v>10</v>
      </c>
      <c r="AE501" s="95" t="s">
        <v>2263</v>
      </c>
    </row>
    <row r="502" spans="1:31" x14ac:dyDescent="0.35">
      <c r="A502" s="3" t="s">
        <v>1289</v>
      </c>
      <c r="B502" s="3" t="s">
        <v>258</v>
      </c>
      <c r="C502" s="3">
        <v>8</v>
      </c>
      <c r="D502" s="95" t="s">
        <v>1290</v>
      </c>
      <c r="E502" s="95" t="s">
        <v>1291</v>
      </c>
      <c r="F502" s="95" t="s">
        <v>2457</v>
      </c>
      <c r="G502" s="223">
        <v>42431</v>
      </c>
      <c r="H502" s="223">
        <v>42552</v>
      </c>
      <c r="I502" s="223">
        <v>44377</v>
      </c>
      <c r="J502" s="3">
        <v>13</v>
      </c>
      <c r="K502" s="3" t="s">
        <v>10</v>
      </c>
      <c r="L502" s="3" t="s">
        <v>10</v>
      </c>
      <c r="M502" s="95" t="s">
        <v>109</v>
      </c>
      <c r="N502" s="3" t="s">
        <v>110</v>
      </c>
      <c r="O502" s="3" t="s">
        <v>651</v>
      </c>
      <c r="P502" s="3" t="s">
        <v>6</v>
      </c>
      <c r="Q502" s="3" t="s">
        <v>6</v>
      </c>
      <c r="R502" s="95" t="s">
        <v>652</v>
      </c>
      <c r="S502" s="223" t="s">
        <v>5</v>
      </c>
      <c r="T502" s="223" t="s">
        <v>5</v>
      </c>
      <c r="U502" s="223" t="s">
        <v>5</v>
      </c>
      <c r="V502" s="223" t="s">
        <v>5</v>
      </c>
      <c r="W502" s="223" t="s">
        <v>5</v>
      </c>
      <c r="X502" s="3" t="s">
        <v>5</v>
      </c>
      <c r="Y502" s="3" t="s">
        <v>651</v>
      </c>
      <c r="Z502" s="3" t="s">
        <v>651</v>
      </c>
      <c r="AA502" s="3" t="s">
        <v>6</v>
      </c>
      <c r="AB502" s="223">
        <v>43252</v>
      </c>
      <c r="AC502" s="3" t="s">
        <v>6</v>
      </c>
      <c r="AD502" s="3" t="s">
        <v>10</v>
      </c>
      <c r="AE502" s="95" t="s">
        <v>2265</v>
      </c>
    </row>
    <row r="503" spans="1:31" x14ac:dyDescent="0.35">
      <c r="A503" s="3" t="s">
        <v>1292</v>
      </c>
      <c r="B503" s="3" t="s">
        <v>258</v>
      </c>
      <c r="C503" s="3">
        <v>8</v>
      </c>
      <c r="D503" s="95" t="s">
        <v>11</v>
      </c>
      <c r="E503" s="95" t="s">
        <v>2459</v>
      </c>
      <c r="F503" s="95" t="s">
        <v>2457</v>
      </c>
      <c r="G503" s="223">
        <v>44496</v>
      </c>
      <c r="H503" s="223">
        <v>44531</v>
      </c>
      <c r="I503" s="223">
        <v>46356</v>
      </c>
      <c r="J503" s="3">
        <v>27</v>
      </c>
      <c r="K503" s="3" t="s">
        <v>10</v>
      </c>
      <c r="L503" s="3" t="s">
        <v>10</v>
      </c>
      <c r="M503" s="95" t="s">
        <v>11</v>
      </c>
      <c r="N503" s="3" t="s">
        <v>7</v>
      </c>
      <c r="O503" s="3" t="s">
        <v>651</v>
      </c>
      <c r="P503" s="3" t="s">
        <v>6</v>
      </c>
      <c r="Q503" s="3" t="s">
        <v>6</v>
      </c>
      <c r="R503" s="95" t="s">
        <v>652</v>
      </c>
      <c r="S503" s="223" t="s">
        <v>5</v>
      </c>
      <c r="T503" s="223" t="s">
        <v>5</v>
      </c>
      <c r="U503" s="223" t="s">
        <v>5</v>
      </c>
      <c r="V503" s="223" t="s">
        <v>5</v>
      </c>
      <c r="W503" s="223" t="s">
        <v>5</v>
      </c>
      <c r="X503" s="3" t="s">
        <v>5</v>
      </c>
      <c r="Y503" s="3" t="s">
        <v>651</v>
      </c>
      <c r="Z503" s="3" t="s">
        <v>651</v>
      </c>
      <c r="AA503" s="3" t="s">
        <v>6</v>
      </c>
      <c r="AB503" s="223">
        <v>43252</v>
      </c>
      <c r="AC503" s="3" t="s">
        <v>6</v>
      </c>
      <c r="AD503" s="3" t="s">
        <v>10</v>
      </c>
      <c r="AE503" s="95" t="s">
        <v>2263</v>
      </c>
    </row>
    <row r="504" spans="1:31" x14ac:dyDescent="0.35">
      <c r="A504" s="3" t="s">
        <v>1293</v>
      </c>
      <c r="B504" s="3" t="s">
        <v>258</v>
      </c>
      <c r="C504" s="3">
        <v>8</v>
      </c>
      <c r="D504" s="95" t="s">
        <v>1294</v>
      </c>
      <c r="E504" s="95" t="s">
        <v>2460</v>
      </c>
      <c r="F504" s="95" t="s">
        <v>2457</v>
      </c>
      <c r="G504" s="223">
        <v>45481</v>
      </c>
      <c r="H504" s="223">
        <v>45505</v>
      </c>
      <c r="I504" s="223">
        <v>47330</v>
      </c>
      <c r="J504" s="3">
        <v>35</v>
      </c>
      <c r="K504" s="3" t="s">
        <v>10</v>
      </c>
      <c r="L504" s="3" t="s">
        <v>10</v>
      </c>
      <c r="M504" s="95" t="s">
        <v>114</v>
      </c>
      <c r="N504" s="3" t="s">
        <v>115</v>
      </c>
      <c r="O504" s="3" t="s">
        <v>651</v>
      </c>
      <c r="P504" s="3" t="s">
        <v>6</v>
      </c>
      <c r="Q504" s="3" t="s">
        <v>6</v>
      </c>
      <c r="R504" s="95" t="s">
        <v>652</v>
      </c>
      <c r="S504" s="223" t="s">
        <v>5</v>
      </c>
      <c r="T504" s="223" t="s">
        <v>5</v>
      </c>
      <c r="U504" s="223" t="s">
        <v>5</v>
      </c>
      <c r="V504" s="223" t="s">
        <v>5</v>
      </c>
      <c r="W504" s="223" t="s">
        <v>5</v>
      </c>
      <c r="X504" s="3" t="s">
        <v>5</v>
      </c>
      <c r="Y504" s="3" t="s">
        <v>651</v>
      </c>
      <c r="Z504" s="3" t="s">
        <v>651</v>
      </c>
      <c r="AA504" s="3" t="s">
        <v>6</v>
      </c>
      <c r="AB504" s="223">
        <v>43252</v>
      </c>
      <c r="AC504" s="3" t="s">
        <v>6</v>
      </c>
      <c r="AD504" s="3" t="s">
        <v>10</v>
      </c>
      <c r="AE504" s="95" t="s">
        <v>2265</v>
      </c>
    </row>
    <row r="505" spans="1:31" x14ac:dyDescent="0.35">
      <c r="A505" s="3" t="s">
        <v>1295</v>
      </c>
      <c r="B505" s="3" t="s">
        <v>258</v>
      </c>
      <c r="C505" s="3">
        <v>8</v>
      </c>
      <c r="D505" s="95" t="s">
        <v>1075</v>
      </c>
      <c r="E505" s="95" t="s">
        <v>2461</v>
      </c>
      <c r="F505" s="95" t="s">
        <v>2457</v>
      </c>
      <c r="G505" s="223">
        <v>43754</v>
      </c>
      <c r="H505" s="223">
        <v>43770</v>
      </c>
      <c r="I505" s="223">
        <v>45596</v>
      </c>
      <c r="J505" s="3">
        <v>11</v>
      </c>
      <c r="K505" s="3" t="s">
        <v>10</v>
      </c>
      <c r="L505" s="3" t="s">
        <v>10</v>
      </c>
      <c r="M505" s="95" t="s">
        <v>114</v>
      </c>
      <c r="N505" s="3" t="s">
        <v>115</v>
      </c>
      <c r="O505" s="3" t="s">
        <v>651</v>
      </c>
      <c r="P505" s="3" t="s">
        <v>6</v>
      </c>
      <c r="Q505" s="3" t="s">
        <v>6</v>
      </c>
      <c r="R505" s="95" t="s">
        <v>652</v>
      </c>
      <c r="S505" s="223" t="s">
        <v>5</v>
      </c>
      <c r="T505" s="223" t="s">
        <v>5</v>
      </c>
      <c r="U505" s="223" t="s">
        <v>5</v>
      </c>
      <c r="V505" s="223" t="s">
        <v>5</v>
      </c>
      <c r="W505" s="223" t="s">
        <v>5</v>
      </c>
      <c r="X505" s="3" t="s">
        <v>5</v>
      </c>
      <c r="Y505" s="3" t="s">
        <v>651</v>
      </c>
      <c r="Z505" s="3" t="s">
        <v>651</v>
      </c>
      <c r="AA505" s="3" t="s">
        <v>6</v>
      </c>
      <c r="AB505" s="223">
        <v>43252</v>
      </c>
      <c r="AC505" s="3" t="s">
        <v>6</v>
      </c>
      <c r="AD505" s="3" t="s">
        <v>10</v>
      </c>
      <c r="AE505" s="95" t="s">
        <v>2265</v>
      </c>
    </row>
    <row r="506" spans="1:31" x14ac:dyDescent="0.35">
      <c r="A506" s="3" t="s">
        <v>1296</v>
      </c>
      <c r="B506" s="3" t="s">
        <v>258</v>
      </c>
      <c r="C506" s="3">
        <v>8</v>
      </c>
      <c r="D506" s="95" t="s">
        <v>1297</v>
      </c>
      <c r="E506" s="95" t="s">
        <v>2462</v>
      </c>
      <c r="F506" s="95" t="s">
        <v>2457</v>
      </c>
      <c r="G506" s="223">
        <v>44760</v>
      </c>
      <c r="H506" s="223">
        <v>44927</v>
      </c>
      <c r="I506" s="223">
        <v>46752</v>
      </c>
      <c r="J506" s="3">
        <v>27</v>
      </c>
      <c r="K506" s="3" t="s">
        <v>10</v>
      </c>
      <c r="L506" s="3" t="s">
        <v>10</v>
      </c>
      <c r="M506" s="95" t="s">
        <v>47</v>
      </c>
      <c r="N506" s="3" t="s">
        <v>48</v>
      </c>
      <c r="O506" s="3" t="s">
        <v>651</v>
      </c>
      <c r="P506" s="3" t="s">
        <v>6</v>
      </c>
      <c r="Q506" s="3" t="s">
        <v>6</v>
      </c>
      <c r="R506" s="95" t="s">
        <v>652</v>
      </c>
      <c r="S506" s="223" t="s">
        <v>5</v>
      </c>
      <c r="T506" s="223" t="s">
        <v>5</v>
      </c>
      <c r="U506" s="223" t="s">
        <v>5</v>
      </c>
      <c r="V506" s="223" t="s">
        <v>5</v>
      </c>
      <c r="W506" s="223" t="s">
        <v>5</v>
      </c>
      <c r="X506" s="3" t="s">
        <v>5</v>
      </c>
      <c r="Y506" s="3" t="s">
        <v>651</v>
      </c>
      <c r="Z506" s="3" t="s">
        <v>651</v>
      </c>
      <c r="AA506" s="3" t="s">
        <v>6</v>
      </c>
      <c r="AB506" s="223">
        <v>43252</v>
      </c>
      <c r="AC506" s="3" t="s">
        <v>6</v>
      </c>
      <c r="AD506" s="3" t="s">
        <v>6</v>
      </c>
      <c r="AE506" s="95" t="s">
        <v>2265</v>
      </c>
    </row>
    <row r="507" spans="1:31" x14ac:dyDescent="0.35">
      <c r="A507" s="3" t="s">
        <v>1298</v>
      </c>
      <c r="B507" s="3" t="s">
        <v>258</v>
      </c>
      <c r="C507" s="3">
        <v>8</v>
      </c>
      <c r="D507" s="95" t="s">
        <v>1299</v>
      </c>
      <c r="E507" s="95" t="s">
        <v>2463</v>
      </c>
      <c r="F507" s="95" t="s">
        <v>2457</v>
      </c>
      <c r="G507" s="223">
        <v>43018</v>
      </c>
      <c r="H507" s="223">
        <v>43101</v>
      </c>
      <c r="I507" s="223">
        <v>44926</v>
      </c>
      <c r="J507" s="3">
        <v>7</v>
      </c>
      <c r="K507" s="3" t="s">
        <v>10</v>
      </c>
      <c r="L507" s="3" t="s">
        <v>10</v>
      </c>
      <c r="M507" s="95" t="s">
        <v>47</v>
      </c>
      <c r="N507" s="3" t="s">
        <v>48</v>
      </c>
      <c r="O507" s="3" t="s">
        <v>651</v>
      </c>
      <c r="P507" s="3" t="s">
        <v>6</v>
      </c>
      <c r="Q507" s="3" t="s">
        <v>6</v>
      </c>
      <c r="R507" s="95" t="s">
        <v>652</v>
      </c>
      <c r="S507" s="223" t="s">
        <v>5</v>
      </c>
      <c r="T507" s="223" t="s">
        <v>5</v>
      </c>
      <c r="U507" s="223" t="s">
        <v>5</v>
      </c>
      <c r="V507" s="223" t="s">
        <v>5</v>
      </c>
      <c r="W507" s="223" t="s">
        <v>5</v>
      </c>
      <c r="X507" s="3" t="s">
        <v>5</v>
      </c>
      <c r="Y507" s="3" t="s">
        <v>651</v>
      </c>
      <c r="Z507" s="3" t="s">
        <v>651</v>
      </c>
      <c r="AA507" s="3" t="s">
        <v>6</v>
      </c>
      <c r="AB507" s="223">
        <v>43252</v>
      </c>
      <c r="AC507" s="3" t="s">
        <v>6</v>
      </c>
      <c r="AD507" s="3" t="s">
        <v>6</v>
      </c>
      <c r="AE507" s="95" t="s">
        <v>2265</v>
      </c>
    </row>
    <row r="508" spans="1:31" x14ac:dyDescent="0.35">
      <c r="A508" s="3" t="s">
        <v>259</v>
      </c>
      <c r="B508" s="3" t="s">
        <v>258</v>
      </c>
      <c r="C508" s="3">
        <v>8</v>
      </c>
      <c r="D508" s="95" t="s">
        <v>2464</v>
      </c>
      <c r="E508" s="95" t="s">
        <v>2292</v>
      </c>
      <c r="F508" s="95" t="s">
        <v>4</v>
      </c>
      <c r="G508" s="223">
        <v>44628</v>
      </c>
      <c r="H508" s="223">
        <v>44652</v>
      </c>
      <c r="I508" s="223">
        <v>46477</v>
      </c>
      <c r="J508" s="3">
        <v>19</v>
      </c>
      <c r="K508" s="3" t="s">
        <v>6</v>
      </c>
      <c r="L508" s="3" t="s">
        <v>6</v>
      </c>
      <c r="M508" s="95" t="s">
        <v>47</v>
      </c>
      <c r="N508" s="3" t="s">
        <v>48</v>
      </c>
      <c r="O508" s="3" t="s">
        <v>49</v>
      </c>
      <c r="P508" s="3" t="s">
        <v>6</v>
      </c>
      <c r="Q508" s="3" t="s">
        <v>6</v>
      </c>
      <c r="R508" s="95" t="s">
        <v>9</v>
      </c>
      <c r="S508" s="223">
        <v>43437</v>
      </c>
      <c r="T508" s="223">
        <v>43747</v>
      </c>
      <c r="U508" s="223">
        <v>43405</v>
      </c>
      <c r="V508" s="223">
        <v>43405</v>
      </c>
      <c r="W508" s="223" t="s">
        <v>6</v>
      </c>
      <c r="X508" s="3" t="s">
        <v>26</v>
      </c>
      <c r="Y508" s="3" t="s">
        <v>2928</v>
      </c>
      <c r="Z508" s="3" t="s">
        <v>2924</v>
      </c>
      <c r="AA508" s="3" t="s">
        <v>10</v>
      </c>
      <c r="AB508" s="223" t="s">
        <v>5</v>
      </c>
      <c r="AC508" s="3" t="s">
        <v>6</v>
      </c>
      <c r="AD508" s="3" t="s">
        <v>6</v>
      </c>
      <c r="AE508" s="95" t="s">
        <v>2265</v>
      </c>
    </row>
    <row r="509" spans="1:31" x14ac:dyDescent="0.35">
      <c r="A509" s="3" t="s">
        <v>1300</v>
      </c>
      <c r="B509" s="3" t="s">
        <v>258</v>
      </c>
      <c r="C509" s="3">
        <v>8</v>
      </c>
      <c r="D509" s="95" t="s">
        <v>1301</v>
      </c>
      <c r="E509" s="95" t="s">
        <v>1302</v>
      </c>
      <c r="F509" s="95" t="s">
        <v>2457</v>
      </c>
      <c r="G509" s="223">
        <v>44147</v>
      </c>
      <c r="H509" s="223">
        <v>44197</v>
      </c>
      <c r="I509" s="223">
        <v>46022</v>
      </c>
      <c r="J509" s="3">
        <v>12</v>
      </c>
      <c r="K509" s="3" t="s">
        <v>10</v>
      </c>
      <c r="L509" s="3" t="s">
        <v>10</v>
      </c>
      <c r="M509" s="95" t="s">
        <v>1303</v>
      </c>
      <c r="N509" s="3" t="s">
        <v>61</v>
      </c>
      <c r="O509" s="3" t="s">
        <v>651</v>
      </c>
      <c r="P509" s="3" t="s">
        <v>6</v>
      </c>
      <c r="Q509" s="3" t="s">
        <v>6</v>
      </c>
      <c r="R509" s="95" t="s">
        <v>652</v>
      </c>
      <c r="S509" s="223" t="s">
        <v>5</v>
      </c>
      <c r="T509" s="223" t="s">
        <v>5</v>
      </c>
      <c r="U509" s="223" t="s">
        <v>5</v>
      </c>
      <c r="V509" s="223" t="s">
        <v>5</v>
      </c>
      <c r="W509" s="223" t="s">
        <v>5</v>
      </c>
      <c r="X509" s="3" t="s">
        <v>5</v>
      </c>
      <c r="Y509" s="3" t="s">
        <v>651</v>
      </c>
      <c r="Z509" s="3" t="s">
        <v>651</v>
      </c>
      <c r="AA509" s="3" t="s">
        <v>6</v>
      </c>
      <c r="AB509" s="223">
        <v>43252</v>
      </c>
      <c r="AC509" s="3" t="s">
        <v>6</v>
      </c>
      <c r="AD509" s="3" t="s">
        <v>10</v>
      </c>
      <c r="AE509" s="95" t="s">
        <v>2263</v>
      </c>
    </row>
    <row r="510" spans="1:31" x14ac:dyDescent="0.35">
      <c r="A510" s="3" t="s">
        <v>1304</v>
      </c>
      <c r="B510" s="3" t="s">
        <v>258</v>
      </c>
      <c r="C510" s="3">
        <v>8</v>
      </c>
      <c r="D510" s="95" t="s">
        <v>1305</v>
      </c>
      <c r="E510" s="95" t="s">
        <v>2465</v>
      </c>
      <c r="F510" s="95" t="s">
        <v>4</v>
      </c>
      <c r="G510" s="223">
        <v>43899</v>
      </c>
      <c r="H510" s="223">
        <v>43952</v>
      </c>
      <c r="I510" s="223">
        <v>45777</v>
      </c>
      <c r="J510" s="3">
        <v>2</v>
      </c>
      <c r="K510" s="3" t="s">
        <v>10</v>
      </c>
      <c r="L510" s="3" t="s">
        <v>10</v>
      </c>
      <c r="M510" s="95" t="s">
        <v>201</v>
      </c>
      <c r="N510" s="3" t="s">
        <v>68</v>
      </c>
      <c r="O510" s="3" t="s">
        <v>651</v>
      </c>
      <c r="P510" s="3" t="s">
        <v>6</v>
      </c>
      <c r="Q510" s="3" t="s">
        <v>6</v>
      </c>
      <c r="R510" s="95" t="s">
        <v>2870</v>
      </c>
      <c r="S510" s="223" t="s">
        <v>5</v>
      </c>
      <c r="T510" s="223" t="s">
        <v>5</v>
      </c>
      <c r="U510" s="223" t="s">
        <v>5</v>
      </c>
      <c r="V510" s="223" t="s">
        <v>5</v>
      </c>
      <c r="W510" s="223" t="s">
        <v>5</v>
      </c>
      <c r="X510" s="3" t="s">
        <v>5</v>
      </c>
      <c r="Y510" s="3" t="s">
        <v>651</v>
      </c>
      <c r="Z510" s="3" t="s">
        <v>651</v>
      </c>
      <c r="AA510" s="3" t="s">
        <v>10</v>
      </c>
      <c r="AB510" s="223" t="s">
        <v>5</v>
      </c>
      <c r="AC510" s="3" t="s">
        <v>6</v>
      </c>
      <c r="AD510" s="3" t="s">
        <v>10</v>
      </c>
      <c r="AE510" s="95" t="s">
        <v>2263</v>
      </c>
    </row>
    <row r="511" spans="1:31" x14ac:dyDescent="0.35">
      <c r="A511" s="3" t="s">
        <v>1306</v>
      </c>
      <c r="B511" s="3" t="s">
        <v>258</v>
      </c>
      <c r="C511" s="3">
        <v>8</v>
      </c>
      <c r="D511" s="95" t="s">
        <v>1044</v>
      </c>
      <c r="E511" s="95" t="s">
        <v>2466</v>
      </c>
      <c r="F511" s="95" t="s">
        <v>2457</v>
      </c>
      <c r="G511" s="223">
        <v>44414</v>
      </c>
      <c r="H511" s="223">
        <v>44501</v>
      </c>
      <c r="I511" s="223">
        <v>46326</v>
      </c>
      <c r="J511" s="3">
        <v>58</v>
      </c>
      <c r="K511" s="3" t="s">
        <v>10</v>
      </c>
      <c r="L511" s="3" t="s">
        <v>10</v>
      </c>
      <c r="M511" s="95" t="s">
        <v>19</v>
      </c>
      <c r="N511" s="3" t="s">
        <v>20</v>
      </c>
      <c r="O511" s="3" t="s">
        <v>651</v>
      </c>
      <c r="P511" s="3" t="s">
        <v>6</v>
      </c>
      <c r="Q511" s="3" t="s">
        <v>6</v>
      </c>
      <c r="R511" s="95" t="s">
        <v>652</v>
      </c>
      <c r="S511" s="223" t="s">
        <v>5</v>
      </c>
      <c r="T511" s="223" t="s">
        <v>5</v>
      </c>
      <c r="U511" s="223" t="s">
        <v>5</v>
      </c>
      <c r="V511" s="223" t="s">
        <v>5</v>
      </c>
      <c r="W511" s="223" t="s">
        <v>5</v>
      </c>
      <c r="X511" s="3" t="s">
        <v>5</v>
      </c>
      <c r="Y511" s="3" t="s">
        <v>651</v>
      </c>
      <c r="Z511" s="3" t="s">
        <v>651</v>
      </c>
      <c r="AA511" s="3" t="s">
        <v>6</v>
      </c>
      <c r="AB511" s="223">
        <v>43252</v>
      </c>
      <c r="AC511" s="3" t="s">
        <v>10</v>
      </c>
      <c r="AD511" s="3" t="s">
        <v>10</v>
      </c>
      <c r="AE511" s="95" t="s">
        <v>2263</v>
      </c>
    </row>
    <row r="512" spans="1:31" x14ac:dyDescent="0.35">
      <c r="A512" s="3" t="s">
        <v>1307</v>
      </c>
      <c r="B512" s="3" t="s">
        <v>258</v>
      </c>
      <c r="C512" s="3">
        <v>8</v>
      </c>
      <c r="D512" s="95" t="s">
        <v>1308</v>
      </c>
      <c r="E512" s="95" t="s">
        <v>2467</v>
      </c>
      <c r="F512" s="95" t="s">
        <v>2457</v>
      </c>
      <c r="G512" s="223">
        <v>44838</v>
      </c>
      <c r="H512" s="223">
        <v>44958</v>
      </c>
      <c r="I512" s="223">
        <v>46783</v>
      </c>
      <c r="J512" s="3">
        <v>180</v>
      </c>
      <c r="K512" s="3" t="s">
        <v>10</v>
      </c>
      <c r="L512" s="3" t="s">
        <v>10</v>
      </c>
      <c r="M512" s="95" t="s">
        <v>27</v>
      </c>
      <c r="N512" s="3" t="s">
        <v>28</v>
      </c>
      <c r="O512" s="3" t="s">
        <v>651</v>
      </c>
      <c r="P512" s="3" t="s">
        <v>6</v>
      </c>
      <c r="Q512" s="3" t="s">
        <v>6</v>
      </c>
      <c r="R512" s="95" t="s">
        <v>652</v>
      </c>
      <c r="S512" s="223" t="s">
        <v>5</v>
      </c>
      <c r="T512" s="223" t="s">
        <v>5</v>
      </c>
      <c r="U512" s="223" t="s">
        <v>5</v>
      </c>
      <c r="V512" s="223" t="s">
        <v>5</v>
      </c>
      <c r="W512" s="223" t="s">
        <v>5</v>
      </c>
      <c r="X512" s="3" t="s">
        <v>5</v>
      </c>
      <c r="Y512" s="3" t="s">
        <v>651</v>
      </c>
      <c r="Z512" s="3" t="s">
        <v>651</v>
      </c>
      <c r="AA512" s="3" t="s">
        <v>6</v>
      </c>
      <c r="AB512" s="223">
        <v>43252</v>
      </c>
      <c r="AC512" s="3" t="s">
        <v>6</v>
      </c>
      <c r="AD512" s="3" t="s">
        <v>10</v>
      </c>
      <c r="AE512" s="95" t="s">
        <v>2265</v>
      </c>
    </row>
    <row r="513" spans="1:31" x14ac:dyDescent="0.35">
      <c r="A513" s="3" t="s">
        <v>1973</v>
      </c>
      <c r="B513" s="3" t="s">
        <v>258</v>
      </c>
      <c r="C513" s="3">
        <v>8</v>
      </c>
      <c r="D513" s="95" t="s">
        <v>1974</v>
      </c>
      <c r="E513" s="95" t="s">
        <v>2272</v>
      </c>
      <c r="F513" s="95" t="s">
        <v>437</v>
      </c>
      <c r="G513" s="223">
        <v>44211</v>
      </c>
      <c r="H513" s="223">
        <v>44256</v>
      </c>
      <c r="I513" s="223">
        <v>46081</v>
      </c>
      <c r="J513" s="3">
        <v>0</v>
      </c>
      <c r="K513" s="3" t="s">
        <v>6</v>
      </c>
      <c r="L513" s="3" t="s">
        <v>6</v>
      </c>
      <c r="M513" s="95" t="s">
        <v>27</v>
      </c>
      <c r="N513" s="3" t="s">
        <v>28</v>
      </c>
      <c r="O513" s="3" t="s">
        <v>25</v>
      </c>
      <c r="P513" s="3" t="s">
        <v>6</v>
      </c>
      <c r="Q513" s="3" t="s">
        <v>6</v>
      </c>
      <c r="R513" s="95" t="s">
        <v>22</v>
      </c>
      <c r="S513" s="223">
        <v>43374</v>
      </c>
      <c r="T513" s="223">
        <v>43553</v>
      </c>
      <c r="U513" s="223">
        <v>43009</v>
      </c>
      <c r="V513" s="223">
        <v>43009</v>
      </c>
      <c r="W513" s="223" t="s">
        <v>6</v>
      </c>
      <c r="X513" s="3" t="s">
        <v>26</v>
      </c>
      <c r="Y513" s="3" t="s">
        <v>2100</v>
      </c>
      <c r="Z513" s="3" t="s">
        <v>28</v>
      </c>
      <c r="AA513" s="3" t="s">
        <v>6</v>
      </c>
      <c r="AB513" s="223">
        <v>42159</v>
      </c>
      <c r="AC513" s="3" t="s">
        <v>6</v>
      </c>
      <c r="AD513" s="3" t="s">
        <v>10</v>
      </c>
      <c r="AE513" s="95" t="s">
        <v>2263</v>
      </c>
    </row>
    <row r="514" spans="1:31" x14ac:dyDescent="0.35">
      <c r="A514" s="3" t="s">
        <v>260</v>
      </c>
      <c r="B514" s="3" t="s">
        <v>258</v>
      </c>
      <c r="C514" s="3">
        <v>8</v>
      </c>
      <c r="D514" s="95" t="s">
        <v>1975</v>
      </c>
      <c r="E514" s="95" t="s">
        <v>1912</v>
      </c>
      <c r="F514" s="95" t="s">
        <v>437</v>
      </c>
      <c r="G514" s="223">
        <v>44609</v>
      </c>
      <c r="H514" s="223">
        <v>44609</v>
      </c>
      <c r="I514" s="223">
        <v>46434</v>
      </c>
      <c r="J514" s="3">
        <v>66</v>
      </c>
      <c r="K514" s="3" t="s">
        <v>6</v>
      </c>
      <c r="L514" s="3" t="s">
        <v>6</v>
      </c>
      <c r="M514" s="95" t="s">
        <v>23</v>
      </c>
      <c r="N514" s="3" t="s">
        <v>24</v>
      </c>
      <c r="O514" s="3" t="s">
        <v>25</v>
      </c>
      <c r="P514" s="3" t="s">
        <v>6</v>
      </c>
      <c r="Q514" s="3" t="s">
        <v>6</v>
      </c>
      <c r="R514" s="95" t="s">
        <v>22</v>
      </c>
      <c r="S514" s="223">
        <v>43374</v>
      </c>
      <c r="T514" s="223">
        <v>43497</v>
      </c>
      <c r="U514" s="223">
        <v>42644</v>
      </c>
      <c r="V514" s="223">
        <v>42644</v>
      </c>
      <c r="W514" s="223" t="s">
        <v>6</v>
      </c>
      <c r="X514" s="3" t="s">
        <v>26</v>
      </c>
      <c r="Y514" s="3" t="s">
        <v>2093</v>
      </c>
      <c r="Z514" s="3" t="s">
        <v>24</v>
      </c>
      <c r="AA514" s="3" t="s">
        <v>6</v>
      </c>
      <c r="AB514" s="223">
        <v>42782</v>
      </c>
      <c r="AC514" s="3" t="s">
        <v>10</v>
      </c>
      <c r="AD514" s="3" t="s">
        <v>10</v>
      </c>
      <c r="AE514" s="95" t="s">
        <v>2263</v>
      </c>
    </row>
    <row r="515" spans="1:31" x14ac:dyDescent="0.35">
      <c r="A515" s="3" t="s">
        <v>1309</v>
      </c>
      <c r="B515" s="3" t="s">
        <v>258</v>
      </c>
      <c r="C515" s="3">
        <v>8</v>
      </c>
      <c r="D515" s="95" t="s">
        <v>1310</v>
      </c>
      <c r="E515" s="95" t="s">
        <v>2468</v>
      </c>
      <c r="F515" s="95" t="s">
        <v>2457</v>
      </c>
      <c r="G515" s="223">
        <v>44606</v>
      </c>
      <c r="H515" s="223">
        <v>44652</v>
      </c>
      <c r="I515" s="223">
        <v>46477</v>
      </c>
      <c r="J515" s="3">
        <v>15</v>
      </c>
      <c r="K515" s="3" t="s">
        <v>10</v>
      </c>
      <c r="L515" s="3" t="s">
        <v>10</v>
      </c>
      <c r="M515" s="95" t="s">
        <v>2555</v>
      </c>
      <c r="N515" s="3" t="s">
        <v>52</v>
      </c>
      <c r="O515" s="3" t="s">
        <v>651</v>
      </c>
      <c r="P515" s="3" t="s">
        <v>6</v>
      </c>
      <c r="Q515" s="3" t="s">
        <v>6</v>
      </c>
      <c r="R515" s="95" t="s">
        <v>652</v>
      </c>
      <c r="S515" s="223" t="s">
        <v>5</v>
      </c>
      <c r="T515" s="223" t="s">
        <v>5</v>
      </c>
      <c r="U515" s="223" t="s">
        <v>5</v>
      </c>
      <c r="V515" s="223" t="s">
        <v>5</v>
      </c>
      <c r="W515" s="223" t="s">
        <v>5</v>
      </c>
      <c r="X515" s="3" t="s">
        <v>5</v>
      </c>
      <c r="Y515" s="3" t="s">
        <v>651</v>
      </c>
      <c r="Z515" s="3" t="s">
        <v>651</v>
      </c>
      <c r="AA515" s="3" t="s">
        <v>6</v>
      </c>
      <c r="AB515" s="223">
        <v>43252</v>
      </c>
      <c r="AC515" s="3" t="s">
        <v>6</v>
      </c>
      <c r="AD515" s="3" t="s">
        <v>6</v>
      </c>
      <c r="AE515" s="95" t="s">
        <v>2265</v>
      </c>
    </row>
    <row r="516" spans="1:31" x14ac:dyDescent="0.35">
      <c r="A516" s="3" t="s">
        <v>1311</v>
      </c>
      <c r="B516" s="3" t="s">
        <v>258</v>
      </c>
      <c r="C516" s="3">
        <v>8</v>
      </c>
      <c r="D516" s="95" t="s">
        <v>1312</v>
      </c>
      <c r="E516" s="95" t="s">
        <v>2469</v>
      </c>
      <c r="F516" s="95" t="s">
        <v>2457</v>
      </c>
      <c r="G516" s="223">
        <v>44865</v>
      </c>
      <c r="H516" s="223">
        <v>44927</v>
      </c>
      <c r="I516" s="223">
        <v>46752</v>
      </c>
      <c r="J516" s="3">
        <v>1200</v>
      </c>
      <c r="K516" s="3" t="s">
        <v>10</v>
      </c>
      <c r="L516" s="3" t="s">
        <v>10</v>
      </c>
      <c r="M516" s="95" t="s">
        <v>23</v>
      </c>
      <c r="N516" s="3" t="s">
        <v>24</v>
      </c>
      <c r="O516" s="3" t="s">
        <v>651</v>
      </c>
      <c r="P516" s="3" t="s">
        <v>6</v>
      </c>
      <c r="Q516" s="3" t="s">
        <v>6</v>
      </c>
      <c r="R516" s="95" t="s">
        <v>652</v>
      </c>
      <c r="S516" s="223" t="s">
        <v>5</v>
      </c>
      <c r="T516" s="223" t="s">
        <v>5</v>
      </c>
      <c r="U516" s="223" t="s">
        <v>5</v>
      </c>
      <c r="V516" s="223" t="s">
        <v>5</v>
      </c>
      <c r="W516" s="223" t="s">
        <v>5</v>
      </c>
      <c r="X516" s="3" t="s">
        <v>5</v>
      </c>
      <c r="Y516" s="3" t="s">
        <v>651</v>
      </c>
      <c r="Z516" s="3" t="s">
        <v>651</v>
      </c>
      <c r="AA516" s="3" t="s">
        <v>6</v>
      </c>
      <c r="AB516" s="223">
        <v>43252</v>
      </c>
      <c r="AC516" s="3" t="s">
        <v>10</v>
      </c>
      <c r="AD516" s="3" t="s">
        <v>10</v>
      </c>
      <c r="AE516" s="95" t="s">
        <v>2263</v>
      </c>
    </row>
    <row r="517" spans="1:31" x14ac:dyDescent="0.35">
      <c r="A517" s="3" t="s">
        <v>261</v>
      </c>
      <c r="B517" s="3" t="s">
        <v>262</v>
      </c>
      <c r="C517" s="3">
        <v>9</v>
      </c>
      <c r="D517" s="95" t="s">
        <v>3157</v>
      </c>
      <c r="E517" s="95" t="s">
        <v>422</v>
      </c>
      <c r="F517" s="95" t="s">
        <v>437</v>
      </c>
      <c r="G517" s="223">
        <v>44455</v>
      </c>
      <c r="H517" s="223">
        <v>44500</v>
      </c>
      <c r="I517" s="223">
        <v>46326</v>
      </c>
      <c r="J517" s="3">
        <v>0</v>
      </c>
      <c r="K517" s="3" t="s">
        <v>6</v>
      </c>
      <c r="L517" s="3" t="s">
        <v>6</v>
      </c>
      <c r="M517" s="95" t="s">
        <v>19</v>
      </c>
      <c r="N517" s="3" t="s">
        <v>20</v>
      </c>
      <c r="O517" s="3" t="s">
        <v>21</v>
      </c>
      <c r="P517" s="3" t="s">
        <v>6</v>
      </c>
      <c r="Q517" s="3" t="s">
        <v>6</v>
      </c>
      <c r="R517" s="95" t="s">
        <v>22</v>
      </c>
      <c r="S517" s="223">
        <v>43675</v>
      </c>
      <c r="T517" s="223">
        <v>43756</v>
      </c>
      <c r="U517" s="223">
        <v>43647</v>
      </c>
      <c r="V517" s="223">
        <v>43647</v>
      </c>
      <c r="W517" s="223" t="s">
        <v>6</v>
      </c>
      <c r="X517" s="3" t="s">
        <v>26</v>
      </c>
      <c r="Y517" s="3" t="s">
        <v>2116</v>
      </c>
      <c r="Z517" s="3" t="s">
        <v>20</v>
      </c>
      <c r="AA517" s="3" t="s">
        <v>6</v>
      </c>
      <c r="AB517" s="223">
        <v>44442</v>
      </c>
      <c r="AC517" s="3" t="s">
        <v>10</v>
      </c>
      <c r="AD517" s="3" t="s">
        <v>10</v>
      </c>
      <c r="AE517" s="95" t="s">
        <v>2263</v>
      </c>
    </row>
    <row r="518" spans="1:31" x14ac:dyDescent="0.35">
      <c r="A518" s="3" t="s">
        <v>263</v>
      </c>
      <c r="B518" s="3" t="s">
        <v>262</v>
      </c>
      <c r="C518" s="3">
        <v>9</v>
      </c>
      <c r="D518" s="95" t="s">
        <v>264</v>
      </c>
      <c r="E518" s="95" t="s">
        <v>2272</v>
      </c>
      <c r="F518" s="95" t="s">
        <v>437</v>
      </c>
      <c r="G518" s="223">
        <v>44211</v>
      </c>
      <c r="H518" s="223">
        <v>44256</v>
      </c>
      <c r="I518" s="223">
        <v>46081</v>
      </c>
      <c r="J518" s="3">
        <v>1</v>
      </c>
      <c r="K518" s="3" t="s">
        <v>6</v>
      </c>
      <c r="L518" s="3" t="s">
        <v>6</v>
      </c>
      <c r="M518" s="95" t="s">
        <v>27</v>
      </c>
      <c r="N518" s="3" t="s">
        <v>28</v>
      </c>
      <c r="O518" s="3" t="s">
        <v>25</v>
      </c>
      <c r="P518" s="3" t="s">
        <v>6</v>
      </c>
      <c r="Q518" s="3" t="s">
        <v>6</v>
      </c>
      <c r="R518" s="95" t="s">
        <v>22</v>
      </c>
      <c r="S518" s="223">
        <v>43374</v>
      </c>
      <c r="T518" s="223">
        <v>43553</v>
      </c>
      <c r="U518" s="223">
        <v>43009</v>
      </c>
      <c r="V518" s="223">
        <v>43009</v>
      </c>
      <c r="W518" s="223" t="s">
        <v>6</v>
      </c>
      <c r="X518" s="3" t="s">
        <v>26</v>
      </c>
      <c r="Y518" s="3" t="s">
        <v>2100</v>
      </c>
      <c r="Z518" s="3" t="s">
        <v>28</v>
      </c>
      <c r="AA518" s="3" t="s">
        <v>6</v>
      </c>
      <c r="AB518" s="223">
        <v>42159</v>
      </c>
      <c r="AC518" s="3" t="s">
        <v>6</v>
      </c>
      <c r="AD518" s="3" t="s">
        <v>10</v>
      </c>
      <c r="AE518" s="95" t="s">
        <v>2263</v>
      </c>
    </row>
    <row r="519" spans="1:31" x14ac:dyDescent="0.35">
      <c r="A519" s="3" t="s">
        <v>265</v>
      </c>
      <c r="B519" s="3" t="s">
        <v>262</v>
      </c>
      <c r="C519" s="3">
        <v>9</v>
      </c>
      <c r="D519" s="95" t="s">
        <v>1976</v>
      </c>
      <c r="E519" s="95" t="s">
        <v>1912</v>
      </c>
      <c r="F519" s="95" t="s">
        <v>437</v>
      </c>
      <c r="G519" s="223">
        <v>44609</v>
      </c>
      <c r="H519" s="223">
        <v>44609</v>
      </c>
      <c r="I519" s="223">
        <v>46434</v>
      </c>
      <c r="J519" s="3">
        <v>4</v>
      </c>
      <c r="K519" s="3" t="s">
        <v>6</v>
      </c>
      <c r="L519" s="3" t="s">
        <v>6</v>
      </c>
      <c r="M519" s="95" t="s">
        <v>23</v>
      </c>
      <c r="N519" s="3" t="s">
        <v>24</v>
      </c>
      <c r="O519" s="3" t="s">
        <v>25</v>
      </c>
      <c r="P519" s="3" t="s">
        <v>6</v>
      </c>
      <c r="Q519" s="3" t="s">
        <v>6</v>
      </c>
      <c r="R519" s="95" t="s">
        <v>22</v>
      </c>
      <c r="S519" s="223">
        <v>43374</v>
      </c>
      <c r="T519" s="223">
        <v>43497</v>
      </c>
      <c r="U519" s="223">
        <v>42644</v>
      </c>
      <c r="V519" s="223">
        <v>42644</v>
      </c>
      <c r="W519" s="223" t="s">
        <v>6</v>
      </c>
      <c r="X519" s="3" t="s">
        <v>26</v>
      </c>
      <c r="Y519" s="3" t="s">
        <v>2093</v>
      </c>
      <c r="Z519" s="3" t="s">
        <v>24</v>
      </c>
      <c r="AA519" s="3" t="s">
        <v>6</v>
      </c>
      <c r="AB519" s="223">
        <v>42782</v>
      </c>
      <c r="AC519" s="3" t="s">
        <v>10</v>
      </c>
      <c r="AD519" s="3" t="s">
        <v>10</v>
      </c>
      <c r="AE519" s="95" t="s">
        <v>2263</v>
      </c>
    </row>
    <row r="520" spans="1:31" x14ac:dyDescent="0.35">
      <c r="A520" s="3" t="s">
        <v>1313</v>
      </c>
      <c r="B520" s="3" t="s">
        <v>266</v>
      </c>
      <c r="C520" s="3">
        <v>4</v>
      </c>
      <c r="D520" s="95" t="s">
        <v>1314</v>
      </c>
      <c r="E520" s="95" t="s">
        <v>2470</v>
      </c>
      <c r="F520" s="95" t="s">
        <v>4</v>
      </c>
      <c r="G520" s="223">
        <v>42917</v>
      </c>
      <c r="H520" s="223">
        <v>42917</v>
      </c>
      <c r="I520" s="223">
        <v>44742</v>
      </c>
      <c r="J520" s="3">
        <v>11</v>
      </c>
      <c r="K520" s="3" t="s">
        <v>10</v>
      </c>
      <c r="L520" s="3" t="s">
        <v>10</v>
      </c>
      <c r="M520" s="95" t="s">
        <v>105</v>
      </c>
      <c r="N520" s="3" t="s">
        <v>106</v>
      </c>
      <c r="O520" s="3" t="s">
        <v>651</v>
      </c>
      <c r="P520" s="3" t="s">
        <v>6</v>
      </c>
      <c r="Q520" s="3" t="s">
        <v>6</v>
      </c>
      <c r="R520" s="95" t="s">
        <v>652</v>
      </c>
      <c r="S520" s="223" t="s">
        <v>5</v>
      </c>
      <c r="T520" s="223" t="s">
        <v>5</v>
      </c>
      <c r="U520" s="223" t="s">
        <v>5</v>
      </c>
      <c r="V520" s="223" t="s">
        <v>5</v>
      </c>
      <c r="W520" s="223" t="s">
        <v>5</v>
      </c>
      <c r="X520" s="3" t="s">
        <v>5</v>
      </c>
      <c r="Y520" s="3" t="s">
        <v>651</v>
      </c>
      <c r="Z520" s="3" t="s">
        <v>651</v>
      </c>
      <c r="AA520" s="3" t="s">
        <v>10</v>
      </c>
      <c r="AB520" s="223" t="s">
        <v>5</v>
      </c>
      <c r="AC520" s="3" t="s">
        <v>10</v>
      </c>
      <c r="AD520" s="3" t="s">
        <v>6</v>
      </c>
      <c r="AE520" s="95" t="s">
        <v>2265</v>
      </c>
    </row>
    <row r="521" spans="1:31" x14ac:dyDescent="0.35">
      <c r="A521" s="3" t="s">
        <v>1315</v>
      </c>
      <c r="B521" s="3" t="s">
        <v>266</v>
      </c>
      <c r="C521" s="3">
        <v>4</v>
      </c>
      <c r="D521" s="95" t="s">
        <v>1316</v>
      </c>
      <c r="E521" s="95" t="s">
        <v>2470</v>
      </c>
      <c r="F521" s="95" t="s">
        <v>4</v>
      </c>
      <c r="G521" s="223">
        <v>42917</v>
      </c>
      <c r="H521" s="223">
        <v>42917</v>
      </c>
      <c r="I521" s="223">
        <v>44742</v>
      </c>
      <c r="J521" s="3">
        <v>3</v>
      </c>
      <c r="K521" s="3" t="s">
        <v>10</v>
      </c>
      <c r="L521" s="3" t="s">
        <v>10</v>
      </c>
      <c r="M521" s="95" t="s">
        <v>105</v>
      </c>
      <c r="N521" s="3" t="s">
        <v>106</v>
      </c>
      <c r="O521" s="3" t="s">
        <v>651</v>
      </c>
      <c r="P521" s="3" t="s">
        <v>6</v>
      </c>
      <c r="Q521" s="3" t="s">
        <v>6</v>
      </c>
      <c r="R521" s="95" t="s">
        <v>652</v>
      </c>
      <c r="S521" s="223" t="s">
        <v>5</v>
      </c>
      <c r="T521" s="223" t="s">
        <v>5</v>
      </c>
      <c r="U521" s="223" t="s">
        <v>5</v>
      </c>
      <c r="V521" s="223" t="s">
        <v>5</v>
      </c>
      <c r="W521" s="223" t="s">
        <v>5</v>
      </c>
      <c r="X521" s="3" t="s">
        <v>5</v>
      </c>
      <c r="Y521" s="3" t="s">
        <v>651</v>
      </c>
      <c r="Z521" s="3" t="s">
        <v>651</v>
      </c>
      <c r="AA521" s="3" t="s">
        <v>10</v>
      </c>
      <c r="AB521" s="223" t="s">
        <v>5</v>
      </c>
      <c r="AC521" s="3" t="s">
        <v>10</v>
      </c>
      <c r="AD521" s="3" t="s">
        <v>6</v>
      </c>
      <c r="AE521" s="95" t="s">
        <v>2265</v>
      </c>
    </row>
    <row r="522" spans="1:31" x14ac:dyDescent="0.35">
      <c r="A522" s="3" t="s">
        <v>1317</v>
      </c>
      <c r="B522" s="3" t="s">
        <v>266</v>
      </c>
      <c r="C522" s="3">
        <v>4</v>
      </c>
      <c r="D522" s="95" t="s">
        <v>1318</v>
      </c>
      <c r="E522" s="95" t="s">
        <v>2470</v>
      </c>
      <c r="F522" s="95" t="s">
        <v>4</v>
      </c>
      <c r="G522" s="223">
        <v>42917</v>
      </c>
      <c r="H522" s="223">
        <v>42917</v>
      </c>
      <c r="I522" s="223">
        <v>44742</v>
      </c>
      <c r="J522" s="3">
        <v>1</v>
      </c>
      <c r="K522" s="3" t="s">
        <v>10</v>
      </c>
      <c r="L522" s="3" t="s">
        <v>10</v>
      </c>
      <c r="M522" s="95" t="s">
        <v>105</v>
      </c>
      <c r="N522" s="3" t="s">
        <v>106</v>
      </c>
      <c r="O522" s="3" t="s">
        <v>651</v>
      </c>
      <c r="P522" s="3" t="s">
        <v>6</v>
      </c>
      <c r="Q522" s="3" t="s">
        <v>6</v>
      </c>
      <c r="R522" s="95" t="s">
        <v>652</v>
      </c>
      <c r="S522" s="223" t="s">
        <v>5</v>
      </c>
      <c r="T522" s="223" t="s">
        <v>5</v>
      </c>
      <c r="U522" s="223" t="s">
        <v>5</v>
      </c>
      <c r="V522" s="223" t="s">
        <v>5</v>
      </c>
      <c r="W522" s="223" t="s">
        <v>5</v>
      </c>
      <c r="X522" s="3" t="s">
        <v>5</v>
      </c>
      <c r="Y522" s="3" t="s">
        <v>651</v>
      </c>
      <c r="Z522" s="3" t="s">
        <v>651</v>
      </c>
      <c r="AA522" s="3" t="s">
        <v>10</v>
      </c>
      <c r="AB522" s="223" t="s">
        <v>5</v>
      </c>
      <c r="AC522" s="3" t="s">
        <v>10</v>
      </c>
      <c r="AD522" s="3" t="s">
        <v>6</v>
      </c>
      <c r="AE522" s="95" t="s">
        <v>2265</v>
      </c>
    </row>
    <row r="523" spans="1:31" x14ac:dyDescent="0.35">
      <c r="A523" s="3" t="s">
        <v>1319</v>
      </c>
      <c r="B523" s="3" t="s">
        <v>266</v>
      </c>
      <c r="C523" s="3">
        <v>4</v>
      </c>
      <c r="D523" s="95" t="s">
        <v>1320</v>
      </c>
      <c r="E523" s="95" t="s">
        <v>2471</v>
      </c>
      <c r="F523" s="95" t="s">
        <v>4</v>
      </c>
      <c r="G523" s="223">
        <v>45383</v>
      </c>
      <c r="H523" s="223">
        <v>45383</v>
      </c>
      <c r="I523" s="223">
        <v>47208</v>
      </c>
      <c r="J523" s="3">
        <v>5600</v>
      </c>
      <c r="K523" s="3" t="s">
        <v>10</v>
      </c>
      <c r="L523" s="3" t="s">
        <v>10</v>
      </c>
      <c r="M523" s="95" t="s">
        <v>23</v>
      </c>
      <c r="N523" s="3" t="s">
        <v>24</v>
      </c>
      <c r="O523" s="3" t="s">
        <v>651</v>
      </c>
      <c r="P523" s="3" t="s">
        <v>6</v>
      </c>
      <c r="Q523" s="3" t="s">
        <v>6</v>
      </c>
      <c r="R523" s="95" t="s">
        <v>652</v>
      </c>
      <c r="S523" s="223" t="s">
        <v>5</v>
      </c>
      <c r="T523" s="223" t="s">
        <v>5</v>
      </c>
      <c r="U523" s="223" t="s">
        <v>5</v>
      </c>
      <c r="V523" s="223" t="s">
        <v>5</v>
      </c>
      <c r="W523" s="223" t="s">
        <v>5</v>
      </c>
      <c r="X523" s="3" t="s">
        <v>5</v>
      </c>
      <c r="Y523" s="3" t="s">
        <v>651</v>
      </c>
      <c r="Z523" s="3" t="s">
        <v>651</v>
      </c>
      <c r="AA523" s="3" t="s">
        <v>10</v>
      </c>
      <c r="AB523" s="223" t="s">
        <v>5</v>
      </c>
      <c r="AC523" s="3" t="s">
        <v>10</v>
      </c>
      <c r="AD523" s="3" t="s">
        <v>10</v>
      </c>
      <c r="AE523" s="95" t="s">
        <v>2263</v>
      </c>
    </row>
    <row r="524" spans="1:31" x14ac:dyDescent="0.35">
      <c r="A524" s="3" t="s">
        <v>1321</v>
      </c>
      <c r="B524" s="3" t="s">
        <v>266</v>
      </c>
      <c r="C524" s="3">
        <v>4</v>
      </c>
      <c r="D524" s="95" t="s">
        <v>1322</v>
      </c>
      <c r="E524" s="95" t="s">
        <v>2471</v>
      </c>
      <c r="F524" s="95" t="s">
        <v>4</v>
      </c>
      <c r="G524" s="223">
        <v>44378</v>
      </c>
      <c r="H524" s="223">
        <v>44378</v>
      </c>
      <c r="I524" s="223">
        <v>45838</v>
      </c>
      <c r="J524" s="3">
        <v>400</v>
      </c>
      <c r="K524" s="3" t="s">
        <v>10</v>
      </c>
      <c r="L524" s="3" t="s">
        <v>10</v>
      </c>
      <c r="M524" s="95" t="s">
        <v>27</v>
      </c>
      <c r="N524" s="3" t="s">
        <v>115</v>
      </c>
      <c r="O524" s="3" t="s">
        <v>651</v>
      </c>
      <c r="P524" s="3" t="s">
        <v>6</v>
      </c>
      <c r="Q524" s="3" t="s">
        <v>6</v>
      </c>
      <c r="R524" s="95" t="s">
        <v>652</v>
      </c>
      <c r="S524" s="223" t="s">
        <v>5</v>
      </c>
      <c r="T524" s="223" t="s">
        <v>5</v>
      </c>
      <c r="U524" s="223" t="s">
        <v>5</v>
      </c>
      <c r="V524" s="223" t="s">
        <v>5</v>
      </c>
      <c r="W524" s="223" t="s">
        <v>5</v>
      </c>
      <c r="X524" s="3" t="s">
        <v>5</v>
      </c>
      <c r="Y524" s="3" t="s">
        <v>651</v>
      </c>
      <c r="Z524" s="3" t="s">
        <v>651</v>
      </c>
      <c r="AA524" s="3" t="s">
        <v>10</v>
      </c>
      <c r="AB524" s="223" t="s">
        <v>5</v>
      </c>
      <c r="AC524" s="3" t="s">
        <v>6</v>
      </c>
      <c r="AD524" s="3" t="s">
        <v>10</v>
      </c>
      <c r="AE524" s="95" t="s">
        <v>2263</v>
      </c>
    </row>
    <row r="525" spans="1:31" x14ac:dyDescent="0.35">
      <c r="A525" s="3" t="s">
        <v>1323</v>
      </c>
      <c r="B525" s="3" t="s">
        <v>266</v>
      </c>
      <c r="C525" s="3">
        <v>4</v>
      </c>
      <c r="D525" s="95" t="s">
        <v>1324</v>
      </c>
      <c r="E525" s="95" t="s">
        <v>2471</v>
      </c>
      <c r="F525" s="95" t="s">
        <v>4</v>
      </c>
      <c r="G525" s="223">
        <v>44378</v>
      </c>
      <c r="H525" s="223">
        <v>44378</v>
      </c>
      <c r="I525" s="223">
        <v>46203</v>
      </c>
      <c r="J525" s="3">
        <v>300</v>
      </c>
      <c r="K525" s="3" t="s">
        <v>10</v>
      </c>
      <c r="L525" s="3" t="s">
        <v>10</v>
      </c>
      <c r="M525" s="95" t="s">
        <v>27</v>
      </c>
      <c r="N525" s="3" t="s">
        <v>28</v>
      </c>
      <c r="O525" s="3" t="s">
        <v>651</v>
      </c>
      <c r="P525" s="3" t="s">
        <v>6</v>
      </c>
      <c r="Q525" s="3" t="s">
        <v>6</v>
      </c>
      <c r="R525" s="95" t="s">
        <v>652</v>
      </c>
      <c r="S525" s="223" t="s">
        <v>5</v>
      </c>
      <c r="T525" s="223" t="s">
        <v>5</v>
      </c>
      <c r="U525" s="223" t="s">
        <v>5</v>
      </c>
      <c r="V525" s="223" t="s">
        <v>5</v>
      </c>
      <c r="W525" s="223" t="s">
        <v>5</v>
      </c>
      <c r="X525" s="3" t="s">
        <v>5</v>
      </c>
      <c r="Y525" s="3" t="s">
        <v>651</v>
      </c>
      <c r="Z525" s="3" t="s">
        <v>651</v>
      </c>
      <c r="AA525" s="3" t="s">
        <v>10</v>
      </c>
      <c r="AB525" s="223" t="s">
        <v>5</v>
      </c>
      <c r="AC525" s="3" t="s">
        <v>6</v>
      </c>
      <c r="AD525" s="3" t="s">
        <v>10</v>
      </c>
      <c r="AE525" s="95" t="s">
        <v>2263</v>
      </c>
    </row>
    <row r="526" spans="1:31" x14ac:dyDescent="0.35">
      <c r="A526" s="3" t="s">
        <v>1325</v>
      </c>
      <c r="B526" s="3" t="s">
        <v>266</v>
      </c>
      <c r="C526" s="3">
        <v>4</v>
      </c>
      <c r="D526" s="95" t="s">
        <v>1326</v>
      </c>
      <c r="E526" s="95" t="s">
        <v>2471</v>
      </c>
      <c r="F526" s="95" t="s">
        <v>4</v>
      </c>
      <c r="G526" s="223">
        <v>45078</v>
      </c>
      <c r="H526" s="223">
        <v>45078</v>
      </c>
      <c r="I526" s="223">
        <v>46904</v>
      </c>
      <c r="J526" s="3">
        <v>190</v>
      </c>
      <c r="K526" s="3" t="s">
        <v>10</v>
      </c>
      <c r="L526" s="3" t="s">
        <v>10</v>
      </c>
      <c r="M526" s="95" t="s">
        <v>27</v>
      </c>
      <c r="N526" s="3" t="s">
        <v>28</v>
      </c>
      <c r="O526" s="3" t="s">
        <v>651</v>
      </c>
      <c r="P526" s="3" t="s">
        <v>6</v>
      </c>
      <c r="Q526" s="3" t="s">
        <v>6</v>
      </c>
      <c r="R526" s="95" t="s">
        <v>652</v>
      </c>
      <c r="S526" s="223" t="s">
        <v>5</v>
      </c>
      <c r="T526" s="223" t="s">
        <v>5</v>
      </c>
      <c r="U526" s="223" t="s">
        <v>5</v>
      </c>
      <c r="V526" s="223" t="s">
        <v>5</v>
      </c>
      <c r="W526" s="223" t="s">
        <v>5</v>
      </c>
      <c r="X526" s="3" t="s">
        <v>5</v>
      </c>
      <c r="Y526" s="3" t="s">
        <v>651</v>
      </c>
      <c r="Z526" s="3" t="s">
        <v>651</v>
      </c>
      <c r="AA526" s="3" t="s">
        <v>10</v>
      </c>
      <c r="AB526" s="223" t="s">
        <v>5</v>
      </c>
      <c r="AC526" s="3" t="s">
        <v>6</v>
      </c>
      <c r="AD526" s="3" t="s">
        <v>10</v>
      </c>
      <c r="AE526" s="95" t="s">
        <v>2263</v>
      </c>
    </row>
    <row r="527" spans="1:31" x14ac:dyDescent="0.35">
      <c r="A527" s="3" t="s">
        <v>1327</v>
      </c>
      <c r="B527" s="3" t="s">
        <v>266</v>
      </c>
      <c r="C527" s="3">
        <v>4</v>
      </c>
      <c r="D527" s="95" t="s">
        <v>1328</v>
      </c>
      <c r="E527" s="95" t="s">
        <v>2471</v>
      </c>
      <c r="F527" s="95" t="s">
        <v>4</v>
      </c>
      <c r="G527" s="223">
        <v>44378</v>
      </c>
      <c r="H527" s="223">
        <v>44378</v>
      </c>
      <c r="I527" s="223">
        <v>46203</v>
      </c>
      <c r="J527" s="3">
        <v>200</v>
      </c>
      <c r="K527" s="3" t="s">
        <v>10</v>
      </c>
      <c r="L527" s="3" t="s">
        <v>10</v>
      </c>
      <c r="M527" s="95" t="s">
        <v>27</v>
      </c>
      <c r="N527" s="3" t="s">
        <v>28</v>
      </c>
      <c r="O527" s="3" t="s">
        <v>651</v>
      </c>
      <c r="P527" s="3" t="s">
        <v>6</v>
      </c>
      <c r="Q527" s="3" t="s">
        <v>6</v>
      </c>
      <c r="R527" s="95" t="s">
        <v>652</v>
      </c>
      <c r="S527" s="223" t="s">
        <v>5</v>
      </c>
      <c r="T527" s="223" t="s">
        <v>5</v>
      </c>
      <c r="U527" s="223" t="s">
        <v>5</v>
      </c>
      <c r="V527" s="223" t="s">
        <v>5</v>
      </c>
      <c r="W527" s="223" t="s">
        <v>5</v>
      </c>
      <c r="X527" s="3" t="s">
        <v>5</v>
      </c>
      <c r="Y527" s="3" t="s">
        <v>651</v>
      </c>
      <c r="Z527" s="3" t="s">
        <v>651</v>
      </c>
      <c r="AA527" s="3" t="s">
        <v>10</v>
      </c>
      <c r="AB527" s="223" t="s">
        <v>5</v>
      </c>
      <c r="AC527" s="3" t="s">
        <v>6</v>
      </c>
      <c r="AD527" s="3" t="s">
        <v>10</v>
      </c>
      <c r="AE527" s="95" t="s">
        <v>2263</v>
      </c>
    </row>
    <row r="528" spans="1:31" x14ac:dyDescent="0.35">
      <c r="A528" s="3" t="s">
        <v>1329</v>
      </c>
      <c r="B528" s="3" t="s">
        <v>266</v>
      </c>
      <c r="C528" s="3">
        <v>4</v>
      </c>
      <c r="D528" s="95" t="s">
        <v>1330</v>
      </c>
      <c r="E528" s="95" t="s">
        <v>2471</v>
      </c>
      <c r="F528" s="95" t="s">
        <v>4</v>
      </c>
      <c r="G528" s="223">
        <v>45078</v>
      </c>
      <c r="H528" s="223">
        <v>45078</v>
      </c>
      <c r="I528" s="223">
        <v>46904</v>
      </c>
      <c r="J528" s="3">
        <v>120</v>
      </c>
      <c r="K528" s="3" t="s">
        <v>10</v>
      </c>
      <c r="L528" s="3" t="s">
        <v>10</v>
      </c>
      <c r="M528" s="95" t="s">
        <v>27</v>
      </c>
      <c r="N528" s="3" t="s">
        <v>115</v>
      </c>
      <c r="O528" s="3" t="s">
        <v>651</v>
      </c>
      <c r="P528" s="3" t="s">
        <v>6</v>
      </c>
      <c r="Q528" s="3" t="s">
        <v>6</v>
      </c>
      <c r="R528" s="95" t="s">
        <v>652</v>
      </c>
      <c r="S528" s="223" t="s">
        <v>5</v>
      </c>
      <c r="T528" s="223" t="s">
        <v>5</v>
      </c>
      <c r="U528" s="223" t="s">
        <v>5</v>
      </c>
      <c r="V528" s="223" t="s">
        <v>5</v>
      </c>
      <c r="W528" s="223" t="s">
        <v>5</v>
      </c>
      <c r="X528" s="3" t="s">
        <v>5</v>
      </c>
      <c r="Y528" s="3" t="s">
        <v>651</v>
      </c>
      <c r="Z528" s="3" t="s">
        <v>651</v>
      </c>
      <c r="AA528" s="3" t="s">
        <v>10</v>
      </c>
      <c r="AB528" s="223" t="s">
        <v>5</v>
      </c>
      <c r="AC528" s="3" t="s">
        <v>6</v>
      </c>
      <c r="AD528" s="3" t="s">
        <v>10</v>
      </c>
      <c r="AE528" s="95" t="s">
        <v>2263</v>
      </c>
    </row>
    <row r="529" spans="1:31" x14ac:dyDescent="0.35">
      <c r="A529" s="3" t="s">
        <v>1331</v>
      </c>
      <c r="B529" s="3" t="s">
        <v>266</v>
      </c>
      <c r="C529" s="3">
        <v>4</v>
      </c>
      <c r="D529" s="95" t="s">
        <v>1332</v>
      </c>
      <c r="E529" s="95" t="s">
        <v>2471</v>
      </c>
      <c r="F529" s="95" t="s">
        <v>4</v>
      </c>
      <c r="G529" s="223">
        <v>44378</v>
      </c>
      <c r="H529" s="223">
        <v>44378</v>
      </c>
      <c r="I529" s="223">
        <v>46203</v>
      </c>
      <c r="J529" s="3">
        <v>400</v>
      </c>
      <c r="K529" s="3" t="s">
        <v>10</v>
      </c>
      <c r="L529" s="3" t="s">
        <v>10</v>
      </c>
      <c r="M529" s="95" t="s">
        <v>27</v>
      </c>
      <c r="N529" s="3" t="s">
        <v>28</v>
      </c>
      <c r="O529" s="3" t="s">
        <v>651</v>
      </c>
      <c r="P529" s="3" t="s">
        <v>6</v>
      </c>
      <c r="Q529" s="3" t="s">
        <v>6</v>
      </c>
      <c r="R529" s="95" t="s">
        <v>652</v>
      </c>
      <c r="S529" s="223" t="s">
        <v>5</v>
      </c>
      <c r="T529" s="223" t="s">
        <v>5</v>
      </c>
      <c r="U529" s="223" t="s">
        <v>5</v>
      </c>
      <c r="V529" s="223" t="s">
        <v>5</v>
      </c>
      <c r="W529" s="223" t="s">
        <v>5</v>
      </c>
      <c r="X529" s="3" t="s">
        <v>5</v>
      </c>
      <c r="Y529" s="3" t="s">
        <v>651</v>
      </c>
      <c r="Z529" s="3" t="s">
        <v>651</v>
      </c>
      <c r="AA529" s="3" t="s">
        <v>10</v>
      </c>
      <c r="AB529" s="223" t="s">
        <v>5</v>
      </c>
      <c r="AC529" s="3" t="s">
        <v>6</v>
      </c>
      <c r="AD529" s="3" t="s">
        <v>10</v>
      </c>
      <c r="AE529" s="95" t="s">
        <v>2263</v>
      </c>
    </row>
    <row r="530" spans="1:31" x14ac:dyDescent="0.35">
      <c r="A530" s="3" t="s">
        <v>267</v>
      </c>
      <c r="B530" s="3" t="s">
        <v>266</v>
      </c>
      <c r="C530" s="3">
        <v>4</v>
      </c>
      <c r="D530" s="95" t="s">
        <v>3158</v>
      </c>
      <c r="E530" s="95" t="s">
        <v>422</v>
      </c>
      <c r="F530" s="95" t="s">
        <v>437</v>
      </c>
      <c r="G530" s="223">
        <v>44455</v>
      </c>
      <c r="H530" s="223">
        <v>44500</v>
      </c>
      <c r="I530" s="223">
        <v>46326</v>
      </c>
      <c r="J530" s="3">
        <v>1</v>
      </c>
      <c r="K530" s="3" t="s">
        <v>6</v>
      </c>
      <c r="L530" s="3" t="s">
        <v>6</v>
      </c>
      <c r="M530" s="95" t="s">
        <v>19</v>
      </c>
      <c r="N530" s="3" t="s">
        <v>20</v>
      </c>
      <c r="O530" s="3" t="s">
        <v>21</v>
      </c>
      <c r="P530" s="3" t="s">
        <v>6</v>
      </c>
      <c r="Q530" s="3" t="s">
        <v>6</v>
      </c>
      <c r="R530" s="95" t="s">
        <v>22</v>
      </c>
      <c r="S530" s="223">
        <v>43675</v>
      </c>
      <c r="T530" s="223">
        <v>43756</v>
      </c>
      <c r="U530" s="223">
        <v>43647</v>
      </c>
      <c r="V530" s="223">
        <v>43647</v>
      </c>
      <c r="W530" s="223" t="s">
        <v>6</v>
      </c>
      <c r="X530" s="3" t="s">
        <v>26</v>
      </c>
      <c r="Y530" s="3" t="s">
        <v>2116</v>
      </c>
      <c r="Z530" s="3" t="s">
        <v>20</v>
      </c>
      <c r="AA530" s="3" t="s">
        <v>6</v>
      </c>
      <c r="AB530" s="223">
        <v>44442</v>
      </c>
      <c r="AC530" s="3" t="s">
        <v>10</v>
      </c>
      <c r="AD530" s="3" t="s">
        <v>10</v>
      </c>
      <c r="AE530" s="95" t="s">
        <v>2263</v>
      </c>
    </row>
    <row r="531" spans="1:31" x14ac:dyDescent="0.35">
      <c r="A531" s="3" t="s">
        <v>1333</v>
      </c>
      <c r="B531" s="3" t="s">
        <v>266</v>
      </c>
      <c r="C531" s="3">
        <v>4</v>
      </c>
      <c r="D531" s="95" t="s">
        <v>1334</v>
      </c>
      <c r="E531" s="95" t="s">
        <v>2471</v>
      </c>
      <c r="F531" s="95" t="s">
        <v>4</v>
      </c>
      <c r="G531" s="223">
        <v>44378</v>
      </c>
      <c r="H531" s="223">
        <v>44378</v>
      </c>
      <c r="I531" s="223">
        <v>46203</v>
      </c>
      <c r="J531" s="3">
        <v>15</v>
      </c>
      <c r="K531" s="3" t="s">
        <v>10</v>
      </c>
      <c r="L531" s="3" t="s">
        <v>10</v>
      </c>
      <c r="M531" s="95" t="s">
        <v>27</v>
      </c>
      <c r="N531" s="3" t="s">
        <v>28</v>
      </c>
      <c r="O531" s="3" t="s">
        <v>651</v>
      </c>
      <c r="P531" s="3" t="s">
        <v>6</v>
      </c>
      <c r="Q531" s="3" t="s">
        <v>6</v>
      </c>
      <c r="R531" s="95" t="s">
        <v>652</v>
      </c>
      <c r="S531" s="223" t="s">
        <v>5</v>
      </c>
      <c r="T531" s="223" t="s">
        <v>5</v>
      </c>
      <c r="U531" s="223" t="s">
        <v>5</v>
      </c>
      <c r="V531" s="223" t="s">
        <v>5</v>
      </c>
      <c r="W531" s="223" t="s">
        <v>5</v>
      </c>
      <c r="X531" s="3" t="s">
        <v>5</v>
      </c>
      <c r="Y531" s="3" t="s">
        <v>651</v>
      </c>
      <c r="Z531" s="3" t="s">
        <v>651</v>
      </c>
      <c r="AA531" s="3" t="s">
        <v>10</v>
      </c>
      <c r="AB531" s="223" t="s">
        <v>5</v>
      </c>
      <c r="AC531" s="3" t="s">
        <v>6</v>
      </c>
      <c r="AD531" s="3" t="s">
        <v>10</v>
      </c>
      <c r="AE531" s="95" t="s">
        <v>2263</v>
      </c>
    </row>
    <row r="532" spans="1:31" x14ac:dyDescent="0.35">
      <c r="A532" s="3" t="s">
        <v>1335</v>
      </c>
      <c r="B532" s="3" t="s">
        <v>266</v>
      </c>
      <c r="C532" s="3">
        <v>4</v>
      </c>
      <c r="D532" s="95" t="s">
        <v>1336</v>
      </c>
      <c r="E532" s="95" t="s">
        <v>2471</v>
      </c>
      <c r="F532" s="95" t="s">
        <v>4</v>
      </c>
      <c r="G532" s="223">
        <v>44378</v>
      </c>
      <c r="H532" s="223">
        <v>44378</v>
      </c>
      <c r="I532" s="223">
        <v>46203</v>
      </c>
      <c r="J532" s="3">
        <v>140</v>
      </c>
      <c r="K532" s="3" t="s">
        <v>10</v>
      </c>
      <c r="L532" s="3" t="s">
        <v>10</v>
      </c>
      <c r="M532" s="95" t="s">
        <v>27</v>
      </c>
      <c r="N532" s="3" t="s">
        <v>28</v>
      </c>
      <c r="O532" s="3" t="s">
        <v>651</v>
      </c>
      <c r="P532" s="3" t="s">
        <v>6</v>
      </c>
      <c r="Q532" s="3" t="s">
        <v>6</v>
      </c>
      <c r="R532" s="95" t="s">
        <v>652</v>
      </c>
      <c r="S532" s="223" t="s">
        <v>5</v>
      </c>
      <c r="T532" s="223" t="s">
        <v>5</v>
      </c>
      <c r="U532" s="223" t="s">
        <v>5</v>
      </c>
      <c r="V532" s="223" t="s">
        <v>5</v>
      </c>
      <c r="W532" s="223" t="s">
        <v>5</v>
      </c>
      <c r="X532" s="3" t="s">
        <v>5</v>
      </c>
      <c r="Y532" s="3" t="s">
        <v>651</v>
      </c>
      <c r="Z532" s="3" t="s">
        <v>651</v>
      </c>
      <c r="AA532" s="3" t="s">
        <v>10</v>
      </c>
      <c r="AB532" s="223" t="s">
        <v>5</v>
      </c>
      <c r="AC532" s="3" t="s">
        <v>6</v>
      </c>
      <c r="AD532" s="3" t="s">
        <v>10</v>
      </c>
      <c r="AE532" s="95" t="s">
        <v>2263</v>
      </c>
    </row>
    <row r="533" spans="1:31" x14ac:dyDescent="0.35">
      <c r="A533" s="3" t="s">
        <v>1337</v>
      </c>
      <c r="B533" s="3" t="s">
        <v>266</v>
      </c>
      <c r="C533" s="3">
        <v>4</v>
      </c>
      <c r="D533" s="95" t="s">
        <v>1338</v>
      </c>
      <c r="E533" s="95" t="s">
        <v>2471</v>
      </c>
      <c r="F533" s="95" t="s">
        <v>4</v>
      </c>
      <c r="G533" s="223">
        <v>45352</v>
      </c>
      <c r="H533" s="223">
        <v>45352</v>
      </c>
      <c r="I533" s="223">
        <v>47177</v>
      </c>
      <c r="J533" s="3">
        <v>135</v>
      </c>
      <c r="K533" s="3" t="s">
        <v>10</v>
      </c>
      <c r="L533" s="3" t="s">
        <v>10</v>
      </c>
      <c r="M533" s="95" t="s">
        <v>27</v>
      </c>
      <c r="N533" s="3" t="s">
        <v>48</v>
      </c>
      <c r="O533" s="3" t="s">
        <v>651</v>
      </c>
      <c r="P533" s="3" t="s">
        <v>6</v>
      </c>
      <c r="Q533" s="3" t="s">
        <v>6</v>
      </c>
      <c r="R533" s="95" t="s">
        <v>652</v>
      </c>
      <c r="S533" s="223" t="s">
        <v>5</v>
      </c>
      <c r="T533" s="223" t="s">
        <v>5</v>
      </c>
      <c r="U533" s="223" t="s">
        <v>5</v>
      </c>
      <c r="V533" s="223" t="s">
        <v>5</v>
      </c>
      <c r="W533" s="223" t="s">
        <v>5</v>
      </c>
      <c r="X533" s="3" t="s">
        <v>5</v>
      </c>
      <c r="Y533" s="3" t="s">
        <v>651</v>
      </c>
      <c r="Z533" s="3" t="s">
        <v>651</v>
      </c>
      <c r="AA533" s="3" t="s">
        <v>10</v>
      </c>
      <c r="AB533" s="223" t="s">
        <v>5</v>
      </c>
      <c r="AC533" s="3" t="s">
        <v>6</v>
      </c>
      <c r="AD533" s="3" t="s">
        <v>10</v>
      </c>
      <c r="AE533" s="95" t="s">
        <v>2263</v>
      </c>
    </row>
    <row r="534" spans="1:31" x14ac:dyDescent="0.35">
      <c r="A534" s="3" t="s">
        <v>1339</v>
      </c>
      <c r="B534" s="3" t="s">
        <v>266</v>
      </c>
      <c r="C534" s="3">
        <v>4</v>
      </c>
      <c r="D534" s="95" t="s">
        <v>702</v>
      </c>
      <c r="E534" s="95" t="s">
        <v>2471</v>
      </c>
      <c r="F534" s="95" t="s">
        <v>4</v>
      </c>
      <c r="G534" s="223">
        <v>44378</v>
      </c>
      <c r="H534" s="223">
        <v>44378</v>
      </c>
      <c r="I534" s="223">
        <v>46203</v>
      </c>
      <c r="J534" s="3">
        <v>70</v>
      </c>
      <c r="K534" s="3" t="s">
        <v>10</v>
      </c>
      <c r="L534" s="3" t="s">
        <v>10</v>
      </c>
      <c r="M534" s="95" t="s">
        <v>27</v>
      </c>
      <c r="N534" s="3" t="s">
        <v>28</v>
      </c>
      <c r="O534" s="3" t="s">
        <v>651</v>
      </c>
      <c r="P534" s="3" t="s">
        <v>6</v>
      </c>
      <c r="Q534" s="3" t="s">
        <v>6</v>
      </c>
      <c r="R534" s="95" t="s">
        <v>652</v>
      </c>
      <c r="S534" s="223" t="s">
        <v>5</v>
      </c>
      <c r="T534" s="223" t="s">
        <v>5</v>
      </c>
      <c r="U534" s="223" t="s">
        <v>5</v>
      </c>
      <c r="V534" s="223" t="s">
        <v>5</v>
      </c>
      <c r="W534" s="223" t="s">
        <v>5</v>
      </c>
      <c r="X534" s="3" t="s">
        <v>5</v>
      </c>
      <c r="Y534" s="3" t="s">
        <v>651</v>
      </c>
      <c r="Z534" s="3" t="s">
        <v>651</v>
      </c>
      <c r="AA534" s="3" t="s">
        <v>10</v>
      </c>
      <c r="AB534" s="223" t="s">
        <v>5</v>
      </c>
      <c r="AC534" s="3" t="s">
        <v>6</v>
      </c>
      <c r="AD534" s="3" t="s">
        <v>10</v>
      </c>
      <c r="AE534" s="95" t="s">
        <v>2263</v>
      </c>
    </row>
    <row r="535" spans="1:31" x14ac:dyDescent="0.35">
      <c r="A535" s="3" t="s">
        <v>1340</v>
      </c>
      <c r="B535" s="3" t="s">
        <v>266</v>
      </c>
      <c r="C535" s="3">
        <v>4</v>
      </c>
      <c r="D535" s="95" t="s">
        <v>1341</v>
      </c>
      <c r="E535" s="95" t="s">
        <v>2471</v>
      </c>
      <c r="F535" s="95" t="s">
        <v>4</v>
      </c>
      <c r="G535" s="223">
        <v>45078</v>
      </c>
      <c r="H535" s="223">
        <v>45078</v>
      </c>
      <c r="I535" s="223">
        <v>46904</v>
      </c>
      <c r="J535" s="3">
        <v>60</v>
      </c>
      <c r="K535" s="3" t="s">
        <v>10</v>
      </c>
      <c r="L535" s="3" t="s">
        <v>10</v>
      </c>
      <c r="M535" s="95" t="s">
        <v>27</v>
      </c>
      <c r="N535" s="3" t="s">
        <v>28</v>
      </c>
      <c r="O535" s="3" t="s">
        <v>651</v>
      </c>
      <c r="P535" s="3" t="s">
        <v>6</v>
      </c>
      <c r="Q535" s="3" t="s">
        <v>6</v>
      </c>
      <c r="R535" s="95" t="s">
        <v>652</v>
      </c>
      <c r="S535" s="223" t="s">
        <v>5</v>
      </c>
      <c r="T535" s="223" t="s">
        <v>5</v>
      </c>
      <c r="U535" s="223" t="s">
        <v>5</v>
      </c>
      <c r="V535" s="223" t="s">
        <v>5</v>
      </c>
      <c r="W535" s="223" t="s">
        <v>5</v>
      </c>
      <c r="X535" s="3" t="s">
        <v>5</v>
      </c>
      <c r="Y535" s="3" t="s">
        <v>651</v>
      </c>
      <c r="Z535" s="3" t="s">
        <v>651</v>
      </c>
      <c r="AA535" s="3" t="s">
        <v>10</v>
      </c>
      <c r="AB535" s="223" t="s">
        <v>5</v>
      </c>
      <c r="AC535" s="3" t="s">
        <v>6</v>
      </c>
      <c r="AD535" s="3" t="s">
        <v>10</v>
      </c>
      <c r="AE535" s="95" t="s">
        <v>2263</v>
      </c>
    </row>
    <row r="536" spans="1:31" x14ac:dyDescent="0.35">
      <c r="A536" s="3" t="s">
        <v>1342</v>
      </c>
      <c r="B536" s="3" t="s">
        <v>266</v>
      </c>
      <c r="C536" s="3">
        <v>4</v>
      </c>
      <c r="D536" s="95" t="s">
        <v>1343</v>
      </c>
      <c r="E536" s="95" t="s">
        <v>2471</v>
      </c>
      <c r="F536" s="95" t="s">
        <v>4</v>
      </c>
      <c r="G536" s="223">
        <v>44743</v>
      </c>
      <c r="H536" s="223">
        <v>44743</v>
      </c>
      <c r="I536" s="223">
        <v>46568</v>
      </c>
      <c r="J536" s="3">
        <v>310</v>
      </c>
      <c r="K536" s="3" t="s">
        <v>10</v>
      </c>
      <c r="L536" s="3" t="s">
        <v>10</v>
      </c>
      <c r="M536" s="95" t="s">
        <v>27</v>
      </c>
      <c r="N536" s="3" t="s">
        <v>28</v>
      </c>
      <c r="O536" s="3" t="s">
        <v>651</v>
      </c>
      <c r="P536" s="3" t="s">
        <v>6</v>
      </c>
      <c r="Q536" s="3" t="s">
        <v>6</v>
      </c>
      <c r="R536" s="95" t="s">
        <v>652</v>
      </c>
      <c r="S536" s="223" t="s">
        <v>5</v>
      </c>
      <c r="T536" s="223" t="s">
        <v>5</v>
      </c>
      <c r="U536" s="223" t="s">
        <v>5</v>
      </c>
      <c r="V536" s="223" t="s">
        <v>5</v>
      </c>
      <c r="W536" s="223" t="s">
        <v>5</v>
      </c>
      <c r="X536" s="3" t="s">
        <v>5</v>
      </c>
      <c r="Y536" s="3" t="s">
        <v>651</v>
      </c>
      <c r="Z536" s="3" t="s">
        <v>651</v>
      </c>
      <c r="AA536" s="3" t="s">
        <v>10</v>
      </c>
      <c r="AB536" s="223" t="s">
        <v>5</v>
      </c>
      <c r="AC536" s="3" t="s">
        <v>6</v>
      </c>
      <c r="AD536" s="3" t="s">
        <v>10</v>
      </c>
      <c r="AE536" s="95" t="s">
        <v>2263</v>
      </c>
    </row>
    <row r="537" spans="1:31" x14ac:dyDescent="0.35">
      <c r="A537" s="3" t="s">
        <v>1344</v>
      </c>
      <c r="B537" s="3" t="s">
        <v>266</v>
      </c>
      <c r="C537" s="3">
        <v>4</v>
      </c>
      <c r="D537" s="95" t="s">
        <v>1269</v>
      </c>
      <c r="E537" s="95" t="s">
        <v>2471</v>
      </c>
      <c r="F537" s="95" t="s">
        <v>4</v>
      </c>
      <c r="G537" s="223">
        <v>44743</v>
      </c>
      <c r="H537" s="223">
        <v>44743</v>
      </c>
      <c r="I537" s="223">
        <v>46568</v>
      </c>
      <c r="J537" s="3">
        <v>70</v>
      </c>
      <c r="K537" s="3" t="s">
        <v>10</v>
      </c>
      <c r="L537" s="3" t="s">
        <v>10</v>
      </c>
      <c r="M537" s="95" t="s">
        <v>27</v>
      </c>
      <c r="N537" s="3" t="s">
        <v>28</v>
      </c>
      <c r="O537" s="3" t="s">
        <v>651</v>
      </c>
      <c r="P537" s="3" t="s">
        <v>6</v>
      </c>
      <c r="Q537" s="3" t="s">
        <v>6</v>
      </c>
      <c r="R537" s="95" t="s">
        <v>652</v>
      </c>
      <c r="S537" s="223" t="s">
        <v>5</v>
      </c>
      <c r="T537" s="223" t="s">
        <v>5</v>
      </c>
      <c r="U537" s="223" t="s">
        <v>5</v>
      </c>
      <c r="V537" s="223" t="s">
        <v>5</v>
      </c>
      <c r="W537" s="223" t="s">
        <v>5</v>
      </c>
      <c r="X537" s="3" t="s">
        <v>5</v>
      </c>
      <c r="Y537" s="3" t="s">
        <v>651</v>
      </c>
      <c r="Z537" s="3" t="s">
        <v>651</v>
      </c>
      <c r="AA537" s="3" t="s">
        <v>10</v>
      </c>
      <c r="AB537" s="223" t="s">
        <v>5</v>
      </c>
      <c r="AC537" s="3" t="s">
        <v>10</v>
      </c>
      <c r="AD537" s="3" t="s">
        <v>10</v>
      </c>
      <c r="AE537" s="95" t="s">
        <v>2263</v>
      </c>
    </row>
    <row r="538" spans="1:31" x14ac:dyDescent="0.35">
      <c r="A538" s="3" t="s">
        <v>1345</v>
      </c>
      <c r="B538" s="3" t="s">
        <v>266</v>
      </c>
      <c r="C538" s="3">
        <v>4</v>
      </c>
      <c r="D538" s="95" t="s">
        <v>1346</v>
      </c>
      <c r="E538" s="95" t="s">
        <v>2471</v>
      </c>
      <c r="F538" s="95" t="s">
        <v>4</v>
      </c>
      <c r="G538" s="223">
        <v>45444</v>
      </c>
      <c r="H538" s="223">
        <v>45444</v>
      </c>
      <c r="I538" s="223">
        <v>47269</v>
      </c>
      <c r="J538" s="3">
        <v>150</v>
      </c>
      <c r="K538" s="3" t="s">
        <v>10</v>
      </c>
      <c r="L538" s="3" t="s">
        <v>10</v>
      </c>
      <c r="M538" s="95" t="s">
        <v>27</v>
      </c>
      <c r="N538" s="3" t="s">
        <v>28</v>
      </c>
      <c r="O538" s="3" t="s">
        <v>651</v>
      </c>
      <c r="P538" s="3" t="s">
        <v>6</v>
      </c>
      <c r="Q538" s="3" t="s">
        <v>6</v>
      </c>
      <c r="R538" s="95" t="s">
        <v>652</v>
      </c>
      <c r="S538" s="223" t="s">
        <v>5</v>
      </c>
      <c r="T538" s="223" t="s">
        <v>5</v>
      </c>
      <c r="U538" s="223" t="s">
        <v>5</v>
      </c>
      <c r="V538" s="223" t="s">
        <v>5</v>
      </c>
      <c r="W538" s="223" t="s">
        <v>5</v>
      </c>
      <c r="X538" s="3" t="s">
        <v>5</v>
      </c>
      <c r="Y538" s="3" t="s">
        <v>651</v>
      </c>
      <c r="Z538" s="3" t="s">
        <v>651</v>
      </c>
      <c r="AA538" s="3" t="s">
        <v>10</v>
      </c>
      <c r="AB538" s="223" t="s">
        <v>5</v>
      </c>
      <c r="AC538" s="3" t="s">
        <v>6</v>
      </c>
      <c r="AD538" s="3" t="s">
        <v>10</v>
      </c>
      <c r="AE538" s="95" t="s">
        <v>2263</v>
      </c>
    </row>
    <row r="539" spans="1:31" x14ac:dyDescent="0.35">
      <c r="A539" s="3" t="s">
        <v>1347</v>
      </c>
      <c r="B539" s="3" t="s">
        <v>266</v>
      </c>
      <c r="C539" s="3">
        <v>4</v>
      </c>
      <c r="D539" s="95" t="s">
        <v>1348</v>
      </c>
      <c r="E539" s="95" t="s">
        <v>2471</v>
      </c>
      <c r="F539" s="95" t="s">
        <v>4</v>
      </c>
      <c r="G539" s="223">
        <v>45444</v>
      </c>
      <c r="H539" s="223">
        <v>45444</v>
      </c>
      <c r="I539" s="223">
        <v>47269</v>
      </c>
      <c r="J539" s="3">
        <v>100</v>
      </c>
      <c r="K539" s="3" t="s">
        <v>10</v>
      </c>
      <c r="L539" s="3" t="s">
        <v>10</v>
      </c>
      <c r="M539" s="95" t="s">
        <v>27</v>
      </c>
      <c r="N539" s="3" t="s">
        <v>28</v>
      </c>
      <c r="O539" s="3" t="s">
        <v>651</v>
      </c>
      <c r="P539" s="3" t="s">
        <v>6</v>
      </c>
      <c r="Q539" s="3" t="s">
        <v>6</v>
      </c>
      <c r="R539" s="95" t="s">
        <v>652</v>
      </c>
      <c r="S539" s="223" t="s">
        <v>5</v>
      </c>
      <c r="T539" s="223" t="s">
        <v>5</v>
      </c>
      <c r="U539" s="223" t="s">
        <v>5</v>
      </c>
      <c r="V539" s="223" t="s">
        <v>5</v>
      </c>
      <c r="W539" s="223" t="s">
        <v>5</v>
      </c>
      <c r="X539" s="3" t="s">
        <v>5</v>
      </c>
      <c r="Y539" s="3" t="s">
        <v>651</v>
      </c>
      <c r="Z539" s="3" t="s">
        <v>651</v>
      </c>
      <c r="AA539" s="3" t="s">
        <v>10</v>
      </c>
      <c r="AB539" s="223" t="s">
        <v>5</v>
      </c>
      <c r="AC539" s="3" t="s">
        <v>6</v>
      </c>
      <c r="AD539" s="3" t="s">
        <v>10</v>
      </c>
      <c r="AE539" s="95" t="s">
        <v>2263</v>
      </c>
    </row>
    <row r="540" spans="1:31" x14ac:dyDescent="0.35">
      <c r="A540" s="3" t="s">
        <v>1349</v>
      </c>
      <c r="B540" s="3" t="s">
        <v>266</v>
      </c>
      <c r="C540" s="3">
        <v>4</v>
      </c>
      <c r="D540" s="95" t="s">
        <v>1350</v>
      </c>
      <c r="E540" s="95" t="s">
        <v>2471</v>
      </c>
      <c r="F540" s="95" t="s">
        <v>4</v>
      </c>
      <c r="G540" s="223">
        <v>45444</v>
      </c>
      <c r="H540" s="223">
        <v>45444</v>
      </c>
      <c r="I540" s="223">
        <v>47269</v>
      </c>
      <c r="J540" s="3">
        <v>60</v>
      </c>
      <c r="K540" s="3" t="s">
        <v>10</v>
      </c>
      <c r="L540" s="3" t="s">
        <v>10</v>
      </c>
      <c r="M540" s="95" t="s">
        <v>27</v>
      </c>
      <c r="N540" s="3" t="s">
        <v>28</v>
      </c>
      <c r="O540" s="3" t="s">
        <v>651</v>
      </c>
      <c r="P540" s="3" t="s">
        <v>6</v>
      </c>
      <c r="Q540" s="3" t="s">
        <v>6</v>
      </c>
      <c r="R540" s="95" t="s">
        <v>652</v>
      </c>
      <c r="S540" s="223" t="s">
        <v>5</v>
      </c>
      <c r="T540" s="223" t="s">
        <v>5</v>
      </c>
      <c r="U540" s="223" t="s">
        <v>5</v>
      </c>
      <c r="V540" s="223" t="s">
        <v>5</v>
      </c>
      <c r="W540" s="223" t="s">
        <v>5</v>
      </c>
      <c r="X540" s="3" t="s">
        <v>5</v>
      </c>
      <c r="Y540" s="3" t="s">
        <v>651</v>
      </c>
      <c r="Z540" s="3" t="s">
        <v>651</v>
      </c>
      <c r="AA540" s="3" t="s">
        <v>10</v>
      </c>
      <c r="AB540" s="223" t="s">
        <v>5</v>
      </c>
      <c r="AC540" s="3" t="s">
        <v>6</v>
      </c>
      <c r="AD540" s="3" t="s">
        <v>10</v>
      </c>
      <c r="AE540" s="95" t="s">
        <v>2263</v>
      </c>
    </row>
    <row r="541" spans="1:31" x14ac:dyDescent="0.35">
      <c r="A541" s="3" t="s">
        <v>1351</v>
      </c>
      <c r="B541" s="3" t="s">
        <v>266</v>
      </c>
      <c r="C541" s="3">
        <v>4</v>
      </c>
      <c r="D541" s="95" t="s">
        <v>1352</v>
      </c>
      <c r="E541" s="95" t="s">
        <v>2471</v>
      </c>
      <c r="F541" s="95" t="s">
        <v>4</v>
      </c>
      <c r="G541" s="223">
        <v>44378</v>
      </c>
      <c r="H541" s="223">
        <v>44378</v>
      </c>
      <c r="I541" s="223">
        <v>45838</v>
      </c>
      <c r="J541" s="3">
        <v>75</v>
      </c>
      <c r="K541" s="3" t="s">
        <v>10</v>
      </c>
      <c r="L541" s="3" t="s">
        <v>10</v>
      </c>
      <c r="M541" s="95" t="s">
        <v>27</v>
      </c>
      <c r="N541" s="3" t="s">
        <v>521</v>
      </c>
      <c r="O541" s="3" t="s">
        <v>651</v>
      </c>
      <c r="P541" s="3" t="s">
        <v>6</v>
      </c>
      <c r="Q541" s="3" t="s">
        <v>6</v>
      </c>
      <c r="R541" s="95" t="s">
        <v>652</v>
      </c>
      <c r="S541" s="223" t="s">
        <v>5</v>
      </c>
      <c r="T541" s="223" t="s">
        <v>5</v>
      </c>
      <c r="U541" s="223" t="s">
        <v>5</v>
      </c>
      <c r="V541" s="223" t="s">
        <v>5</v>
      </c>
      <c r="W541" s="223" t="s">
        <v>5</v>
      </c>
      <c r="X541" s="3" t="s">
        <v>5</v>
      </c>
      <c r="Y541" s="3" t="s">
        <v>651</v>
      </c>
      <c r="Z541" s="3" t="s">
        <v>651</v>
      </c>
      <c r="AA541" s="3" t="s">
        <v>10</v>
      </c>
      <c r="AB541" s="223" t="s">
        <v>5</v>
      </c>
      <c r="AC541" s="3" t="s">
        <v>6</v>
      </c>
      <c r="AD541" s="3" t="s">
        <v>10</v>
      </c>
      <c r="AE541" s="95" t="s">
        <v>2263</v>
      </c>
    </row>
    <row r="542" spans="1:31" x14ac:dyDescent="0.35">
      <c r="A542" s="3" t="s">
        <v>1353</v>
      </c>
      <c r="B542" s="3" t="s">
        <v>266</v>
      </c>
      <c r="C542" s="3">
        <v>4</v>
      </c>
      <c r="D542" s="95" t="s">
        <v>1354</v>
      </c>
      <c r="E542" s="95" t="s">
        <v>2471</v>
      </c>
      <c r="F542" s="95" t="s">
        <v>4</v>
      </c>
      <c r="G542" s="223">
        <v>45444</v>
      </c>
      <c r="H542" s="223">
        <v>45444</v>
      </c>
      <c r="I542" s="223">
        <v>47269</v>
      </c>
      <c r="J542" s="3">
        <v>85</v>
      </c>
      <c r="K542" s="3" t="s">
        <v>10</v>
      </c>
      <c r="L542" s="3" t="s">
        <v>10</v>
      </c>
      <c r="M542" s="95" t="s">
        <v>27</v>
      </c>
      <c r="N542" s="3" t="s">
        <v>28</v>
      </c>
      <c r="O542" s="3" t="s">
        <v>651</v>
      </c>
      <c r="P542" s="3" t="s">
        <v>6</v>
      </c>
      <c r="Q542" s="3" t="s">
        <v>6</v>
      </c>
      <c r="R542" s="95" t="s">
        <v>652</v>
      </c>
      <c r="S542" s="223" t="s">
        <v>5</v>
      </c>
      <c r="T542" s="223" t="s">
        <v>5</v>
      </c>
      <c r="U542" s="223" t="s">
        <v>5</v>
      </c>
      <c r="V542" s="223" t="s">
        <v>5</v>
      </c>
      <c r="W542" s="223" t="s">
        <v>5</v>
      </c>
      <c r="X542" s="3" t="s">
        <v>5</v>
      </c>
      <c r="Y542" s="3" t="s">
        <v>651</v>
      </c>
      <c r="Z542" s="3" t="s">
        <v>651</v>
      </c>
      <c r="AA542" s="3" t="s">
        <v>10</v>
      </c>
      <c r="AB542" s="223" t="s">
        <v>5</v>
      </c>
      <c r="AC542" s="3" t="s">
        <v>6</v>
      </c>
      <c r="AD542" s="3" t="s">
        <v>10</v>
      </c>
      <c r="AE542" s="95" t="s">
        <v>2263</v>
      </c>
    </row>
    <row r="543" spans="1:31" x14ac:dyDescent="0.35">
      <c r="A543" s="3" t="s">
        <v>1355</v>
      </c>
      <c r="B543" s="3" t="s">
        <v>266</v>
      </c>
      <c r="C543" s="3">
        <v>4</v>
      </c>
      <c r="D543" s="95" t="s">
        <v>1356</v>
      </c>
      <c r="E543" s="95" t="s">
        <v>2471</v>
      </c>
      <c r="F543" s="95" t="s">
        <v>4</v>
      </c>
      <c r="G543" s="223">
        <v>45078</v>
      </c>
      <c r="H543" s="223">
        <v>45078</v>
      </c>
      <c r="I543" s="223">
        <v>46904</v>
      </c>
      <c r="J543" s="3">
        <v>220</v>
      </c>
      <c r="K543" s="3" t="s">
        <v>10</v>
      </c>
      <c r="L543" s="3" t="s">
        <v>10</v>
      </c>
      <c r="M543" s="95" t="s">
        <v>27</v>
      </c>
      <c r="N543" s="3" t="s">
        <v>239</v>
      </c>
      <c r="O543" s="3" t="s">
        <v>651</v>
      </c>
      <c r="P543" s="3" t="s">
        <v>6</v>
      </c>
      <c r="Q543" s="3" t="s">
        <v>6</v>
      </c>
      <c r="R543" s="95" t="s">
        <v>652</v>
      </c>
      <c r="S543" s="223" t="s">
        <v>5</v>
      </c>
      <c r="T543" s="223" t="s">
        <v>5</v>
      </c>
      <c r="U543" s="223" t="s">
        <v>5</v>
      </c>
      <c r="V543" s="223" t="s">
        <v>5</v>
      </c>
      <c r="W543" s="223" t="s">
        <v>5</v>
      </c>
      <c r="X543" s="3" t="s">
        <v>5</v>
      </c>
      <c r="Y543" s="3" t="s">
        <v>651</v>
      </c>
      <c r="Z543" s="3" t="s">
        <v>651</v>
      </c>
      <c r="AA543" s="3" t="s">
        <v>10</v>
      </c>
      <c r="AB543" s="223" t="s">
        <v>5</v>
      </c>
      <c r="AC543" s="3" t="s">
        <v>6</v>
      </c>
      <c r="AD543" s="3" t="s">
        <v>10</v>
      </c>
      <c r="AE543" s="95" t="s">
        <v>2263</v>
      </c>
    </row>
    <row r="544" spans="1:31" x14ac:dyDescent="0.35">
      <c r="A544" s="3" t="s">
        <v>1357</v>
      </c>
      <c r="B544" s="3" t="s">
        <v>266</v>
      </c>
      <c r="C544" s="3">
        <v>4</v>
      </c>
      <c r="D544" s="95" t="s">
        <v>1358</v>
      </c>
      <c r="E544" s="95" t="s">
        <v>2471</v>
      </c>
      <c r="F544" s="95" t="s">
        <v>4</v>
      </c>
      <c r="G544" s="223">
        <v>44743</v>
      </c>
      <c r="H544" s="223">
        <v>44743</v>
      </c>
      <c r="I544" s="223">
        <v>46568</v>
      </c>
      <c r="J544" s="3">
        <v>15</v>
      </c>
      <c r="K544" s="3" t="s">
        <v>10</v>
      </c>
      <c r="L544" s="3" t="s">
        <v>10</v>
      </c>
      <c r="M544" s="95" t="s">
        <v>27</v>
      </c>
      <c r="N544" s="3" t="s">
        <v>62</v>
      </c>
      <c r="O544" s="3" t="s">
        <v>651</v>
      </c>
      <c r="P544" s="3" t="s">
        <v>6</v>
      </c>
      <c r="Q544" s="3" t="s">
        <v>6</v>
      </c>
      <c r="R544" s="95" t="s">
        <v>652</v>
      </c>
      <c r="S544" s="223" t="s">
        <v>5</v>
      </c>
      <c r="T544" s="223" t="s">
        <v>5</v>
      </c>
      <c r="U544" s="223" t="s">
        <v>5</v>
      </c>
      <c r="V544" s="223" t="s">
        <v>5</v>
      </c>
      <c r="W544" s="223" t="s">
        <v>5</v>
      </c>
      <c r="X544" s="3" t="s">
        <v>5</v>
      </c>
      <c r="Y544" s="3" t="s">
        <v>651</v>
      </c>
      <c r="Z544" s="3" t="s">
        <v>651</v>
      </c>
      <c r="AA544" s="3" t="s">
        <v>10</v>
      </c>
      <c r="AB544" s="223" t="s">
        <v>5</v>
      </c>
      <c r="AC544" s="3" t="s">
        <v>6</v>
      </c>
      <c r="AD544" s="3" t="s">
        <v>10</v>
      </c>
      <c r="AE544" s="95" t="s">
        <v>2263</v>
      </c>
    </row>
    <row r="545" spans="1:31" x14ac:dyDescent="0.35">
      <c r="A545" s="3" t="s">
        <v>1359</v>
      </c>
      <c r="B545" s="3" t="s">
        <v>266</v>
      </c>
      <c r="C545" s="3">
        <v>4</v>
      </c>
      <c r="D545" s="95" t="s">
        <v>173</v>
      </c>
      <c r="E545" s="95" t="s">
        <v>2472</v>
      </c>
      <c r="F545" s="95" t="s">
        <v>4</v>
      </c>
      <c r="G545" s="223">
        <v>44166</v>
      </c>
      <c r="H545" s="223">
        <v>44166</v>
      </c>
      <c r="I545" s="223">
        <v>45991</v>
      </c>
      <c r="J545" s="3">
        <v>163</v>
      </c>
      <c r="K545" s="3" t="s">
        <v>10</v>
      </c>
      <c r="L545" s="3" t="s">
        <v>10</v>
      </c>
      <c r="M545" s="95" t="s">
        <v>173</v>
      </c>
      <c r="N545" s="3" t="s">
        <v>174</v>
      </c>
      <c r="O545" s="3" t="s">
        <v>651</v>
      </c>
      <c r="P545" s="3" t="s">
        <v>6</v>
      </c>
      <c r="Q545" s="3" t="s">
        <v>6</v>
      </c>
      <c r="R545" s="95" t="s">
        <v>652</v>
      </c>
      <c r="S545" s="223" t="s">
        <v>5</v>
      </c>
      <c r="T545" s="223" t="s">
        <v>5</v>
      </c>
      <c r="U545" s="223" t="s">
        <v>5</v>
      </c>
      <c r="V545" s="223" t="s">
        <v>5</v>
      </c>
      <c r="W545" s="223" t="s">
        <v>5</v>
      </c>
      <c r="X545" s="3" t="s">
        <v>5</v>
      </c>
      <c r="Y545" s="3" t="s">
        <v>651</v>
      </c>
      <c r="Z545" s="3" t="s">
        <v>651</v>
      </c>
      <c r="AA545" s="3" t="s">
        <v>10</v>
      </c>
      <c r="AB545" s="223" t="s">
        <v>5</v>
      </c>
      <c r="AC545" s="3" t="s">
        <v>10</v>
      </c>
      <c r="AD545" s="3" t="s">
        <v>10</v>
      </c>
      <c r="AE545" s="95" t="s">
        <v>2263</v>
      </c>
    </row>
    <row r="546" spans="1:31" x14ac:dyDescent="0.35">
      <c r="A546" s="3" t="s">
        <v>1360</v>
      </c>
      <c r="B546" s="3" t="s">
        <v>266</v>
      </c>
      <c r="C546" s="3">
        <v>4</v>
      </c>
      <c r="D546" s="95" t="s">
        <v>1361</v>
      </c>
      <c r="E546" s="95" t="s">
        <v>2472</v>
      </c>
      <c r="F546" s="95" t="s">
        <v>4</v>
      </c>
      <c r="G546" s="223">
        <v>44256</v>
      </c>
      <c r="H546" s="223">
        <v>44256</v>
      </c>
      <c r="I546" s="223">
        <v>45930</v>
      </c>
      <c r="J546" s="3">
        <v>44</v>
      </c>
      <c r="K546" s="3" t="s">
        <v>10</v>
      </c>
      <c r="L546" s="3" t="s">
        <v>10</v>
      </c>
      <c r="M546" s="95" t="s">
        <v>201</v>
      </c>
      <c r="N546" s="3" t="s">
        <v>68</v>
      </c>
      <c r="O546" s="3" t="s">
        <v>651</v>
      </c>
      <c r="P546" s="3" t="s">
        <v>6</v>
      </c>
      <c r="Q546" s="3" t="s">
        <v>6</v>
      </c>
      <c r="R546" s="95" t="s">
        <v>652</v>
      </c>
      <c r="S546" s="223" t="s">
        <v>5</v>
      </c>
      <c r="T546" s="223" t="s">
        <v>5</v>
      </c>
      <c r="U546" s="223" t="s">
        <v>5</v>
      </c>
      <c r="V546" s="223" t="s">
        <v>5</v>
      </c>
      <c r="W546" s="223" t="s">
        <v>5</v>
      </c>
      <c r="X546" s="3" t="s">
        <v>5</v>
      </c>
      <c r="Y546" s="3" t="s">
        <v>651</v>
      </c>
      <c r="Z546" s="3" t="s">
        <v>651</v>
      </c>
      <c r="AA546" s="3" t="s">
        <v>10</v>
      </c>
      <c r="AB546" s="223" t="s">
        <v>5</v>
      </c>
      <c r="AC546" s="3" t="s">
        <v>10</v>
      </c>
      <c r="AD546" s="3" t="s">
        <v>10</v>
      </c>
      <c r="AE546" s="95" t="s">
        <v>2263</v>
      </c>
    </row>
    <row r="547" spans="1:31" x14ac:dyDescent="0.35">
      <c r="A547" s="3" t="s">
        <v>1362</v>
      </c>
      <c r="B547" s="3" t="s">
        <v>266</v>
      </c>
      <c r="C547" s="3">
        <v>4</v>
      </c>
      <c r="D547" s="95" t="s">
        <v>1363</v>
      </c>
      <c r="E547" s="95" t="s">
        <v>2472</v>
      </c>
      <c r="F547" s="95" t="s">
        <v>4</v>
      </c>
      <c r="G547" s="223">
        <v>44256</v>
      </c>
      <c r="H547" s="223">
        <v>44256</v>
      </c>
      <c r="I547" s="223">
        <v>45869</v>
      </c>
      <c r="J547" s="3">
        <v>56</v>
      </c>
      <c r="K547" s="3" t="s">
        <v>10</v>
      </c>
      <c r="L547" s="3" t="s">
        <v>10</v>
      </c>
      <c r="M547" s="95" t="s">
        <v>1242</v>
      </c>
      <c r="N547" s="3" t="s">
        <v>115</v>
      </c>
      <c r="O547" s="3" t="s">
        <v>651</v>
      </c>
      <c r="P547" s="3" t="s">
        <v>6</v>
      </c>
      <c r="Q547" s="3" t="s">
        <v>6</v>
      </c>
      <c r="R547" s="95" t="s">
        <v>652</v>
      </c>
      <c r="S547" s="223" t="s">
        <v>5</v>
      </c>
      <c r="T547" s="223" t="s">
        <v>5</v>
      </c>
      <c r="U547" s="223" t="s">
        <v>5</v>
      </c>
      <c r="V547" s="223" t="s">
        <v>5</v>
      </c>
      <c r="W547" s="223" t="s">
        <v>5</v>
      </c>
      <c r="X547" s="3" t="s">
        <v>5</v>
      </c>
      <c r="Y547" s="3" t="s">
        <v>651</v>
      </c>
      <c r="Z547" s="3" t="s">
        <v>651</v>
      </c>
      <c r="AA547" s="3" t="s">
        <v>10</v>
      </c>
      <c r="AB547" s="223" t="s">
        <v>5</v>
      </c>
      <c r="AC547" s="3" t="s">
        <v>10</v>
      </c>
      <c r="AD547" s="3" t="s">
        <v>10</v>
      </c>
      <c r="AE547" s="95" t="s">
        <v>2263</v>
      </c>
    </row>
    <row r="548" spans="1:31" x14ac:dyDescent="0.35">
      <c r="A548" s="3" t="s">
        <v>1364</v>
      </c>
      <c r="B548" s="3" t="s">
        <v>266</v>
      </c>
      <c r="C548" s="3">
        <v>4</v>
      </c>
      <c r="D548" s="95" t="s">
        <v>1365</v>
      </c>
      <c r="E548" s="95" t="s">
        <v>2472</v>
      </c>
      <c r="F548" s="95" t="s">
        <v>4</v>
      </c>
      <c r="G548" s="223">
        <v>44531</v>
      </c>
      <c r="H548" s="223">
        <v>44531</v>
      </c>
      <c r="I548" s="223">
        <v>46356</v>
      </c>
      <c r="J548" s="3">
        <v>75</v>
      </c>
      <c r="K548" s="3" t="s">
        <v>10</v>
      </c>
      <c r="L548" s="3" t="s">
        <v>10</v>
      </c>
      <c r="M548" s="95" t="s">
        <v>1366</v>
      </c>
      <c r="N548" s="3" t="s">
        <v>16</v>
      </c>
      <c r="O548" s="3" t="s">
        <v>651</v>
      </c>
      <c r="P548" s="3" t="s">
        <v>6</v>
      </c>
      <c r="Q548" s="3" t="s">
        <v>6</v>
      </c>
      <c r="R548" s="95" t="s">
        <v>652</v>
      </c>
      <c r="S548" s="223" t="s">
        <v>5</v>
      </c>
      <c r="T548" s="223" t="s">
        <v>5</v>
      </c>
      <c r="U548" s="223" t="s">
        <v>5</v>
      </c>
      <c r="V548" s="223" t="s">
        <v>5</v>
      </c>
      <c r="W548" s="223" t="s">
        <v>5</v>
      </c>
      <c r="X548" s="3" t="s">
        <v>5</v>
      </c>
      <c r="Y548" s="3" t="s">
        <v>651</v>
      </c>
      <c r="Z548" s="3" t="s">
        <v>651</v>
      </c>
      <c r="AA548" s="3" t="s">
        <v>10</v>
      </c>
      <c r="AB548" s="223" t="s">
        <v>5</v>
      </c>
      <c r="AC548" s="3" t="s">
        <v>10</v>
      </c>
      <c r="AD548" s="3" t="s">
        <v>10</v>
      </c>
      <c r="AE548" s="95" t="s">
        <v>2263</v>
      </c>
    </row>
    <row r="549" spans="1:31" x14ac:dyDescent="0.35">
      <c r="A549" s="3" t="s">
        <v>1367</v>
      </c>
      <c r="B549" s="3" t="s">
        <v>266</v>
      </c>
      <c r="C549" s="3">
        <v>4</v>
      </c>
      <c r="D549" s="95" t="s">
        <v>1368</v>
      </c>
      <c r="E549" s="95" t="s">
        <v>2472</v>
      </c>
      <c r="F549" s="95" t="s">
        <v>4</v>
      </c>
      <c r="G549" s="223">
        <v>44136</v>
      </c>
      <c r="H549" s="223">
        <v>44136</v>
      </c>
      <c r="I549" s="223">
        <v>45961</v>
      </c>
      <c r="J549" s="3">
        <v>1348</v>
      </c>
      <c r="K549" s="3" t="s">
        <v>10</v>
      </c>
      <c r="L549" s="3" t="s">
        <v>10</v>
      </c>
      <c r="M549" s="95" t="s">
        <v>131</v>
      </c>
      <c r="N549" s="3" t="s">
        <v>268</v>
      </c>
      <c r="O549" s="3" t="s">
        <v>651</v>
      </c>
      <c r="P549" s="3" t="s">
        <v>6</v>
      </c>
      <c r="Q549" s="3" t="s">
        <v>6</v>
      </c>
      <c r="R549" s="95" t="s">
        <v>652</v>
      </c>
      <c r="S549" s="223" t="s">
        <v>5</v>
      </c>
      <c r="T549" s="223" t="s">
        <v>5</v>
      </c>
      <c r="U549" s="223" t="s">
        <v>5</v>
      </c>
      <c r="V549" s="223" t="s">
        <v>5</v>
      </c>
      <c r="W549" s="223" t="s">
        <v>5</v>
      </c>
      <c r="X549" s="3" t="s">
        <v>5</v>
      </c>
      <c r="Y549" s="3" t="s">
        <v>651</v>
      </c>
      <c r="Z549" s="3" t="s">
        <v>651</v>
      </c>
      <c r="AA549" s="3" t="s">
        <v>10</v>
      </c>
      <c r="AB549" s="223" t="s">
        <v>5</v>
      </c>
      <c r="AC549" s="3" t="s">
        <v>10</v>
      </c>
      <c r="AD549" s="3" t="s">
        <v>10</v>
      </c>
      <c r="AE549" s="95" t="s">
        <v>2263</v>
      </c>
    </row>
    <row r="550" spans="1:31" x14ac:dyDescent="0.35">
      <c r="A550" s="3" t="s">
        <v>1369</v>
      </c>
      <c r="B550" s="3" t="s">
        <v>266</v>
      </c>
      <c r="C550" s="3">
        <v>4</v>
      </c>
      <c r="D550" s="95" t="s">
        <v>1370</v>
      </c>
      <c r="E550" s="95" t="s">
        <v>2472</v>
      </c>
      <c r="F550" s="95" t="s">
        <v>4</v>
      </c>
      <c r="G550" s="223">
        <v>44548</v>
      </c>
      <c r="H550" s="223">
        <v>44548</v>
      </c>
      <c r="I550" s="223">
        <v>46356</v>
      </c>
      <c r="J550" s="3">
        <v>55</v>
      </c>
      <c r="K550" s="3" t="s">
        <v>10</v>
      </c>
      <c r="L550" s="3" t="s">
        <v>10</v>
      </c>
      <c r="M550" s="95" t="s">
        <v>19</v>
      </c>
      <c r="N550" s="3" t="s">
        <v>20</v>
      </c>
      <c r="O550" s="3" t="s">
        <v>651</v>
      </c>
      <c r="P550" s="3" t="s">
        <v>6</v>
      </c>
      <c r="Q550" s="3" t="s">
        <v>6</v>
      </c>
      <c r="R550" s="95" t="s">
        <v>652</v>
      </c>
      <c r="S550" s="223" t="s">
        <v>5</v>
      </c>
      <c r="T550" s="223" t="s">
        <v>5</v>
      </c>
      <c r="U550" s="223" t="s">
        <v>5</v>
      </c>
      <c r="V550" s="223" t="s">
        <v>5</v>
      </c>
      <c r="W550" s="223" t="s">
        <v>5</v>
      </c>
      <c r="X550" s="3" t="s">
        <v>5</v>
      </c>
      <c r="Y550" s="3" t="s">
        <v>651</v>
      </c>
      <c r="Z550" s="3" t="s">
        <v>651</v>
      </c>
      <c r="AA550" s="3" t="s">
        <v>10</v>
      </c>
      <c r="AB550" s="223" t="s">
        <v>5</v>
      </c>
      <c r="AC550" s="3" t="s">
        <v>10</v>
      </c>
      <c r="AD550" s="3" t="s">
        <v>10</v>
      </c>
      <c r="AE550" s="95" t="s">
        <v>2263</v>
      </c>
    </row>
    <row r="551" spans="1:31" x14ac:dyDescent="0.35">
      <c r="A551" s="3" t="s">
        <v>1371</v>
      </c>
      <c r="B551" s="3" t="s">
        <v>266</v>
      </c>
      <c r="C551" s="3">
        <v>4</v>
      </c>
      <c r="D551" s="95" t="s">
        <v>1372</v>
      </c>
      <c r="E551" s="95" t="s">
        <v>2472</v>
      </c>
      <c r="F551" s="95" t="s">
        <v>4</v>
      </c>
      <c r="G551" s="223">
        <v>43719</v>
      </c>
      <c r="H551" s="223">
        <v>43719</v>
      </c>
      <c r="I551" s="223">
        <v>45565</v>
      </c>
      <c r="J551" s="3">
        <v>4</v>
      </c>
      <c r="K551" s="3" t="s">
        <v>10</v>
      </c>
      <c r="L551" s="3" t="s">
        <v>10</v>
      </c>
      <c r="M551" s="95" t="s">
        <v>47</v>
      </c>
      <c r="N551" s="3" t="s">
        <v>268</v>
      </c>
      <c r="O551" s="3" t="s">
        <v>651</v>
      </c>
      <c r="P551" s="3" t="s">
        <v>6</v>
      </c>
      <c r="Q551" s="3" t="s">
        <v>6</v>
      </c>
      <c r="R551" s="95" t="s">
        <v>652</v>
      </c>
      <c r="S551" s="223" t="s">
        <v>5</v>
      </c>
      <c r="T551" s="223" t="s">
        <v>5</v>
      </c>
      <c r="U551" s="223" t="s">
        <v>5</v>
      </c>
      <c r="V551" s="223" t="s">
        <v>5</v>
      </c>
      <c r="W551" s="223" t="s">
        <v>5</v>
      </c>
      <c r="X551" s="3" t="s">
        <v>5</v>
      </c>
      <c r="Y551" s="3" t="s">
        <v>651</v>
      </c>
      <c r="Z551" s="3" t="s">
        <v>651</v>
      </c>
      <c r="AA551" s="3" t="s">
        <v>10</v>
      </c>
      <c r="AB551" s="223" t="s">
        <v>5</v>
      </c>
      <c r="AC551" s="3" t="s">
        <v>10</v>
      </c>
      <c r="AD551" s="3" t="s">
        <v>10</v>
      </c>
      <c r="AE551" s="95" t="s">
        <v>2263</v>
      </c>
    </row>
    <row r="552" spans="1:31" x14ac:dyDescent="0.35">
      <c r="A552" s="3" t="s">
        <v>1373</v>
      </c>
      <c r="B552" s="3" t="s">
        <v>266</v>
      </c>
      <c r="C552" s="3">
        <v>4</v>
      </c>
      <c r="D552" s="95" t="s">
        <v>1374</v>
      </c>
      <c r="E552" s="95" t="s">
        <v>2472</v>
      </c>
      <c r="F552" s="95" t="s">
        <v>4</v>
      </c>
      <c r="G552" s="223">
        <v>43434</v>
      </c>
      <c r="H552" s="223">
        <v>43434</v>
      </c>
      <c r="I552" s="223">
        <v>45138</v>
      </c>
      <c r="J552" s="3">
        <v>0</v>
      </c>
      <c r="K552" s="3" t="s">
        <v>10</v>
      </c>
      <c r="L552" s="3" t="s">
        <v>10</v>
      </c>
      <c r="M552" s="95" t="s">
        <v>60</v>
      </c>
      <c r="N552" s="3" t="s">
        <v>68</v>
      </c>
      <c r="O552" s="3" t="s">
        <v>651</v>
      </c>
      <c r="P552" s="3" t="s">
        <v>6</v>
      </c>
      <c r="Q552" s="3" t="s">
        <v>6</v>
      </c>
      <c r="R552" s="95" t="s">
        <v>652</v>
      </c>
      <c r="S552" s="223" t="s">
        <v>5</v>
      </c>
      <c r="T552" s="223" t="s">
        <v>5</v>
      </c>
      <c r="U552" s="223" t="s">
        <v>5</v>
      </c>
      <c r="V552" s="223" t="s">
        <v>5</v>
      </c>
      <c r="W552" s="223" t="s">
        <v>5</v>
      </c>
      <c r="X552" s="3" t="s">
        <v>5</v>
      </c>
      <c r="Y552" s="3" t="s">
        <v>651</v>
      </c>
      <c r="Z552" s="3" t="s">
        <v>651</v>
      </c>
      <c r="AA552" s="3" t="s">
        <v>10</v>
      </c>
      <c r="AB552" s="223" t="s">
        <v>5</v>
      </c>
      <c r="AC552" s="3" t="s">
        <v>10</v>
      </c>
      <c r="AD552" s="3" t="s">
        <v>10</v>
      </c>
      <c r="AE552" s="95" t="s">
        <v>2263</v>
      </c>
    </row>
    <row r="553" spans="1:31" x14ac:dyDescent="0.35">
      <c r="A553" s="3" t="s">
        <v>1375</v>
      </c>
      <c r="B553" s="3" t="s">
        <v>266</v>
      </c>
      <c r="C553" s="3">
        <v>4</v>
      </c>
      <c r="D553" s="95" t="s">
        <v>1376</v>
      </c>
      <c r="E553" s="95" t="s">
        <v>2472</v>
      </c>
      <c r="F553" s="95" t="s">
        <v>2473</v>
      </c>
      <c r="G553" s="223">
        <v>45536</v>
      </c>
      <c r="H553" s="223">
        <v>45536</v>
      </c>
      <c r="I553" s="223">
        <v>47361</v>
      </c>
      <c r="J553" s="3">
        <v>32</v>
      </c>
      <c r="K553" s="3" t="s">
        <v>10</v>
      </c>
      <c r="L553" s="3" t="s">
        <v>10</v>
      </c>
      <c r="M553" s="95" t="s">
        <v>60</v>
      </c>
      <c r="N553" s="3" t="s">
        <v>117</v>
      </c>
      <c r="O553" s="3" t="s">
        <v>651</v>
      </c>
      <c r="P553" s="3" t="s">
        <v>6</v>
      </c>
      <c r="Q553" s="3" t="s">
        <v>6</v>
      </c>
      <c r="R553" s="95" t="s">
        <v>652</v>
      </c>
      <c r="S553" s="223" t="s">
        <v>5</v>
      </c>
      <c r="T553" s="223" t="s">
        <v>5</v>
      </c>
      <c r="U553" s="223" t="s">
        <v>5</v>
      </c>
      <c r="V553" s="223" t="s">
        <v>5</v>
      </c>
      <c r="W553" s="223" t="s">
        <v>5</v>
      </c>
      <c r="X553" s="3" t="s">
        <v>5</v>
      </c>
      <c r="Y553" s="3" t="s">
        <v>651</v>
      </c>
      <c r="Z553" s="3" t="s">
        <v>651</v>
      </c>
      <c r="AA553" s="3" t="s">
        <v>6</v>
      </c>
      <c r="AB553" s="223">
        <v>43678</v>
      </c>
      <c r="AC553" s="3" t="s">
        <v>6</v>
      </c>
      <c r="AD553" s="3" t="s">
        <v>10</v>
      </c>
      <c r="AE553" s="95" t="s">
        <v>2263</v>
      </c>
    </row>
    <row r="554" spans="1:31" x14ac:dyDescent="0.35">
      <c r="A554" s="3" t="s">
        <v>2233</v>
      </c>
      <c r="B554" s="3" t="s">
        <v>266</v>
      </c>
      <c r="C554" s="3">
        <v>4</v>
      </c>
      <c r="D554" s="95" t="s">
        <v>2239</v>
      </c>
      <c r="E554" s="95" t="s">
        <v>2272</v>
      </c>
      <c r="F554" s="95" t="s">
        <v>437</v>
      </c>
      <c r="G554" s="223">
        <v>44211</v>
      </c>
      <c r="H554" s="223">
        <v>44256</v>
      </c>
      <c r="I554" s="223">
        <v>46081</v>
      </c>
      <c r="J554" s="3">
        <v>0</v>
      </c>
      <c r="K554" s="3" t="s">
        <v>6</v>
      </c>
      <c r="L554" s="3" t="s">
        <v>6</v>
      </c>
      <c r="M554" s="95" t="s">
        <v>27</v>
      </c>
      <c r="N554" s="3" t="s">
        <v>28</v>
      </c>
      <c r="O554" s="3" t="s">
        <v>25</v>
      </c>
      <c r="P554" s="3" t="s">
        <v>6</v>
      </c>
      <c r="Q554" s="3" t="s">
        <v>6</v>
      </c>
      <c r="R554" s="95" t="s">
        <v>22</v>
      </c>
      <c r="S554" s="223">
        <v>43374</v>
      </c>
      <c r="T554" s="223">
        <v>43553</v>
      </c>
      <c r="U554" s="223">
        <v>43009</v>
      </c>
      <c r="V554" s="223">
        <v>43009</v>
      </c>
      <c r="W554" s="223" t="s">
        <v>6</v>
      </c>
      <c r="X554" s="3" t="s">
        <v>26</v>
      </c>
      <c r="Y554" s="3" t="s">
        <v>2100</v>
      </c>
      <c r="Z554" s="3" t="s">
        <v>28</v>
      </c>
      <c r="AA554" s="3" t="s">
        <v>6</v>
      </c>
      <c r="AB554" s="223">
        <v>42159</v>
      </c>
      <c r="AC554" s="3" t="s">
        <v>6</v>
      </c>
      <c r="AD554" s="3" t="s">
        <v>10</v>
      </c>
      <c r="AE554" s="95" t="s">
        <v>2263</v>
      </c>
    </row>
    <row r="555" spans="1:31" x14ac:dyDescent="0.35">
      <c r="A555" s="3" t="s">
        <v>269</v>
      </c>
      <c r="B555" s="3" t="s">
        <v>266</v>
      </c>
      <c r="C555" s="3">
        <v>4</v>
      </c>
      <c r="D555" s="95" t="s">
        <v>1977</v>
      </c>
      <c r="E555" s="95" t="s">
        <v>1912</v>
      </c>
      <c r="F555" s="95" t="s">
        <v>437</v>
      </c>
      <c r="G555" s="223">
        <v>44609</v>
      </c>
      <c r="H555" s="223">
        <v>44609</v>
      </c>
      <c r="I555" s="223">
        <v>46434</v>
      </c>
      <c r="J555" s="3">
        <v>14</v>
      </c>
      <c r="K555" s="3" t="s">
        <v>6</v>
      </c>
      <c r="L555" s="3" t="s">
        <v>6</v>
      </c>
      <c r="M555" s="95" t="s">
        <v>23</v>
      </c>
      <c r="N555" s="3" t="s">
        <v>24</v>
      </c>
      <c r="O555" s="3" t="s">
        <v>25</v>
      </c>
      <c r="P555" s="3" t="s">
        <v>6</v>
      </c>
      <c r="Q555" s="3" t="s">
        <v>6</v>
      </c>
      <c r="R555" s="95" t="s">
        <v>22</v>
      </c>
      <c r="S555" s="223">
        <v>43374</v>
      </c>
      <c r="T555" s="223">
        <v>43497</v>
      </c>
      <c r="U555" s="223">
        <v>42644</v>
      </c>
      <c r="V555" s="223">
        <v>42644</v>
      </c>
      <c r="W555" s="223" t="s">
        <v>6</v>
      </c>
      <c r="X555" s="3" t="s">
        <v>26</v>
      </c>
      <c r="Y555" s="3" t="s">
        <v>2093</v>
      </c>
      <c r="Z555" s="3" t="s">
        <v>24</v>
      </c>
      <c r="AA555" s="3" t="s">
        <v>6</v>
      </c>
      <c r="AB555" s="223">
        <v>42782</v>
      </c>
      <c r="AC555" s="3" t="s">
        <v>10</v>
      </c>
      <c r="AD555" s="3" t="s">
        <v>10</v>
      </c>
      <c r="AE555" s="95" t="s">
        <v>2263</v>
      </c>
    </row>
    <row r="556" spans="1:31" x14ac:dyDescent="0.35">
      <c r="A556" s="3" t="s">
        <v>511</v>
      </c>
      <c r="B556" s="3" t="s">
        <v>271</v>
      </c>
      <c r="C556" s="3">
        <v>8</v>
      </c>
      <c r="D556" s="95" t="s">
        <v>3177</v>
      </c>
      <c r="E556" s="95" t="s">
        <v>505</v>
      </c>
      <c r="F556" s="95" t="s">
        <v>4</v>
      </c>
      <c r="G556" s="223">
        <v>43666</v>
      </c>
      <c r="H556" s="223">
        <v>43666</v>
      </c>
      <c r="I556" s="223">
        <v>45473</v>
      </c>
      <c r="J556" s="3">
        <v>3</v>
      </c>
      <c r="K556" s="3" t="s">
        <v>6</v>
      </c>
      <c r="L556" s="3" t="s">
        <v>6</v>
      </c>
      <c r="M556" s="95" t="s">
        <v>116</v>
      </c>
      <c r="N556" s="3" t="s">
        <v>117</v>
      </c>
      <c r="O556" s="3" t="s">
        <v>17</v>
      </c>
      <c r="P556" s="3" t="s">
        <v>6</v>
      </c>
      <c r="Q556" s="3" t="s">
        <v>6</v>
      </c>
      <c r="R556" s="95" t="s">
        <v>9</v>
      </c>
      <c r="S556" s="223">
        <v>43591</v>
      </c>
      <c r="T556" s="223">
        <v>43651</v>
      </c>
      <c r="U556" s="223">
        <v>43616</v>
      </c>
      <c r="V556" s="223">
        <v>43616</v>
      </c>
      <c r="W556" s="223" t="s">
        <v>6</v>
      </c>
      <c r="X556" s="3" t="s">
        <v>26</v>
      </c>
      <c r="Y556" s="3" t="s">
        <v>2932</v>
      </c>
      <c r="Z556" s="3" t="s">
        <v>2924</v>
      </c>
      <c r="AA556" s="3" t="s">
        <v>2254</v>
      </c>
      <c r="AB556" s="223" t="s">
        <v>5</v>
      </c>
      <c r="AC556" s="3" t="s">
        <v>6</v>
      </c>
      <c r="AD556" s="3" t="s">
        <v>10</v>
      </c>
      <c r="AE556" s="95" t="s">
        <v>2265</v>
      </c>
    </row>
    <row r="557" spans="1:31" x14ac:dyDescent="0.35">
      <c r="A557" s="3" t="s">
        <v>1377</v>
      </c>
      <c r="B557" s="3" t="s">
        <v>271</v>
      </c>
      <c r="C557" s="3">
        <v>8</v>
      </c>
      <c r="D557" s="95" t="s">
        <v>1378</v>
      </c>
      <c r="E557" s="95" t="s">
        <v>3255</v>
      </c>
      <c r="F557" s="95" t="s">
        <v>2474</v>
      </c>
      <c r="G557" s="223">
        <v>43920</v>
      </c>
      <c r="H557" s="223">
        <v>43922</v>
      </c>
      <c r="I557" s="223">
        <v>45747</v>
      </c>
      <c r="J557" s="3">
        <v>77</v>
      </c>
      <c r="K557" s="3" t="s">
        <v>10</v>
      </c>
      <c r="L557" s="3" t="s">
        <v>10</v>
      </c>
      <c r="M557" s="95" t="s">
        <v>1379</v>
      </c>
      <c r="N557" s="3" t="s">
        <v>138</v>
      </c>
      <c r="O557" s="3" t="s">
        <v>651</v>
      </c>
      <c r="P557" s="3" t="s">
        <v>6</v>
      </c>
      <c r="Q557" s="3" t="s">
        <v>6</v>
      </c>
      <c r="R557" s="95" t="s">
        <v>652</v>
      </c>
      <c r="S557" s="223" t="s">
        <v>5</v>
      </c>
      <c r="T557" s="223" t="s">
        <v>5</v>
      </c>
      <c r="U557" s="223" t="s">
        <v>5</v>
      </c>
      <c r="V557" s="223" t="s">
        <v>5</v>
      </c>
      <c r="W557" s="223" t="s">
        <v>5</v>
      </c>
      <c r="X557" s="3" t="s">
        <v>5</v>
      </c>
      <c r="Y557" s="3" t="s">
        <v>651</v>
      </c>
      <c r="Z557" s="3" t="s">
        <v>651</v>
      </c>
      <c r="AA557" s="3" t="s">
        <v>6</v>
      </c>
      <c r="AB557" s="223">
        <v>42370</v>
      </c>
      <c r="AC557" s="3" t="s">
        <v>6</v>
      </c>
      <c r="AD557" s="3" t="s">
        <v>10</v>
      </c>
      <c r="AE557" s="95" t="s">
        <v>2263</v>
      </c>
    </row>
    <row r="558" spans="1:31" x14ac:dyDescent="0.35">
      <c r="A558" s="3" t="s">
        <v>270</v>
      </c>
      <c r="B558" s="3" t="s">
        <v>271</v>
      </c>
      <c r="C558" s="3">
        <v>8</v>
      </c>
      <c r="D558" s="95" t="s">
        <v>3159</v>
      </c>
      <c r="E558" s="95" t="s">
        <v>422</v>
      </c>
      <c r="F558" s="95" t="s">
        <v>437</v>
      </c>
      <c r="G558" s="223">
        <v>44455</v>
      </c>
      <c r="H558" s="223">
        <v>44500</v>
      </c>
      <c r="I558" s="223">
        <v>46326</v>
      </c>
      <c r="J558" s="3">
        <v>0</v>
      </c>
      <c r="K558" s="3" t="s">
        <v>6</v>
      </c>
      <c r="L558" s="3" t="s">
        <v>6</v>
      </c>
      <c r="M558" s="95" t="s">
        <v>19</v>
      </c>
      <c r="N558" s="3" t="s">
        <v>20</v>
      </c>
      <c r="O558" s="3" t="s">
        <v>21</v>
      </c>
      <c r="P558" s="3" t="s">
        <v>6</v>
      </c>
      <c r="Q558" s="3" t="s">
        <v>6</v>
      </c>
      <c r="R558" s="95" t="s">
        <v>22</v>
      </c>
      <c r="S558" s="223">
        <v>43675</v>
      </c>
      <c r="T558" s="223">
        <v>43756</v>
      </c>
      <c r="U558" s="223">
        <v>43647</v>
      </c>
      <c r="V558" s="223">
        <v>43647</v>
      </c>
      <c r="W558" s="223" t="s">
        <v>6</v>
      </c>
      <c r="X558" s="3" t="s">
        <v>26</v>
      </c>
      <c r="Y558" s="3" t="s">
        <v>2116</v>
      </c>
      <c r="Z558" s="3" t="s">
        <v>20</v>
      </c>
      <c r="AA558" s="3" t="s">
        <v>6</v>
      </c>
      <c r="AB558" s="223">
        <v>44442</v>
      </c>
      <c r="AC558" s="3" t="s">
        <v>10</v>
      </c>
      <c r="AD558" s="3" t="s">
        <v>10</v>
      </c>
      <c r="AE558" s="95" t="s">
        <v>2263</v>
      </c>
    </row>
    <row r="559" spans="1:31" x14ac:dyDescent="0.35">
      <c r="A559" s="3" t="s">
        <v>1380</v>
      </c>
      <c r="B559" s="3" t="s">
        <v>271</v>
      </c>
      <c r="C559" s="3">
        <v>8</v>
      </c>
      <c r="D559" s="95" t="s">
        <v>1381</v>
      </c>
      <c r="E559" s="95" t="s">
        <v>3255</v>
      </c>
      <c r="F559" s="95" t="s">
        <v>2474</v>
      </c>
      <c r="G559" s="223">
        <v>45195</v>
      </c>
      <c r="H559" s="223">
        <v>45200</v>
      </c>
      <c r="I559" s="223">
        <v>47026</v>
      </c>
      <c r="J559" s="3">
        <v>58</v>
      </c>
      <c r="K559" s="3" t="s">
        <v>10</v>
      </c>
      <c r="L559" s="3" t="s">
        <v>10</v>
      </c>
      <c r="M559" s="95" t="s">
        <v>47</v>
      </c>
      <c r="N559" s="3" t="s">
        <v>48</v>
      </c>
      <c r="O559" s="3" t="s">
        <v>651</v>
      </c>
      <c r="P559" s="3" t="s">
        <v>6</v>
      </c>
      <c r="Q559" s="3" t="s">
        <v>6</v>
      </c>
      <c r="R559" s="95" t="s">
        <v>652</v>
      </c>
      <c r="S559" s="223" t="s">
        <v>5</v>
      </c>
      <c r="T559" s="223" t="s">
        <v>5</v>
      </c>
      <c r="U559" s="223" t="s">
        <v>5</v>
      </c>
      <c r="V559" s="223" t="s">
        <v>5</v>
      </c>
      <c r="W559" s="223" t="s">
        <v>5</v>
      </c>
      <c r="X559" s="3" t="s">
        <v>5</v>
      </c>
      <c r="Y559" s="3" t="s">
        <v>651</v>
      </c>
      <c r="Z559" s="3" t="s">
        <v>651</v>
      </c>
      <c r="AA559" s="3" t="s">
        <v>6</v>
      </c>
      <c r="AB559" s="223">
        <v>42370</v>
      </c>
      <c r="AC559" s="3" t="s">
        <v>6</v>
      </c>
      <c r="AD559" s="3" t="s">
        <v>10</v>
      </c>
      <c r="AE559" s="95" t="s">
        <v>2265</v>
      </c>
    </row>
    <row r="560" spans="1:31" x14ac:dyDescent="0.35">
      <c r="A560" s="3" t="s">
        <v>1382</v>
      </c>
      <c r="B560" s="3" t="s">
        <v>271</v>
      </c>
      <c r="C560" s="3">
        <v>8</v>
      </c>
      <c r="D560" s="95" t="s">
        <v>1383</v>
      </c>
      <c r="E560" s="95" t="s">
        <v>3255</v>
      </c>
      <c r="F560" s="95" t="s">
        <v>2474</v>
      </c>
      <c r="G560" s="223">
        <v>45373</v>
      </c>
      <c r="H560" s="223">
        <v>45383</v>
      </c>
      <c r="I560" s="223">
        <v>47208</v>
      </c>
      <c r="J560" s="3">
        <v>31</v>
      </c>
      <c r="K560" s="3" t="s">
        <v>10</v>
      </c>
      <c r="L560" s="3" t="s">
        <v>10</v>
      </c>
      <c r="M560" s="95" t="s">
        <v>47</v>
      </c>
      <c r="N560" s="3" t="s">
        <v>48</v>
      </c>
      <c r="O560" s="3" t="s">
        <v>651</v>
      </c>
      <c r="P560" s="3" t="s">
        <v>6</v>
      </c>
      <c r="Q560" s="3" t="s">
        <v>6</v>
      </c>
      <c r="R560" s="95" t="s">
        <v>652</v>
      </c>
      <c r="S560" s="223" t="s">
        <v>5</v>
      </c>
      <c r="T560" s="223" t="s">
        <v>5</v>
      </c>
      <c r="U560" s="223" t="s">
        <v>5</v>
      </c>
      <c r="V560" s="223" t="s">
        <v>5</v>
      </c>
      <c r="W560" s="223" t="s">
        <v>5</v>
      </c>
      <c r="X560" s="3" t="s">
        <v>5</v>
      </c>
      <c r="Y560" s="3" t="s">
        <v>651</v>
      </c>
      <c r="Z560" s="3" t="s">
        <v>651</v>
      </c>
      <c r="AA560" s="3" t="s">
        <v>6</v>
      </c>
      <c r="AB560" s="223">
        <v>42370</v>
      </c>
      <c r="AC560" s="3" t="s">
        <v>6</v>
      </c>
      <c r="AD560" s="3" t="s">
        <v>10</v>
      </c>
      <c r="AE560" s="95" t="s">
        <v>2265</v>
      </c>
    </row>
    <row r="561" spans="1:31" x14ac:dyDescent="0.35">
      <c r="A561" s="3" t="s">
        <v>1384</v>
      </c>
      <c r="B561" s="3" t="s">
        <v>271</v>
      </c>
      <c r="C561" s="3">
        <v>8</v>
      </c>
      <c r="D561" s="95" t="s">
        <v>1385</v>
      </c>
      <c r="E561" s="95" t="s">
        <v>3255</v>
      </c>
      <c r="F561" s="95" t="s">
        <v>2474</v>
      </c>
      <c r="G561" s="223">
        <v>45561</v>
      </c>
      <c r="H561" s="223">
        <v>45566</v>
      </c>
      <c r="I561" s="223">
        <v>47391</v>
      </c>
      <c r="J561" s="3">
        <v>190</v>
      </c>
      <c r="K561" s="3" t="s">
        <v>10</v>
      </c>
      <c r="L561" s="3" t="s">
        <v>10</v>
      </c>
      <c r="M561" s="95" t="s">
        <v>47</v>
      </c>
      <c r="N561" s="3" t="s">
        <v>48</v>
      </c>
      <c r="O561" s="3" t="s">
        <v>651</v>
      </c>
      <c r="P561" s="3" t="s">
        <v>6</v>
      </c>
      <c r="Q561" s="3" t="s">
        <v>6</v>
      </c>
      <c r="R561" s="95" t="s">
        <v>652</v>
      </c>
      <c r="S561" s="223" t="s">
        <v>5</v>
      </c>
      <c r="T561" s="223" t="s">
        <v>5</v>
      </c>
      <c r="U561" s="223" t="s">
        <v>5</v>
      </c>
      <c r="V561" s="223" t="s">
        <v>5</v>
      </c>
      <c r="W561" s="223" t="s">
        <v>5</v>
      </c>
      <c r="X561" s="3" t="s">
        <v>5</v>
      </c>
      <c r="Y561" s="3" t="s">
        <v>651</v>
      </c>
      <c r="Z561" s="3" t="s">
        <v>651</v>
      </c>
      <c r="AA561" s="3" t="s">
        <v>6</v>
      </c>
      <c r="AB561" s="223">
        <v>42370</v>
      </c>
      <c r="AC561" s="3" t="s">
        <v>6</v>
      </c>
      <c r="AD561" s="3" t="s">
        <v>10</v>
      </c>
      <c r="AE561" s="95" t="s">
        <v>2265</v>
      </c>
    </row>
    <row r="562" spans="1:31" x14ac:dyDescent="0.35">
      <c r="A562" s="3" t="s">
        <v>1386</v>
      </c>
      <c r="B562" s="3" t="s">
        <v>271</v>
      </c>
      <c r="C562" s="3">
        <v>8</v>
      </c>
      <c r="D562" s="95" t="s">
        <v>1387</v>
      </c>
      <c r="E562" s="95" t="s">
        <v>3255</v>
      </c>
      <c r="F562" s="95" t="s">
        <v>2474</v>
      </c>
      <c r="G562" s="223">
        <v>44924</v>
      </c>
      <c r="H562" s="223">
        <v>44927</v>
      </c>
      <c r="I562" s="223">
        <v>46752</v>
      </c>
      <c r="J562" s="3">
        <v>19</v>
      </c>
      <c r="K562" s="3" t="s">
        <v>10</v>
      </c>
      <c r="L562" s="3" t="s">
        <v>10</v>
      </c>
      <c r="M562" s="95" t="s">
        <v>47</v>
      </c>
      <c r="N562" s="3" t="s">
        <v>48</v>
      </c>
      <c r="O562" s="3" t="s">
        <v>651</v>
      </c>
      <c r="P562" s="3" t="s">
        <v>6</v>
      </c>
      <c r="Q562" s="3" t="s">
        <v>6</v>
      </c>
      <c r="R562" s="95" t="s">
        <v>652</v>
      </c>
      <c r="S562" s="223" t="s">
        <v>5</v>
      </c>
      <c r="T562" s="223" t="s">
        <v>5</v>
      </c>
      <c r="U562" s="223" t="s">
        <v>5</v>
      </c>
      <c r="V562" s="223" t="s">
        <v>5</v>
      </c>
      <c r="W562" s="223" t="s">
        <v>5</v>
      </c>
      <c r="X562" s="3" t="s">
        <v>5</v>
      </c>
      <c r="Y562" s="3" t="s">
        <v>651</v>
      </c>
      <c r="Z562" s="3" t="s">
        <v>651</v>
      </c>
      <c r="AA562" s="3" t="s">
        <v>6</v>
      </c>
      <c r="AB562" s="223">
        <v>42370</v>
      </c>
      <c r="AC562" s="3" t="s">
        <v>6</v>
      </c>
      <c r="AD562" s="3" t="s">
        <v>10</v>
      </c>
      <c r="AE562" s="95" t="s">
        <v>2265</v>
      </c>
    </row>
    <row r="563" spans="1:31" x14ac:dyDescent="0.35">
      <c r="A563" s="3" t="s">
        <v>1388</v>
      </c>
      <c r="B563" s="3" t="s">
        <v>271</v>
      </c>
      <c r="C563" s="3">
        <v>8</v>
      </c>
      <c r="D563" s="95" t="s">
        <v>1389</v>
      </c>
      <c r="E563" s="95" t="s">
        <v>3255</v>
      </c>
      <c r="F563" s="95" t="s">
        <v>2474</v>
      </c>
      <c r="G563" s="223">
        <v>45376</v>
      </c>
      <c r="H563" s="223">
        <v>45383</v>
      </c>
      <c r="I563" s="223">
        <v>47208</v>
      </c>
      <c r="J563" s="3">
        <v>20</v>
      </c>
      <c r="K563" s="3" t="s">
        <v>10</v>
      </c>
      <c r="L563" s="3" t="s">
        <v>10</v>
      </c>
      <c r="M563" s="95" t="s">
        <v>116</v>
      </c>
      <c r="N563" s="3" t="s">
        <v>117</v>
      </c>
      <c r="O563" s="3" t="s">
        <v>651</v>
      </c>
      <c r="P563" s="3" t="s">
        <v>6</v>
      </c>
      <c r="Q563" s="3" t="s">
        <v>6</v>
      </c>
      <c r="R563" s="95" t="s">
        <v>652</v>
      </c>
      <c r="S563" s="223" t="s">
        <v>5</v>
      </c>
      <c r="T563" s="223" t="s">
        <v>5</v>
      </c>
      <c r="U563" s="223" t="s">
        <v>5</v>
      </c>
      <c r="V563" s="223" t="s">
        <v>5</v>
      </c>
      <c r="W563" s="223" t="s">
        <v>5</v>
      </c>
      <c r="X563" s="3" t="s">
        <v>5</v>
      </c>
      <c r="Y563" s="3" t="s">
        <v>651</v>
      </c>
      <c r="Z563" s="3" t="s">
        <v>651</v>
      </c>
      <c r="AA563" s="3" t="s">
        <v>6</v>
      </c>
      <c r="AB563" s="223">
        <v>42370</v>
      </c>
      <c r="AC563" s="3" t="s">
        <v>6</v>
      </c>
      <c r="AD563" s="3" t="s">
        <v>10</v>
      </c>
      <c r="AE563" s="95" t="s">
        <v>2265</v>
      </c>
    </row>
    <row r="564" spans="1:31" x14ac:dyDescent="0.35">
      <c r="A564" s="3" t="s">
        <v>272</v>
      </c>
      <c r="B564" s="3" t="s">
        <v>271</v>
      </c>
      <c r="C564" s="3">
        <v>8</v>
      </c>
      <c r="D564" s="95" t="s">
        <v>2475</v>
      </c>
      <c r="E564" s="95" t="s">
        <v>2292</v>
      </c>
      <c r="F564" s="95" t="s">
        <v>4</v>
      </c>
      <c r="G564" s="223">
        <v>44628</v>
      </c>
      <c r="H564" s="223">
        <v>44652</v>
      </c>
      <c r="I564" s="223">
        <v>46477</v>
      </c>
      <c r="J564" s="3">
        <v>37</v>
      </c>
      <c r="K564" s="3" t="s">
        <v>6</v>
      </c>
      <c r="L564" s="3" t="s">
        <v>6</v>
      </c>
      <c r="M564" s="95" t="s">
        <v>47</v>
      </c>
      <c r="N564" s="3" t="s">
        <v>48</v>
      </c>
      <c r="O564" s="3" t="s">
        <v>49</v>
      </c>
      <c r="P564" s="3" t="s">
        <v>6</v>
      </c>
      <c r="Q564" s="3" t="s">
        <v>6</v>
      </c>
      <c r="R564" s="95" t="s">
        <v>9</v>
      </c>
      <c r="S564" s="223">
        <v>43437</v>
      </c>
      <c r="T564" s="223">
        <v>43747</v>
      </c>
      <c r="U564" s="223">
        <v>43405</v>
      </c>
      <c r="V564" s="223">
        <v>43405</v>
      </c>
      <c r="W564" s="223" t="s">
        <v>6</v>
      </c>
      <c r="X564" s="3" t="s">
        <v>26</v>
      </c>
      <c r="Y564" s="3" t="s">
        <v>2928</v>
      </c>
      <c r="Z564" s="3" t="s">
        <v>2924</v>
      </c>
      <c r="AA564" s="3" t="s">
        <v>10</v>
      </c>
      <c r="AB564" s="223" t="s">
        <v>5</v>
      </c>
      <c r="AC564" s="3" t="s">
        <v>6</v>
      </c>
      <c r="AD564" s="3" t="s">
        <v>6</v>
      </c>
      <c r="AE564" s="95" t="s">
        <v>2265</v>
      </c>
    </row>
    <row r="565" spans="1:31" x14ac:dyDescent="0.35">
      <c r="A565" s="3" t="s">
        <v>1390</v>
      </c>
      <c r="B565" s="3" t="s">
        <v>271</v>
      </c>
      <c r="C565" s="3">
        <v>8</v>
      </c>
      <c r="D565" s="95" t="s">
        <v>1391</v>
      </c>
      <c r="E565" s="95" t="s">
        <v>3255</v>
      </c>
      <c r="F565" s="95" t="s">
        <v>2474</v>
      </c>
      <c r="G565" s="223">
        <v>44925</v>
      </c>
      <c r="H565" s="223">
        <v>44927</v>
      </c>
      <c r="I565" s="223">
        <v>46752</v>
      </c>
      <c r="J565" s="3">
        <v>67</v>
      </c>
      <c r="K565" s="3" t="s">
        <v>10</v>
      </c>
      <c r="L565" s="3" t="s">
        <v>10</v>
      </c>
      <c r="M565" s="95" t="s">
        <v>19</v>
      </c>
      <c r="N565" s="3" t="s">
        <v>20</v>
      </c>
      <c r="O565" s="3" t="s">
        <v>651</v>
      </c>
      <c r="P565" s="3" t="s">
        <v>10</v>
      </c>
      <c r="Q565" s="3" t="s">
        <v>6</v>
      </c>
      <c r="R565" s="95" t="s">
        <v>2267</v>
      </c>
      <c r="S565" s="223" t="s">
        <v>5</v>
      </c>
      <c r="T565" s="223" t="s">
        <v>5</v>
      </c>
      <c r="U565" s="223" t="s">
        <v>5</v>
      </c>
      <c r="V565" s="223" t="s">
        <v>5</v>
      </c>
      <c r="W565" s="223" t="s">
        <v>5</v>
      </c>
      <c r="X565" s="3" t="s">
        <v>5</v>
      </c>
      <c r="Y565" s="3" t="s">
        <v>651</v>
      </c>
      <c r="Z565" s="3" t="s">
        <v>651</v>
      </c>
      <c r="AA565" s="3" t="s">
        <v>10</v>
      </c>
      <c r="AB565" s="223" t="s">
        <v>5</v>
      </c>
      <c r="AC565" s="3" t="s">
        <v>10</v>
      </c>
      <c r="AD565" s="3" t="s">
        <v>10</v>
      </c>
      <c r="AE565" s="95" t="s">
        <v>2263</v>
      </c>
    </row>
    <row r="566" spans="1:31" x14ac:dyDescent="0.35">
      <c r="A566" s="3" t="s">
        <v>1978</v>
      </c>
      <c r="B566" s="3" t="s">
        <v>271</v>
      </c>
      <c r="C566" s="3">
        <v>8</v>
      </c>
      <c r="D566" s="95" t="s">
        <v>1979</v>
      </c>
      <c r="E566" s="95" t="s">
        <v>2272</v>
      </c>
      <c r="F566" s="95" t="s">
        <v>437</v>
      </c>
      <c r="G566" s="223">
        <v>44211</v>
      </c>
      <c r="H566" s="223">
        <v>44256</v>
      </c>
      <c r="I566" s="223">
        <v>46081</v>
      </c>
      <c r="J566" s="3">
        <v>2</v>
      </c>
      <c r="K566" s="3" t="s">
        <v>6</v>
      </c>
      <c r="L566" s="3" t="s">
        <v>6</v>
      </c>
      <c r="M566" s="95" t="s">
        <v>27</v>
      </c>
      <c r="N566" s="3" t="s">
        <v>28</v>
      </c>
      <c r="O566" s="3" t="s">
        <v>25</v>
      </c>
      <c r="P566" s="3" t="s">
        <v>6</v>
      </c>
      <c r="Q566" s="3" t="s">
        <v>6</v>
      </c>
      <c r="R566" s="95" t="s">
        <v>22</v>
      </c>
      <c r="S566" s="223">
        <v>43374</v>
      </c>
      <c r="T566" s="223">
        <v>43553</v>
      </c>
      <c r="U566" s="223">
        <v>43009</v>
      </c>
      <c r="V566" s="223">
        <v>43009</v>
      </c>
      <c r="W566" s="223" t="s">
        <v>6</v>
      </c>
      <c r="X566" s="3" t="s">
        <v>26</v>
      </c>
      <c r="Y566" s="3" t="s">
        <v>2100</v>
      </c>
      <c r="Z566" s="3" t="s">
        <v>28</v>
      </c>
      <c r="AA566" s="3" t="s">
        <v>6</v>
      </c>
      <c r="AB566" s="223">
        <v>42159</v>
      </c>
      <c r="AC566" s="3" t="s">
        <v>6</v>
      </c>
      <c r="AD566" s="3" t="s">
        <v>10</v>
      </c>
      <c r="AE566" s="95" t="s">
        <v>2263</v>
      </c>
    </row>
    <row r="567" spans="1:31" x14ac:dyDescent="0.35">
      <c r="A567" s="3" t="s">
        <v>273</v>
      </c>
      <c r="B567" s="3" t="s">
        <v>271</v>
      </c>
      <c r="C567" s="3">
        <v>8</v>
      </c>
      <c r="D567" s="95" t="s">
        <v>1980</v>
      </c>
      <c r="E567" s="95" t="s">
        <v>1912</v>
      </c>
      <c r="F567" s="95" t="s">
        <v>437</v>
      </c>
      <c r="G567" s="223">
        <v>44609</v>
      </c>
      <c r="H567" s="223">
        <v>44609</v>
      </c>
      <c r="I567" s="223">
        <v>46434</v>
      </c>
      <c r="J567" s="3">
        <v>69</v>
      </c>
      <c r="K567" s="3" t="s">
        <v>6</v>
      </c>
      <c r="L567" s="3" t="s">
        <v>6</v>
      </c>
      <c r="M567" s="95" t="s">
        <v>23</v>
      </c>
      <c r="N567" s="3" t="s">
        <v>24</v>
      </c>
      <c r="O567" s="3" t="s">
        <v>25</v>
      </c>
      <c r="P567" s="3" t="s">
        <v>6</v>
      </c>
      <c r="Q567" s="3" t="s">
        <v>6</v>
      </c>
      <c r="R567" s="95" t="s">
        <v>22</v>
      </c>
      <c r="S567" s="223">
        <v>43374</v>
      </c>
      <c r="T567" s="223">
        <v>43497</v>
      </c>
      <c r="U567" s="223">
        <v>42644</v>
      </c>
      <c r="V567" s="223">
        <v>42644</v>
      </c>
      <c r="W567" s="223" t="s">
        <v>6</v>
      </c>
      <c r="X567" s="3" t="s">
        <v>26</v>
      </c>
      <c r="Y567" s="3" t="s">
        <v>2093</v>
      </c>
      <c r="Z567" s="3" t="s">
        <v>24</v>
      </c>
      <c r="AA567" s="3" t="s">
        <v>6</v>
      </c>
      <c r="AB567" s="223">
        <v>42782</v>
      </c>
      <c r="AC567" s="3" t="s">
        <v>10</v>
      </c>
      <c r="AD567" s="3" t="s">
        <v>10</v>
      </c>
      <c r="AE567" s="95" t="s">
        <v>2263</v>
      </c>
    </row>
    <row r="568" spans="1:31" x14ac:dyDescent="0.35">
      <c r="A568" s="3" t="s">
        <v>1392</v>
      </c>
      <c r="B568" s="3" t="s">
        <v>271</v>
      </c>
      <c r="C568" s="3">
        <v>8</v>
      </c>
      <c r="D568" s="95" t="s">
        <v>1393</v>
      </c>
      <c r="E568" s="95" t="s">
        <v>3255</v>
      </c>
      <c r="F568" s="95" t="s">
        <v>2474</v>
      </c>
      <c r="G568" s="223">
        <v>44286</v>
      </c>
      <c r="H568" s="223">
        <v>44287</v>
      </c>
      <c r="I568" s="223">
        <v>46112</v>
      </c>
      <c r="J568" s="3">
        <v>19</v>
      </c>
      <c r="K568" s="3" t="s">
        <v>10</v>
      </c>
      <c r="L568" s="3" t="s">
        <v>10</v>
      </c>
      <c r="M568" s="95" t="s">
        <v>2555</v>
      </c>
      <c r="N568" s="3" t="s">
        <v>52</v>
      </c>
      <c r="O568" s="3" t="s">
        <v>651</v>
      </c>
      <c r="P568" s="3" t="s">
        <v>6</v>
      </c>
      <c r="Q568" s="3" t="s">
        <v>6</v>
      </c>
      <c r="R568" s="95" t="s">
        <v>652</v>
      </c>
      <c r="S568" s="223" t="s">
        <v>5</v>
      </c>
      <c r="T568" s="223" t="s">
        <v>5</v>
      </c>
      <c r="U568" s="223" t="s">
        <v>5</v>
      </c>
      <c r="V568" s="223" t="s">
        <v>5</v>
      </c>
      <c r="W568" s="223" t="s">
        <v>5</v>
      </c>
      <c r="X568" s="3" t="s">
        <v>5</v>
      </c>
      <c r="Y568" s="3" t="s">
        <v>651</v>
      </c>
      <c r="Z568" s="3" t="s">
        <v>651</v>
      </c>
      <c r="AA568" s="3" t="s">
        <v>6</v>
      </c>
      <c r="AB568" s="223">
        <v>42370</v>
      </c>
      <c r="AC568" s="3" t="s">
        <v>10</v>
      </c>
      <c r="AD568" s="3" t="s">
        <v>6</v>
      </c>
      <c r="AE568" s="95" t="s">
        <v>2265</v>
      </c>
    </row>
    <row r="569" spans="1:31" x14ac:dyDescent="0.35">
      <c r="A569" s="3" t="s">
        <v>1394</v>
      </c>
      <c r="B569" s="3" t="s">
        <v>271</v>
      </c>
      <c r="C569" s="3">
        <v>8</v>
      </c>
      <c r="D569" s="95" t="s">
        <v>149</v>
      </c>
      <c r="E569" s="95" t="s">
        <v>3255</v>
      </c>
      <c r="F569" s="95" t="s">
        <v>2474</v>
      </c>
      <c r="G569" s="223">
        <v>43920</v>
      </c>
      <c r="H569" s="223">
        <v>43922</v>
      </c>
      <c r="I569" s="223">
        <v>45747</v>
      </c>
      <c r="J569" s="3">
        <v>234</v>
      </c>
      <c r="K569" s="3" t="s">
        <v>10</v>
      </c>
      <c r="L569" s="3" t="s">
        <v>10</v>
      </c>
      <c r="M569" s="95" t="s">
        <v>27</v>
      </c>
      <c r="N569" s="3" t="s">
        <v>28</v>
      </c>
      <c r="O569" s="3" t="s">
        <v>651</v>
      </c>
      <c r="P569" s="3" t="s">
        <v>6</v>
      </c>
      <c r="Q569" s="3" t="s">
        <v>6</v>
      </c>
      <c r="R569" s="95" t="s">
        <v>652</v>
      </c>
      <c r="S569" s="223" t="s">
        <v>5</v>
      </c>
      <c r="T569" s="223" t="s">
        <v>5</v>
      </c>
      <c r="U569" s="223" t="s">
        <v>5</v>
      </c>
      <c r="V569" s="223" t="s">
        <v>5</v>
      </c>
      <c r="W569" s="223" t="s">
        <v>5</v>
      </c>
      <c r="X569" s="3" t="s">
        <v>5</v>
      </c>
      <c r="Y569" s="3" t="s">
        <v>651</v>
      </c>
      <c r="Z569" s="3" t="s">
        <v>651</v>
      </c>
      <c r="AA569" s="3" t="s">
        <v>6</v>
      </c>
      <c r="AB569" s="223">
        <v>42370</v>
      </c>
      <c r="AC569" s="3" t="s">
        <v>6</v>
      </c>
      <c r="AD569" s="3" t="s">
        <v>10</v>
      </c>
      <c r="AE569" s="95" t="s">
        <v>2263</v>
      </c>
    </row>
    <row r="570" spans="1:31" x14ac:dyDescent="0.35">
      <c r="A570" s="3" t="s">
        <v>1395</v>
      </c>
      <c r="B570" s="3" t="s">
        <v>271</v>
      </c>
      <c r="C570" s="3">
        <v>8</v>
      </c>
      <c r="D570" s="95" t="s">
        <v>911</v>
      </c>
      <c r="E570" s="95" t="s">
        <v>3255</v>
      </c>
      <c r="F570" s="95" t="s">
        <v>2474</v>
      </c>
      <c r="G570" s="223">
        <v>43920</v>
      </c>
      <c r="H570" s="223">
        <v>43922</v>
      </c>
      <c r="I570" s="223">
        <v>45747</v>
      </c>
      <c r="J570" s="3">
        <v>320</v>
      </c>
      <c r="K570" s="3" t="s">
        <v>10</v>
      </c>
      <c r="L570" s="3" t="s">
        <v>10</v>
      </c>
      <c r="M570" s="95" t="s">
        <v>23</v>
      </c>
      <c r="N570" s="3" t="s">
        <v>24</v>
      </c>
      <c r="O570" s="3" t="s">
        <v>651</v>
      </c>
      <c r="P570" s="3" t="s">
        <v>6</v>
      </c>
      <c r="Q570" s="3" t="s">
        <v>6</v>
      </c>
      <c r="R570" s="95" t="s">
        <v>652</v>
      </c>
      <c r="S570" s="223" t="s">
        <v>5</v>
      </c>
      <c r="T570" s="223" t="s">
        <v>5</v>
      </c>
      <c r="U570" s="223" t="s">
        <v>5</v>
      </c>
      <c r="V570" s="223" t="s">
        <v>5</v>
      </c>
      <c r="W570" s="223" t="s">
        <v>5</v>
      </c>
      <c r="X570" s="3" t="s">
        <v>5</v>
      </c>
      <c r="Y570" s="3" t="s">
        <v>651</v>
      </c>
      <c r="Z570" s="3" t="s">
        <v>651</v>
      </c>
      <c r="AA570" s="3" t="s">
        <v>6</v>
      </c>
      <c r="AB570" s="223">
        <v>42370</v>
      </c>
      <c r="AC570" s="3" t="s">
        <v>10</v>
      </c>
      <c r="AD570" s="3" t="s">
        <v>10</v>
      </c>
      <c r="AE570" s="95" t="s">
        <v>2263</v>
      </c>
    </row>
    <row r="571" spans="1:31" x14ac:dyDescent="0.35">
      <c r="A571" s="3" t="s">
        <v>3256</v>
      </c>
      <c r="B571" s="3" t="s">
        <v>271</v>
      </c>
      <c r="C571" s="3">
        <v>8</v>
      </c>
      <c r="D571" s="95" t="s">
        <v>911</v>
      </c>
      <c r="E571" s="95" t="s">
        <v>3255</v>
      </c>
      <c r="F571" s="95" t="s">
        <v>2474</v>
      </c>
      <c r="G571" s="223">
        <v>43920</v>
      </c>
      <c r="H571" s="223">
        <v>43922</v>
      </c>
      <c r="I571" s="223">
        <v>45747</v>
      </c>
      <c r="J571" s="3">
        <v>1851</v>
      </c>
      <c r="K571" s="3" t="s">
        <v>10</v>
      </c>
      <c r="L571" s="3" t="s">
        <v>10</v>
      </c>
      <c r="M571" s="95" t="s">
        <v>23</v>
      </c>
      <c r="N571" s="3" t="s">
        <v>24</v>
      </c>
      <c r="O571" s="3" t="s">
        <v>651</v>
      </c>
      <c r="P571" s="3" t="s">
        <v>6</v>
      </c>
      <c r="Q571" s="3" t="s">
        <v>6</v>
      </c>
      <c r="R571" s="95" t="s">
        <v>3257</v>
      </c>
      <c r="S571" s="223" t="s">
        <v>5</v>
      </c>
      <c r="T571" s="223" t="s">
        <v>5</v>
      </c>
      <c r="U571" s="223" t="s">
        <v>5</v>
      </c>
      <c r="V571" s="223" t="s">
        <v>5</v>
      </c>
      <c r="W571" s="223" t="s">
        <v>5</v>
      </c>
      <c r="X571" s="3" t="s">
        <v>5</v>
      </c>
      <c r="Y571" s="3" t="s">
        <v>651</v>
      </c>
      <c r="Z571" s="3" t="s">
        <v>651</v>
      </c>
      <c r="AA571" s="3" t="s">
        <v>6</v>
      </c>
      <c r="AB571" s="223">
        <v>42370</v>
      </c>
      <c r="AC571" s="3" t="s">
        <v>10</v>
      </c>
      <c r="AD571" s="3" t="s">
        <v>10</v>
      </c>
      <c r="AE571" s="95" t="s">
        <v>2263</v>
      </c>
    </row>
    <row r="572" spans="1:31" x14ac:dyDescent="0.35">
      <c r="A572" s="3" t="s">
        <v>1396</v>
      </c>
      <c r="B572" s="3" t="s">
        <v>271</v>
      </c>
      <c r="C572" s="3">
        <v>8</v>
      </c>
      <c r="D572" s="95" t="s">
        <v>1397</v>
      </c>
      <c r="E572" s="95" t="s">
        <v>3255</v>
      </c>
      <c r="F572" s="95" t="s">
        <v>2474</v>
      </c>
      <c r="G572" s="223">
        <v>45639</v>
      </c>
      <c r="H572" s="223">
        <v>45658</v>
      </c>
      <c r="I572" s="223">
        <v>47483</v>
      </c>
      <c r="J572" s="3">
        <v>196</v>
      </c>
      <c r="K572" s="3" t="s">
        <v>10</v>
      </c>
      <c r="L572" s="3" t="s">
        <v>10</v>
      </c>
      <c r="M572" s="95" t="s">
        <v>27</v>
      </c>
      <c r="N572" s="3" t="s">
        <v>28</v>
      </c>
      <c r="O572" s="3" t="s">
        <v>651</v>
      </c>
      <c r="P572" s="3" t="s">
        <v>6</v>
      </c>
      <c r="Q572" s="3" t="s">
        <v>6</v>
      </c>
      <c r="R572" s="95" t="s">
        <v>652</v>
      </c>
      <c r="S572" s="223" t="s">
        <v>5</v>
      </c>
      <c r="T572" s="223" t="s">
        <v>5</v>
      </c>
      <c r="U572" s="223" t="s">
        <v>5</v>
      </c>
      <c r="V572" s="223" t="s">
        <v>5</v>
      </c>
      <c r="W572" s="223" t="s">
        <v>5</v>
      </c>
      <c r="X572" s="3" t="s">
        <v>5</v>
      </c>
      <c r="Y572" s="3" t="s">
        <v>651</v>
      </c>
      <c r="Z572" s="3" t="s">
        <v>651</v>
      </c>
      <c r="AA572" s="3" t="s">
        <v>6</v>
      </c>
      <c r="AB572" s="223">
        <v>42370</v>
      </c>
      <c r="AC572" s="3" t="s">
        <v>6</v>
      </c>
      <c r="AD572" s="3" t="s">
        <v>6</v>
      </c>
      <c r="AE572" s="95" t="s">
        <v>2263</v>
      </c>
    </row>
    <row r="573" spans="1:31" x14ac:dyDescent="0.35">
      <c r="A573" s="3" t="s">
        <v>274</v>
      </c>
      <c r="B573" s="3" t="s">
        <v>275</v>
      </c>
      <c r="C573" s="3">
        <v>7</v>
      </c>
      <c r="D573" s="95" t="s">
        <v>276</v>
      </c>
      <c r="E573" s="95" t="s">
        <v>2476</v>
      </c>
      <c r="F573" s="95" t="s">
        <v>4</v>
      </c>
      <c r="G573" s="223">
        <v>41915</v>
      </c>
      <c r="H573" s="223">
        <v>42095</v>
      </c>
      <c r="I573" s="223">
        <v>43921</v>
      </c>
      <c r="J573" s="3">
        <v>95</v>
      </c>
      <c r="K573" s="3" t="s">
        <v>10</v>
      </c>
      <c r="L573" s="3" t="s">
        <v>6</v>
      </c>
      <c r="M573" s="95" t="s">
        <v>105</v>
      </c>
      <c r="N573" s="3" t="s">
        <v>106</v>
      </c>
      <c r="O573" s="3" t="s">
        <v>49</v>
      </c>
      <c r="P573" s="3" t="s">
        <v>6</v>
      </c>
      <c r="Q573" s="3" t="s">
        <v>6</v>
      </c>
      <c r="R573" s="95" t="s">
        <v>50</v>
      </c>
      <c r="S573" s="223">
        <v>43437</v>
      </c>
      <c r="T573" s="223">
        <v>43602</v>
      </c>
      <c r="U573" s="223">
        <v>43252</v>
      </c>
      <c r="V573" s="223">
        <v>43252</v>
      </c>
      <c r="W573" s="223" t="s">
        <v>6</v>
      </c>
      <c r="X573" s="3" t="s">
        <v>51</v>
      </c>
      <c r="Y573" s="3" t="s">
        <v>2134</v>
      </c>
      <c r="Z573" s="3" t="s">
        <v>106</v>
      </c>
      <c r="AA573" s="3" t="s">
        <v>10</v>
      </c>
      <c r="AB573" s="223" t="s">
        <v>5</v>
      </c>
      <c r="AC573" s="3" t="s">
        <v>10</v>
      </c>
      <c r="AD573" s="3" t="s">
        <v>6</v>
      </c>
      <c r="AE573" s="95" t="s">
        <v>2265</v>
      </c>
    </row>
    <row r="574" spans="1:31" x14ac:dyDescent="0.35">
      <c r="A574" s="3" t="s">
        <v>277</v>
      </c>
      <c r="B574" s="3" t="s">
        <v>275</v>
      </c>
      <c r="C574" s="3">
        <v>7</v>
      </c>
      <c r="D574" s="95" t="s">
        <v>276</v>
      </c>
      <c r="E574" s="95" t="s">
        <v>2476</v>
      </c>
      <c r="F574" s="95" t="s">
        <v>4</v>
      </c>
      <c r="G574" s="223">
        <v>42221</v>
      </c>
      <c r="H574" s="223">
        <v>42461</v>
      </c>
      <c r="I574" s="223">
        <v>44286</v>
      </c>
      <c r="J574" s="3">
        <v>89</v>
      </c>
      <c r="K574" s="3" t="s">
        <v>10</v>
      </c>
      <c r="L574" s="3" t="s">
        <v>6</v>
      </c>
      <c r="M574" s="95" t="s">
        <v>105</v>
      </c>
      <c r="N574" s="3" t="s">
        <v>106</v>
      </c>
      <c r="O574" s="3" t="s">
        <v>49</v>
      </c>
      <c r="P574" s="3" t="s">
        <v>6</v>
      </c>
      <c r="Q574" s="3" t="s">
        <v>6</v>
      </c>
      <c r="R574" s="95" t="s">
        <v>50</v>
      </c>
      <c r="S574" s="223">
        <v>43437</v>
      </c>
      <c r="T574" s="223">
        <v>43602</v>
      </c>
      <c r="U574" s="223">
        <v>43252</v>
      </c>
      <c r="V574" s="223">
        <v>43252</v>
      </c>
      <c r="W574" s="223" t="s">
        <v>6</v>
      </c>
      <c r="X574" s="3" t="s">
        <v>51</v>
      </c>
      <c r="Y574" s="3" t="s">
        <v>2134</v>
      </c>
      <c r="Z574" s="3" t="s">
        <v>106</v>
      </c>
      <c r="AA574" s="3" t="s">
        <v>10</v>
      </c>
      <c r="AB574" s="223" t="s">
        <v>5</v>
      </c>
      <c r="AC574" s="3" t="s">
        <v>10</v>
      </c>
      <c r="AD574" s="3" t="s">
        <v>6</v>
      </c>
      <c r="AE574" s="95" t="s">
        <v>2265</v>
      </c>
    </row>
    <row r="575" spans="1:31" x14ac:dyDescent="0.35">
      <c r="A575" s="3" t="s">
        <v>278</v>
      </c>
      <c r="B575" s="3" t="s">
        <v>275</v>
      </c>
      <c r="C575" s="3">
        <v>7</v>
      </c>
      <c r="D575" s="95" t="s">
        <v>276</v>
      </c>
      <c r="E575" s="95" t="s">
        <v>2476</v>
      </c>
      <c r="F575" s="95" t="s">
        <v>4</v>
      </c>
      <c r="G575" s="223">
        <v>42570</v>
      </c>
      <c r="H575" s="223">
        <v>42826</v>
      </c>
      <c r="I575" s="223">
        <v>44651</v>
      </c>
      <c r="J575" s="3">
        <v>103</v>
      </c>
      <c r="K575" s="3" t="s">
        <v>10</v>
      </c>
      <c r="L575" s="3" t="s">
        <v>6</v>
      </c>
      <c r="M575" s="95" t="s">
        <v>105</v>
      </c>
      <c r="N575" s="3" t="s">
        <v>106</v>
      </c>
      <c r="O575" s="3" t="s">
        <v>49</v>
      </c>
      <c r="P575" s="3" t="s">
        <v>6</v>
      </c>
      <c r="Q575" s="3" t="s">
        <v>6</v>
      </c>
      <c r="R575" s="95" t="s">
        <v>50</v>
      </c>
      <c r="S575" s="223">
        <v>43437</v>
      </c>
      <c r="T575" s="223">
        <v>43602</v>
      </c>
      <c r="U575" s="223">
        <v>43252</v>
      </c>
      <c r="V575" s="223">
        <v>43252</v>
      </c>
      <c r="W575" s="223" t="s">
        <v>6</v>
      </c>
      <c r="X575" s="3" t="s">
        <v>51</v>
      </c>
      <c r="Y575" s="3" t="s">
        <v>2134</v>
      </c>
      <c r="Z575" s="3" t="s">
        <v>106</v>
      </c>
      <c r="AA575" s="3" t="s">
        <v>10</v>
      </c>
      <c r="AB575" s="223" t="s">
        <v>5</v>
      </c>
      <c r="AC575" s="3" t="s">
        <v>10</v>
      </c>
      <c r="AD575" s="3" t="s">
        <v>6</v>
      </c>
      <c r="AE575" s="95" t="s">
        <v>2265</v>
      </c>
    </row>
    <row r="576" spans="1:31" x14ac:dyDescent="0.35">
      <c r="A576" s="3" t="s">
        <v>279</v>
      </c>
      <c r="B576" s="3" t="s">
        <v>275</v>
      </c>
      <c r="C576" s="3">
        <v>7</v>
      </c>
      <c r="D576" s="95" t="s">
        <v>276</v>
      </c>
      <c r="E576" s="95" t="s">
        <v>2476</v>
      </c>
      <c r="F576" s="95" t="s">
        <v>4</v>
      </c>
      <c r="G576" s="223">
        <v>42928</v>
      </c>
      <c r="H576" s="223">
        <v>43191</v>
      </c>
      <c r="I576" s="223">
        <v>45016</v>
      </c>
      <c r="J576" s="3">
        <v>95</v>
      </c>
      <c r="K576" s="3" t="s">
        <v>10</v>
      </c>
      <c r="L576" s="3" t="s">
        <v>6</v>
      </c>
      <c r="M576" s="95" t="s">
        <v>105</v>
      </c>
      <c r="N576" s="3" t="s">
        <v>106</v>
      </c>
      <c r="O576" s="3" t="s">
        <v>49</v>
      </c>
      <c r="P576" s="3" t="s">
        <v>6</v>
      </c>
      <c r="Q576" s="3" t="s">
        <v>6</v>
      </c>
      <c r="R576" s="95" t="s">
        <v>50</v>
      </c>
      <c r="S576" s="223">
        <v>43437</v>
      </c>
      <c r="T576" s="223">
        <v>43602</v>
      </c>
      <c r="U576" s="223">
        <v>43252</v>
      </c>
      <c r="V576" s="223">
        <v>43252</v>
      </c>
      <c r="W576" s="223" t="s">
        <v>6</v>
      </c>
      <c r="X576" s="3" t="s">
        <v>51</v>
      </c>
      <c r="Y576" s="3" t="s">
        <v>2134</v>
      </c>
      <c r="Z576" s="3" t="s">
        <v>106</v>
      </c>
      <c r="AA576" s="3" t="s">
        <v>10</v>
      </c>
      <c r="AB576" s="223" t="s">
        <v>5</v>
      </c>
      <c r="AC576" s="3" t="s">
        <v>10</v>
      </c>
      <c r="AD576" s="3" t="s">
        <v>6</v>
      </c>
      <c r="AE576" s="95" t="s">
        <v>2265</v>
      </c>
    </row>
    <row r="577" spans="1:31" x14ac:dyDescent="0.35">
      <c r="A577" s="3" t="s">
        <v>280</v>
      </c>
      <c r="B577" s="3" t="s">
        <v>275</v>
      </c>
      <c r="C577" s="3">
        <v>7</v>
      </c>
      <c r="D577" s="95" t="s">
        <v>3160</v>
      </c>
      <c r="E577" s="95" t="s">
        <v>422</v>
      </c>
      <c r="F577" s="95" t="s">
        <v>437</v>
      </c>
      <c r="G577" s="223">
        <v>44455</v>
      </c>
      <c r="H577" s="223">
        <v>44500</v>
      </c>
      <c r="I577" s="223">
        <v>46326</v>
      </c>
      <c r="J577" s="3">
        <v>0</v>
      </c>
      <c r="K577" s="3" t="s">
        <v>6</v>
      </c>
      <c r="L577" s="3" t="s">
        <v>6</v>
      </c>
      <c r="M577" s="95" t="s">
        <v>19</v>
      </c>
      <c r="N577" s="3" t="s">
        <v>20</v>
      </c>
      <c r="O577" s="3" t="s">
        <v>21</v>
      </c>
      <c r="P577" s="3" t="s">
        <v>6</v>
      </c>
      <c r="Q577" s="3" t="s">
        <v>6</v>
      </c>
      <c r="R577" s="95" t="s">
        <v>22</v>
      </c>
      <c r="S577" s="223">
        <v>43675</v>
      </c>
      <c r="T577" s="223">
        <v>43756</v>
      </c>
      <c r="U577" s="223">
        <v>43647</v>
      </c>
      <c r="V577" s="223">
        <v>43647</v>
      </c>
      <c r="W577" s="223" t="s">
        <v>6</v>
      </c>
      <c r="X577" s="3" t="s">
        <v>26</v>
      </c>
      <c r="Y577" s="3" t="s">
        <v>2116</v>
      </c>
      <c r="Z577" s="3" t="s">
        <v>20</v>
      </c>
      <c r="AA577" s="3" t="s">
        <v>6</v>
      </c>
      <c r="AB577" s="223">
        <v>44442</v>
      </c>
      <c r="AC577" s="3" t="s">
        <v>10</v>
      </c>
      <c r="AD577" s="3" t="s">
        <v>10</v>
      </c>
      <c r="AE577" s="95" t="s">
        <v>2263</v>
      </c>
    </row>
    <row r="578" spans="1:31" x14ac:dyDescent="0.35">
      <c r="A578" s="3" t="s">
        <v>1398</v>
      </c>
      <c r="B578" s="3" t="s">
        <v>275</v>
      </c>
      <c r="C578" s="3">
        <v>7</v>
      </c>
      <c r="D578" s="95" t="s">
        <v>1399</v>
      </c>
      <c r="E578" s="95" t="s">
        <v>2476</v>
      </c>
      <c r="F578" s="95" t="s">
        <v>651</v>
      </c>
      <c r="G578" s="223">
        <v>42644</v>
      </c>
      <c r="H578" s="223" t="s">
        <v>5</v>
      </c>
      <c r="I578" s="223">
        <v>44469</v>
      </c>
      <c r="J578" s="3" t="s">
        <v>2266</v>
      </c>
      <c r="K578" s="3" t="s">
        <v>10</v>
      </c>
      <c r="L578" s="3" t="s">
        <v>10</v>
      </c>
      <c r="M578" s="95" t="s">
        <v>730</v>
      </c>
      <c r="N578" s="3" t="s">
        <v>28</v>
      </c>
      <c r="O578" s="3" t="s">
        <v>651</v>
      </c>
      <c r="P578" s="3" t="s">
        <v>10</v>
      </c>
      <c r="Q578" s="3" t="s">
        <v>6</v>
      </c>
      <c r="R578" s="95" t="s">
        <v>2267</v>
      </c>
      <c r="S578" s="223" t="s">
        <v>5</v>
      </c>
      <c r="T578" s="223" t="s">
        <v>5</v>
      </c>
      <c r="U578" s="223" t="s">
        <v>5</v>
      </c>
      <c r="V578" s="223" t="s">
        <v>5</v>
      </c>
      <c r="W578" s="223" t="s">
        <v>5</v>
      </c>
      <c r="X578" s="3" t="s">
        <v>5</v>
      </c>
      <c r="Y578" s="3" t="s">
        <v>651</v>
      </c>
      <c r="Z578" s="3" t="s">
        <v>651</v>
      </c>
      <c r="AA578" s="3" t="s">
        <v>651</v>
      </c>
      <c r="AB578" s="223" t="s">
        <v>5</v>
      </c>
      <c r="AC578" s="3" t="s">
        <v>651</v>
      </c>
      <c r="AD578" s="3" t="s">
        <v>651</v>
      </c>
      <c r="AE578" s="95" t="s">
        <v>651</v>
      </c>
    </row>
    <row r="579" spans="1:31" x14ac:dyDescent="0.35">
      <c r="A579" s="3" t="s">
        <v>281</v>
      </c>
      <c r="B579" s="3" t="s">
        <v>275</v>
      </c>
      <c r="C579" s="3">
        <v>7</v>
      </c>
      <c r="D579" s="95" t="s">
        <v>282</v>
      </c>
      <c r="E579" s="95" t="s">
        <v>283</v>
      </c>
      <c r="F579" s="95" t="s">
        <v>4</v>
      </c>
      <c r="G579" s="223">
        <v>42736</v>
      </c>
      <c r="H579" s="223" t="s">
        <v>5</v>
      </c>
      <c r="I579" s="223">
        <v>44561</v>
      </c>
      <c r="J579" s="3">
        <v>46</v>
      </c>
      <c r="K579" s="3" t="s">
        <v>10</v>
      </c>
      <c r="L579" s="3" t="s">
        <v>6</v>
      </c>
      <c r="M579" s="95" t="s">
        <v>169</v>
      </c>
      <c r="N579" s="3" t="s">
        <v>170</v>
      </c>
      <c r="O579" s="3" t="s">
        <v>21</v>
      </c>
      <c r="P579" s="3" t="s">
        <v>6</v>
      </c>
      <c r="Q579" s="3" t="s">
        <v>6</v>
      </c>
      <c r="R579" s="95" t="s">
        <v>50</v>
      </c>
      <c r="S579" s="223">
        <v>43668</v>
      </c>
      <c r="T579" s="223">
        <v>43728</v>
      </c>
      <c r="U579" s="223">
        <v>43647</v>
      </c>
      <c r="V579" s="223">
        <v>43647</v>
      </c>
      <c r="W579" s="223" t="s">
        <v>6</v>
      </c>
      <c r="X579" s="3" t="s">
        <v>26</v>
      </c>
      <c r="Y579" s="3" t="s">
        <v>2140</v>
      </c>
      <c r="Z579" s="3" t="s">
        <v>2249</v>
      </c>
      <c r="AA579" s="3" t="s">
        <v>10</v>
      </c>
      <c r="AB579" s="223" t="s">
        <v>5</v>
      </c>
      <c r="AC579" s="3" t="s">
        <v>10</v>
      </c>
      <c r="AD579" s="3" t="s">
        <v>10</v>
      </c>
      <c r="AE579" s="95" t="s">
        <v>2263</v>
      </c>
    </row>
    <row r="580" spans="1:31" x14ac:dyDescent="0.35">
      <c r="A580" s="3" t="s">
        <v>284</v>
      </c>
      <c r="B580" s="3" t="s">
        <v>275</v>
      </c>
      <c r="C580" s="3">
        <v>7</v>
      </c>
      <c r="D580" s="95" t="s">
        <v>136</v>
      </c>
      <c r="E580" s="95" t="s">
        <v>285</v>
      </c>
      <c r="F580" s="95" t="s">
        <v>4</v>
      </c>
      <c r="G580" s="223">
        <v>42736</v>
      </c>
      <c r="H580" s="223" t="s">
        <v>5</v>
      </c>
      <c r="I580" s="223">
        <v>44561</v>
      </c>
      <c r="J580" s="3">
        <v>8</v>
      </c>
      <c r="K580" s="3" t="s">
        <v>10</v>
      </c>
      <c r="L580" s="3" t="s">
        <v>6</v>
      </c>
      <c r="M580" s="95" t="s">
        <v>136</v>
      </c>
      <c r="N580" s="3" t="s">
        <v>138</v>
      </c>
      <c r="O580" s="3" t="s">
        <v>8</v>
      </c>
      <c r="P580" s="3" t="s">
        <v>6</v>
      </c>
      <c r="Q580" s="3" t="s">
        <v>6</v>
      </c>
      <c r="R580" s="95" t="s">
        <v>50</v>
      </c>
      <c r="S580" s="223">
        <v>43759</v>
      </c>
      <c r="T580" s="223">
        <v>43819</v>
      </c>
      <c r="U580" s="223">
        <v>43800</v>
      </c>
      <c r="V580" s="223">
        <v>43800</v>
      </c>
      <c r="W580" s="223" t="s">
        <v>6</v>
      </c>
      <c r="X580" s="3" t="s">
        <v>26</v>
      </c>
      <c r="Y580" s="3" t="s">
        <v>2140</v>
      </c>
      <c r="Z580" s="3" t="s">
        <v>2249</v>
      </c>
      <c r="AA580" s="3" t="s">
        <v>10</v>
      </c>
      <c r="AB580" s="223" t="s">
        <v>5</v>
      </c>
      <c r="AC580" s="3" t="s">
        <v>6</v>
      </c>
      <c r="AD580" s="3" t="s">
        <v>10</v>
      </c>
      <c r="AE580" s="95" t="s">
        <v>2263</v>
      </c>
    </row>
    <row r="581" spans="1:31" x14ac:dyDescent="0.35">
      <c r="A581" s="3" t="s">
        <v>286</v>
      </c>
      <c r="B581" s="3" t="s">
        <v>275</v>
      </c>
      <c r="C581" s="3">
        <v>7</v>
      </c>
      <c r="D581" s="95" t="s">
        <v>287</v>
      </c>
      <c r="E581" s="95" t="s">
        <v>2476</v>
      </c>
      <c r="F581" s="95" t="s">
        <v>4</v>
      </c>
      <c r="G581" s="223">
        <v>42736</v>
      </c>
      <c r="H581" s="223">
        <v>42736</v>
      </c>
      <c r="I581" s="223">
        <v>44561</v>
      </c>
      <c r="J581" s="3">
        <v>1</v>
      </c>
      <c r="K581" s="3" t="s">
        <v>10</v>
      </c>
      <c r="L581" s="3" t="s">
        <v>6</v>
      </c>
      <c r="M581" s="95" t="s">
        <v>288</v>
      </c>
      <c r="N581" s="3" t="s">
        <v>68</v>
      </c>
      <c r="O581" s="3" t="s">
        <v>49</v>
      </c>
      <c r="P581" s="3" t="s">
        <v>6</v>
      </c>
      <c r="Q581" s="3" t="s">
        <v>6</v>
      </c>
      <c r="R581" s="95" t="s">
        <v>50</v>
      </c>
      <c r="S581" s="223">
        <v>43528</v>
      </c>
      <c r="T581" s="223">
        <v>43588</v>
      </c>
      <c r="U581" s="223">
        <v>43221</v>
      </c>
      <c r="V581" s="223">
        <v>43221</v>
      </c>
      <c r="W581" s="223" t="s">
        <v>6</v>
      </c>
      <c r="X581" s="3" t="s">
        <v>26</v>
      </c>
      <c r="Y581" s="3" t="s">
        <v>2140</v>
      </c>
      <c r="Z581" s="3" t="s">
        <v>2249</v>
      </c>
      <c r="AA581" s="3" t="s">
        <v>10</v>
      </c>
      <c r="AB581" s="223" t="s">
        <v>5</v>
      </c>
      <c r="AC581" s="3" t="s">
        <v>6</v>
      </c>
      <c r="AD581" s="3" t="s">
        <v>10</v>
      </c>
      <c r="AE581" s="95" t="s">
        <v>2263</v>
      </c>
    </row>
    <row r="582" spans="1:31" x14ac:dyDescent="0.35">
      <c r="A582" s="3" t="s">
        <v>289</v>
      </c>
      <c r="B582" s="3" t="s">
        <v>275</v>
      </c>
      <c r="C582" s="3">
        <v>7</v>
      </c>
      <c r="D582" s="95" t="s">
        <v>66</v>
      </c>
      <c r="E582" s="95" t="s">
        <v>512</v>
      </c>
      <c r="F582" s="95" t="s">
        <v>4</v>
      </c>
      <c r="G582" s="223">
        <v>43374</v>
      </c>
      <c r="H582" s="223">
        <v>43374</v>
      </c>
      <c r="I582" s="223">
        <v>45199</v>
      </c>
      <c r="J582" s="3">
        <v>46</v>
      </c>
      <c r="K582" s="3" t="s">
        <v>10</v>
      </c>
      <c r="L582" s="3" t="s">
        <v>6</v>
      </c>
      <c r="M582" s="95" t="s">
        <v>67</v>
      </c>
      <c r="N582" s="3" t="s">
        <v>68</v>
      </c>
      <c r="O582" s="3" t="s">
        <v>49</v>
      </c>
      <c r="P582" s="3" t="s">
        <v>6</v>
      </c>
      <c r="Q582" s="3" t="s">
        <v>6</v>
      </c>
      <c r="R582" s="95" t="s">
        <v>50</v>
      </c>
      <c r="S582" s="223">
        <v>43528</v>
      </c>
      <c r="T582" s="223">
        <v>43588</v>
      </c>
      <c r="U582" s="223">
        <v>43221</v>
      </c>
      <c r="V582" s="223">
        <v>43221</v>
      </c>
      <c r="W582" s="223" t="s">
        <v>6</v>
      </c>
      <c r="X582" s="3" t="s">
        <v>26</v>
      </c>
      <c r="Y582" s="3" t="s">
        <v>2140</v>
      </c>
      <c r="Z582" s="3" t="s">
        <v>2249</v>
      </c>
      <c r="AA582" s="3" t="s">
        <v>10</v>
      </c>
      <c r="AB582" s="223" t="s">
        <v>5</v>
      </c>
      <c r="AC582" s="3" t="s">
        <v>6</v>
      </c>
      <c r="AD582" s="3" t="s">
        <v>10</v>
      </c>
      <c r="AE582" s="95" t="s">
        <v>2263</v>
      </c>
    </row>
    <row r="583" spans="1:31" x14ac:dyDescent="0.35">
      <c r="A583" s="3" t="s">
        <v>290</v>
      </c>
      <c r="B583" s="3" t="s">
        <v>275</v>
      </c>
      <c r="C583" s="3">
        <v>7</v>
      </c>
      <c r="D583" s="95" t="s">
        <v>291</v>
      </c>
      <c r="E583" s="95" t="s">
        <v>2476</v>
      </c>
      <c r="F583" s="95" t="s">
        <v>437</v>
      </c>
      <c r="G583" s="223">
        <v>42663</v>
      </c>
      <c r="H583" s="223">
        <v>42675</v>
      </c>
      <c r="I583" s="223">
        <v>44500</v>
      </c>
      <c r="J583" s="3">
        <v>14</v>
      </c>
      <c r="K583" s="3" t="s">
        <v>10</v>
      </c>
      <c r="L583" s="3" t="s">
        <v>6</v>
      </c>
      <c r="M583" s="95" t="s">
        <v>19</v>
      </c>
      <c r="N583" s="3" t="s">
        <v>20</v>
      </c>
      <c r="O583" s="3" t="s">
        <v>21</v>
      </c>
      <c r="P583" s="3" t="s">
        <v>6</v>
      </c>
      <c r="Q583" s="3" t="s">
        <v>6</v>
      </c>
      <c r="R583" s="95" t="s">
        <v>50</v>
      </c>
      <c r="S583" s="223">
        <v>43675</v>
      </c>
      <c r="T583" s="223">
        <v>43756</v>
      </c>
      <c r="U583" s="223">
        <v>43647</v>
      </c>
      <c r="V583" s="223">
        <v>43647</v>
      </c>
      <c r="W583" s="223" t="s">
        <v>6</v>
      </c>
      <c r="X583" s="3" t="s">
        <v>26</v>
      </c>
      <c r="Y583" s="3" t="s">
        <v>2940</v>
      </c>
      <c r="Z583" s="3" t="s">
        <v>20</v>
      </c>
      <c r="AA583" s="3" t="s">
        <v>6</v>
      </c>
      <c r="AB583" s="223" t="s">
        <v>5</v>
      </c>
      <c r="AC583" s="3" t="s">
        <v>10</v>
      </c>
      <c r="AD583" s="3" t="s">
        <v>10</v>
      </c>
      <c r="AE583" s="95" t="s">
        <v>2263</v>
      </c>
    </row>
    <row r="584" spans="1:31" x14ac:dyDescent="0.35">
      <c r="A584" s="3" t="s">
        <v>1981</v>
      </c>
      <c r="B584" s="3" t="s">
        <v>275</v>
      </c>
      <c r="C584" s="3">
        <v>7</v>
      </c>
      <c r="D584" s="95" t="s">
        <v>1982</v>
      </c>
      <c r="E584" s="95" t="s">
        <v>2272</v>
      </c>
      <c r="F584" s="95" t="s">
        <v>437</v>
      </c>
      <c r="G584" s="223">
        <v>44211</v>
      </c>
      <c r="H584" s="223">
        <v>44256</v>
      </c>
      <c r="I584" s="223">
        <v>46081</v>
      </c>
      <c r="J584" s="3">
        <v>0</v>
      </c>
      <c r="K584" s="3" t="s">
        <v>6</v>
      </c>
      <c r="L584" s="3" t="s">
        <v>6</v>
      </c>
      <c r="M584" s="95" t="s">
        <v>27</v>
      </c>
      <c r="N584" s="3" t="s">
        <v>28</v>
      </c>
      <c r="O584" s="3" t="s">
        <v>25</v>
      </c>
      <c r="P584" s="3" t="s">
        <v>6</v>
      </c>
      <c r="Q584" s="3" t="s">
        <v>6</v>
      </c>
      <c r="R584" s="95" t="s">
        <v>22</v>
      </c>
      <c r="S584" s="223">
        <v>43374</v>
      </c>
      <c r="T584" s="223">
        <v>43553</v>
      </c>
      <c r="U584" s="223">
        <v>43009</v>
      </c>
      <c r="V584" s="223">
        <v>43009</v>
      </c>
      <c r="W584" s="223" t="s">
        <v>6</v>
      </c>
      <c r="X584" s="3" t="s">
        <v>26</v>
      </c>
      <c r="Y584" s="3" t="s">
        <v>2100</v>
      </c>
      <c r="Z584" s="3" t="s">
        <v>28</v>
      </c>
      <c r="AA584" s="3" t="s">
        <v>6</v>
      </c>
      <c r="AB584" s="223">
        <v>42159</v>
      </c>
      <c r="AC584" s="3" t="s">
        <v>6</v>
      </c>
      <c r="AD584" s="3" t="s">
        <v>10</v>
      </c>
      <c r="AE584" s="95" t="s">
        <v>2263</v>
      </c>
    </row>
    <row r="585" spans="1:31" x14ac:dyDescent="0.35">
      <c r="A585" s="3" t="s">
        <v>292</v>
      </c>
      <c r="B585" s="3" t="s">
        <v>275</v>
      </c>
      <c r="C585" s="3">
        <v>7</v>
      </c>
      <c r="D585" s="95" t="s">
        <v>1983</v>
      </c>
      <c r="E585" s="95" t="s">
        <v>1912</v>
      </c>
      <c r="F585" s="95" t="s">
        <v>437</v>
      </c>
      <c r="G585" s="223">
        <v>44609</v>
      </c>
      <c r="H585" s="223">
        <v>44609</v>
      </c>
      <c r="I585" s="223">
        <v>46434</v>
      </c>
      <c r="J585" s="3">
        <v>7</v>
      </c>
      <c r="K585" s="3" t="s">
        <v>6</v>
      </c>
      <c r="L585" s="3" t="s">
        <v>6</v>
      </c>
      <c r="M585" s="95" t="s">
        <v>23</v>
      </c>
      <c r="N585" s="3" t="s">
        <v>24</v>
      </c>
      <c r="O585" s="3" t="s">
        <v>25</v>
      </c>
      <c r="P585" s="3" t="s">
        <v>6</v>
      </c>
      <c r="Q585" s="3" t="s">
        <v>6</v>
      </c>
      <c r="R585" s="95" t="s">
        <v>22</v>
      </c>
      <c r="S585" s="223">
        <v>43374</v>
      </c>
      <c r="T585" s="223">
        <v>43497</v>
      </c>
      <c r="U585" s="223">
        <v>42644</v>
      </c>
      <c r="V585" s="223">
        <v>42644</v>
      </c>
      <c r="W585" s="223" t="s">
        <v>6</v>
      </c>
      <c r="X585" s="3" t="s">
        <v>26</v>
      </c>
      <c r="Y585" s="3" t="s">
        <v>2093</v>
      </c>
      <c r="Z585" s="3" t="s">
        <v>24</v>
      </c>
      <c r="AA585" s="3" t="s">
        <v>6</v>
      </c>
      <c r="AB585" s="223">
        <v>42782</v>
      </c>
      <c r="AC585" s="3" t="s">
        <v>10</v>
      </c>
      <c r="AD585" s="3" t="s">
        <v>10</v>
      </c>
      <c r="AE585" s="95" t="s">
        <v>2263</v>
      </c>
    </row>
    <row r="586" spans="1:31" x14ac:dyDescent="0.35">
      <c r="A586" s="3" t="s">
        <v>1400</v>
      </c>
      <c r="B586" s="3" t="s">
        <v>275</v>
      </c>
      <c r="C586" s="3">
        <v>7</v>
      </c>
      <c r="D586" s="95" t="s">
        <v>1401</v>
      </c>
      <c r="E586" s="95" t="s">
        <v>1402</v>
      </c>
      <c r="F586" s="95" t="s">
        <v>1403</v>
      </c>
      <c r="G586" s="223">
        <v>42643</v>
      </c>
      <c r="H586" s="223" t="s">
        <v>5</v>
      </c>
      <c r="I586" s="223">
        <v>44500</v>
      </c>
      <c r="J586" s="3">
        <v>1400</v>
      </c>
      <c r="K586" s="3" t="s">
        <v>10</v>
      </c>
      <c r="L586" s="3" t="s">
        <v>10</v>
      </c>
      <c r="M586" s="95" t="s">
        <v>23</v>
      </c>
      <c r="N586" s="3" t="s">
        <v>24</v>
      </c>
      <c r="O586" s="3" t="s">
        <v>651</v>
      </c>
      <c r="P586" s="3" t="s">
        <v>6</v>
      </c>
      <c r="Q586" s="3" t="s">
        <v>6</v>
      </c>
      <c r="R586" s="95" t="s">
        <v>652</v>
      </c>
      <c r="S586" s="223" t="s">
        <v>5</v>
      </c>
      <c r="T586" s="223" t="s">
        <v>5</v>
      </c>
      <c r="U586" s="223" t="s">
        <v>5</v>
      </c>
      <c r="V586" s="223" t="s">
        <v>5</v>
      </c>
      <c r="W586" s="223" t="s">
        <v>5</v>
      </c>
      <c r="X586" s="3" t="s">
        <v>5</v>
      </c>
      <c r="Y586" s="3" t="s">
        <v>651</v>
      </c>
      <c r="Z586" s="3" t="s">
        <v>651</v>
      </c>
      <c r="AA586" s="3" t="s">
        <v>6</v>
      </c>
      <c r="AB586" s="223">
        <v>42643</v>
      </c>
      <c r="AC586" s="3" t="s">
        <v>10</v>
      </c>
      <c r="AD586" s="3" t="s">
        <v>10</v>
      </c>
      <c r="AE586" s="95" t="s">
        <v>2263</v>
      </c>
    </row>
    <row r="587" spans="1:31" x14ac:dyDescent="0.35">
      <c r="A587" s="3" t="s">
        <v>499</v>
      </c>
      <c r="B587" s="3" t="s">
        <v>275</v>
      </c>
      <c r="C587" s="3">
        <v>7</v>
      </c>
      <c r="D587" s="95" t="s">
        <v>293</v>
      </c>
      <c r="E587" s="95" t="s">
        <v>2476</v>
      </c>
      <c r="F587" s="95" t="s">
        <v>4</v>
      </c>
      <c r="G587" s="223">
        <v>42917</v>
      </c>
      <c r="H587" s="223" t="s">
        <v>5</v>
      </c>
      <c r="I587" s="223">
        <v>44742</v>
      </c>
      <c r="J587" s="3">
        <v>10</v>
      </c>
      <c r="K587" s="3" t="s">
        <v>10</v>
      </c>
      <c r="L587" s="3" t="s">
        <v>6</v>
      </c>
      <c r="M587" s="95" t="s">
        <v>2555</v>
      </c>
      <c r="N587" s="3" t="s">
        <v>52</v>
      </c>
      <c r="O587" s="3" t="s">
        <v>17</v>
      </c>
      <c r="P587" s="3" t="s">
        <v>6</v>
      </c>
      <c r="Q587" s="3" t="s">
        <v>6</v>
      </c>
      <c r="R587" s="95" t="s">
        <v>50</v>
      </c>
      <c r="S587" s="223">
        <v>43591</v>
      </c>
      <c r="T587" s="223">
        <v>43749</v>
      </c>
      <c r="U587" s="223">
        <v>43679</v>
      </c>
      <c r="V587" s="223">
        <v>43679</v>
      </c>
      <c r="W587" s="223" t="s">
        <v>6</v>
      </c>
      <c r="X587" s="3" t="s">
        <v>26</v>
      </c>
      <c r="Y587" s="3" t="s">
        <v>2127</v>
      </c>
      <c r="Z587" s="3" t="s">
        <v>52</v>
      </c>
      <c r="AA587" s="3" t="s">
        <v>2372</v>
      </c>
      <c r="AB587" s="223" t="s">
        <v>5</v>
      </c>
      <c r="AC587" s="3" t="s">
        <v>10</v>
      </c>
      <c r="AD587" s="3" t="s">
        <v>6</v>
      </c>
      <c r="AE587" s="95" t="s">
        <v>2265</v>
      </c>
    </row>
    <row r="588" spans="1:31" x14ac:dyDescent="0.35">
      <c r="A588" s="3" t="s">
        <v>500</v>
      </c>
      <c r="B588" s="3" t="s">
        <v>275</v>
      </c>
      <c r="C588" s="3">
        <v>7</v>
      </c>
      <c r="D588" s="95" t="s">
        <v>294</v>
      </c>
      <c r="E588" s="95" t="s">
        <v>2476</v>
      </c>
      <c r="F588" s="95" t="s">
        <v>4</v>
      </c>
      <c r="G588" s="223">
        <v>42917</v>
      </c>
      <c r="H588" s="223" t="s">
        <v>5</v>
      </c>
      <c r="I588" s="223">
        <v>44742</v>
      </c>
      <c r="J588" s="3">
        <v>13</v>
      </c>
      <c r="K588" s="3" t="s">
        <v>10</v>
      </c>
      <c r="L588" s="3" t="s">
        <v>6</v>
      </c>
      <c r="M588" s="95" t="s">
        <v>2555</v>
      </c>
      <c r="N588" s="3" t="s">
        <v>52</v>
      </c>
      <c r="O588" s="3" t="s">
        <v>17</v>
      </c>
      <c r="P588" s="3" t="s">
        <v>6</v>
      </c>
      <c r="Q588" s="3" t="s">
        <v>6</v>
      </c>
      <c r="R588" s="95" t="s">
        <v>50</v>
      </c>
      <c r="S588" s="223">
        <v>43591</v>
      </c>
      <c r="T588" s="223">
        <v>43749</v>
      </c>
      <c r="U588" s="223">
        <v>43679</v>
      </c>
      <c r="V588" s="223">
        <v>43679</v>
      </c>
      <c r="W588" s="223" t="s">
        <v>6</v>
      </c>
      <c r="X588" s="3" t="s">
        <v>26</v>
      </c>
      <c r="Y588" s="3" t="s">
        <v>2127</v>
      </c>
      <c r="Z588" s="3" t="s">
        <v>52</v>
      </c>
      <c r="AA588" s="3" t="s">
        <v>2372</v>
      </c>
      <c r="AB588" s="223" t="s">
        <v>5</v>
      </c>
      <c r="AC588" s="3" t="s">
        <v>10</v>
      </c>
      <c r="AD588" s="3" t="s">
        <v>6</v>
      </c>
      <c r="AE588" s="95" t="s">
        <v>2265</v>
      </c>
    </row>
    <row r="589" spans="1:31" x14ac:dyDescent="0.35">
      <c r="A589" s="3" t="s">
        <v>295</v>
      </c>
      <c r="B589" s="3" t="s">
        <v>275</v>
      </c>
      <c r="C589" s="3">
        <v>7</v>
      </c>
      <c r="D589" s="95" t="s">
        <v>296</v>
      </c>
      <c r="E589" s="95" t="s">
        <v>513</v>
      </c>
      <c r="F589" s="95" t="s">
        <v>4</v>
      </c>
      <c r="G589" s="223">
        <v>42569</v>
      </c>
      <c r="H589" s="223" t="s">
        <v>5</v>
      </c>
      <c r="I589" s="223">
        <v>44377</v>
      </c>
      <c r="J589" s="3">
        <v>950</v>
      </c>
      <c r="K589" s="3" t="s">
        <v>10</v>
      </c>
      <c r="L589" s="3" t="s">
        <v>10</v>
      </c>
      <c r="M589" s="95" t="s">
        <v>27</v>
      </c>
      <c r="N589" s="3" t="s">
        <v>28</v>
      </c>
      <c r="O589" s="3" t="s">
        <v>651</v>
      </c>
      <c r="P589" s="3" t="s">
        <v>6</v>
      </c>
      <c r="Q589" s="3" t="s">
        <v>6</v>
      </c>
      <c r="R589" s="95" t="s">
        <v>652</v>
      </c>
      <c r="S589" s="223" t="s">
        <v>5</v>
      </c>
      <c r="T589" s="223" t="s">
        <v>5</v>
      </c>
      <c r="U589" s="223" t="s">
        <v>5</v>
      </c>
      <c r="V589" s="223" t="s">
        <v>5</v>
      </c>
      <c r="W589" s="223" t="s">
        <v>5</v>
      </c>
      <c r="X589" s="3" t="s">
        <v>5</v>
      </c>
      <c r="Y589" s="3" t="s">
        <v>651</v>
      </c>
      <c r="Z589" s="3" t="s">
        <v>651</v>
      </c>
      <c r="AA589" s="3" t="s">
        <v>10</v>
      </c>
      <c r="AB589" s="223" t="s">
        <v>5</v>
      </c>
      <c r="AC589" s="3" t="s">
        <v>10</v>
      </c>
      <c r="AD589" s="3" t="s">
        <v>10</v>
      </c>
      <c r="AE589" s="95" t="s">
        <v>2263</v>
      </c>
    </row>
    <row r="590" spans="1:31" x14ac:dyDescent="0.35">
      <c r="A590" s="3" t="s">
        <v>431</v>
      </c>
      <c r="B590" s="3" t="s">
        <v>297</v>
      </c>
      <c r="C590" s="3">
        <v>1</v>
      </c>
      <c r="D590" s="95" t="s">
        <v>432</v>
      </c>
      <c r="E590" s="95" t="s">
        <v>2414</v>
      </c>
      <c r="F590" s="95" t="s">
        <v>437</v>
      </c>
      <c r="G590" s="223">
        <v>44322</v>
      </c>
      <c r="H590" s="223">
        <v>44382</v>
      </c>
      <c r="I590" s="223">
        <v>46203</v>
      </c>
      <c r="J590" s="3">
        <v>5</v>
      </c>
      <c r="K590" s="3" t="s">
        <v>6</v>
      </c>
      <c r="L590" s="3" t="s">
        <v>6</v>
      </c>
      <c r="M590" s="95" t="s">
        <v>109</v>
      </c>
      <c r="N590" s="3" t="s">
        <v>110</v>
      </c>
      <c r="O590" s="3" t="s">
        <v>25</v>
      </c>
      <c r="P590" s="3" t="s">
        <v>6</v>
      </c>
      <c r="Q590" s="3" t="s">
        <v>6</v>
      </c>
      <c r="R590" s="95" t="s">
        <v>9</v>
      </c>
      <c r="S590" s="223">
        <v>43374</v>
      </c>
      <c r="T590" s="223">
        <v>43434</v>
      </c>
      <c r="U590" s="223">
        <v>43313</v>
      </c>
      <c r="V590" s="223">
        <v>43313</v>
      </c>
      <c r="W590" s="223" t="s">
        <v>6</v>
      </c>
      <c r="X590" s="3" t="s">
        <v>26</v>
      </c>
      <c r="Y590" s="3" t="s">
        <v>2109</v>
      </c>
      <c r="Z590" s="3" t="s">
        <v>3189</v>
      </c>
      <c r="AA590" s="3" t="s">
        <v>6</v>
      </c>
      <c r="AB590" s="223">
        <v>44379</v>
      </c>
      <c r="AC590" s="3" t="s">
        <v>6</v>
      </c>
      <c r="AD590" s="3" t="s">
        <v>10</v>
      </c>
      <c r="AE590" s="95" t="s">
        <v>2265</v>
      </c>
    </row>
    <row r="591" spans="1:31" x14ac:dyDescent="0.35">
      <c r="A591" s="3" t="s">
        <v>298</v>
      </c>
      <c r="B591" s="3" t="s">
        <v>297</v>
      </c>
      <c r="C591" s="3">
        <v>1</v>
      </c>
      <c r="D591" s="95" t="s">
        <v>172</v>
      </c>
      <c r="E591" s="95" t="s">
        <v>299</v>
      </c>
      <c r="F591" s="95" t="s">
        <v>4</v>
      </c>
      <c r="G591" s="223">
        <v>45400</v>
      </c>
      <c r="H591" s="223">
        <v>45413</v>
      </c>
      <c r="I591" s="223">
        <v>47208</v>
      </c>
      <c r="J591" s="3">
        <v>2</v>
      </c>
      <c r="K591" s="3" t="s">
        <v>6</v>
      </c>
      <c r="L591" s="3" t="s">
        <v>6</v>
      </c>
      <c r="M591" s="95" t="s">
        <v>173</v>
      </c>
      <c r="N591" s="3" t="s">
        <v>174</v>
      </c>
      <c r="O591" s="3" t="s">
        <v>17</v>
      </c>
      <c r="P591" s="3" t="s">
        <v>6</v>
      </c>
      <c r="Q591" s="3" t="s">
        <v>6</v>
      </c>
      <c r="R591" s="95" t="s">
        <v>9</v>
      </c>
      <c r="S591" s="223">
        <v>43591</v>
      </c>
      <c r="T591" s="223">
        <v>43672</v>
      </c>
      <c r="U591" s="223">
        <v>43556</v>
      </c>
      <c r="V591" s="223">
        <v>43556</v>
      </c>
      <c r="W591" s="223" t="s">
        <v>6</v>
      </c>
      <c r="X591" s="3" t="s">
        <v>51</v>
      </c>
      <c r="Y591" s="3" t="s">
        <v>2952</v>
      </c>
      <c r="Z591" s="3" t="s">
        <v>62</v>
      </c>
      <c r="AA591" s="3" t="s">
        <v>2372</v>
      </c>
      <c r="AB591" s="223" t="s">
        <v>5</v>
      </c>
      <c r="AC591" s="3" t="s">
        <v>6</v>
      </c>
      <c r="AD591" s="3" t="s">
        <v>10</v>
      </c>
      <c r="AE591" s="95" t="s">
        <v>2263</v>
      </c>
    </row>
    <row r="592" spans="1:31" x14ac:dyDescent="0.35">
      <c r="A592" s="3" t="s">
        <v>300</v>
      </c>
      <c r="B592" s="3" t="s">
        <v>297</v>
      </c>
      <c r="C592" s="3">
        <v>1</v>
      </c>
      <c r="D592" s="95" t="s">
        <v>301</v>
      </c>
      <c r="E592" s="95" t="s">
        <v>302</v>
      </c>
      <c r="F592" s="95" t="s">
        <v>4</v>
      </c>
      <c r="G592" s="223">
        <v>44971</v>
      </c>
      <c r="H592" s="223">
        <v>45017</v>
      </c>
      <c r="I592" s="223">
        <v>46843</v>
      </c>
      <c r="J592" s="3">
        <v>30</v>
      </c>
      <c r="K592" s="3" t="s">
        <v>6</v>
      </c>
      <c r="L592" s="3" t="s">
        <v>6</v>
      </c>
      <c r="M592" s="95" t="s">
        <v>177</v>
      </c>
      <c r="N592" s="3" t="s">
        <v>178</v>
      </c>
      <c r="O592" s="3" t="s">
        <v>21</v>
      </c>
      <c r="P592" s="3" t="s">
        <v>6</v>
      </c>
      <c r="Q592" s="3" t="s">
        <v>6</v>
      </c>
      <c r="R592" s="95" t="s">
        <v>9</v>
      </c>
      <c r="S592" s="223">
        <v>43668</v>
      </c>
      <c r="T592" s="223">
        <v>43728</v>
      </c>
      <c r="U592" s="223">
        <v>43647</v>
      </c>
      <c r="V592" s="223">
        <v>43647</v>
      </c>
      <c r="W592" s="223" t="s">
        <v>6</v>
      </c>
      <c r="X592" s="3" t="s">
        <v>51</v>
      </c>
      <c r="Y592" s="3" t="s">
        <v>2952</v>
      </c>
      <c r="Z592" s="3" t="s">
        <v>62</v>
      </c>
      <c r="AA592" s="3" t="s">
        <v>2372</v>
      </c>
      <c r="AB592" s="223" t="s">
        <v>5</v>
      </c>
      <c r="AC592" s="3" t="s">
        <v>6</v>
      </c>
      <c r="AD592" s="3" t="s">
        <v>10</v>
      </c>
      <c r="AE592" s="95" t="s">
        <v>2265</v>
      </c>
    </row>
    <row r="593" spans="1:31" x14ac:dyDescent="0.35">
      <c r="A593" s="3" t="s">
        <v>303</v>
      </c>
      <c r="B593" s="3" t="s">
        <v>297</v>
      </c>
      <c r="C593" s="3">
        <v>1</v>
      </c>
      <c r="D593" s="95" t="s">
        <v>2795</v>
      </c>
      <c r="E593" s="95" t="s">
        <v>2796</v>
      </c>
      <c r="F593" s="95" t="s">
        <v>4</v>
      </c>
      <c r="G593" s="223">
        <v>44467</v>
      </c>
      <c r="H593" s="223">
        <v>44531</v>
      </c>
      <c r="I593" s="223">
        <v>46356</v>
      </c>
      <c r="J593" s="3">
        <v>29</v>
      </c>
      <c r="K593" s="3" t="s">
        <v>6</v>
      </c>
      <c r="L593" s="3" t="s">
        <v>6</v>
      </c>
      <c r="M593" s="95" t="s">
        <v>47</v>
      </c>
      <c r="N593" s="3" t="s">
        <v>48</v>
      </c>
      <c r="O593" s="3" t="s">
        <v>49</v>
      </c>
      <c r="P593" s="3" t="s">
        <v>6</v>
      </c>
      <c r="Q593" s="3" t="s">
        <v>6</v>
      </c>
      <c r="R593" s="95" t="s">
        <v>9</v>
      </c>
      <c r="S593" s="223">
        <v>43437</v>
      </c>
      <c r="T593" s="223">
        <v>43747</v>
      </c>
      <c r="U593" s="223">
        <v>43405</v>
      </c>
      <c r="V593" s="223">
        <v>43405</v>
      </c>
      <c r="W593" s="223" t="s">
        <v>6</v>
      </c>
      <c r="X593" s="3" t="s">
        <v>26</v>
      </c>
      <c r="Y593" s="3" t="s">
        <v>2927</v>
      </c>
      <c r="Z593" s="3" t="s">
        <v>2924</v>
      </c>
      <c r="AA593" s="3" t="s">
        <v>2372</v>
      </c>
      <c r="AB593" s="223" t="s">
        <v>5</v>
      </c>
      <c r="AC593" s="3" t="s">
        <v>6</v>
      </c>
      <c r="AD593" s="3" t="s">
        <v>6</v>
      </c>
      <c r="AE593" s="95" t="s">
        <v>2265</v>
      </c>
    </row>
    <row r="594" spans="1:31" x14ac:dyDescent="0.35">
      <c r="A594" s="3" t="s">
        <v>304</v>
      </c>
      <c r="B594" s="3" t="s">
        <v>297</v>
      </c>
      <c r="C594" s="3">
        <v>1</v>
      </c>
      <c r="D594" s="95" t="s">
        <v>181</v>
      </c>
      <c r="E594" s="95" t="s">
        <v>429</v>
      </c>
      <c r="F594" s="95" t="s">
        <v>4</v>
      </c>
      <c r="G594" s="223">
        <v>45131</v>
      </c>
      <c r="H594" s="223">
        <v>45200</v>
      </c>
      <c r="I594" s="223">
        <v>47026</v>
      </c>
      <c r="J594" s="3">
        <v>6</v>
      </c>
      <c r="K594" s="3" t="s">
        <v>6</v>
      </c>
      <c r="L594" s="3" t="s">
        <v>6</v>
      </c>
      <c r="M594" s="95" t="s">
        <v>116</v>
      </c>
      <c r="N594" s="3" t="s">
        <v>117</v>
      </c>
      <c r="O594" s="3" t="s">
        <v>17</v>
      </c>
      <c r="P594" s="3" t="s">
        <v>6</v>
      </c>
      <c r="Q594" s="3" t="s">
        <v>6</v>
      </c>
      <c r="R594" s="95" t="s">
        <v>9</v>
      </c>
      <c r="S594" s="223">
        <v>43591</v>
      </c>
      <c r="T594" s="223">
        <v>43651</v>
      </c>
      <c r="U594" s="223">
        <v>43616</v>
      </c>
      <c r="V594" s="223">
        <v>43616</v>
      </c>
      <c r="W594" s="223" t="s">
        <v>6</v>
      </c>
      <c r="X594" s="3" t="s">
        <v>26</v>
      </c>
      <c r="Y594" s="3" t="s">
        <v>2933</v>
      </c>
      <c r="Z594" s="3" t="s">
        <v>2924</v>
      </c>
      <c r="AA594" s="3" t="s">
        <v>2372</v>
      </c>
      <c r="AB594" s="223" t="s">
        <v>5</v>
      </c>
      <c r="AC594" s="3" t="s">
        <v>6</v>
      </c>
      <c r="AD594" s="3" t="s">
        <v>10</v>
      </c>
      <c r="AE594" s="95" t="s">
        <v>2265</v>
      </c>
    </row>
    <row r="595" spans="1:31" x14ac:dyDescent="0.35">
      <c r="A595" s="3" t="s">
        <v>305</v>
      </c>
      <c r="B595" s="3" t="s">
        <v>297</v>
      </c>
      <c r="C595" s="3">
        <v>1</v>
      </c>
      <c r="D595" s="95" t="s">
        <v>3161</v>
      </c>
      <c r="E595" s="95" t="s">
        <v>422</v>
      </c>
      <c r="F595" s="95" t="s">
        <v>437</v>
      </c>
      <c r="G595" s="223">
        <v>44455</v>
      </c>
      <c r="H595" s="223">
        <v>44500</v>
      </c>
      <c r="I595" s="223">
        <v>46326</v>
      </c>
      <c r="J595" s="3">
        <v>2</v>
      </c>
      <c r="K595" s="3" t="s">
        <v>6</v>
      </c>
      <c r="L595" s="3" t="s">
        <v>6</v>
      </c>
      <c r="M595" s="95" t="s">
        <v>19</v>
      </c>
      <c r="N595" s="3" t="s">
        <v>20</v>
      </c>
      <c r="O595" s="3" t="s">
        <v>21</v>
      </c>
      <c r="P595" s="3" t="s">
        <v>6</v>
      </c>
      <c r="Q595" s="3" t="s">
        <v>6</v>
      </c>
      <c r="R595" s="95" t="s">
        <v>22</v>
      </c>
      <c r="S595" s="223">
        <v>43675</v>
      </c>
      <c r="T595" s="223">
        <v>43756</v>
      </c>
      <c r="U595" s="223">
        <v>43647</v>
      </c>
      <c r="V595" s="223">
        <v>43647</v>
      </c>
      <c r="W595" s="223" t="s">
        <v>6</v>
      </c>
      <c r="X595" s="3" t="s">
        <v>26</v>
      </c>
      <c r="Y595" s="3" t="s">
        <v>2116</v>
      </c>
      <c r="Z595" s="3" t="s">
        <v>20</v>
      </c>
      <c r="AA595" s="3" t="s">
        <v>6</v>
      </c>
      <c r="AB595" s="223">
        <v>44442</v>
      </c>
      <c r="AC595" s="3" t="s">
        <v>10</v>
      </c>
      <c r="AD595" s="3" t="s">
        <v>10</v>
      </c>
      <c r="AE595" s="95" t="s">
        <v>2263</v>
      </c>
    </row>
    <row r="596" spans="1:31" x14ac:dyDescent="0.35">
      <c r="A596" s="3" t="s">
        <v>306</v>
      </c>
      <c r="B596" s="3" t="s">
        <v>297</v>
      </c>
      <c r="C596" s="3">
        <v>1</v>
      </c>
      <c r="D596" s="95" t="s">
        <v>514</v>
      </c>
      <c r="E596" s="95" t="s">
        <v>509</v>
      </c>
      <c r="F596" s="95" t="s">
        <v>437</v>
      </c>
      <c r="G596" s="223">
        <v>44775</v>
      </c>
      <c r="H596" s="223">
        <v>44775</v>
      </c>
      <c r="I596" s="223">
        <v>46600</v>
      </c>
      <c r="J596" s="3">
        <v>9</v>
      </c>
      <c r="K596" s="3" t="s">
        <v>6</v>
      </c>
      <c r="L596" s="3" t="s">
        <v>6</v>
      </c>
      <c r="M596" s="95" t="s">
        <v>184</v>
      </c>
      <c r="N596" s="3" t="s">
        <v>68</v>
      </c>
      <c r="O596" s="3" t="s">
        <v>49</v>
      </c>
      <c r="P596" s="3" t="s">
        <v>6</v>
      </c>
      <c r="Q596" s="3" t="s">
        <v>6</v>
      </c>
      <c r="R596" s="95" t="s">
        <v>9</v>
      </c>
      <c r="S596" s="223">
        <v>43528</v>
      </c>
      <c r="T596" s="223">
        <v>43588</v>
      </c>
      <c r="U596" s="223">
        <v>43221</v>
      </c>
      <c r="V596" s="223">
        <v>43221</v>
      </c>
      <c r="W596" s="223" t="s">
        <v>6</v>
      </c>
      <c r="X596" s="3" t="s">
        <v>26</v>
      </c>
      <c r="Y596" s="3" t="s">
        <v>2137</v>
      </c>
      <c r="Z596" s="3" t="s">
        <v>2249</v>
      </c>
      <c r="AA596" s="3" t="s">
        <v>6</v>
      </c>
      <c r="AB596" s="223">
        <v>44901</v>
      </c>
      <c r="AC596" s="3" t="s">
        <v>6</v>
      </c>
      <c r="AD596" s="3" t="s">
        <v>10</v>
      </c>
      <c r="AE596" s="95" t="s">
        <v>2263</v>
      </c>
    </row>
    <row r="597" spans="1:31" x14ac:dyDescent="0.35">
      <c r="A597" s="3" t="s">
        <v>307</v>
      </c>
      <c r="B597" s="3" t="s">
        <v>297</v>
      </c>
      <c r="C597" s="3">
        <v>1</v>
      </c>
      <c r="D597" s="95" t="s">
        <v>3185</v>
      </c>
      <c r="E597" s="95" t="s">
        <v>477</v>
      </c>
      <c r="F597" s="95" t="s">
        <v>4</v>
      </c>
      <c r="G597" s="223">
        <v>42753</v>
      </c>
      <c r="H597" s="223">
        <v>43282</v>
      </c>
      <c r="I597" s="223">
        <v>45107</v>
      </c>
      <c r="J597" s="3">
        <v>42</v>
      </c>
      <c r="K597" s="3" t="s">
        <v>6</v>
      </c>
      <c r="L597" s="3" t="s">
        <v>6</v>
      </c>
      <c r="M597" s="95" t="s">
        <v>2555</v>
      </c>
      <c r="N597" s="3" t="s">
        <v>52</v>
      </c>
      <c r="O597" s="3" t="s">
        <v>17</v>
      </c>
      <c r="P597" s="3" t="s">
        <v>6</v>
      </c>
      <c r="Q597" s="3" t="s">
        <v>6</v>
      </c>
      <c r="R597" s="95" t="s">
        <v>9</v>
      </c>
      <c r="S597" s="223">
        <v>43591</v>
      </c>
      <c r="T597" s="223">
        <v>43749</v>
      </c>
      <c r="U597" s="223">
        <v>43679</v>
      </c>
      <c r="V597" s="223">
        <v>43679</v>
      </c>
      <c r="W597" s="223" t="s">
        <v>6</v>
      </c>
      <c r="X597" s="3" t="s">
        <v>26</v>
      </c>
      <c r="Y597" s="3" t="s">
        <v>2120</v>
      </c>
      <c r="Z597" s="3" t="s">
        <v>52</v>
      </c>
      <c r="AA597" s="3" t="s">
        <v>2372</v>
      </c>
      <c r="AB597" s="223" t="s">
        <v>5</v>
      </c>
      <c r="AC597" s="3" t="s">
        <v>10</v>
      </c>
      <c r="AD597" s="3" t="s">
        <v>6</v>
      </c>
      <c r="AE597" s="95" t="s">
        <v>2265</v>
      </c>
    </row>
    <row r="598" spans="1:31" x14ac:dyDescent="0.35">
      <c r="A598" s="3" t="s">
        <v>308</v>
      </c>
      <c r="B598" s="3" t="s">
        <v>297</v>
      </c>
      <c r="C598" s="3">
        <v>1</v>
      </c>
      <c r="D598" s="95" t="s">
        <v>3186</v>
      </c>
      <c r="E598" s="95" t="s">
        <v>477</v>
      </c>
      <c r="F598" s="95" t="s">
        <v>4</v>
      </c>
      <c r="G598" s="223">
        <v>42753</v>
      </c>
      <c r="H598" s="223">
        <v>43282</v>
      </c>
      <c r="I598" s="223">
        <v>45107</v>
      </c>
      <c r="J598" s="3">
        <v>3</v>
      </c>
      <c r="K598" s="3" t="s">
        <v>6</v>
      </c>
      <c r="L598" s="3" t="s">
        <v>6</v>
      </c>
      <c r="M598" s="95" t="s">
        <v>2555</v>
      </c>
      <c r="N598" s="3" t="s">
        <v>52</v>
      </c>
      <c r="O598" s="3" t="s">
        <v>17</v>
      </c>
      <c r="P598" s="3" t="s">
        <v>6</v>
      </c>
      <c r="Q598" s="3" t="s">
        <v>6</v>
      </c>
      <c r="R598" s="95" t="s">
        <v>9</v>
      </c>
      <c r="S598" s="223">
        <v>43591</v>
      </c>
      <c r="T598" s="223">
        <v>43749</v>
      </c>
      <c r="U598" s="223">
        <v>43679</v>
      </c>
      <c r="V598" s="223">
        <v>43679</v>
      </c>
      <c r="W598" s="223" t="s">
        <v>6</v>
      </c>
      <c r="X598" s="3" t="s">
        <v>26</v>
      </c>
      <c r="Y598" s="3" t="s">
        <v>2120</v>
      </c>
      <c r="Z598" s="3" t="s">
        <v>52</v>
      </c>
      <c r="AA598" s="3" t="s">
        <v>2372</v>
      </c>
      <c r="AB598" s="223" t="s">
        <v>5</v>
      </c>
      <c r="AC598" s="3" t="s">
        <v>10</v>
      </c>
      <c r="AD598" s="3" t="s">
        <v>6</v>
      </c>
      <c r="AE598" s="95" t="s">
        <v>2265</v>
      </c>
    </row>
    <row r="599" spans="1:31" x14ac:dyDescent="0.35">
      <c r="A599" s="3" t="s">
        <v>309</v>
      </c>
      <c r="B599" s="3" t="s">
        <v>297</v>
      </c>
      <c r="C599" s="3">
        <v>1</v>
      </c>
      <c r="D599" s="95" t="s">
        <v>3187</v>
      </c>
      <c r="E599" s="95" t="s">
        <v>477</v>
      </c>
      <c r="F599" s="95" t="s">
        <v>4</v>
      </c>
      <c r="G599" s="223">
        <v>42753</v>
      </c>
      <c r="H599" s="223">
        <v>43282</v>
      </c>
      <c r="I599" s="223">
        <v>45107</v>
      </c>
      <c r="J599" s="3">
        <v>1</v>
      </c>
      <c r="K599" s="3" t="s">
        <v>6</v>
      </c>
      <c r="L599" s="3" t="s">
        <v>6</v>
      </c>
      <c r="M599" s="95" t="s">
        <v>2555</v>
      </c>
      <c r="N599" s="3" t="s">
        <v>52</v>
      </c>
      <c r="O599" s="3" t="s">
        <v>17</v>
      </c>
      <c r="P599" s="3" t="s">
        <v>6</v>
      </c>
      <c r="Q599" s="3" t="s">
        <v>6</v>
      </c>
      <c r="R599" s="95" t="s">
        <v>9</v>
      </c>
      <c r="S599" s="223">
        <v>43591</v>
      </c>
      <c r="T599" s="223">
        <v>43749</v>
      </c>
      <c r="U599" s="223">
        <v>43679</v>
      </c>
      <c r="V599" s="223">
        <v>43679</v>
      </c>
      <c r="W599" s="223" t="s">
        <v>6</v>
      </c>
      <c r="X599" s="3" t="s">
        <v>26</v>
      </c>
      <c r="Y599" s="3" t="s">
        <v>2120</v>
      </c>
      <c r="Z599" s="3" t="s">
        <v>52</v>
      </c>
      <c r="AA599" s="3" t="s">
        <v>2372</v>
      </c>
      <c r="AB599" s="223" t="s">
        <v>5</v>
      </c>
      <c r="AC599" s="3" t="s">
        <v>10</v>
      </c>
      <c r="AD599" s="3" t="s">
        <v>6</v>
      </c>
      <c r="AE599" s="95" t="s">
        <v>2265</v>
      </c>
    </row>
    <row r="600" spans="1:31" x14ac:dyDescent="0.35">
      <c r="A600" s="3" t="s">
        <v>310</v>
      </c>
      <c r="B600" s="3" t="s">
        <v>297</v>
      </c>
      <c r="C600" s="3">
        <v>1</v>
      </c>
      <c r="D600" s="95" t="s">
        <v>311</v>
      </c>
      <c r="E600" s="95" t="s">
        <v>2272</v>
      </c>
      <c r="F600" s="95" t="s">
        <v>437</v>
      </c>
      <c r="G600" s="223">
        <v>44211</v>
      </c>
      <c r="H600" s="223">
        <v>44256</v>
      </c>
      <c r="I600" s="223">
        <v>46081</v>
      </c>
      <c r="J600" s="3">
        <v>278</v>
      </c>
      <c r="K600" s="3" t="s">
        <v>6</v>
      </c>
      <c r="L600" s="3" t="s">
        <v>6</v>
      </c>
      <c r="M600" s="95" t="s">
        <v>27</v>
      </c>
      <c r="N600" s="3" t="s">
        <v>28</v>
      </c>
      <c r="O600" s="3" t="s">
        <v>25</v>
      </c>
      <c r="P600" s="3" t="s">
        <v>6</v>
      </c>
      <c r="Q600" s="3" t="s">
        <v>6</v>
      </c>
      <c r="R600" s="95" t="s">
        <v>22</v>
      </c>
      <c r="S600" s="223">
        <v>43374</v>
      </c>
      <c r="T600" s="223">
        <v>43553</v>
      </c>
      <c r="U600" s="223">
        <v>43009</v>
      </c>
      <c r="V600" s="223">
        <v>43009</v>
      </c>
      <c r="W600" s="223" t="s">
        <v>6</v>
      </c>
      <c r="X600" s="3" t="s">
        <v>26</v>
      </c>
      <c r="Y600" s="3" t="s">
        <v>2100</v>
      </c>
      <c r="Z600" s="3" t="s">
        <v>28</v>
      </c>
      <c r="AA600" s="3" t="s">
        <v>6</v>
      </c>
      <c r="AB600" s="223">
        <v>42159</v>
      </c>
      <c r="AC600" s="3" t="s">
        <v>6</v>
      </c>
      <c r="AD600" s="3" t="s">
        <v>10</v>
      </c>
      <c r="AE600" s="95" t="s">
        <v>2263</v>
      </c>
    </row>
    <row r="601" spans="1:31" x14ac:dyDescent="0.35">
      <c r="A601" s="3" t="s">
        <v>312</v>
      </c>
      <c r="B601" s="3" t="s">
        <v>297</v>
      </c>
      <c r="C601" s="3">
        <v>1</v>
      </c>
      <c r="D601" s="95" t="s">
        <v>1984</v>
      </c>
      <c r="E601" s="95" t="s">
        <v>1912</v>
      </c>
      <c r="F601" s="95" t="s">
        <v>437</v>
      </c>
      <c r="G601" s="223">
        <v>44609</v>
      </c>
      <c r="H601" s="223">
        <v>44609</v>
      </c>
      <c r="I601" s="223">
        <v>46434</v>
      </c>
      <c r="J601" s="3">
        <v>1046</v>
      </c>
      <c r="K601" s="3" t="s">
        <v>6</v>
      </c>
      <c r="L601" s="3" t="s">
        <v>6</v>
      </c>
      <c r="M601" s="95" t="s">
        <v>23</v>
      </c>
      <c r="N601" s="3" t="s">
        <v>24</v>
      </c>
      <c r="O601" s="3" t="s">
        <v>25</v>
      </c>
      <c r="P601" s="3" t="s">
        <v>6</v>
      </c>
      <c r="Q601" s="3" t="s">
        <v>6</v>
      </c>
      <c r="R601" s="95" t="s">
        <v>22</v>
      </c>
      <c r="S601" s="223">
        <v>43374</v>
      </c>
      <c r="T601" s="223">
        <v>43497</v>
      </c>
      <c r="U601" s="223">
        <v>42644</v>
      </c>
      <c r="V601" s="223">
        <v>42644</v>
      </c>
      <c r="W601" s="223" t="s">
        <v>6</v>
      </c>
      <c r="X601" s="3" t="s">
        <v>26</v>
      </c>
      <c r="Y601" s="3" t="s">
        <v>2093</v>
      </c>
      <c r="Z601" s="3" t="s">
        <v>24</v>
      </c>
      <c r="AA601" s="3" t="s">
        <v>6</v>
      </c>
      <c r="AB601" s="223">
        <v>42782</v>
      </c>
      <c r="AC601" s="3" t="s">
        <v>10</v>
      </c>
      <c r="AD601" s="3" t="s">
        <v>10</v>
      </c>
      <c r="AE601" s="95" t="s">
        <v>2263</v>
      </c>
    </row>
    <row r="602" spans="1:31" x14ac:dyDescent="0.35">
      <c r="A602" s="3" t="s">
        <v>1404</v>
      </c>
      <c r="B602" s="3" t="s">
        <v>591</v>
      </c>
      <c r="C602" s="3">
        <v>2</v>
      </c>
      <c r="D602" s="95" t="s">
        <v>662</v>
      </c>
      <c r="E602" s="95" t="s">
        <v>2871</v>
      </c>
      <c r="F602" s="95" t="s">
        <v>4</v>
      </c>
      <c r="G602" s="223">
        <v>45426</v>
      </c>
      <c r="H602" s="223">
        <v>45474</v>
      </c>
      <c r="I602" s="223">
        <v>47299</v>
      </c>
      <c r="J602" s="3">
        <v>21</v>
      </c>
      <c r="K602" s="3" t="s">
        <v>10</v>
      </c>
      <c r="L602" s="3" t="s">
        <v>10</v>
      </c>
      <c r="M602" s="95" t="s">
        <v>173</v>
      </c>
      <c r="N602" s="3" t="s">
        <v>174</v>
      </c>
      <c r="O602" s="3" t="s">
        <v>651</v>
      </c>
      <c r="P602" s="3" t="s">
        <v>6</v>
      </c>
      <c r="Q602" s="3" t="s">
        <v>6</v>
      </c>
      <c r="R602" s="95" t="s">
        <v>652</v>
      </c>
      <c r="S602" s="223" t="s">
        <v>5</v>
      </c>
      <c r="T602" s="223" t="s">
        <v>5</v>
      </c>
      <c r="U602" s="223" t="s">
        <v>5</v>
      </c>
      <c r="V602" s="223" t="s">
        <v>5</v>
      </c>
      <c r="W602" s="223" t="s">
        <v>5</v>
      </c>
      <c r="X602" s="3" t="s">
        <v>5</v>
      </c>
      <c r="Y602" s="3" t="s">
        <v>651</v>
      </c>
      <c r="Z602" s="3" t="s">
        <v>651</v>
      </c>
      <c r="AA602" s="3" t="s">
        <v>10</v>
      </c>
      <c r="AB602" s="223" t="s">
        <v>5</v>
      </c>
      <c r="AC602" s="3" t="s">
        <v>6</v>
      </c>
      <c r="AD602" s="3" t="s">
        <v>10</v>
      </c>
      <c r="AE602" s="95" t="s">
        <v>2265</v>
      </c>
    </row>
    <row r="603" spans="1:31" x14ac:dyDescent="0.35">
      <c r="A603" s="3" t="s">
        <v>1405</v>
      </c>
      <c r="B603" s="3" t="s">
        <v>591</v>
      </c>
      <c r="C603" s="3">
        <v>2</v>
      </c>
      <c r="D603" s="95" t="s">
        <v>1406</v>
      </c>
      <c r="E603" s="95" t="s">
        <v>2872</v>
      </c>
      <c r="F603" s="95" t="s">
        <v>4</v>
      </c>
      <c r="G603" s="223">
        <v>44938</v>
      </c>
      <c r="H603" s="223">
        <v>44958</v>
      </c>
      <c r="I603" s="223">
        <v>46783</v>
      </c>
      <c r="J603" s="3">
        <v>1901</v>
      </c>
      <c r="K603" s="3" t="s">
        <v>10</v>
      </c>
      <c r="L603" s="3" t="s">
        <v>10</v>
      </c>
      <c r="M603" s="95" t="s">
        <v>27</v>
      </c>
      <c r="N603" s="3" t="s">
        <v>28</v>
      </c>
      <c r="O603" s="3" t="s">
        <v>651</v>
      </c>
      <c r="P603" s="3" t="s">
        <v>6</v>
      </c>
      <c r="Q603" s="3" t="s">
        <v>6</v>
      </c>
      <c r="R603" s="95" t="s">
        <v>652</v>
      </c>
      <c r="S603" s="223" t="s">
        <v>5</v>
      </c>
      <c r="T603" s="223" t="s">
        <v>5</v>
      </c>
      <c r="U603" s="223" t="s">
        <v>5</v>
      </c>
      <c r="V603" s="223" t="s">
        <v>5</v>
      </c>
      <c r="W603" s="223" t="s">
        <v>5</v>
      </c>
      <c r="X603" s="3" t="s">
        <v>5</v>
      </c>
      <c r="Y603" s="3" t="s">
        <v>651</v>
      </c>
      <c r="Z603" s="3" t="s">
        <v>651</v>
      </c>
      <c r="AA603" s="3" t="s">
        <v>10</v>
      </c>
      <c r="AB603" s="223" t="s">
        <v>5</v>
      </c>
      <c r="AC603" s="3" t="s">
        <v>10</v>
      </c>
      <c r="AD603" s="3" t="s">
        <v>10</v>
      </c>
      <c r="AE603" s="95" t="s">
        <v>2265</v>
      </c>
    </row>
    <row r="604" spans="1:31" x14ac:dyDescent="0.35">
      <c r="A604" s="3" t="s">
        <v>1407</v>
      </c>
      <c r="B604" s="3" t="s">
        <v>591</v>
      </c>
      <c r="C604" s="3">
        <v>2</v>
      </c>
      <c r="D604" s="95" t="s">
        <v>1408</v>
      </c>
      <c r="E604" s="95" t="s">
        <v>2873</v>
      </c>
      <c r="F604" s="95" t="s">
        <v>4</v>
      </c>
      <c r="G604" s="223">
        <v>44621</v>
      </c>
      <c r="H604" s="223">
        <v>44621</v>
      </c>
      <c r="I604" s="223">
        <v>46446</v>
      </c>
      <c r="J604" s="3">
        <v>8345</v>
      </c>
      <c r="K604" s="3" t="s">
        <v>10</v>
      </c>
      <c r="L604" s="3" t="s">
        <v>10</v>
      </c>
      <c r="M604" s="95" t="s">
        <v>23</v>
      </c>
      <c r="N604" s="3" t="s">
        <v>24</v>
      </c>
      <c r="O604" s="3" t="s">
        <v>651</v>
      </c>
      <c r="P604" s="3" t="s">
        <v>6</v>
      </c>
      <c r="Q604" s="3" t="s">
        <v>6</v>
      </c>
      <c r="R604" s="95" t="s">
        <v>652</v>
      </c>
      <c r="S604" s="223" t="s">
        <v>5</v>
      </c>
      <c r="T604" s="223" t="s">
        <v>5</v>
      </c>
      <c r="U604" s="223" t="s">
        <v>5</v>
      </c>
      <c r="V604" s="223" t="s">
        <v>5</v>
      </c>
      <c r="W604" s="223" t="s">
        <v>5</v>
      </c>
      <c r="X604" s="3" t="s">
        <v>5</v>
      </c>
      <c r="Y604" s="3" t="s">
        <v>651</v>
      </c>
      <c r="Z604" s="3" t="s">
        <v>651</v>
      </c>
      <c r="AA604" s="3" t="s">
        <v>10</v>
      </c>
      <c r="AB604" s="223" t="s">
        <v>5</v>
      </c>
      <c r="AC604" s="3" t="s">
        <v>10</v>
      </c>
      <c r="AD604" s="3" t="s">
        <v>10</v>
      </c>
      <c r="AE604" s="95" t="s">
        <v>2263</v>
      </c>
    </row>
    <row r="605" spans="1:31" x14ac:dyDescent="0.35">
      <c r="A605" s="3" t="s">
        <v>1409</v>
      </c>
      <c r="B605" s="3" t="s">
        <v>591</v>
      </c>
      <c r="C605" s="3">
        <v>2</v>
      </c>
      <c r="D605" s="95" t="s">
        <v>1410</v>
      </c>
      <c r="E605" s="95" t="s">
        <v>2874</v>
      </c>
      <c r="F605" s="95" t="s">
        <v>4</v>
      </c>
      <c r="G605" s="223">
        <v>45289</v>
      </c>
      <c r="H605" s="223">
        <v>45292</v>
      </c>
      <c r="I605" s="223">
        <v>47118</v>
      </c>
      <c r="J605" s="3">
        <v>54</v>
      </c>
      <c r="K605" s="3" t="s">
        <v>10</v>
      </c>
      <c r="L605" s="3" t="s">
        <v>10</v>
      </c>
      <c r="M605" s="95" t="s">
        <v>201</v>
      </c>
      <c r="N605" s="3" t="s">
        <v>68</v>
      </c>
      <c r="O605" s="3" t="s">
        <v>651</v>
      </c>
      <c r="P605" s="3" t="s">
        <v>6</v>
      </c>
      <c r="Q605" s="3" t="s">
        <v>6</v>
      </c>
      <c r="R605" s="95" t="s">
        <v>652</v>
      </c>
      <c r="S605" s="223" t="s">
        <v>5</v>
      </c>
      <c r="T605" s="223" t="s">
        <v>5</v>
      </c>
      <c r="U605" s="223" t="s">
        <v>5</v>
      </c>
      <c r="V605" s="223" t="s">
        <v>5</v>
      </c>
      <c r="W605" s="223" t="s">
        <v>5</v>
      </c>
      <c r="X605" s="3" t="s">
        <v>5</v>
      </c>
      <c r="Y605" s="3" t="s">
        <v>651</v>
      </c>
      <c r="Z605" s="3" t="s">
        <v>651</v>
      </c>
      <c r="AA605" s="3" t="s">
        <v>10</v>
      </c>
      <c r="AB605" s="223" t="s">
        <v>5</v>
      </c>
      <c r="AC605" s="3" t="s">
        <v>6</v>
      </c>
      <c r="AD605" s="3" t="s">
        <v>10</v>
      </c>
      <c r="AE605" s="95" t="s">
        <v>2265</v>
      </c>
    </row>
    <row r="606" spans="1:31" x14ac:dyDescent="0.35">
      <c r="A606" s="3" t="s">
        <v>1411</v>
      </c>
      <c r="B606" s="3" t="s">
        <v>591</v>
      </c>
      <c r="C606" s="3">
        <v>2</v>
      </c>
      <c r="D606" s="95" t="s">
        <v>1412</v>
      </c>
      <c r="E606" s="95" t="s">
        <v>2875</v>
      </c>
      <c r="F606" s="95" t="s">
        <v>4</v>
      </c>
      <c r="G606" s="223">
        <v>38383</v>
      </c>
      <c r="H606" s="223">
        <v>38384</v>
      </c>
      <c r="I606" s="223">
        <v>40209</v>
      </c>
      <c r="J606" s="3">
        <v>9</v>
      </c>
      <c r="K606" s="3" t="s">
        <v>10</v>
      </c>
      <c r="L606" s="3" t="s">
        <v>10</v>
      </c>
      <c r="M606" s="95" t="s">
        <v>27</v>
      </c>
      <c r="N606" s="3" t="s">
        <v>28</v>
      </c>
      <c r="O606" s="3" t="s">
        <v>651</v>
      </c>
      <c r="P606" s="3" t="s">
        <v>6</v>
      </c>
      <c r="Q606" s="3" t="s">
        <v>6</v>
      </c>
      <c r="R606" s="95" t="s">
        <v>652</v>
      </c>
      <c r="S606" s="223" t="s">
        <v>5</v>
      </c>
      <c r="T606" s="223" t="s">
        <v>5</v>
      </c>
      <c r="U606" s="223" t="s">
        <v>5</v>
      </c>
      <c r="V606" s="223" t="s">
        <v>5</v>
      </c>
      <c r="W606" s="223" t="s">
        <v>5</v>
      </c>
      <c r="X606" s="3" t="s">
        <v>5</v>
      </c>
      <c r="Y606" s="3" t="s">
        <v>651</v>
      </c>
      <c r="Z606" s="3" t="s">
        <v>651</v>
      </c>
      <c r="AA606" s="3" t="s">
        <v>10</v>
      </c>
      <c r="AB606" s="223" t="s">
        <v>5</v>
      </c>
      <c r="AC606" s="3" t="s">
        <v>10</v>
      </c>
      <c r="AD606" s="3" t="s">
        <v>10</v>
      </c>
      <c r="AE606" s="95" t="s">
        <v>2265</v>
      </c>
    </row>
    <row r="607" spans="1:31" x14ac:dyDescent="0.35">
      <c r="A607" s="3" t="s">
        <v>1413</v>
      </c>
      <c r="B607" s="3" t="s">
        <v>591</v>
      </c>
      <c r="C607" s="3">
        <v>2</v>
      </c>
      <c r="D607" s="95" t="s">
        <v>1414</v>
      </c>
      <c r="E607" s="95" t="s">
        <v>2477</v>
      </c>
      <c r="F607" s="95" t="s">
        <v>4</v>
      </c>
      <c r="G607" s="223">
        <v>39748</v>
      </c>
      <c r="H607" s="223">
        <v>39753</v>
      </c>
      <c r="I607" s="223">
        <v>41578</v>
      </c>
      <c r="J607" s="3">
        <v>87</v>
      </c>
      <c r="K607" s="3" t="s">
        <v>10</v>
      </c>
      <c r="L607" s="3" t="s">
        <v>10</v>
      </c>
      <c r="M607" s="95" t="s">
        <v>27</v>
      </c>
      <c r="N607" s="3" t="s">
        <v>28</v>
      </c>
      <c r="O607" s="3" t="s">
        <v>651</v>
      </c>
      <c r="P607" s="3" t="s">
        <v>6</v>
      </c>
      <c r="Q607" s="3" t="s">
        <v>6</v>
      </c>
      <c r="R607" s="95" t="s">
        <v>652</v>
      </c>
      <c r="S607" s="223" t="s">
        <v>5</v>
      </c>
      <c r="T607" s="223" t="s">
        <v>5</v>
      </c>
      <c r="U607" s="223" t="s">
        <v>5</v>
      </c>
      <c r="V607" s="223" t="s">
        <v>5</v>
      </c>
      <c r="W607" s="223" t="s">
        <v>5</v>
      </c>
      <c r="X607" s="3" t="s">
        <v>5</v>
      </c>
      <c r="Y607" s="3" t="s">
        <v>651</v>
      </c>
      <c r="Z607" s="3" t="s">
        <v>651</v>
      </c>
      <c r="AA607" s="3" t="s">
        <v>10</v>
      </c>
      <c r="AB607" s="223" t="s">
        <v>5</v>
      </c>
      <c r="AC607" s="3" t="s">
        <v>6</v>
      </c>
      <c r="AD607" s="3" t="s">
        <v>10</v>
      </c>
      <c r="AE607" s="95" t="s">
        <v>2265</v>
      </c>
    </row>
    <row r="608" spans="1:31" x14ac:dyDescent="0.35">
      <c r="A608" s="3" t="s">
        <v>1415</v>
      </c>
      <c r="B608" s="3" t="s">
        <v>591</v>
      </c>
      <c r="C608" s="3">
        <v>2</v>
      </c>
      <c r="D608" s="95" t="s">
        <v>1416</v>
      </c>
      <c r="E608" s="95" t="s">
        <v>2876</v>
      </c>
      <c r="F608" s="95" t="s">
        <v>4</v>
      </c>
      <c r="G608" s="223">
        <v>45286</v>
      </c>
      <c r="H608" s="223">
        <v>45323</v>
      </c>
      <c r="I608" s="223">
        <v>47149</v>
      </c>
      <c r="J608" s="3">
        <v>52</v>
      </c>
      <c r="K608" s="3" t="s">
        <v>10</v>
      </c>
      <c r="L608" s="3" t="s">
        <v>10</v>
      </c>
      <c r="M608" s="95" t="s">
        <v>196</v>
      </c>
      <c r="N608" s="3" t="s">
        <v>61</v>
      </c>
      <c r="O608" s="3" t="s">
        <v>651</v>
      </c>
      <c r="P608" s="3" t="s">
        <v>6</v>
      </c>
      <c r="Q608" s="3" t="s">
        <v>6</v>
      </c>
      <c r="R608" s="95" t="s">
        <v>652</v>
      </c>
      <c r="S608" s="223" t="s">
        <v>5</v>
      </c>
      <c r="T608" s="223" t="s">
        <v>5</v>
      </c>
      <c r="U608" s="223" t="s">
        <v>5</v>
      </c>
      <c r="V608" s="223" t="s">
        <v>5</v>
      </c>
      <c r="W608" s="223" t="s">
        <v>5</v>
      </c>
      <c r="X608" s="3" t="s">
        <v>5</v>
      </c>
      <c r="Y608" s="3" t="s">
        <v>651</v>
      </c>
      <c r="Z608" s="3" t="s">
        <v>651</v>
      </c>
      <c r="AA608" s="3" t="s">
        <v>10</v>
      </c>
      <c r="AB608" s="223" t="s">
        <v>5</v>
      </c>
      <c r="AC608" s="3" t="s">
        <v>10</v>
      </c>
      <c r="AD608" s="3" t="s">
        <v>10</v>
      </c>
      <c r="AE608" s="95" t="s">
        <v>2265</v>
      </c>
    </row>
    <row r="609" spans="1:31" x14ac:dyDescent="0.35">
      <c r="A609" s="3" t="s">
        <v>1417</v>
      </c>
      <c r="B609" s="3" t="s">
        <v>591</v>
      </c>
      <c r="C609" s="3">
        <v>2</v>
      </c>
      <c r="D609" s="95" t="s">
        <v>2478</v>
      </c>
      <c r="E609" s="95" t="s">
        <v>2877</v>
      </c>
      <c r="F609" s="95" t="s">
        <v>4</v>
      </c>
      <c r="G609" s="223">
        <v>45062</v>
      </c>
      <c r="H609" s="223">
        <v>45108</v>
      </c>
      <c r="I609" s="223">
        <v>46934</v>
      </c>
      <c r="J609" s="3">
        <v>22</v>
      </c>
      <c r="K609" s="3" t="s">
        <v>10</v>
      </c>
      <c r="L609" s="3" t="s">
        <v>10</v>
      </c>
      <c r="M609" s="95" t="s">
        <v>116</v>
      </c>
      <c r="N609" s="3" t="s">
        <v>117</v>
      </c>
      <c r="O609" s="3" t="s">
        <v>651</v>
      </c>
      <c r="P609" s="3" t="s">
        <v>6</v>
      </c>
      <c r="Q609" s="3" t="s">
        <v>6</v>
      </c>
      <c r="R609" s="95" t="s">
        <v>652</v>
      </c>
      <c r="S609" s="223" t="s">
        <v>5</v>
      </c>
      <c r="T609" s="223" t="s">
        <v>5</v>
      </c>
      <c r="U609" s="223" t="s">
        <v>5</v>
      </c>
      <c r="V609" s="223" t="s">
        <v>5</v>
      </c>
      <c r="W609" s="223" t="s">
        <v>5</v>
      </c>
      <c r="X609" s="3" t="s">
        <v>5</v>
      </c>
      <c r="Y609" s="3" t="s">
        <v>651</v>
      </c>
      <c r="Z609" s="3" t="s">
        <v>651</v>
      </c>
      <c r="AA609" s="3" t="s">
        <v>10</v>
      </c>
      <c r="AB609" s="223" t="s">
        <v>5</v>
      </c>
      <c r="AC609" s="3" t="s">
        <v>6</v>
      </c>
      <c r="AD609" s="3" t="s">
        <v>10</v>
      </c>
      <c r="AE609" s="95" t="s">
        <v>2265</v>
      </c>
    </row>
    <row r="610" spans="1:31" x14ac:dyDescent="0.35">
      <c r="A610" s="3" t="s">
        <v>1418</v>
      </c>
      <c r="B610" s="3" t="s">
        <v>591</v>
      </c>
      <c r="C610" s="3">
        <v>2</v>
      </c>
      <c r="D610" s="95" t="s">
        <v>1419</v>
      </c>
      <c r="E610" s="95" t="s">
        <v>2479</v>
      </c>
      <c r="F610" s="95" t="s">
        <v>4</v>
      </c>
      <c r="G610" s="223">
        <v>39934</v>
      </c>
      <c r="H610" s="223">
        <v>39934</v>
      </c>
      <c r="I610" s="223">
        <v>41759</v>
      </c>
      <c r="J610" s="3">
        <v>34</v>
      </c>
      <c r="K610" s="3" t="s">
        <v>10</v>
      </c>
      <c r="L610" s="3" t="s">
        <v>10</v>
      </c>
      <c r="M610" s="95" t="s">
        <v>27</v>
      </c>
      <c r="N610" s="3" t="s">
        <v>28</v>
      </c>
      <c r="O610" s="3" t="s">
        <v>651</v>
      </c>
      <c r="P610" s="3" t="s">
        <v>6</v>
      </c>
      <c r="Q610" s="3" t="s">
        <v>6</v>
      </c>
      <c r="R610" s="95" t="s">
        <v>652</v>
      </c>
      <c r="S610" s="223" t="s">
        <v>5</v>
      </c>
      <c r="T610" s="223" t="s">
        <v>5</v>
      </c>
      <c r="U610" s="223" t="s">
        <v>5</v>
      </c>
      <c r="V610" s="223" t="s">
        <v>5</v>
      </c>
      <c r="W610" s="223" t="s">
        <v>5</v>
      </c>
      <c r="X610" s="3" t="s">
        <v>5</v>
      </c>
      <c r="Y610" s="3" t="s">
        <v>651</v>
      </c>
      <c r="Z610" s="3" t="s">
        <v>651</v>
      </c>
      <c r="AA610" s="3" t="s">
        <v>10</v>
      </c>
      <c r="AB610" s="223" t="s">
        <v>5</v>
      </c>
      <c r="AC610" s="3" t="s">
        <v>6</v>
      </c>
      <c r="AD610" s="3" t="s">
        <v>10</v>
      </c>
      <c r="AE610" s="95" t="s">
        <v>2265</v>
      </c>
    </row>
    <row r="611" spans="1:31" x14ac:dyDescent="0.35">
      <c r="A611" s="3" t="s">
        <v>1420</v>
      </c>
      <c r="B611" s="3" t="s">
        <v>591</v>
      </c>
      <c r="C611" s="3">
        <v>2</v>
      </c>
      <c r="D611" s="95" t="s">
        <v>1421</v>
      </c>
      <c r="E611" s="95" t="s">
        <v>2878</v>
      </c>
      <c r="F611" s="95" t="s">
        <v>4</v>
      </c>
      <c r="G611" s="223">
        <v>45218</v>
      </c>
      <c r="H611" s="223">
        <v>45231</v>
      </c>
      <c r="I611" s="223">
        <v>47057</v>
      </c>
      <c r="J611" s="3">
        <v>26</v>
      </c>
      <c r="K611" s="3" t="s">
        <v>10</v>
      </c>
      <c r="L611" s="3" t="s">
        <v>10</v>
      </c>
      <c r="M611" s="95" t="s">
        <v>136</v>
      </c>
      <c r="N611" s="3" t="s">
        <v>138</v>
      </c>
      <c r="O611" s="3" t="s">
        <v>651</v>
      </c>
      <c r="P611" s="3" t="s">
        <v>6</v>
      </c>
      <c r="Q611" s="3" t="s">
        <v>6</v>
      </c>
      <c r="R611" s="95" t="s">
        <v>652</v>
      </c>
      <c r="S611" s="223" t="s">
        <v>5</v>
      </c>
      <c r="T611" s="223" t="s">
        <v>5</v>
      </c>
      <c r="U611" s="223" t="s">
        <v>5</v>
      </c>
      <c r="V611" s="223" t="s">
        <v>5</v>
      </c>
      <c r="W611" s="223" t="s">
        <v>5</v>
      </c>
      <c r="X611" s="3" t="s">
        <v>5</v>
      </c>
      <c r="Y611" s="3" t="s">
        <v>651</v>
      </c>
      <c r="Z611" s="3" t="s">
        <v>651</v>
      </c>
      <c r="AA611" s="3" t="s">
        <v>10</v>
      </c>
      <c r="AB611" s="223" t="s">
        <v>5</v>
      </c>
      <c r="AC611" s="3" t="s">
        <v>10</v>
      </c>
      <c r="AD611" s="3" t="s">
        <v>10</v>
      </c>
      <c r="AE611" s="95" t="s">
        <v>2265</v>
      </c>
    </row>
    <row r="612" spans="1:31" x14ac:dyDescent="0.35">
      <c r="A612" s="3" t="s">
        <v>1422</v>
      </c>
      <c r="B612" s="3" t="s">
        <v>591</v>
      </c>
      <c r="C612" s="3">
        <v>2</v>
      </c>
      <c r="D612" s="95" t="s">
        <v>2480</v>
      </c>
      <c r="E612" s="95" t="s">
        <v>2879</v>
      </c>
      <c r="F612" s="95" t="s">
        <v>4</v>
      </c>
      <c r="G612" s="223">
        <v>43978</v>
      </c>
      <c r="H612" s="223">
        <v>43983</v>
      </c>
      <c r="I612" s="223">
        <v>45808</v>
      </c>
      <c r="J612" s="3">
        <v>1</v>
      </c>
      <c r="K612" s="3" t="s">
        <v>10</v>
      </c>
      <c r="L612" s="3" t="s">
        <v>10</v>
      </c>
      <c r="M612" s="95" t="s">
        <v>169</v>
      </c>
      <c r="N612" s="3" t="s">
        <v>170</v>
      </c>
      <c r="O612" s="3" t="s">
        <v>651</v>
      </c>
      <c r="P612" s="3" t="s">
        <v>6</v>
      </c>
      <c r="Q612" s="3" t="s">
        <v>6</v>
      </c>
      <c r="R612" s="95" t="s">
        <v>652</v>
      </c>
      <c r="S612" s="223" t="s">
        <v>5</v>
      </c>
      <c r="T612" s="223" t="s">
        <v>5</v>
      </c>
      <c r="U612" s="223" t="s">
        <v>5</v>
      </c>
      <c r="V612" s="223" t="s">
        <v>5</v>
      </c>
      <c r="W612" s="223" t="s">
        <v>5</v>
      </c>
      <c r="X612" s="3" t="s">
        <v>5</v>
      </c>
      <c r="Y612" s="3" t="s">
        <v>651</v>
      </c>
      <c r="Z612" s="3" t="s">
        <v>651</v>
      </c>
      <c r="AA612" s="3" t="s">
        <v>10</v>
      </c>
      <c r="AB612" s="223" t="s">
        <v>5</v>
      </c>
      <c r="AC612" s="3" t="s">
        <v>10</v>
      </c>
      <c r="AD612" s="3" t="s">
        <v>10</v>
      </c>
      <c r="AE612" s="95" t="s">
        <v>2263</v>
      </c>
    </row>
    <row r="613" spans="1:31" x14ac:dyDescent="0.35">
      <c r="A613" s="3" t="s">
        <v>1423</v>
      </c>
      <c r="B613" s="3" t="s">
        <v>591</v>
      </c>
      <c r="C613" s="3">
        <v>2</v>
      </c>
      <c r="D613" s="95" t="s">
        <v>1424</v>
      </c>
      <c r="E613" s="95" t="s">
        <v>2481</v>
      </c>
      <c r="F613" s="95" t="s">
        <v>4</v>
      </c>
      <c r="G613" s="223">
        <v>40513</v>
      </c>
      <c r="H613" s="223">
        <v>40513</v>
      </c>
      <c r="I613" s="223">
        <v>42338</v>
      </c>
      <c r="J613" s="3">
        <v>25</v>
      </c>
      <c r="K613" s="3" t="s">
        <v>10</v>
      </c>
      <c r="L613" s="3" t="s">
        <v>10</v>
      </c>
      <c r="M613" s="95" t="s">
        <v>27</v>
      </c>
      <c r="N613" s="3" t="s">
        <v>28</v>
      </c>
      <c r="O613" s="3" t="s">
        <v>651</v>
      </c>
      <c r="P613" s="3" t="s">
        <v>6</v>
      </c>
      <c r="Q613" s="3" t="s">
        <v>6</v>
      </c>
      <c r="R613" s="95" t="s">
        <v>652</v>
      </c>
      <c r="S613" s="223" t="s">
        <v>5</v>
      </c>
      <c r="T613" s="223" t="s">
        <v>5</v>
      </c>
      <c r="U613" s="223" t="s">
        <v>5</v>
      </c>
      <c r="V613" s="223" t="s">
        <v>5</v>
      </c>
      <c r="W613" s="223" t="s">
        <v>5</v>
      </c>
      <c r="X613" s="3" t="s">
        <v>5</v>
      </c>
      <c r="Y613" s="3" t="s">
        <v>651</v>
      </c>
      <c r="Z613" s="3" t="s">
        <v>651</v>
      </c>
      <c r="AA613" s="3" t="s">
        <v>10</v>
      </c>
      <c r="AB613" s="223" t="s">
        <v>5</v>
      </c>
      <c r="AC613" s="3" t="s">
        <v>6</v>
      </c>
      <c r="AD613" s="3" t="s">
        <v>10</v>
      </c>
      <c r="AE613" s="95" t="s">
        <v>2265</v>
      </c>
    </row>
    <row r="614" spans="1:31" x14ac:dyDescent="0.35">
      <c r="A614" s="3" t="s">
        <v>1425</v>
      </c>
      <c r="B614" s="3" t="s">
        <v>591</v>
      </c>
      <c r="C614" s="3">
        <v>2</v>
      </c>
      <c r="D614" s="95" t="s">
        <v>1426</v>
      </c>
      <c r="E614" s="95" t="s">
        <v>2482</v>
      </c>
      <c r="F614" s="95" t="s">
        <v>4</v>
      </c>
      <c r="G614" s="223">
        <v>40147</v>
      </c>
      <c r="H614" s="223">
        <v>40148</v>
      </c>
      <c r="I614" s="223">
        <v>41973</v>
      </c>
      <c r="J614" s="3">
        <v>9</v>
      </c>
      <c r="K614" s="3" t="s">
        <v>10</v>
      </c>
      <c r="L614" s="3" t="s">
        <v>10</v>
      </c>
      <c r="M614" s="95" t="s">
        <v>27</v>
      </c>
      <c r="N614" s="3" t="s">
        <v>239</v>
      </c>
      <c r="O614" s="3" t="s">
        <v>651</v>
      </c>
      <c r="P614" s="3" t="s">
        <v>6</v>
      </c>
      <c r="Q614" s="3" t="s">
        <v>6</v>
      </c>
      <c r="R614" s="95" t="s">
        <v>652</v>
      </c>
      <c r="S614" s="223" t="s">
        <v>5</v>
      </c>
      <c r="T614" s="223" t="s">
        <v>5</v>
      </c>
      <c r="U614" s="223" t="s">
        <v>5</v>
      </c>
      <c r="V614" s="223" t="s">
        <v>5</v>
      </c>
      <c r="W614" s="223" t="s">
        <v>5</v>
      </c>
      <c r="X614" s="3" t="s">
        <v>5</v>
      </c>
      <c r="Y614" s="3" t="s">
        <v>651</v>
      </c>
      <c r="Z614" s="3" t="s">
        <v>651</v>
      </c>
      <c r="AA614" s="3" t="s">
        <v>10</v>
      </c>
      <c r="AB614" s="223" t="s">
        <v>5</v>
      </c>
      <c r="AC614" s="3" t="s">
        <v>6</v>
      </c>
      <c r="AD614" s="3" t="s">
        <v>10</v>
      </c>
      <c r="AE614" s="95" t="s">
        <v>2265</v>
      </c>
    </row>
    <row r="615" spans="1:31" x14ac:dyDescent="0.35">
      <c r="A615" s="3" t="s">
        <v>1427</v>
      </c>
      <c r="B615" s="3" t="s">
        <v>591</v>
      </c>
      <c r="C615" s="3">
        <v>2</v>
      </c>
      <c r="D615" s="95" t="s">
        <v>1428</v>
      </c>
      <c r="E615" s="95" t="s">
        <v>2880</v>
      </c>
      <c r="F615" s="95" t="s">
        <v>4</v>
      </c>
      <c r="G615" s="223">
        <v>39595</v>
      </c>
      <c r="H615" s="223">
        <v>39600</v>
      </c>
      <c r="I615" s="223">
        <v>41425</v>
      </c>
      <c r="J615" s="3">
        <v>2</v>
      </c>
      <c r="K615" s="3" t="s">
        <v>10</v>
      </c>
      <c r="L615" s="3" t="s">
        <v>10</v>
      </c>
      <c r="M615" s="95" t="s">
        <v>105</v>
      </c>
      <c r="N615" s="3" t="s">
        <v>106</v>
      </c>
      <c r="O615" s="3" t="s">
        <v>651</v>
      </c>
      <c r="P615" s="3" t="s">
        <v>6</v>
      </c>
      <c r="Q615" s="3" t="s">
        <v>6</v>
      </c>
      <c r="R615" s="95" t="s">
        <v>652</v>
      </c>
      <c r="S615" s="223" t="s">
        <v>5</v>
      </c>
      <c r="T615" s="223" t="s">
        <v>5</v>
      </c>
      <c r="U615" s="223" t="s">
        <v>5</v>
      </c>
      <c r="V615" s="223" t="s">
        <v>5</v>
      </c>
      <c r="W615" s="223" t="s">
        <v>5</v>
      </c>
      <c r="X615" s="3" t="s">
        <v>5</v>
      </c>
      <c r="Y615" s="3" t="s">
        <v>651</v>
      </c>
      <c r="Z615" s="3" t="s">
        <v>651</v>
      </c>
      <c r="AA615" s="3" t="s">
        <v>10</v>
      </c>
      <c r="AB615" s="223" t="s">
        <v>5</v>
      </c>
      <c r="AC615" s="3" t="s">
        <v>10</v>
      </c>
      <c r="AD615" s="3" t="s">
        <v>6</v>
      </c>
      <c r="AE615" s="95" t="s">
        <v>2265</v>
      </c>
    </row>
    <row r="616" spans="1:31" x14ac:dyDescent="0.35">
      <c r="A616" s="3" t="s">
        <v>1429</v>
      </c>
      <c r="B616" s="3" t="s">
        <v>591</v>
      </c>
      <c r="C616" s="3">
        <v>2</v>
      </c>
      <c r="D616" s="95" t="s">
        <v>1430</v>
      </c>
      <c r="E616" s="95" t="s">
        <v>2881</v>
      </c>
      <c r="F616" s="95" t="s">
        <v>4</v>
      </c>
      <c r="G616" s="223">
        <v>44896</v>
      </c>
      <c r="H616" s="223">
        <v>44927</v>
      </c>
      <c r="I616" s="223">
        <v>46752</v>
      </c>
      <c r="J616" s="3">
        <v>456</v>
      </c>
      <c r="K616" s="3" t="s">
        <v>10</v>
      </c>
      <c r="L616" s="3" t="s">
        <v>10</v>
      </c>
      <c r="M616" s="95" t="s">
        <v>2555</v>
      </c>
      <c r="N616" s="3" t="s">
        <v>52</v>
      </c>
      <c r="O616" s="3" t="s">
        <v>651</v>
      </c>
      <c r="P616" s="3" t="s">
        <v>6</v>
      </c>
      <c r="Q616" s="3" t="s">
        <v>6</v>
      </c>
      <c r="R616" s="95" t="s">
        <v>652</v>
      </c>
      <c r="S616" s="223" t="s">
        <v>5</v>
      </c>
      <c r="T616" s="223" t="s">
        <v>5</v>
      </c>
      <c r="U616" s="223" t="s">
        <v>5</v>
      </c>
      <c r="V616" s="223" t="s">
        <v>5</v>
      </c>
      <c r="W616" s="223" t="s">
        <v>5</v>
      </c>
      <c r="X616" s="3" t="s">
        <v>5</v>
      </c>
      <c r="Y616" s="3" t="s">
        <v>651</v>
      </c>
      <c r="Z616" s="3" t="s">
        <v>651</v>
      </c>
      <c r="AA616" s="3" t="s">
        <v>10</v>
      </c>
      <c r="AB616" s="223" t="s">
        <v>5</v>
      </c>
      <c r="AC616" s="3" t="s">
        <v>10</v>
      </c>
      <c r="AD616" s="3" t="s">
        <v>6</v>
      </c>
      <c r="AE616" s="95" t="s">
        <v>2265</v>
      </c>
    </row>
    <row r="617" spans="1:31" x14ac:dyDescent="0.35">
      <c r="A617" s="3" t="s">
        <v>1431</v>
      </c>
      <c r="B617" s="3" t="s">
        <v>591</v>
      </c>
      <c r="C617" s="3">
        <v>2</v>
      </c>
      <c r="D617" s="95" t="s">
        <v>1432</v>
      </c>
      <c r="E617" s="95" t="s">
        <v>2882</v>
      </c>
      <c r="F617" s="95" t="s">
        <v>4</v>
      </c>
      <c r="G617" s="223">
        <v>43048</v>
      </c>
      <c r="H617" s="223">
        <v>43101</v>
      </c>
      <c r="I617" s="223">
        <v>44926</v>
      </c>
      <c r="J617" s="3">
        <v>101</v>
      </c>
      <c r="K617" s="3" t="s">
        <v>10</v>
      </c>
      <c r="L617" s="3" t="s">
        <v>10</v>
      </c>
      <c r="M617" s="95" t="s">
        <v>2555</v>
      </c>
      <c r="N617" s="3" t="s">
        <v>52</v>
      </c>
      <c r="O617" s="3" t="s">
        <v>651</v>
      </c>
      <c r="P617" s="3" t="s">
        <v>6</v>
      </c>
      <c r="Q617" s="3" t="s">
        <v>6</v>
      </c>
      <c r="R617" s="95" t="s">
        <v>652</v>
      </c>
      <c r="S617" s="223" t="s">
        <v>5</v>
      </c>
      <c r="T617" s="223" t="s">
        <v>5</v>
      </c>
      <c r="U617" s="223" t="s">
        <v>5</v>
      </c>
      <c r="V617" s="223" t="s">
        <v>5</v>
      </c>
      <c r="W617" s="223" t="s">
        <v>5</v>
      </c>
      <c r="X617" s="3" t="s">
        <v>5</v>
      </c>
      <c r="Y617" s="3" t="s">
        <v>651</v>
      </c>
      <c r="Z617" s="3" t="s">
        <v>651</v>
      </c>
      <c r="AA617" s="3" t="s">
        <v>10</v>
      </c>
      <c r="AB617" s="223" t="s">
        <v>5</v>
      </c>
      <c r="AC617" s="3" t="s">
        <v>10</v>
      </c>
      <c r="AD617" s="3" t="s">
        <v>6</v>
      </c>
      <c r="AE617" s="95" t="s">
        <v>2265</v>
      </c>
    </row>
    <row r="618" spans="1:31" x14ac:dyDescent="0.35">
      <c r="A618" s="3" t="s">
        <v>1433</v>
      </c>
      <c r="B618" s="3" t="s">
        <v>591</v>
      </c>
      <c r="C618" s="3">
        <v>2</v>
      </c>
      <c r="D618" s="95" t="s">
        <v>1434</v>
      </c>
      <c r="E618" s="95" t="s">
        <v>2883</v>
      </c>
      <c r="F618" s="95" t="s">
        <v>4</v>
      </c>
      <c r="G618" s="223">
        <v>45260</v>
      </c>
      <c r="H618" s="223">
        <v>45292</v>
      </c>
      <c r="I618" s="223">
        <v>47118</v>
      </c>
      <c r="J618" s="3">
        <v>68</v>
      </c>
      <c r="K618" s="3" t="s">
        <v>10</v>
      </c>
      <c r="L618" s="3" t="s">
        <v>10</v>
      </c>
      <c r="M618" s="95" t="s">
        <v>2555</v>
      </c>
      <c r="N618" s="3" t="s">
        <v>52</v>
      </c>
      <c r="O618" s="3" t="s">
        <v>651</v>
      </c>
      <c r="P618" s="3" t="s">
        <v>6</v>
      </c>
      <c r="Q618" s="3" t="s">
        <v>6</v>
      </c>
      <c r="R618" s="95" t="s">
        <v>652</v>
      </c>
      <c r="S618" s="223" t="s">
        <v>5</v>
      </c>
      <c r="T618" s="223" t="s">
        <v>5</v>
      </c>
      <c r="U618" s="223" t="s">
        <v>5</v>
      </c>
      <c r="V618" s="223" t="s">
        <v>5</v>
      </c>
      <c r="W618" s="223" t="s">
        <v>5</v>
      </c>
      <c r="X618" s="3" t="s">
        <v>5</v>
      </c>
      <c r="Y618" s="3" t="s">
        <v>651</v>
      </c>
      <c r="Z618" s="3" t="s">
        <v>651</v>
      </c>
      <c r="AA618" s="3" t="s">
        <v>10</v>
      </c>
      <c r="AB618" s="223" t="s">
        <v>5</v>
      </c>
      <c r="AC618" s="3" t="s">
        <v>10</v>
      </c>
      <c r="AD618" s="3" t="s">
        <v>6</v>
      </c>
      <c r="AE618" s="95" t="s">
        <v>2265</v>
      </c>
    </row>
    <row r="619" spans="1:31" x14ac:dyDescent="0.35">
      <c r="A619" s="3" t="s">
        <v>1435</v>
      </c>
      <c r="B619" s="3" t="s">
        <v>591</v>
      </c>
      <c r="C619" s="3">
        <v>2</v>
      </c>
      <c r="D619" s="95" t="s">
        <v>1436</v>
      </c>
      <c r="E619" s="95" t="s">
        <v>2884</v>
      </c>
      <c r="F619" s="95" t="s">
        <v>4</v>
      </c>
      <c r="G619" s="223">
        <v>43798</v>
      </c>
      <c r="H619" s="223">
        <v>43831</v>
      </c>
      <c r="I619" s="223">
        <v>45657</v>
      </c>
      <c r="J619" s="3">
        <v>33</v>
      </c>
      <c r="K619" s="3" t="s">
        <v>10</v>
      </c>
      <c r="L619" s="3" t="s">
        <v>10</v>
      </c>
      <c r="M619" s="95" t="s">
        <v>2555</v>
      </c>
      <c r="N619" s="3" t="s">
        <v>52</v>
      </c>
      <c r="O619" s="3" t="s">
        <v>651</v>
      </c>
      <c r="P619" s="3" t="s">
        <v>6</v>
      </c>
      <c r="Q619" s="3" t="s">
        <v>6</v>
      </c>
      <c r="R619" s="95" t="s">
        <v>652</v>
      </c>
      <c r="S619" s="223" t="s">
        <v>5</v>
      </c>
      <c r="T619" s="223" t="s">
        <v>5</v>
      </c>
      <c r="U619" s="223" t="s">
        <v>5</v>
      </c>
      <c r="V619" s="223" t="s">
        <v>5</v>
      </c>
      <c r="W619" s="223" t="s">
        <v>5</v>
      </c>
      <c r="X619" s="3" t="s">
        <v>5</v>
      </c>
      <c r="Y619" s="3" t="s">
        <v>651</v>
      </c>
      <c r="Z619" s="3" t="s">
        <v>651</v>
      </c>
      <c r="AA619" s="3" t="s">
        <v>10</v>
      </c>
      <c r="AB619" s="223" t="s">
        <v>5</v>
      </c>
      <c r="AC619" s="3" t="s">
        <v>10</v>
      </c>
      <c r="AD619" s="3" t="s">
        <v>6</v>
      </c>
      <c r="AE619" s="95" t="s">
        <v>2265</v>
      </c>
    </row>
    <row r="620" spans="1:31" x14ac:dyDescent="0.35">
      <c r="A620" s="3" t="s">
        <v>1437</v>
      </c>
      <c r="B620" s="3" t="s">
        <v>591</v>
      </c>
      <c r="C620" s="3">
        <v>2</v>
      </c>
      <c r="D620" s="95" t="s">
        <v>1438</v>
      </c>
      <c r="E620" s="95" t="s">
        <v>2885</v>
      </c>
      <c r="F620" s="95" t="s">
        <v>4</v>
      </c>
      <c r="G620" s="223">
        <v>42979</v>
      </c>
      <c r="H620" s="223">
        <v>42979</v>
      </c>
      <c r="I620" s="223">
        <v>44804</v>
      </c>
      <c r="J620" s="3">
        <v>48</v>
      </c>
      <c r="K620" s="3" t="s">
        <v>10</v>
      </c>
      <c r="L620" s="3" t="s">
        <v>10</v>
      </c>
      <c r="M620" s="95" t="s">
        <v>114</v>
      </c>
      <c r="N620" s="3" t="s">
        <v>115</v>
      </c>
      <c r="O620" s="3" t="s">
        <v>651</v>
      </c>
      <c r="P620" s="3" t="s">
        <v>6</v>
      </c>
      <c r="Q620" s="3" t="s">
        <v>6</v>
      </c>
      <c r="R620" s="95" t="s">
        <v>652</v>
      </c>
      <c r="S620" s="223" t="s">
        <v>5</v>
      </c>
      <c r="T620" s="223" t="s">
        <v>5</v>
      </c>
      <c r="U620" s="223" t="s">
        <v>5</v>
      </c>
      <c r="V620" s="223" t="s">
        <v>5</v>
      </c>
      <c r="W620" s="223" t="s">
        <v>5</v>
      </c>
      <c r="X620" s="3" t="s">
        <v>5</v>
      </c>
      <c r="Y620" s="3" t="s">
        <v>651</v>
      </c>
      <c r="Z620" s="3" t="s">
        <v>651</v>
      </c>
      <c r="AA620" s="3" t="s">
        <v>10</v>
      </c>
      <c r="AB620" s="223" t="s">
        <v>5</v>
      </c>
      <c r="AC620" s="3" t="s">
        <v>6</v>
      </c>
      <c r="AD620" s="3" t="s">
        <v>10</v>
      </c>
      <c r="AE620" s="95" t="s">
        <v>2265</v>
      </c>
    </row>
    <row r="621" spans="1:31" x14ac:dyDescent="0.35">
      <c r="A621" s="3" t="s">
        <v>1439</v>
      </c>
      <c r="B621" s="3" t="s">
        <v>591</v>
      </c>
      <c r="C621" s="3">
        <v>2</v>
      </c>
      <c r="D621" s="95" t="s">
        <v>1440</v>
      </c>
      <c r="E621" s="95" t="s">
        <v>2886</v>
      </c>
      <c r="F621" s="95" t="s">
        <v>4</v>
      </c>
      <c r="G621" s="223">
        <v>44040</v>
      </c>
      <c r="H621" s="223">
        <v>44044</v>
      </c>
      <c r="I621" s="223">
        <v>45869</v>
      </c>
      <c r="J621" s="3">
        <v>72</v>
      </c>
      <c r="K621" s="3" t="s">
        <v>10</v>
      </c>
      <c r="L621" s="3" t="s">
        <v>10</v>
      </c>
      <c r="M621" s="95" t="s">
        <v>288</v>
      </c>
      <c r="N621" s="3" t="s">
        <v>68</v>
      </c>
      <c r="O621" s="3" t="s">
        <v>651</v>
      </c>
      <c r="P621" s="3" t="s">
        <v>6</v>
      </c>
      <c r="Q621" s="3" t="s">
        <v>6</v>
      </c>
      <c r="R621" s="95" t="s">
        <v>652</v>
      </c>
      <c r="S621" s="223" t="s">
        <v>5</v>
      </c>
      <c r="T621" s="223" t="s">
        <v>5</v>
      </c>
      <c r="U621" s="223" t="s">
        <v>5</v>
      </c>
      <c r="V621" s="223" t="s">
        <v>5</v>
      </c>
      <c r="W621" s="223" t="s">
        <v>5</v>
      </c>
      <c r="X621" s="3" t="s">
        <v>5</v>
      </c>
      <c r="Y621" s="3" t="s">
        <v>651</v>
      </c>
      <c r="Z621" s="3" t="s">
        <v>651</v>
      </c>
      <c r="AA621" s="3" t="s">
        <v>10</v>
      </c>
      <c r="AB621" s="223" t="s">
        <v>5</v>
      </c>
      <c r="AC621" s="3" t="s">
        <v>6</v>
      </c>
      <c r="AD621" s="3" t="s">
        <v>10</v>
      </c>
      <c r="AE621" s="95" t="s">
        <v>2265</v>
      </c>
    </row>
    <row r="622" spans="1:31" x14ac:dyDescent="0.35">
      <c r="A622" s="3" t="s">
        <v>1441</v>
      </c>
      <c r="B622" s="3" t="s">
        <v>591</v>
      </c>
      <c r="C622" s="3">
        <v>2</v>
      </c>
      <c r="D622" s="95" t="s">
        <v>1442</v>
      </c>
      <c r="E622" s="95" t="s">
        <v>2483</v>
      </c>
      <c r="F622" s="95" t="s">
        <v>4</v>
      </c>
      <c r="G622" s="223">
        <v>41480</v>
      </c>
      <c r="H622" s="223">
        <v>41548</v>
      </c>
      <c r="I622" s="223">
        <v>43373</v>
      </c>
      <c r="J622" s="3">
        <v>100</v>
      </c>
      <c r="K622" s="3" t="s">
        <v>10</v>
      </c>
      <c r="L622" s="3" t="s">
        <v>10</v>
      </c>
      <c r="M622" s="95" t="s">
        <v>27</v>
      </c>
      <c r="N622" s="3" t="s">
        <v>28</v>
      </c>
      <c r="O622" s="3" t="s">
        <v>651</v>
      </c>
      <c r="P622" s="3" t="s">
        <v>6</v>
      </c>
      <c r="Q622" s="3" t="s">
        <v>6</v>
      </c>
      <c r="R622" s="95" t="s">
        <v>652</v>
      </c>
      <c r="S622" s="223" t="s">
        <v>5</v>
      </c>
      <c r="T622" s="223" t="s">
        <v>5</v>
      </c>
      <c r="U622" s="223" t="s">
        <v>5</v>
      </c>
      <c r="V622" s="223" t="s">
        <v>5</v>
      </c>
      <c r="W622" s="223" t="s">
        <v>5</v>
      </c>
      <c r="X622" s="3" t="s">
        <v>5</v>
      </c>
      <c r="Y622" s="3" t="s">
        <v>651</v>
      </c>
      <c r="Z622" s="3" t="s">
        <v>651</v>
      </c>
      <c r="AA622" s="3" t="s">
        <v>10</v>
      </c>
      <c r="AB622" s="223" t="s">
        <v>5</v>
      </c>
      <c r="AC622" s="3" t="s">
        <v>6</v>
      </c>
      <c r="AD622" s="3" t="s">
        <v>10</v>
      </c>
      <c r="AE622" s="95" t="s">
        <v>2265</v>
      </c>
    </row>
    <row r="623" spans="1:31" x14ac:dyDescent="0.35">
      <c r="A623" s="3" t="s">
        <v>1443</v>
      </c>
      <c r="B623" s="3" t="s">
        <v>591</v>
      </c>
      <c r="C623" s="3">
        <v>2</v>
      </c>
      <c r="D623" s="95" t="s">
        <v>1444</v>
      </c>
      <c r="E623" s="95" t="s">
        <v>2484</v>
      </c>
      <c r="F623" s="95" t="s">
        <v>4</v>
      </c>
      <c r="G623" s="223">
        <v>41122</v>
      </c>
      <c r="H623" s="223">
        <v>41183</v>
      </c>
      <c r="I623" s="223">
        <v>43008</v>
      </c>
      <c r="J623" s="3">
        <v>119</v>
      </c>
      <c r="K623" s="3" t="s">
        <v>10</v>
      </c>
      <c r="L623" s="3" t="s">
        <v>10</v>
      </c>
      <c r="M623" s="95" t="s">
        <v>27</v>
      </c>
      <c r="N623" s="3" t="s">
        <v>28</v>
      </c>
      <c r="O623" s="3" t="s">
        <v>651</v>
      </c>
      <c r="P623" s="3" t="s">
        <v>6</v>
      </c>
      <c r="Q623" s="3" t="s">
        <v>6</v>
      </c>
      <c r="R623" s="95" t="s">
        <v>652</v>
      </c>
      <c r="S623" s="223" t="s">
        <v>5</v>
      </c>
      <c r="T623" s="223" t="s">
        <v>5</v>
      </c>
      <c r="U623" s="223" t="s">
        <v>5</v>
      </c>
      <c r="V623" s="223" t="s">
        <v>5</v>
      </c>
      <c r="W623" s="223" t="s">
        <v>5</v>
      </c>
      <c r="X623" s="3" t="s">
        <v>5</v>
      </c>
      <c r="Y623" s="3" t="s">
        <v>651</v>
      </c>
      <c r="Z623" s="3" t="s">
        <v>651</v>
      </c>
      <c r="AA623" s="3" t="s">
        <v>10</v>
      </c>
      <c r="AB623" s="223" t="s">
        <v>5</v>
      </c>
      <c r="AC623" s="3" t="s">
        <v>10</v>
      </c>
      <c r="AD623" s="3" t="s">
        <v>10</v>
      </c>
      <c r="AE623" s="95" t="s">
        <v>2265</v>
      </c>
    </row>
    <row r="624" spans="1:31" x14ac:dyDescent="0.35">
      <c r="A624" s="3" t="s">
        <v>1445</v>
      </c>
      <c r="B624" s="3" t="s">
        <v>591</v>
      </c>
      <c r="C624" s="3">
        <v>2</v>
      </c>
      <c r="D624" s="95" t="s">
        <v>1446</v>
      </c>
      <c r="E624" s="95" t="s">
        <v>2887</v>
      </c>
      <c r="F624" s="95" t="s">
        <v>4</v>
      </c>
      <c r="G624" s="223">
        <v>43874</v>
      </c>
      <c r="H624" s="223">
        <v>43891</v>
      </c>
      <c r="I624" s="223">
        <v>45716</v>
      </c>
      <c r="J624" s="3">
        <v>35</v>
      </c>
      <c r="K624" s="3" t="s">
        <v>10</v>
      </c>
      <c r="L624" s="3" t="s">
        <v>10</v>
      </c>
      <c r="M624" s="95" t="s">
        <v>19</v>
      </c>
      <c r="N624" s="3" t="s">
        <v>20</v>
      </c>
      <c r="O624" s="3" t="s">
        <v>651</v>
      </c>
      <c r="P624" s="3" t="s">
        <v>6</v>
      </c>
      <c r="Q624" s="3" t="s">
        <v>6</v>
      </c>
      <c r="R624" s="95" t="s">
        <v>652</v>
      </c>
      <c r="S624" s="223" t="s">
        <v>5</v>
      </c>
      <c r="T624" s="223" t="s">
        <v>5</v>
      </c>
      <c r="U624" s="223" t="s">
        <v>5</v>
      </c>
      <c r="V624" s="223" t="s">
        <v>5</v>
      </c>
      <c r="W624" s="223" t="s">
        <v>5</v>
      </c>
      <c r="X624" s="3" t="s">
        <v>5</v>
      </c>
      <c r="Y624" s="3" t="s">
        <v>651</v>
      </c>
      <c r="Z624" s="3" t="s">
        <v>651</v>
      </c>
      <c r="AA624" s="3" t="s">
        <v>10</v>
      </c>
      <c r="AB624" s="223" t="s">
        <v>5</v>
      </c>
      <c r="AC624" s="3" t="s">
        <v>10</v>
      </c>
      <c r="AD624" s="3" t="s">
        <v>10</v>
      </c>
      <c r="AE624" s="95" t="s">
        <v>2265</v>
      </c>
    </row>
    <row r="625" spans="1:31" x14ac:dyDescent="0.35">
      <c r="A625" s="3" t="s">
        <v>1447</v>
      </c>
      <c r="B625" s="3" t="s">
        <v>591</v>
      </c>
      <c r="C625" s="3">
        <v>2</v>
      </c>
      <c r="D625" s="95" t="s">
        <v>1448</v>
      </c>
      <c r="E625" s="95" t="s">
        <v>2485</v>
      </c>
      <c r="F625" s="95" t="s">
        <v>4</v>
      </c>
      <c r="G625" s="223">
        <v>44860</v>
      </c>
      <c r="H625" s="223">
        <v>44927</v>
      </c>
      <c r="I625" s="223">
        <v>46752</v>
      </c>
      <c r="J625" s="3">
        <v>22</v>
      </c>
      <c r="K625" s="3" t="s">
        <v>10</v>
      </c>
      <c r="L625" s="3" t="s">
        <v>10</v>
      </c>
      <c r="M625" s="95" t="s">
        <v>47</v>
      </c>
      <c r="N625" s="3" t="s">
        <v>48</v>
      </c>
      <c r="O625" s="3" t="s">
        <v>651</v>
      </c>
      <c r="P625" s="3" t="s">
        <v>6</v>
      </c>
      <c r="Q625" s="3" t="s">
        <v>6</v>
      </c>
      <c r="R625" s="95" t="s">
        <v>652</v>
      </c>
      <c r="S625" s="223" t="s">
        <v>5</v>
      </c>
      <c r="T625" s="223" t="s">
        <v>5</v>
      </c>
      <c r="U625" s="223" t="s">
        <v>5</v>
      </c>
      <c r="V625" s="223" t="s">
        <v>5</v>
      </c>
      <c r="W625" s="223" t="s">
        <v>5</v>
      </c>
      <c r="X625" s="3" t="s">
        <v>5</v>
      </c>
      <c r="Y625" s="3" t="s">
        <v>651</v>
      </c>
      <c r="Z625" s="3" t="s">
        <v>651</v>
      </c>
      <c r="AA625" s="3" t="s">
        <v>10</v>
      </c>
      <c r="AB625" s="223" t="s">
        <v>5</v>
      </c>
      <c r="AC625" s="3" t="s">
        <v>6</v>
      </c>
      <c r="AD625" s="3" t="s">
        <v>10</v>
      </c>
      <c r="AE625" s="95" t="s">
        <v>2265</v>
      </c>
    </row>
    <row r="626" spans="1:31" x14ac:dyDescent="0.35">
      <c r="A626" s="3" t="s">
        <v>2486</v>
      </c>
      <c r="B626" s="3" t="s">
        <v>591</v>
      </c>
      <c r="C626" s="3">
        <v>2</v>
      </c>
      <c r="D626" s="95" t="s">
        <v>2487</v>
      </c>
      <c r="E626" s="95" t="s">
        <v>2488</v>
      </c>
      <c r="F626" s="95" t="s">
        <v>4</v>
      </c>
      <c r="G626" s="223">
        <v>41791</v>
      </c>
      <c r="H626" s="223">
        <v>41791</v>
      </c>
      <c r="I626" s="223">
        <v>43616</v>
      </c>
      <c r="J626" s="3">
        <v>16</v>
      </c>
      <c r="K626" s="3" t="s">
        <v>10</v>
      </c>
      <c r="L626" s="3" t="s">
        <v>10</v>
      </c>
      <c r="M626" s="95" t="s">
        <v>27</v>
      </c>
      <c r="N626" s="3" t="s">
        <v>28</v>
      </c>
      <c r="O626" s="3" t="s">
        <v>651</v>
      </c>
      <c r="P626" s="3" t="s">
        <v>6</v>
      </c>
      <c r="Q626" s="3" t="s">
        <v>6</v>
      </c>
      <c r="R626" s="95" t="s">
        <v>652</v>
      </c>
      <c r="S626" s="223" t="s">
        <v>5</v>
      </c>
      <c r="T626" s="223" t="s">
        <v>5</v>
      </c>
      <c r="U626" s="223" t="s">
        <v>5</v>
      </c>
      <c r="V626" s="223" t="s">
        <v>5</v>
      </c>
      <c r="W626" s="223" t="s">
        <v>5</v>
      </c>
      <c r="X626" s="3" t="s">
        <v>5</v>
      </c>
      <c r="Y626" s="3" t="s">
        <v>651</v>
      </c>
      <c r="Z626" s="3" t="s">
        <v>651</v>
      </c>
      <c r="AA626" s="3" t="s">
        <v>10</v>
      </c>
      <c r="AB626" s="223" t="s">
        <v>5</v>
      </c>
      <c r="AC626" s="3" t="s">
        <v>10</v>
      </c>
      <c r="AD626" s="3" t="s">
        <v>10</v>
      </c>
      <c r="AE626" s="95" t="s">
        <v>2265</v>
      </c>
    </row>
    <row r="627" spans="1:31" x14ac:dyDescent="0.35">
      <c r="A627" s="3" t="s">
        <v>2489</v>
      </c>
      <c r="B627" s="3" t="s">
        <v>314</v>
      </c>
      <c r="C627" s="3">
        <v>6</v>
      </c>
      <c r="D627" s="95" t="s">
        <v>2490</v>
      </c>
      <c r="E627" s="95" t="s">
        <v>2888</v>
      </c>
      <c r="F627" s="95" t="s">
        <v>437</v>
      </c>
      <c r="G627" s="223">
        <v>44978</v>
      </c>
      <c r="H627" s="223">
        <v>45031</v>
      </c>
      <c r="I627" s="223">
        <v>46857</v>
      </c>
      <c r="J627" s="3">
        <v>5</v>
      </c>
      <c r="K627" s="3" t="s">
        <v>6</v>
      </c>
      <c r="L627" s="3" t="s">
        <v>6</v>
      </c>
      <c r="M627" s="95" t="s">
        <v>136</v>
      </c>
      <c r="N627" s="3" t="s">
        <v>138</v>
      </c>
      <c r="O627" s="3" t="s">
        <v>8</v>
      </c>
      <c r="P627" s="3" t="s">
        <v>6</v>
      </c>
      <c r="Q627" s="3" t="s">
        <v>6</v>
      </c>
      <c r="R627" s="95" t="s">
        <v>9</v>
      </c>
      <c r="S627" s="223">
        <v>44333</v>
      </c>
      <c r="T627" s="223">
        <v>44333</v>
      </c>
      <c r="U627" s="223">
        <v>44333</v>
      </c>
      <c r="V627" s="223">
        <v>44333</v>
      </c>
      <c r="W627" s="223" t="s">
        <v>6</v>
      </c>
      <c r="X627" s="3" t="s">
        <v>26</v>
      </c>
      <c r="Y627" s="3" t="s">
        <v>2248</v>
      </c>
      <c r="Z627" s="3" t="s">
        <v>2249</v>
      </c>
      <c r="AA627" s="3" t="s">
        <v>6</v>
      </c>
      <c r="AB627" s="223">
        <v>44862</v>
      </c>
      <c r="AC627" s="3" t="s">
        <v>6</v>
      </c>
      <c r="AD627" s="3" t="s">
        <v>10</v>
      </c>
      <c r="AE627" s="95" t="s">
        <v>2263</v>
      </c>
    </row>
    <row r="628" spans="1:31" x14ac:dyDescent="0.35">
      <c r="A628" s="3" t="s">
        <v>313</v>
      </c>
      <c r="B628" s="3" t="s">
        <v>314</v>
      </c>
      <c r="C628" s="3">
        <v>6</v>
      </c>
      <c r="D628" s="95" t="s">
        <v>315</v>
      </c>
      <c r="E628" s="95" t="s">
        <v>433</v>
      </c>
      <c r="F628" s="95" t="s">
        <v>4</v>
      </c>
      <c r="G628" s="223">
        <v>42565</v>
      </c>
      <c r="H628" s="223">
        <v>42614</v>
      </c>
      <c r="I628" s="223">
        <v>44439</v>
      </c>
      <c r="J628" s="3">
        <v>19</v>
      </c>
      <c r="K628" s="3" t="s">
        <v>6</v>
      </c>
      <c r="L628" s="3" t="s">
        <v>6</v>
      </c>
      <c r="M628" s="95" t="s">
        <v>105</v>
      </c>
      <c r="N628" s="3" t="s">
        <v>106</v>
      </c>
      <c r="O628" s="3" t="s">
        <v>49</v>
      </c>
      <c r="P628" s="3" t="s">
        <v>6</v>
      </c>
      <c r="Q628" s="3" t="s">
        <v>6</v>
      </c>
      <c r="R628" s="95" t="s">
        <v>9</v>
      </c>
      <c r="S628" s="223">
        <v>43437</v>
      </c>
      <c r="T628" s="223">
        <v>43602</v>
      </c>
      <c r="U628" s="223">
        <v>43252</v>
      </c>
      <c r="V628" s="223">
        <v>43252</v>
      </c>
      <c r="W628" s="223" t="s">
        <v>6</v>
      </c>
      <c r="X628" s="3" t="s">
        <v>51</v>
      </c>
      <c r="Y628" s="3" t="s">
        <v>2131</v>
      </c>
      <c r="Z628" s="3" t="s">
        <v>106</v>
      </c>
      <c r="AA628" s="3" t="s">
        <v>10</v>
      </c>
      <c r="AB628" s="223" t="s">
        <v>5</v>
      </c>
      <c r="AC628" s="3" t="s">
        <v>10</v>
      </c>
      <c r="AD628" s="3" t="s">
        <v>6</v>
      </c>
      <c r="AE628" s="95" t="s">
        <v>2265</v>
      </c>
    </row>
    <row r="629" spans="1:31" x14ac:dyDescent="0.35">
      <c r="A629" s="3" t="s">
        <v>316</v>
      </c>
      <c r="B629" s="3" t="s">
        <v>314</v>
      </c>
      <c r="C629" s="3">
        <v>6</v>
      </c>
      <c r="D629" s="95" t="s">
        <v>3162</v>
      </c>
      <c r="E629" s="95" t="s">
        <v>422</v>
      </c>
      <c r="F629" s="95" t="s">
        <v>437</v>
      </c>
      <c r="G629" s="223">
        <v>44455</v>
      </c>
      <c r="H629" s="223">
        <v>44500</v>
      </c>
      <c r="I629" s="223">
        <v>46326</v>
      </c>
      <c r="J629" s="3">
        <v>13</v>
      </c>
      <c r="K629" s="3" t="s">
        <v>6</v>
      </c>
      <c r="L629" s="3" t="s">
        <v>6</v>
      </c>
      <c r="M629" s="95" t="s">
        <v>19</v>
      </c>
      <c r="N629" s="3" t="s">
        <v>20</v>
      </c>
      <c r="O629" s="3" t="s">
        <v>21</v>
      </c>
      <c r="P629" s="3" t="s">
        <v>6</v>
      </c>
      <c r="Q629" s="3" t="s">
        <v>6</v>
      </c>
      <c r="R629" s="95" t="s">
        <v>22</v>
      </c>
      <c r="S629" s="223">
        <v>43675</v>
      </c>
      <c r="T629" s="223">
        <v>43756</v>
      </c>
      <c r="U629" s="223">
        <v>43647</v>
      </c>
      <c r="V629" s="223">
        <v>43647</v>
      </c>
      <c r="W629" s="223" t="s">
        <v>6</v>
      </c>
      <c r="X629" s="3" t="s">
        <v>26</v>
      </c>
      <c r="Y629" s="3" t="s">
        <v>2116</v>
      </c>
      <c r="Z629" s="3" t="s">
        <v>20</v>
      </c>
      <c r="AA629" s="3" t="s">
        <v>6</v>
      </c>
      <c r="AB629" s="223">
        <v>44442</v>
      </c>
      <c r="AC629" s="3" t="s">
        <v>10</v>
      </c>
      <c r="AD629" s="3" t="s">
        <v>10</v>
      </c>
      <c r="AE629" s="95" t="s">
        <v>2263</v>
      </c>
    </row>
    <row r="630" spans="1:31" x14ac:dyDescent="0.35">
      <c r="A630" s="3" t="s">
        <v>2491</v>
      </c>
      <c r="B630" s="3" t="s">
        <v>314</v>
      </c>
      <c r="C630" s="3">
        <v>6</v>
      </c>
      <c r="D630" s="95" t="s">
        <v>2492</v>
      </c>
      <c r="E630" s="95" t="s">
        <v>2888</v>
      </c>
      <c r="F630" s="95" t="s">
        <v>437</v>
      </c>
      <c r="G630" s="223">
        <v>44592</v>
      </c>
      <c r="H630" s="223">
        <v>44592</v>
      </c>
      <c r="I630" s="223">
        <v>46418</v>
      </c>
      <c r="J630" s="3">
        <v>5</v>
      </c>
      <c r="K630" s="3" t="s">
        <v>6</v>
      </c>
      <c r="L630" s="3" t="s">
        <v>6</v>
      </c>
      <c r="M630" s="95" t="s">
        <v>136</v>
      </c>
      <c r="N630" s="3" t="s">
        <v>138</v>
      </c>
      <c r="O630" s="3" t="s">
        <v>8</v>
      </c>
      <c r="P630" s="3" t="s">
        <v>6</v>
      </c>
      <c r="Q630" s="3" t="s">
        <v>6</v>
      </c>
      <c r="R630" s="95" t="s">
        <v>9</v>
      </c>
      <c r="S630" s="223">
        <v>44333</v>
      </c>
      <c r="T630" s="223">
        <v>44333</v>
      </c>
      <c r="U630" s="223">
        <v>44333</v>
      </c>
      <c r="V630" s="223">
        <v>44333</v>
      </c>
      <c r="W630" s="223" t="s">
        <v>6</v>
      </c>
      <c r="X630" s="3" t="s">
        <v>26</v>
      </c>
      <c r="Y630" s="3" t="s">
        <v>2248</v>
      </c>
      <c r="Z630" s="3" t="s">
        <v>2249</v>
      </c>
      <c r="AA630" s="3" t="s">
        <v>6</v>
      </c>
      <c r="AB630" s="223">
        <v>44862</v>
      </c>
      <c r="AC630" s="3" t="s">
        <v>6</v>
      </c>
      <c r="AD630" s="3" t="s">
        <v>10</v>
      </c>
      <c r="AE630" s="95" t="s">
        <v>2263</v>
      </c>
    </row>
    <row r="631" spans="1:31" x14ac:dyDescent="0.35">
      <c r="A631" s="3" t="s">
        <v>485</v>
      </c>
      <c r="B631" s="3" t="s">
        <v>314</v>
      </c>
      <c r="C631" s="3">
        <v>6</v>
      </c>
      <c r="D631" s="95" t="s">
        <v>486</v>
      </c>
      <c r="E631" s="95" t="s">
        <v>487</v>
      </c>
      <c r="F631" s="95" t="s">
        <v>4</v>
      </c>
      <c r="G631" s="223">
        <v>41992</v>
      </c>
      <c r="H631" s="223">
        <v>41995</v>
      </c>
      <c r="I631" s="223">
        <v>43818</v>
      </c>
      <c r="J631" s="3">
        <v>18</v>
      </c>
      <c r="K631" s="3" t="s">
        <v>6</v>
      </c>
      <c r="L631" s="3" t="s">
        <v>6</v>
      </c>
      <c r="M631" s="95" t="s">
        <v>2555</v>
      </c>
      <c r="N631" s="3" t="s">
        <v>52</v>
      </c>
      <c r="O631" s="3" t="s">
        <v>17</v>
      </c>
      <c r="P631" s="3" t="s">
        <v>6</v>
      </c>
      <c r="Q631" s="3" t="s">
        <v>6</v>
      </c>
      <c r="R631" s="95" t="s">
        <v>9</v>
      </c>
      <c r="S631" s="223">
        <v>43591</v>
      </c>
      <c r="T631" s="223">
        <v>43749</v>
      </c>
      <c r="U631" s="223">
        <v>43679</v>
      </c>
      <c r="V631" s="223">
        <v>43679</v>
      </c>
      <c r="W631" s="223" t="s">
        <v>6</v>
      </c>
      <c r="X631" s="3" t="s">
        <v>26</v>
      </c>
      <c r="Y631" s="3" t="s">
        <v>2123</v>
      </c>
      <c r="Z631" s="3" t="s">
        <v>52</v>
      </c>
      <c r="AA631" s="3" t="s">
        <v>2372</v>
      </c>
      <c r="AB631" s="223" t="s">
        <v>5</v>
      </c>
      <c r="AC631" s="3" t="s">
        <v>6</v>
      </c>
      <c r="AD631" s="3" t="s">
        <v>6</v>
      </c>
      <c r="AE631" s="95" t="s">
        <v>2265</v>
      </c>
    </row>
    <row r="632" spans="1:31" x14ac:dyDescent="0.35">
      <c r="A632" s="3" t="s">
        <v>1985</v>
      </c>
      <c r="B632" s="3" t="s">
        <v>314</v>
      </c>
      <c r="C632" s="3">
        <v>6</v>
      </c>
      <c r="D632" s="95" t="s">
        <v>1986</v>
      </c>
      <c r="E632" s="95" t="s">
        <v>2272</v>
      </c>
      <c r="F632" s="95" t="s">
        <v>437</v>
      </c>
      <c r="G632" s="223">
        <v>44211</v>
      </c>
      <c r="H632" s="223">
        <v>44256</v>
      </c>
      <c r="I632" s="223">
        <v>46081</v>
      </c>
      <c r="J632" s="3">
        <v>5</v>
      </c>
      <c r="K632" s="3" t="s">
        <v>6</v>
      </c>
      <c r="L632" s="3" t="s">
        <v>6</v>
      </c>
      <c r="M632" s="95" t="s">
        <v>27</v>
      </c>
      <c r="N632" s="3" t="s">
        <v>28</v>
      </c>
      <c r="O632" s="3" t="s">
        <v>25</v>
      </c>
      <c r="P632" s="3" t="s">
        <v>6</v>
      </c>
      <c r="Q632" s="3" t="s">
        <v>6</v>
      </c>
      <c r="R632" s="95" t="s">
        <v>22</v>
      </c>
      <c r="S632" s="223">
        <v>43374</v>
      </c>
      <c r="T632" s="223">
        <v>43553</v>
      </c>
      <c r="U632" s="223">
        <v>43009</v>
      </c>
      <c r="V632" s="223">
        <v>43009</v>
      </c>
      <c r="W632" s="223" t="s">
        <v>6</v>
      </c>
      <c r="X632" s="3" t="s">
        <v>26</v>
      </c>
      <c r="Y632" s="3" t="s">
        <v>2100</v>
      </c>
      <c r="Z632" s="3" t="s">
        <v>28</v>
      </c>
      <c r="AA632" s="3" t="s">
        <v>6</v>
      </c>
      <c r="AB632" s="223">
        <v>42159</v>
      </c>
      <c r="AC632" s="3" t="s">
        <v>6</v>
      </c>
      <c r="AD632" s="3" t="s">
        <v>10</v>
      </c>
      <c r="AE632" s="95" t="s">
        <v>2263</v>
      </c>
    </row>
    <row r="633" spans="1:31" x14ac:dyDescent="0.35">
      <c r="A633" s="3" t="s">
        <v>1987</v>
      </c>
      <c r="B633" s="3" t="s">
        <v>314</v>
      </c>
      <c r="C633" s="3">
        <v>6</v>
      </c>
      <c r="D633" s="95" t="s">
        <v>1988</v>
      </c>
      <c r="E633" s="95" t="s">
        <v>1912</v>
      </c>
      <c r="F633" s="95" t="s">
        <v>437</v>
      </c>
      <c r="G633" s="223">
        <v>44609</v>
      </c>
      <c r="H633" s="223">
        <v>44609</v>
      </c>
      <c r="I633" s="223">
        <v>46434</v>
      </c>
      <c r="J633" s="3">
        <v>91</v>
      </c>
      <c r="K633" s="3" t="s">
        <v>6</v>
      </c>
      <c r="L633" s="3" t="s">
        <v>6</v>
      </c>
      <c r="M633" s="95" t="s">
        <v>23</v>
      </c>
      <c r="N633" s="3" t="s">
        <v>24</v>
      </c>
      <c r="O633" s="3" t="s">
        <v>25</v>
      </c>
      <c r="P633" s="3" t="s">
        <v>6</v>
      </c>
      <c r="Q633" s="3" t="s">
        <v>6</v>
      </c>
      <c r="R633" s="95" t="s">
        <v>22</v>
      </c>
      <c r="S633" s="223">
        <v>43374</v>
      </c>
      <c r="T633" s="223">
        <v>43497</v>
      </c>
      <c r="U633" s="223">
        <v>42644</v>
      </c>
      <c r="V633" s="223">
        <v>42644</v>
      </c>
      <c r="W633" s="223" t="s">
        <v>6</v>
      </c>
      <c r="X633" s="3" t="s">
        <v>26</v>
      </c>
      <c r="Y633" s="3" t="s">
        <v>2093</v>
      </c>
      <c r="Z633" s="3" t="s">
        <v>24</v>
      </c>
      <c r="AA633" s="3" t="s">
        <v>6</v>
      </c>
      <c r="AB633" s="223">
        <v>42782</v>
      </c>
      <c r="AC633" s="3" t="s">
        <v>10</v>
      </c>
      <c r="AD633" s="3" t="s">
        <v>10</v>
      </c>
      <c r="AE633" s="95" t="s">
        <v>2263</v>
      </c>
    </row>
    <row r="634" spans="1:31" x14ac:dyDescent="0.35">
      <c r="A634" s="3" t="s">
        <v>317</v>
      </c>
      <c r="B634" s="3" t="s">
        <v>314</v>
      </c>
      <c r="C634" s="3">
        <v>6</v>
      </c>
      <c r="D634" s="95" t="s">
        <v>478</v>
      </c>
      <c r="E634" s="95" t="s">
        <v>479</v>
      </c>
      <c r="F634" s="95" t="s">
        <v>4</v>
      </c>
      <c r="G634" s="223">
        <v>39233</v>
      </c>
      <c r="H634" s="223">
        <v>39264</v>
      </c>
      <c r="I634" s="223">
        <v>41090</v>
      </c>
      <c r="J634" s="3">
        <v>23</v>
      </c>
      <c r="K634" s="3" t="s">
        <v>6</v>
      </c>
      <c r="L634" s="3" t="s">
        <v>6</v>
      </c>
      <c r="M634" s="95" t="s">
        <v>2555</v>
      </c>
      <c r="N634" s="3" t="s">
        <v>52</v>
      </c>
      <c r="O634" s="3" t="s">
        <v>17</v>
      </c>
      <c r="P634" s="3" t="s">
        <v>6</v>
      </c>
      <c r="Q634" s="3" t="s">
        <v>6</v>
      </c>
      <c r="R634" s="95" t="s">
        <v>9</v>
      </c>
      <c r="S634" s="223">
        <v>43591</v>
      </c>
      <c r="T634" s="223">
        <v>43749</v>
      </c>
      <c r="U634" s="223">
        <v>43679</v>
      </c>
      <c r="V634" s="223">
        <v>43679</v>
      </c>
      <c r="W634" s="223" t="s">
        <v>6</v>
      </c>
      <c r="X634" s="3" t="s">
        <v>26</v>
      </c>
      <c r="Y634" s="3" t="s">
        <v>2122</v>
      </c>
      <c r="Z634" s="3" t="s">
        <v>52</v>
      </c>
      <c r="AA634" s="3" t="s">
        <v>2372</v>
      </c>
      <c r="AB634" s="223" t="s">
        <v>5</v>
      </c>
      <c r="AC634" s="3" t="s">
        <v>6</v>
      </c>
      <c r="AD634" s="3" t="s">
        <v>6</v>
      </c>
      <c r="AE634" s="95" t="s">
        <v>2265</v>
      </c>
    </row>
    <row r="635" spans="1:31" x14ac:dyDescent="0.35">
      <c r="A635" s="3" t="s">
        <v>1989</v>
      </c>
      <c r="B635" s="3" t="s">
        <v>314</v>
      </c>
      <c r="C635" s="3">
        <v>6</v>
      </c>
      <c r="D635" s="95" t="s">
        <v>1990</v>
      </c>
      <c r="E635" s="95" t="s">
        <v>2272</v>
      </c>
      <c r="F635" s="95" t="s">
        <v>437</v>
      </c>
      <c r="G635" s="223">
        <v>44211</v>
      </c>
      <c r="H635" s="223">
        <v>44256</v>
      </c>
      <c r="I635" s="223">
        <v>46081</v>
      </c>
      <c r="J635" s="3">
        <v>707</v>
      </c>
      <c r="K635" s="3" t="s">
        <v>6</v>
      </c>
      <c r="L635" s="3" t="s">
        <v>6</v>
      </c>
      <c r="M635" s="95" t="s">
        <v>27</v>
      </c>
      <c r="N635" s="3" t="s">
        <v>28</v>
      </c>
      <c r="O635" s="3" t="s">
        <v>25</v>
      </c>
      <c r="P635" s="3" t="s">
        <v>6</v>
      </c>
      <c r="Q635" s="3" t="s">
        <v>6</v>
      </c>
      <c r="R635" s="95" t="s">
        <v>22</v>
      </c>
      <c r="S635" s="223">
        <v>43374</v>
      </c>
      <c r="T635" s="223">
        <v>43553</v>
      </c>
      <c r="U635" s="223">
        <v>43009</v>
      </c>
      <c r="V635" s="223">
        <v>43009</v>
      </c>
      <c r="W635" s="223" t="s">
        <v>6</v>
      </c>
      <c r="X635" s="3" t="s">
        <v>26</v>
      </c>
      <c r="Y635" s="3" t="s">
        <v>2100</v>
      </c>
      <c r="Z635" s="3" t="s">
        <v>28</v>
      </c>
      <c r="AA635" s="3" t="s">
        <v>6</v>
      </c>
      <c r="AB635" s="223">
        <v>42159</v>
      </c>
      <c r="AC635" s="3" t="s">
        <v>6</v>
      </c>
      <c r="AD635" s="3" t="s">
        <v>10</v>
      </c>
      <c r="AE635" s="95" t="s">
        <v>2263</v>
      </c>
    </row>
    <row r="636" spans="1:31" x14ac:dyDescent="0.35">
      <c r="A636" s="3" t="s">
        <v>1991</v>
      </c>
      <c r="B636" s="3" t="s">
        <v>314</v>
      </c>
      <c r="C636" s="3">
        <v>6</v>
      </c>
      <c r="D636" s="95" t="s">
        <v>1992</v>
      </c>
      <c r="E636" s="95" t="s">
        <v>1912</v>
      </c>
      <c r="F636" s="95" t="s">
        <v>437</v>
      </c>
      <c r="G636" s="223">
        <v>44609</v>
      </c>
      <c r="H636" s="223">
        <v>44609</v>
      </c>
      <c r="I636" s="223">
        <v>46434</v>
      </c>
      <c r="J636" s="3">
        <v>2236</v>
      </c>
      <c r="K636" s="3" t="s">
        <v>6</v>
      </c>
      <c r="L636" s="3" t="s">
        <v>6</v>
      </c>
      <c r="M636" s="95" t="s">
        <v>23</v>
      </c>
      <c r="N636" s="3" t="s">
        <v>24</v>
      </c>
      <c r="O636" s="3" t="s">
        <v>25</v>
      </c>
      <c r="P636" s="3" t="s">
        <v>6</v>
      </c>
      <c r="Q636" s="3" t="s">
        <v>6</v>
      </c>
      <c r="R636" s="95" t="s">
        <v>22</v>
      </c>
      <c r="S636" s="223">
        <v>43374</v>
      </c>
      <c r="T636" s="223">
        <v>43497</v>
      </c>
      <c r="U636" s="223">
        <v>42644</v>
      </c>
      <c r="V636" s="223">
        <v>42644</v>
      </c>
      <c r="W636" s="223" t="s">
        <v>6</v>
      </c>
      <c r="X636" s="3" t="s">
        <v>26</v>
      </c>
      <c r="Y636" s="3" t="s">
        <v>2093</v>
      </c>
      <c r="Z636" s="3" t="s">
        <v>24</v>
      </c>
      <c r="AA636" s="3" t="s">
        <v>6</v>
      </c>
      <c r="AB636" s="223">
        <v>42782</v>
      </c>
      <c r="AC636" s="3" t="s">
        <v>10</v>
      </c>
      <c r="AD636" s="3" t="s">
        <v>10</v>
      </c>
      <c r="AE636" s="95" t="s">
        <v>2263</v>
      </c>
    </row>
    <row r="637" spans="1:31" x14ac:dyDescent="0.35">
      <c r="A637" s="3" t="s">
        <v>2738</v>
      </c>
      <c r="B637" s="3" t="s">
        <v>594</v>
      </c>
      <c r="C637" s="3">
        <v>9</v>
      </c>
      <c r="D637" s="95" t="s">
        <v>2739</v>
      </c>
      <c r="E637" s="95" t="s">
        <v>2740</v>
      </c>
      <c r="F637" s="95" t="s">
        <v>4</v>
      </c>
      <c r="G637" s="223">
        <v>45385</v>
      </c>
      <c r="H637" s="223">
        <v>45413</v>
      </c>
      <c r="I637" s="223">
        <v>47238</v>
      </c>
      <c r="J637" s="3">
        <v>4</v>
      </c>
      <c r="K637" s="3" t="s">
        <v>6</v>
      </c>
      <c r="L637" s="3" t="s">
        <v>6</v>
      </c>
      <c r="M637" s="95" t="s">
        <v>60</v>
      </c>
      <c r="N637" s="3" t="s">
        <v>351</v>
      </c>
      <c r="O637" s="3" t="s">
        <v>147</v>
      </c>
      <c r="P637" s="3" t="s">
        <v>6</v>
      </c>
      <c r="Q637" s="3" t="s">
        <v>6</v>
      </c>
      <c r="R637" s="95" t="s">
        <v>22</v>
      </c>
      <c r="S637" s="223">
        <v>43605</v>
      </c>
      <c r="T637" s="223">
        <v>43665</v>
      </c>
      <c r="U637" s="223">
        <v>43626</v>
      </c>
      <c r="V637" s="223">
        <v>43626</v>
      </c>
      <c r="W637" s="223" t="s">
        <v>6</v>
      </c>
      <c r="X637" s="3" t="s">
        <v>51</v>
      </c>
      <c r="Y637" s="3" t="s">
        <v>2951</v>
      </c>
      <c r="Z637" s="3" t="s">
        <v>62</v>
      </c>
      <c r="AA637" s="3" t="s">
        <v>10</v>
      </c>
      <c r="AB637" s="223" t="s">
        <v>5</v>
      </c>
      <c r="AC637" s="3" t="s">
        <v>6</v>
      </c>
      <c r="AD637" s="3" t="s">
        <v>10</v>
      </c>
      <c r="AE637" s="95" t="s">
        <v>2263</v>
      </c>
    </row>
    <row r="638" spans="1:31" x14ac:dyDescent="0.35">
      <c r="A638" s="3" t="s">
        <v>1449</v>
      </c>
      <c r="B638" s="3" t="s">
        <v>319</v>
      </c>
      <c r="C638" s="3">
        <v>9</v>
      </c>
      <c r="D638" s="95" t="s">
        <v>3130</v>
      </c>
      <c r="E638" s="95" t="s">
        <v>2493</v>
      </c>
      <c r="F638" s="95" t="s">
        <v>4</v>
      </c>
      <c r="G638" s="223">
        <v>42289</v>
      </c>
      <c r="H638" s="223">
        <v>42289</v>
      </c>
      <c r="I638" s="223">
        <v>44115</v>
      </c>
      <c r="J638" s="3" t="s">
        <v>5</v>
      </c>
      <c r="K638" s="3" t="s">
        <v>10</v>
      </c>
      <c r="L638" s="3" t="s">
        <v>10</v>
      </c>
      <c r="M638" s="95" t="s">
        <v>60</v>
      </c>
      <c r="N638" s="3" t="s">
        <v>28</v>
      </c>
      <c r="O638" s="3" t="s">
        <v>651</v>
      </c>
      <c r="P638" s="3" t="s">
        <v>6</v>
      </c>
      <c r="Q638" s="3" t="s">
        <v>6</v>
      </c>
      <c r="R638" s="95" t="s">
        <v>652</v>
      </c>
      <c r="S638" s="223" t="s">
        <v>5</v>
      </c>
      <c r="T638" s="223" t="s">
        <v>5</v>
      </c>
      <c r="U638" s="223" t="s">
        <v>5</v>
      </c>
      <c r="V638" s="223" t="s">
        <v>5</v>
      </c>
      <c r="W638" s="223" t="s">
        <v>5</v>
      </c>
      <c r="X638" s="3" t="s">
        <v>5</v>
      </c>
      <c r="Y638" s="3" t="s">
        <v>651</v>
      </c>
      <c r="Z638" s="3" t="s">
        <v>651</v>
      </c>
      <c r="AA638" s="3" t="s">
        <v>10</v>
      </c>
      <c r="AB638" s="223" t="s">
        <v>5</v>
      </c>
      <c r="AC638" s="3" t="s">
        <v>6</v>
      </c>
      <c r="AD638" s="3" t="s">
        <v>10</v>
      </c>
      <c r="AE638" s="95" t="s">
        <v>2265</v>
      </c>
    </row>
    <row r="639" spans="1:31" x14ac:dyDescent="0.35">
      <c r="A639" s="3" t="s">
        <v>318</v>
      </c>
      <c r="B639" s="3" t="s">
        <v>319</v>
      </c>
      <c r="C639" s="3">
        <v>9</v>
      </c>
      <c r="D639" s="95" t="s">
        <v>3163</v>
      </c>
      <c r="E639" s="95" t="s">
        <v>422</v>
      </c>
      <c r="F639" s="95" t="s">
        <v>437</v>
      </c>
      <c r="G639" s="223">
        <v>44455</v>
      </c>
      <c r="H639" s="223">
        <v>44500</v>
      </c>
      <c r="I639" s="223">
        <v>46326</v>
      </c>
      <c r="J639" s="3">
        <v>0</v>
      </c>
      <c r="K639" s="3" t="s">
        <v>6</v>
      </c>
      <c r="L639" s="3" t="s">
        <v>6</v>
      </c>
      <c r="M639" s="95" t="s">
        <v>19</v>
      </c>
      <c r="N639" s="3" t="s">
        <v>20</v>
      </c>
      <c r="O639" s="3" t="s">
        <v>21</v>
      </c>
      <c r="P639" s="3" t="s">
        <v>6</v>
      </c>
      <c r="Q639" s="3" t="s">
        <v>6</v>
      </c>
      <c r="R639" s="95" t="s">
        <v>22</v>
      </c>
      <c r="S639" s="223">
        <v>43675</v>
      </c>
      <c r="T639" s="223">
        <v>43756</v>
      </c>
      <c r="U639" s="223">
        <v>43647</v>
      </c>
      <c r="V639" s="223">
        <v>43647</v>
      </c>
      <c r="W639" s="223" t="s">
        <v>6</v>
      </c>
      <c r="X639" s="3" t="s">
        <v>26</v>
      </c>
      <c r="Y639" s="3" t="s">
        <v>2116</v>
      </c>
      <c r="Z639" s="3" t="s">
        <v>20</v>
      </c>
      <c r="AA639" s="3" t="s">
        <v>6</v>
      </c>
      <c r="AB639" s="223">
        <v>44442</v>
      </c>
      <c r="AC639" s="3" t="s">
        <v>10</v>
      </c>
      <c r="AD639" s="3" t="s">
        <v>10</v>
      </c>
      <c r="AE639" s="95" t="s">
        <v>2263</v>
      </c>
    </row>
    <row r="640" spans="1:31" x14ac:dyDescent="0.35">
      <c r="A640" s="3" t="s">
        <v>1450</v>
      </c>
      <c r="B640" s="3" t="s">
        <v>319</v>
      </c>
      <c r="C640" s="3">
        <v>9</v>
      </c>
      <c r="D640" s="95" t="s">
        <v>1451</v>
      </c>
      <c r="E640" s="95" t="s">
        <v>1452</v>
      </c>
      <c r="F640" s="95" t="s">
        <v>4</v>
      </c>
      <c r="G640" s="223">
        <v>40585</v>
      </c>
      <c r="H640" s="223">
        <v>40585</v>
      </c>
      <c r="I640" s="223">
        <v>42410</v>
      </c>
      <c r="J640" s="3">
        <v>91</v>
      </c>
      <c r="K640" s="3" t="s">
        <v>10</v>
      </c>
      <c r="L640" s="3" t="s">
        <v>10</v>
      </c>
      <c r="M640" s="95" t="s">
        <v>1453</v>
      </c>
      <c r="N640" s="3" t="s">
        <v>351</v>
      </c>
      <c r="O640" s="3" t="s">
        <v>651</v>
      </c>
      <c r="P640" s="3" t="s">
        <v>6</v>
      </c>
      <c r="Q640" s="3" t="s">
        <v>6</v>
      </c>
      <c r="R640" s="95" t="s">
        <v>652</v>
      </c>
      <c r="S640" s="223" t="s">
        <v>5</v>
      </c>
      <c r="T640" s="223" t="s">
        <v>5</v>
      </c>
      <c r="U640" s="223" t="s">
        <v>5</v>
      </c>
      <c r="V640" s="223" t="s">
        <v>5</v>
      </c>
      <c r="W640" s="223" t="s">
        <v>5</v>
      </c>
      <c r="X640" s="3" t="s">
        <v>5</v>
      </c>
      <c r="Y640" s="3" t="s">
        <v>651</v>
      </c>
      <c r="Z640" s="3" t="s">
        <v>651</v>
      </c>
      <c r="AA640" s="3" t="s">
        <v>10</v>
      </c>
      <c r="AB640" s="223" t="s">
        <v>5</v>
      </c>
      <c r="AC640" s="3" t="s">
        <v>6</v>
      </c>
      <c r="AD640" s="3" t="s">
        <v>10</v>
      </c>
      <c r="AE640" s="95" t="s">
        <v>2263</v>
      </c>
    </row>
    <row r="641" spans="1:31" x14ac:dyDescent="0.35">
      <c r="A641" s="3" t="s">
        <v>1454</v>
      </c>
      <c r="B641" s="3" t="s">
        <v>319</v>
      </c>
      <c r="C641" s="3">
        <v>9</v>
      </c>
      <c r="D641" s="95" t="s">
        <v>1455</v>
      </c>
      <c r="E641" s="95" t="s">
        <v>1456</v>
      </c>
      <c r="F641" s="95" t="s">
        <v>4</v>
      </c>
      <c r="G641" s="223">
        <v>40847</v>
      </c>
      <c r="H641" s="223">
        <v>40847</v>
      </c>
      <c r="I641" s="223">
        <v>42673</v>
      </c>
      <c r="J641" s="3">
        <v>16</v>
      </c>
      <c r="K641" s="3" t="s">
        <v>10</v>
      </c>
      <c r="L641" s="3" t="s">
        <v>10</v>
      </c>
      <c r="M641" s="95" t="s">
        <v>19</v>
      </c>
      <c r="N641" s="3" t="s">
        <v>20</v>
      </c>
      <c r="O641" s="3" t="s">
        <v>651</v>
      </c>
      <c r="P641" s="3" t="s">
        <v>6</v>
      </c>
      <c r="Q641" s="3" t="s">
        <v>6</v>
      </c>
      <c r="R641" s="95" t="s">
        <v>652</v>
      </c>
      <c r="S641" s="223" t="s">
        <v>5</v>
      </c>
      <c r="T641" s="223" t="s">
        <v>5</v>
      </c>
      <c r="U641" s="223" t="s">
        <v>5</v>
      </c>
      <c r="V641" s="223" t="s">
        <v>5</v>
      </c>
      <c r="W641" s="223" t="s">
        <v>5</v>
      </c>
      <c r="X641" s="3" t="s">
        <v>5</v>
      </c>
      <c r="Y641" s="3" t="s">
        <v>651</v>
      </c>
      <c r="Z641" s="3" t="s">
        <v>651</v>
      </c>
      <c r="AA641" s="3" t="s">
        <v>10</v>
      </c>
      <c r="AB641" s="223" t="s">
        <v>5</v>
      </c>
      <c r="AC641" s="3" t="s">
        <v>10</v>
      </c>
      <c r="AD641" s="3" t="s">
        <v>10</v>
      </c>
      <c r="AE641" s="95" t="s">
        <v>2263</v>
      </c>
    </row>
    <row r="642" spans="1:31" x14ac:dyDescent="0.35">
      <c r="A642" s="3" t="s">
        <v>1993</v>
      </c>
      <c r="B642" s="3" t="s">
        <v>319</v>
      </c>
      <c r="C642" s="3">
        <v>9</v>
      </c>
      <c r="D642" s="95" t="s">
        <v>1994</v>
      </c>
      <c r="E642" s="95" t="s">
        <v>2272</v>
      </c>
      <c r="F642" s="95" t="s">
        <v>437</v>
      </c>
      <c r="G642" s="223">
        <v>44211</v>
      </c>
      <c r="H642" s="223">
        <v>44256</v>
      </c>
      <c r="I642" s="223">
        <v>46081</v>
      </c>
      <c r="J642" s="3">
        <v>0</v>
      </c>
      <c r="K642" s="3" t="s">
        <v>6</v>
      </c>
      <c r="L642" s="3" t="s">
        <v>6</v>
      </c>
      <c r="M642" s="95" t="s">
        <v>27</v>
      </c>
      <c r="N642" s="3" t="s">
        <v>28</v>
      </c>
      <c r="O642" s="3" t="s">
        <v>25</v>
      </c>
      <c r="P642" s="3" t="s">
        <v>6</v>
      </c>
      <c r="Q642" s="3" t="s">
        <v>6</v>
      </c>
      <c r="R642" s="95" t="s">
        <v>22</v>
      </c>
      <c r="S642" s="223">
        <v>43374</v>
      </c>
      <c r="T642" s="223">
        <v>43553</v>
      </c>
      <c r="U642" s="223">
        <v>43009</v>
      </c>
      <c r="V642" s="223">
        <v>43009</v>
      </c>
      <c r="W642" s="223" t="s">
        <v>6</v>
      </c>
      <c r="X642" s="3" t="s">
        <v>26</v>
      </c>
      <c r="Y642" s="3" t="s">
        <v>2100</v>
      </c>
      <c r="Z642" s="3" t="s">
        <v>28</v>
      </c>
      <c r="AA642" s="3" t="s">
        <v>6</v>
      </c>
      <c r="AB642" s="223">
        <v>42159</v>
      </c>
      <c r="AC642" s="3" t="s">
        <v>6</v>
      </c>
      <c r="AD642" s="3" t="s">
        <v>10</v>
      </c>
      <c r="AE642" s="95" t="s">
        <v>2263</v>
      </c>
    </row>
    <row r="643" spans="1:31" x14ac:dyDescent="0.35">
      <c r="A643" s="3" t="s">
        <v>320</v>
      </c>
      <c r="B643" s="3" t="s">
        <v>319</v>
      </c>
      <c r="C643" s="3">
        <v>9</v>
      </c>
      <c r="D643" s="95" t="s">
        <v>1995</v>
      </c>
      <c r="E643" s="95" t="s">
        <v>1912</v>
      </c>
      <c r="F643" s="95" t="s">
        <v>437</v>
      </c>
      <c r="G643" s="223">
        <v>42746</v>
      </c>
      <c r="H643" s="223">
        <v>42782</v>
      </c>
      <c r="I643" s="223">
        <v>44607</v>
      </c>
      <c r="J643" s="3">
        <v>3</v>
      </c>
      <c r="K643" s="3" t="s">
        <v>6</v>
      </c>
      <c r="L643" s="3" t="s">
        <v>6</v>
      </c>
      <c r="M643" s="95" t="s">
        <v>23</v>
      </c>
      <c r="N643" s="3" t="s">
        <v>24</v>
      </c>
      <c r="O643" s="3" t="s">
        <v>25</v>
      </c>
      <c r="P643" s="3" t="s">
        <v>6</v>
      </c>
      <c r="Q643" s="3" t="s">
        <v>6</v>
      </c>
      <c r="R643" s="95" t="s">
        <v>22</v>
      </c>
      <c r="S643" s="223">
        <v>43374</v>
      </c>
      <c r="T643" s="223">
        <v>43497</v>
      </c>
      <c r="U643" s="223">
        <v>42644</v>
      </c>
      <c r="V643" s="223">
        <v>42644</v>
      </c>
      <c r="W643" s="223" t="s">
        <v>6</v>
      </c>
      <c r="X643" s="3" t="s">
        <v>26</v>
      </c>
      <c r="Y643" s="3" t="s">
        <v>2093</v>
      </c>
      <c r="Z643" s="3" t="s">
        <v>24</v>
      </c>
      <c r="AA643" s="3" t="s">
        <v>6</v>
      </c>
      <c r="AB643" s="223">
        <v>42782</v>
      </c>
      <c r="AC643" s="3" t="s">
        <v>10</v>
      </c>
      <c r="AD643" s="3" t="s">
        <v>10</v>
      </c>
      <c r="AE643" s="95" t="s">
        <v>2263</v>
      </c>
    </row>
    <row r="644" spans="1:31" x14ac:dyDescent="0.35">
      <c r="A644" s="3" t="s">
        <v>1457</v>
      </c>
      <c r="B644" s="3" t="s">
        <v>319</v>
      </c>
      <c r="C644" s="3">
        <v>9</v>
      </c>
      <c r="D644" s="95" t="s">
        <v>3024</v>
      </c>
      <c r="E644" s="95" t="s">
        <v>3258</v>
      </c>
      <c r="F644" s="95" t="s">
        <v>4</v>
      </c>
      <c r="G644" s="223">
        <v>43626</v>
      </c>
      <c r="H644" s="223">
        <v>43626</v>
      </c>
      <c r="I644" s="223">
        <v>45452</v>
      </c>
      <c r="J644" s="3">
        <v>652</v>
      </c>
      <c r="K644" s="3" t="s">
        <v>10</v>
      </c>
      <c r="L644" s="3" t="s">
        <v>10</v>
      </c>
      <c r="M644" s="95" t="s">
        <v>27</v>
      </c>
      <c r="N644" s="3" t="s">
        <v>28</v>
      </c>
      <c r="O644" s="3" t="s">
        <v>651</v>
      </c>
      <c r="P644" s="3" t="s">
        <v>6</v>
      </c>
      <c r="Q644" s="3" t="s">
        <v>6</v>
      </c>
      <c r="R644" s="95" t="s">
        <v>652</v>
      </c>
      <c r="S644" s="223" t="s">
        <v>5</v>
      </c>
      <c r="T644" s="223" t="s">
        <v>5</v>
      </c>
      <c r="U644" s="223" t="s">
        <v>5</v>
      </c>
      <c r="V644" s="223" t="s">
        <v>5</v>
      </c>
      <c r="W644" s="223" t="s">
        <v>5</v>
      </c>
      <c r="X644" s="3" t="s">
        <v>5</v>
      </c>
      <c r="Y644" s="3" t="s">
        <v>651</v>
      </c>
      <c r="Z644" s="3" t="s">
        <v>651</v>
      </c>
      <c r="AA644" s="3" t="s">
        <v>10</v>
      </c>
      <c r="AB644" s="223" t="s">
        <v>5</v>
      </c>
      <c r="AC644" s="3" t="s">
        <v>6</v>
      </c>
      <c r="AD644" s="3" t="s">
        <v>10</v>
      </c>
      <c r="AE644" s="95" t="s">
        <v>2265</v>
      </c>
    </row>
    <row r="645" spans="1:31" x14ac:dyDescent="0.35">
      <c r="A645" s="3" t="s">
        <v>1458</v>
      </c>
      <c r="B645" s="3" t="s">
        <v>319</v>
      </c>
      <c r="C645" s="3">
        <v>9</v>
      </c>
      <c r="D645" s="95" t="s">
        <v>2326</v>
      </c>
      <c r="E645" s="95" t="s">
        <v>3259</v>
      </c>
      <c r="F645" s="95" t="s">
        <v>4</v>
      </c>
      <c r="G645" s="223">
        <v>41991</v>
      </c>
      <c r="H645" s="223">
        <v>42009</v>
      </c>
      <c r="I645" s="223">
        <v>43834</v>
      </c>
      <c r="J645" s="3">
        <v>2835</v>
      </c>
      <c r="K645" s="3" t="s">
        <v>10</v>
      </c>
      <c r="L645" s="3" t="s">
        <v>10</v>
      </c>
      <c r="M645" s="95" t="s">
        <v>23</v>
      </c>
      <c r="N645" s="3" t="s">
        <v>24</v>
      </c>
      <c r="O645" s="3" t="s">
        <v>651</v>
      </c>
      <c r="P645" s="3" t="s">
        <v>6</v>
      </c>
      <c r="Q645" s="3" t="s">
        <v>6</v>
      </c>
      <c r="R645" s="95" t="s">
        <v>652</v>
      </c>
      <c r="S645" s="223" t="s">
        <v>5</v>
      </c>
      <c r="T645" s="223" t="s">
        <v>5</v>
      </c>
      <c r="U645" s="223" t="s">
        <v>5</v>
      </c>
      <c r="V645" s="223" t="s">
        <v>5</v>
      </c>
      <c r="W645" s="223" t="s">
        <v>5</v>
      </c>
      <c r="X645" s="3" t="s">
        <v>5</v>
      </c>
      <c r="Y645" s="3" t="s">
        <v>651</v>
      </c>
      <c r="Z645" s="3" t="s">
        <v>651</v>
      </c>
      <c r="AA645" s="3" t="s">
        <v>10</v>
      </c>
      <c r="AB645" s="223" t="s">
        <v>5</v>
      </c>
      <c r="AC645" s="3" t="s">
        <v>10</v>
      </c>
      <c r="AD645" s="3" t="s">
        <v>10</v>
      </c>
      <c r="AE645" s="95" t="s">
        <v>2263</v>
      </c>
    </row>
    <row r="646" spans="1:31" x14ac:dyDescent="0.35">
      <c r="A646" s="3" t="s">
        <v>1459</v>
      </c>
      <c r="B646" s="3" t="s">
        <v>319</v>
      </c>
      <c r="C646" s="3">
        <v>9</v>
      </c>
      <c r="D646" s="95" t="s">
        <v>3025</v>
      </c>
      <c r="E646" s="95" t="s">
        <v>1460</v>
      </c>
      <c r="F646" s="95" t="s">
        <v>4</v>
      </c>
      <c r="G646" s="223">
        <v>41334</v>
      </c>
      <c r="H646" s="223">
        <v>41334</v>
      </c>
      <c r="I646" s="223">
        <v>43159</v>
      </c>
      <c r="J646" s="3">
        <v>54</v>
      </c>
      <c r="K646" s="3" t="s">
        <v>10</v>
      </c>
      <c r="L646" s="3" t="s">
        <v>10</v>
      </c>
      <c r="M646" s="95" t="s">
        <v>27</v>
      </c>
      <c r="N646" s="3" t="s">
        <v>115</v>
      </c>
      <c r="O646" s="3" t="s">
        <v>651</v>
      </c>
      <c r="P646" s="3" t="s">
        <v>6</v>
      </c>
      <c r="Q646" s="3" t="s">
        <v>6</v>
      </c>
      <c r="R646" s="95" t="s">
        <v>652</v>
      </c>
      <c r="S646" s="223" t="s">
        <v>5</v>
      </c>
      <c r="T646" s="223" t="s">
        <v>5</v>
      </c>
      <c r="U646" s="223" t="s">
        <v>5</v>
      </c>
      <c r="V646" s="223" t="s">
        <v>5</v>
      </c>
      <c r="W646" s="223" t="s">
        <v>5</v>
      </c>
      <c r="X646" s="3" t="s">
        <v>5</v>
      </c>
      <c r="Y646" s="3" t="s">
        <v>651</v>
      </c>
      <c r="Z646" s="3" t="s">
        <v>651</v>
      </c>
      <c r="AA646" s="3" t="s">
        <v>10</v>
      </c>
      <c r="AB646" s="223" t="s">
        <v>5</v>
      </c>
      <c r="AC646" s="3" t="s">
        <v>6</v>
      </c>
      <c r="AD646" s="3" t="s">
        <v>10</v>
      </c>
      <c r="AE646" s="95" t="s">
        <v>2265</v>
      </c>
    </row>
    <row r="647" spans="1:31" x14ac:dyDescent="0.35">
      <c r="A647" s="3" t="s">
        <v>1461</v>
      </c>
      <c r="B647" s="3" t="s">
        <v>319</v>
      </c>
      <c r="C647" s="3">
        <v>9</v>
      </c>
      <c r="D647" s="95" t="s">
        <v>256</v>
      </c>
      <c r="E647" s="95" t="s">
        <v>3260</v>
      </c>
      <c r="F647" s="95" t="s">
        <v>4</v>
      </c>
      <c r="G647" s="223">
        <v>40365</v>
      </c>
      <c r="H647" s="223" t="s">
        <v>5</v>
      </c>
      <c r="I647" s="223">
        <v>42190</v>
      </c>
      <c r="J647" s="3">
        <v>5</v>
      </c>
      <c r="K647" s="3" t="s">
        <v>10</v>
      </c>
      <c r="L647" s="3" t="s">
        <v>10</v>
      </c>
      <c r="M647" s="95" t="s">
        <v>2555</v>
      </c>
      <c r="N647" s="3" t="s">
        <v>52</v>
      </c>
      <c r="O647" s="3" t="s">
        <v>651</v>
      </c>
      <c r="P647" s="3" t="s">
        <v>6</v>
      </c>
      <c r="Q647" s="3" t="s">
        <v>6</v>
      </c>
      <c r="R647" s="95" t="s">
        <v>652</v>
      </c>
      <c r="S647" s="223" t="s">
        <v>5</v>
      </c>
      <c r="T647" s="223" t="s">
        <v>5</v>
      </c>
      <c r="U647" s="223" t="s">
        <v>5</v>
      </c>
      <c r="V647" s="223" t="s">
        <v>5</v>
      </c>
      <c r="W647" s="223" t="s">
        <v>5</v>
      </c>
      <c r="X647" s="3" t="s">
        <v>5</v>
      </c>
      <c r="Y647" s="3" t="s">
        <v>651</v>
      </c>
      <c r="Z647" s="3" t="s">
        <v>651</v>
      </c>
      <c r="AA647" s="3" t="s">
        <v>10</v>
      </c>
      <c r="AB647" s="223" t="s">
        <v>5</v>
      </c>
      <c r="AC647" s="3" t="s">
        <v>10</v>
      </c>
      <c r="AD647" s="3" t="s">
        <v>6</v>
      </c>
      <c r="AE647" s="95" t="s">
        <v>2265</v>
      </c>
    </row>
    <row r="648" spans="1:31" x14ac:dyDescent="0.35">
      <c r="A648" s="3" t="s">
        <v>321</v>
      </c>
      <c r="B648" s="3" t="s">
        <v>322</v>
      </c>
      <c r="C648" s="3">
        <v>2</v>
      </c>
      <c r="D648" s="95" t="s">
        <v>3164</v>
      </c>
      <c r="E648" s="95" t="s">
        <v>422</v>
      </c>
      <c r="F648" s="95" t="s">
        <v>437</v>
      </c>
      <c r="G648" s="223">
        <v>44455</v>
      </c>
      <c r="H648" s="223">
        <v>44500</v>
      </c>
      <c r="I648" s="223">
        <v>46326</v>
      </c>
      <c r="J648" s="3">
        <v>0</v>
      </c>
      <c r="K648" s="3" t="s">
        <v>6</v>
      </c>
      <c r="L648" s="3" t="s">
        <v>6</v>
      </c>
      <c r="M648" s="95" t="s">
        <v>19</v>
      </c>
      <c r="N648" s="3" t="s">
        <v>20</v>
      </c>
      <c r="O648" s="3" t="s">
        <v>21</v>
      </c>
      <c r="P648" s="3" t="s">
        <v>6</v>
      </c>
      <c r="Q648" s="3" t="s">
        <v>6</v>
      </c>
      <c r="R648" s="95" t="s">
        <v>22</v>
      </c>
      <c r="S648" s="223">
        <v>43675</v>
      </c>
      <c r="T648" s="223">
        <v>43756</v>
      </c>
      <c r="U648" s="223">
        <v>43647</v>
      </c>
      <c r="V648" s="223">
        <v>43647</v>
      </c>
      <c r="W648" s="223" t="s">
        <v>6</v>
      </c>
      <c r="X648" s="3" t="s">
        <v>26</v>
      </c>
      <c r="Y648" s="3" t="s">
        <v>2116</v>
      </c>
      <c r="Z648" s="3" t="s">
        <v>20</v>
      </c>
      <c r="AA648" s="3" t="s">
        <v>6</v>
      </c>
      <c r="AB648" s="223">
        <v>44442</v>
      </c>
      <c r="AC648" s="3" t="s">
        <v>10</v>
      </c>
      <c r="AD648" s="3" t="s">
        <v>10</v>
      </c>
      <c r="AE648" s="95" t="s">
        <v>2263</v>
      </c>
    </row>
    <row r="649" spans="1:31" x14ac:dyDescent="0.35">
      <c r="A649" s="3" t="s">
        <v>1463</v>
      </c>
      <c r="B649" s="3" t="s">
        <v>322</v>
      </c>
      <c r="C649" s="3">
        <v>2</v>
      </c>
      <c r="D649" s="95" t="s">
        <v>1464</v>
      </c>
      <c r="E649" s="95" t="s">
        <v>2494</v>
      </c>
      <c r="F649" s="95" t="s">
        <v>2495</v>
      </c>
      <c r="G649" s="223">
        <v>44993</v>
      </c>
      <c r="H649" s="223">
        <v>44993</v>
      </c>
      <c r="I649" s="223">
        <v>46819</v>
      </c>
      <c r="J649" s="3">
        <v>1800</v>
      </c>
      <c r="K649" s="3" t="s">
        <v>10</v>
      </c>
      <c r="L649" s="3" t="s">
        <v>10</v>
      </c>
      <c r="M649" s="95" t="s">
        <v>27</v>
      </c>
      <c r="N649" s="3" t="s">
        <v>28</v>
      </c>
      <c r="O649" s="3" t="s">
        <v>651</v>
      </c>
      <c r="P649" s="3" t="s">
        <v>6</v>
      </c>
      <c r="Q649" s="3" t="s">
        <v>6</v>
      </c>
      <c r="R649" s="95" t="s">
        <v>652</v>
      </c>
      <c r="S649" s="223" t="s">
        <v>5</v>
      </c>
      <c r="T649" s="223" t="s">
        <v>5</v>
      </c>
      <c r="U649" s="223" t="s">
        <v>5</v>
      </c>
      <c r="V649" s="223" t="s">
        <v>5</v>
      </c>
      <c r="W649" s="223" t="s">
        <v>5</v>
      </c>
      <c r="X649" s="3" t="s">
        <v>5</v>
      </c>
      <c r="Y649" s="3" t="s">
        <v>651</v>
      </c>
      <c r="Z649" s="3" t="s">
        <v>651</v>
      </c>
      <c r="AA649" s="3" t="s">
        <v>6</v>
      </c>
      <c r="AB649" s="223">
        <v>44105</v>
      </c>
      <c r="AC649" s="3" t="s">
        <v>6</v>
      </c>
      <c r="AD649" s="3" t="s">
        <v>6</v>
      </c>
      <c r="AE649" s="95" t="s">
        <v>2265</v>
      </c>
    </row>
    <row r="650" spans="1:31" x14ac:dyDescent="0.35">
      <c r="A650" s="3" t="s">
        <v>2496</v>
      </c>
      <c r="B650" s="3" t="s">
        <v>322</v>
      </c>
      <c r="C650" s="3">
        <v>2</v>
      </c>
      <c r="D650" s="95" t="s">
        <v>398</v>
      </c>
      <c r="E650" s="95" t="s">
        <v>2497</v>
      </c>
      <c r="F650" s="95" t="s">
        <v>651</v>
      </c>
      <c r="G650" s="223">
        <v>44482</v>
      </c>
      <c r="H650" s="223">
        <v>44501</v>
      </c>
      <c r="I650" s="223">
        <v>46326</v>
      </c>
      <c r="J650" s="3" t="s">
        <v>2266</v>
      </c>
      <c r="K650" s="3" t="s">
        <v>10</v>
      </c>
      <c r="L650" s="3" t="s">
        <v>10</v>
      </c>
      <c r="M650" s="95" t="s">
        <v>19</v>
      </c>
      <c r="N650" s="3" t="s">
        <v>20</v>
      </c>
      <c r="O650" s="3" t="s">
        <v>651</v>
      </c>
      <c r="P650" s="3" t="s">
        <v>10</v>
      </c>
      <c r="Q650" s="3" t="s">
        <v>6</v>
      </c>
      <c r="R650" s="95" t="s">
        <v>2267</v>
      </c>
      <c r="S650" s="223" t="s">
        <v>5</v>
      </c>
      <c r="T650" s="223" t="s">
        <v>5</v>
      </c>
      <c r="U650" s="223" t="s">
        <v>5</v>
      </c>
      <c r="V650" s="223" t="s">
        <v>5</v>
      </c>
      <c r="W650" s="223" t="s">
        <v>5</v>
      </c>
      <c r="X650" s="3" t="s">
        <v>5</v>
      </c>
      <c r="Y650" s="3" t="s">
        <v>651</v>
      </c>
      <c r="Z650" s="3" t="s">
        <v>651</v>
      </c>
      <c r="AA650" s="3" t="s">
        <v>651</v>
      </c>
      <c r="AB650" s="223" t="s">
        <v>5</v>
      </c>
      <c r="AC650" s="3" t="s">
        <v>651</v>
      </c>
      <c r="AD650" s="3" t="s">
        <v>651</v>
      </c>
      <c r="AE650" s="95" t="s">
        <v>651</v>
      </c>
    </row>
    <row r="651" spans="1:31" x14ac:dyDescent="0.35">
      <c r="A651" s="3" t="s">
        <v>2234</v>
      </c>
      <c r="B651" s="3" t="s">
        <v>322</v>
      </c>
      <c r="C651" s="3">
        <v>2</v>
      </c>
      <c r="D651" s="95" t="s">
        <v>2240</v>
      </c>
      <c r="E651" s="95" t="s">
        <v>2272</v>
      </c>
      <c r="F651" s="95" t="s">
        <v>437</v>
      </c>
      <c r="G651" s="223">
        <v>44211</v>
      </c>
      <c r="H651" s="223">
        <v>44256</v>
      </c>
      <c r="I651" s="223">
        <v>46081</v>
      </c>
      <c r="J651" s="3">
        <v>0</v>
      </c>
      <c r="K651" s="3" t="s">
        <v>6</v>
      </c>
      <c r="L651" s="3" t="s">
        <v>6</v>
      </c>
      <c r="M651" s="95" t="s">
        <v>27</v>
      </c>
      <c r="N651" s="3" t="s">
        <v>28</v>
      </c>
      <c r="O651" s="3" t="s">
        <v>25</v>
      </c>
      <c r="P651" s="3" t="s">
        <v>6</v>
      </c>
      <c r="Q651" s="3" t="s">
        <v>6</v>
      </c>
      <c r="R651" s="95" t="s">
        <v>22</v>
      </c>
      <c r="S651" s="223">
        <v>43374</v>
      </c>
      <c r="T651" s="223">
        <v>43553</v>
      </c>
      <c r="U651" s="223">
        <v>43009</v>
      </c>
      <c r="V651" s="223">
        <v>43009</v>
      </c>
      <c r="W651" s="223" t="s">
        <v>6</v>
      </c>
      <c r="X651" s="3" t="s">
        <v>26</v>
      </c>
      <c r="Y651" s="3" t="s">
        <v>2100</v>
      </c>
      <c r="Z651" s="3" t="s">
        <v>28</v>
      </c>
      <c r="AA651" s="3" t="s">
        <v>6</v>
      </c>
      <c r="AB651" s="223">
        <v>42159</v>
      </c>
      <c r="AC651" s="3" t="s">
        <v>6</v>
      </c>
      <c r="AD651" s="3" t="s">
        <v>10</v>
      </c>
      <c r="AE651" s="95" t="s">
        <v>2263</v>
      </c>
    </row>
    <row r="652" spans="1:31" x14ac:dyDescent="0.35">
      <c r="A652" s="3" t="s">
        <v>323</v>
      </c>
      <c r="B652" s="3" t="s">
        <v>322</v>
      </c>
      <c r="C652" s="3">
        <v>2</v>
      </c>
      <c r="D652" s="95" t="s">
        <v>1996</v>
      </c>
      <c r="E652" s="95" t="s">
        <v>1912</v>
      </c>
      <c r="F652" s="95" t="s">
        <v>437</v>
      </c>
      <c r="G652" s="223">
        <v>44609</v>
      </c>
      <c r="H652" s="223">
        <v>44609</v>
      </c>
      <c r="I652" s="223">
        <v>46434</v>
      </c>
      <c r="J652" s="3">
        <v>56</v>
      </c>
      <c r="K652" s="3" t="s">
        <v>6</v>
      </c>
      <c r="L652" s="3" t="s">
        <v>6</v>
      </c>
      <c r="M652" s="95" t="s">
        <v>23</v>
      </c>
      <c r="N652" s="3" t="s">
        <v>24</v>
      </c>
      <c r="O652" s="3" t="s">
        <v>25</v>
      </c>
      <c r="P652" s="3" t="s">
        <v>6</v>
      </c>
      <c r="Q652" s="3" t="s">
        <v>6</v>
      </c>
      <c r="R652" s="95" t="s">
        <v>22</v>
      </c>
      <c r="S652" s="223">
        <v>43374</v>
      </c>
      <c r="T652" s="223">
        <v>43497</v>
      </c>
      <c r="U652" s="223">
        <v>42644</v>
      </c>
      <c r="V652" s="223">
        <v>42644</v>
      </c>
      <c r="W652" s="223" t="s">
        <v>6</v>
      </c>
      <c r="X652" s="3" t="s">
        <v>26</v>
      </c>
      <c r="Y652" s="3" t="s">
        <v>2093</v>
      </c>
      <c r="Z652" s="3" t="s">
        <v>24</v>
      </c>
      <c r="AA652" s="3" t="s">
        <v>6</v>
      </c>
      <c r="AB652" s="223">
        <v>42782</v>
      </c>
      <c r="AC652" s="3" t="s">
        <v>10</v>
      </c>
      <c r="AD652" s="3" t="s">
        <v>10</v>
      </c>
      <c r="AE652" s="95" t="s">
        <v>2263</v>
      </c>
    </row>
    <row r="653" spans="1:31" x14ac:dyDescent="0.35">
      <c r="A653" s="3" t="s">
        <v>1465</v>
      </c>
      <c r="B653" s="3" t="s">
        <v>322</v>
      </c>
      <c r="C653" s="3">
        <v>2</v>
      </c>
      <c r="D653" s="95" t="s">
        <v>1466</v>
      </c>
      <c r="E653" s="95" t="s">
        <v>2498</v>
      </c>
      <c r="F653" s="95" t="s">
        <v>4</v>
      </c>
      <c r="G653" s="223">
        <v>45273</v>
      </c>
      <c r="H653" s="223">
        <v>45294</v>
      </c>
      <c r="I653" s="223">
        <v>47120</v>
      </c>
      <c r="J653" s="3">
        <v>542</v>
      </c>
      <c r="K653" s="3" t="s">
        <v>10</v>
      </c>
      <c r="L653" s="3" t="s">
        <v>10</v>
      </c>
      <c r="M653" s="95" t="s">
        <v>2555</v>
      </c>
      <c r="N653" s="3" t="s">
        <v>52</v>
      </c>
      <c r="O653" s="3" t="s">
        <v>651</v>
      </c>
      <c r="P653" s="3" t="s">
        <v>6</v>
      </c>
      <c r="Q653" s="3" t="s">
        <v>6</v>
      </c>
      <c r="R653" s="95" t="s">
        <v>652</v>
      </c>
      <c r="S653" s="223" t="s">
        <v>5</v>
      </c>
      <c r="T653" s="223" t="s">
        <v>5</v>
      </c>
      <c r="U653" s="223" t="s">
        <v>5</v>
      </c>
      <c r="V653" s="223" t="s">
        <v>5</v>
      </c>
      <c r="W653" s="223" t="s">
        <v>5</v>
      </c>
      <c r="X653" s="3" t="s">
        <v>5</v>
      </c>
      <c r="Y653" s="3" t="s">
        <v>651</v>
      </c>
      <c r="Z653" s="3" t="s">
        <v>651</v>
      </c>
      <c r="AA653" s="3" t="s">
        <v>10</v>
      </c>
      <c r="AB653" s="223" t="s">
        <v>5</v>
      </c>
      <c r="AC653" s="3" t="s">
        <v>10</v>
      </c>
      <c r="AD653" s="3" t="s">
        <v>6</v>
      </c>
      <c r="AE653" s="95" t="s">
        <v>2265</v>
      </c>
    </row>
    <row r="654" spans="1:31" x14ac:dyDescent="0.35">
      <c r="A654" s="3" t="s">
        <v>1467</v>
      </c>
      <c r="B654" s="3" t="s">
        <v>322</v>
      </c>
      <c r="C654" s="3">
        <v>2</v>
      </c>
      <c r="D654" s="95" t="s">
        <v>80</v>
      </c>
      <c r="E654" s="95" t="s">
        <v>2499</v>
      </c>
      <c r="F654" s="95" t="s">
        <v>651</v>
      </c>
      <c r="G654" s="223">
        <v>43853</v>
      </c>
      <c r="H654" s="223">
        <v>43859</v>
      </c>
      <c r="I654" s="223">
        <v>45685</v>
      </c>
      <c r="J654" s="3" t="s">
        <v>2266</v>
      </c>
      <c r="K654" s="3" t="s">
        <v>10</v>
      </c>
      <c r="L654" s="3" t="s">
        <v>10</v>
      </c>
      <c r="M654" s="95" t="s">
        <v>23</v>
      </c>
      <c r="N654" s="3" t="s">
        <v>24</v>
      </c>
      <c r="O654" s="3" t="s">
        <v>651</v>
      </c>
      <c r="P654" s="3" t="s">
        <v>10</v>
      </c>
      <c r="Q654" s="3" t="s">
        <v>6</v>
      </c>
      <c r="R654" s="95" t="s">
        <v>2267</v>
      </c>
      <c r="S654" s="223" t="s">
        <v>5</v>
      </c>
      <c r="T654" s="223" t="s">
        <v>5</v>
      </c>
      <c r="U654" s="223" t="s">
        <v>5</v>
      </c>
      <c r="V654" s="223" t="s">
        <v>5</v>
      </c>
      <c r="W654" s="223" t="s">
        <v>5</v>
      </c>
      <c r="X654" s="3" t="s">
        <v>5</v>
      </c>
      <c r="Y654" s="3" t="s">
        <v>651</v>
      </c>
      <c r="Z654" s="3" t="s">
        <v>651</v>
      </c>
      <c r="AA654" s="3" t="s">
        <v>651</v>
      </c>
      <c r="AB654" s="223" t="s">
        <v>5</v>
      </c>
      <c r="AC654" s="3" t="s">
        <v>651</v>
      </c>
      <c r="AD654" s="3" t="s">
        <v>651</v>
      </c>
      <c r="AE654" s="95" t="s">
        <v>651</v>
      </c>
    </row>
    <row r="655" spans="1:31" x14ac:dyDescent="0.35">
      <c r="A655" s="3" t="s">
        <v>1468</v>
      </c>
      <c r="B655" s="3" t="s">
        <v>1469</v>
      </c>
      <c r="C655" s="3">
        <v>5</v>
      </c>
      <c r="D655" s="95" t="s">
        <v>315</v>
      </c>
      <c r="E655" s="95" t="s">
        <v>1470</v>
      </c>
      <c r="F655" s="95" t="s">
        <v>651</v>
      </c>
      <c r="G655" s="223">
        <v>38384</v>
      </c>
      <c r="H655" s="223">
        <v>38384</v>
      </c>
      <c r="I655" s="223">
        <v>40209</v>
      </c>
      <c r="J655" s="3">
        <v>1</v>
      </c>
      <c r="K655" s="3" t="s">
        <v>10</v>
      </c>
      <c r="L655" s="3" t="s">
        <v>10</v>
      </c>
      <c r="M655" s="95" t="s">
        <v>105</v>
      </c>
      <c r="N655" s="3" t="s">
        <v>106</v>
      </c>
      <c r="O655" s="3" t="s">
        <v>651</v>
      </c>
      <c r="P655" s="3" t="s">
        <v>6</v>
      </c>
      <c r="Q655" s="3" t="s">
        <v>10</v>
      </c>
      <c r="R655" s="95" t="s">
        <v>3235</v>
      </c>
      <c r="S655" s="223" t="s">
        <v>5</v>
      </c>
      <c r="T655" s="223" t="s">
        <v>5</v>
      </c>
      <c r="U655" s="223" t="s">
        <v>5</v>
      </c>
      <c r="V655" s="223" t="s">
        <v>5</v>
      </c>
      <c r="W655" s="223" t="s">
        <v>5</v>
      </c>
      <c r="X655" s="3" t="s">
        <v>5</v>
      </c>
      <c r="Y655" s="3" t="s">
        <v>651</v>
      </c>
      <c r="Z655" s="3" t="s">
        <v>651</v>
      </c>
      <c r="AA655" s="3" t="s">
        <v>651</v>
      </c>
      <c r="AB655" s="223" t="s">
        <v>5</v>
      </c>
      <c r="AC655" s="3" t="s">
        <v>651</v>
      </c>
      <c r="AD655" s="3" t="s">
        <v>651</v>
      </c>
      <c r="AE655" s="95" t="s">
        <v>651</v>
      </c>
    </row>
    <row r="656" spans="1:31" x14ac:dyDescent="0.35">
      <c r="A656" s="3" t="s">
        <v>3026</v>
      </c>
      <c r="B656" s="3" t="s">
        <v>1469</v>
      </c>
      <c r="C656" s="3">
        <v>5</v>
      </c>
      <c r="D656" s="95" t="s">
        <v>1471</v>
      </c>
      <c r="E656" s="95" t="s">
        <v>3027</v>
      </c>
      <c r="F656" s="95" t="s">
        <v>4</v>
      </c>
      <c r="G656" s="223">
        <v>44936</v>
      </c>
      <c r="H656" s="223">
        <v>44958</v>
      </c>
      <c r="I656" s="223">
        <v>46783</v>
      </c>
      <c r="J656" s="3">
        <v>57</v>
      </c>
      <c r="K656" s="3" t="s">
        <v>10</v>
      </c>
      <c r="L656" s="3" t="s">
        <v>10</v>
      </c>
      <c r="M656" s="95" t="s">
        <v>933</v>
      </c>
      <c r="N656" s="3" t="s">
        <v>28</v>
      </c>
      <c r="O656" s="3" t="s">
        <v>651</v>
      </c>
      <c r="P656" s="3" t="s">
        <v>6</v>
      </c>
      <c r="Q656" s="3" t="s">
        <v>6</v>
      </c>
      <c r="R656" s="95" t="s">
        <v>652</v>
      </c>
      <c r="S656" s="223" t="s">
        <v>5</v>
      </c>
      <c r="T656" s="223" t="s">
        <v>5</v>
      </c>
      <c r="U656" s="223" t="s">
        <v>5</v>
      </c>
      <c r="V656" s="223" t="s">
        <v>5</v>
      </c>
      <c r="W656" s="223" t="s">
        <v>5</v>
      </c>
      <c r="X656" s="3" t="s">
        <v>5</v>
      </c>
      <c r="Y656" s="3" t="s">
        <v>651</v>
      </c>
      <c r="Z656" s="3" t="s">
        <v>651</v>
      </c>
      <c r="AA656" s="3" t="s">
        <v>10</v>
      </c>
      <c r="AB656" s="223" t="s">
        <v>5</v>
      </c>
      <c r="AC656" s="3" t="s">
        <v>6</v>
      </c>
      <c r="AD656" s="3" t="s">
        <v>10</v>
      </c>
      <c r="AE656" s="95" t="s">
        <v>2265</v>
      </c>
    </row>
    <row r="657" spans="1:31" x14ac:dyDescent="0.35">
      <c r="A657" s="3" t="s">
        <v>3064</v>
      </c>
      <c r="B657" s="3" t="s">
        <v>1469</v>
      </c>
      <c r="C657" s="3">
        <v>5</v>
      </c>
      <c r="D657" s="95" t="s">
        <v>911</v>
      </c>
      <c r="E657" s="95" t="s">
        <v>3065</v>
      </c>
      <c r="F657" s="95" t="s">
        <v>4</v>
      </c>
      <c r="G657" s="223">
        <v>45027</v>
      </c>
      <c r="H657" s="223">
        <v>45039</v>
      </c>
      <c r="I657" s="223">
        <v>46865</v>
      </c>
      <c r="J657" s="3">
        <v>5444</v>
      </c>
      <c r="K657" s="3" t="s">
        <v>10</v>
      </c>
      <c r="L657" s="3" t="s">
        <v>10</v>
      </c>
      <c r="M657" s="95" t="s">
        <v>23</v>
      </c>
      <c r="N657" s="3" t="s">
        <v>24</v>
      </c>
      <c r="O657" s="3" t="s">
        <v>651</v>
      </c>
      <c r="P657" s="3" t="s">
        <v>6</v>
      </c>
      <c r="Q657" s="3" t="s">
        <v>6</v>
      </c>
      <c r="R657" s="95" t="s">
        <v>652</v>
      </c>
      <c r="S657" s="223" t="s">
        <v>5</v>
      </c>
      <c r="T657" s="223" t="s">
        <v>5</v>
      </c>
      <c r="U657" s="223" t="s">
        <v>5</v>
      </c>
      <c r="V657" s="223" t="s">
        <v>5</v>
      </c>
      <c r="W657" s="223" t="s">
        <v>5</v>
      </c>
      <c r="X657" s="3" t="s">
        <v>5</v>
      </c>
      <c r="Y657" s="3" t="s">
        <v>651</v>
      </c>
      <c r="Z657" s="3" t="s">
        <v>651</v>
      </c>
      <c r="AA657" s="3" t="s">
        <v>10</v>
      </c>
      <c r="AB657" s="223" t="s">
        <v>5</v>
      </c>
      <c r="AC657" s="3" t="s">
        <v>10</v>
      </c>
      <c r="AD657" s="3" t="s">
        <v>10</v>
      </c>
      <c r="AE657" s="95" t="s">
        <v>2263</v>
      </c>
    </row>
    <row r="658" spans="1:31" x14ac:dyDescent="0.35">
      <c r="A658" s="3" t="s">
        <v>1472</v>
      </c>
      <c r="B658" s="3" t="s">
        <v>1469</v>
      </c>
      <c r="C658" s="3">
        <v>5</v>
      </c>
      <c r="D658" s="95" t="s">
        <v>1473</v>
      </c>
      <c r="E658" s="95" t="s">
        <v>1474</v>
      </c>
      <c r="F658" s="95" t="s">
        <v>4</v>
      </c>
      <c r="G658" s="223">
        <v>41183</v>
      </c>
      <c r="H658" s="223">
        <v>41183</v>
      </c>
      <c r="I658" s="223">
        <v>43008</v>
      </c>
      <c r="J658" s="3">
        <v>1</v>
      </c>
      <c r="K658" s="3" t="s">
        <v>10</v>
      </c>
      <c r="L658" s="3" t="s">
        <v>10</v>
      </c>
      <c r="M658" s="95" t="s">
        <v>23</v>
      </c>
      <c r="N658" s="3" t="s">
        <v>24</v>
      </c>
      <c r="O658" s="3" t="s">
        <v>651</v>
      </c>
      <c r="P658" s="3" t="s">
        <v>6</v>
      </c>
      <c r="Q658" s="3" t="s">
        <v>6</v>
      </c>
      <c r="R658" s="95" t="s">
        <v>652</v>
      </c>
      <c r="S658" s="223" t="s">
        <v>5</v>
      </c>
      <c r="T658" s="223" t="s">
        <v>5</v>
      </c>
      <c r="U658" s="223" t="s">
        <v>5</v>
      </c>
      <c r="V658" s="223" t="s">
        <v>5</v>
      </c>
      <c r="W658" s="223" t="s">
        <v>5</v>
      </c>
      <c r="X658" s="3" t="s">
        <v>5</v>
      </c>
      <c r="Y658" s="3" t="s">
        <v>651</v>
      </c>
      <c r="Z658" s="3" t="s">
        <v>651</v>
      </c>
      <c r="AA658" s="3" t="s">
        <v>10</v>
      </c>
      <c r="AB658" s="223" t="s">
        <v>5</v>
      </c>
      <c r="AC658" s="3" t="s">
        <v>10</v>
      </c>
      <c r="AD658" s="3" t="s">
        <v>10</v>
      </c>
      <c r="AE658" s="95" t="s">
        <v>2263</v>
      </c>
    </row>
    <row r="659" spans="1:31" x14ac:dyDescent="0.35">
      <c r="A659" s="3" t="s">
        <v>1475</v>
      </c>
      <c r="B659" s="3" t="s">
        <v>1469</v>
      </c>
      <c r="C659" s="3">
        <v>5</v>
      </c>
      <c r="D659" s="95" t="s">
        <v>1476</v>
      </c>
      <c r="E659" s="95" t="s">
        <v>1477</v>
      </c>
      <c r="F659" s="95" t="s">
        <v>4</v>
      </c>
      <c r="G659" s="223">
        <v>41792</v>
      </c>
      <c r="H659" s="223">
        <v>41792</v>
      </c>
      <c r="I659" s="223">
        <v>43616</v>
      </c>
      <c r="J659" s="3" t="s">
        <v>5</v>
      </c>
      <c r="K659" s="3" t="s">
        <v>10</v>
      </c>
      <c r="L659" s="3" t="s">
        <v>10</v>
      </c>
      <c r="M659" s="95" t="s">
        <v>23</v>
      </c>
      <c r="N659" s="3" t="s">
        <v>24</v>
      </c>
      <c r="O659" s="3" t="s">
        <v>651</v>
      </c>
      <c r="P659" s="3" t="s">
        <v>6</v>
      </c>
      <c r="Q659" s="3" t="s">
        <v>6</v>
      </c>
      <c r="R659" s="95" t="s">
        <v>652</v>
      </c>
      <c r="S659" s="223" t="s">
        <v>5</v>
      </c>
      <c r="T659" s="223" t="s">
        <v>5</v>
      </c>
      <c r="U659" s="223" t="s">
        <v>5</v>
      </c>
      <c r="V659" s="223" t="s">
        <v>5</v>
      </c>
      <c r="W659" s="223" t="s">
        <v>5</v>
      </c>
      <c r="X659" s="3" t="s">
        <v>5</v>
      </c>
      <c r="Y659" s="3" t="s">
        <v>651</v>
      </c>
      <c r="Z659" s="3" t="s">
        <v>651</v>
      </c>
      <c r="AA659" s="3" t="s">
        <v>10</v>
      </c>
      <c r="AB659" s="223" t="s">
        <v>5</v>
      </c>
      <c r="AC659" s="3" t="s">
        <v>10</v>
      </c>
      <c r="AD659" s="3" t="s">
        <v>10</v>
      </c>
      <c r="AE659" s="95" t="s">
        <v>2263</v>
      </c>
    </row>
    <row r="660" spans="1:31" x14ac:dyDescent="0.35">
      <c r="A660" s="3" t="s">
        <v>3028</v>
      </c>
      <c r="B660" s="3" t="s">
        <v>1469</v>
      </c>
      <c r="C660" s="3">
        <v>5</v>
      </c>
      <c r="D660" s="95" t="s">
        <v>1478</v>
      </c>
      <c r="E660" s="95" t="s">
        <v>3029</v>
      </c>
      <c r="F660" s="95" t="s">
        <v>4</v>
      </c>
      <c r="G660" s="223">
        <v>44852</v>
      </c>
      <c r="H660" s="223">
        <v>44852</v>
      </c>
      <c r="I660" s="223">
        <v>46677</v>
      </c>
      <c r="J660" s="3">
        <v>45</v>
      </c>
      <c r="K660" s="3" t="s">
        <v>10</v>
      </c>
      <c r="L660" s="3" t="s">
        <v>10</v>
      </c>
      <c r="M660" s="95" t="s">
        <v>19</v>
      </c>
      <c r="N660" s="3" t="s">
        <v>20</v>
      </c>
      <c r="O660" s="3" t="s">
        <v>651</v>
      </c>
      <c r="P660" s="3" t="s">
        <v>6</v>
      </c>
      <c r="Q660" s="3" t="s">
        <v>6</v>
      </c>
      <c r="R660" s="95" t="s">
        <v>652</v>
      </c>
      <c r="S660" s="223" t="s">
        <v>5</v>
      </c>
      <c r="T660" s="223" t="s">
        <v>5</v>
      </c>
      <c r="U660" s="223" t="s">
        <v>5</v>
      </c>
      <c r="V660" s="223" t="s">
        <v>5</v>
      </c>
      <c r="W660" s="223" t="s">
        <v>5</v>
      </c>
      <c r="X660" s="3" t="s">
        <v>5</v>
      </c>
      <c r="Y660" s="3" t="s">
        <v>651</v>
      </c>
      <c r="Z660" s="3" t="s">
        <v>651</v>
      </c>
      <c r="AA660" s="3" t="s">
        <v>10</v>
      </c>
      <c r="AB660" s="223" t="s">
        <v>5</v>
      </c>
      <c r="AC660" s="3" t="s">
        <v>10</v>
      </c>
      <c r="AD660" s="3" t="s">
        <v>10</v>
      </c>
      <c r="AE660" s="95" t="s">
        <v>2263</v>
      </c>
    </row>
    <row r="661" spans="1:31" x14ac:dyDescent="0.35">
      <c r="A661" s="3" t="s">
        <v>3030</v>
      </c>
      <c r="B661" s="3" t="s">
        <v>1469</v>
      </c>
      <c r="C661" s="3">
        <v>5</v>
      </c>
      <c r="D661" s="95" t="s">
        <v>722</v>
      </c>
      <c r="E661" s="95" t="s">
        <v>3031</v>
      </c>
      <c r="F661" s="95" t="s">
        <v>4</v>
      </c>
      <c r="G661" s="223">
        <v>44958</v>
      </c>
      <c r="H661" s="223">
        <v>44958</v>
      </c>
      <c r="I661" s="223">
        <v>46783</v>
      </c>
      <c r="J661" s="3">
        <v>40</v>
      </c>
      <c r="K661" s="3" t="s">
        <v>10</v>
      </c>
      <c r="L661" s="3" t="s">
        <v>10</v>
      </c>
      <c r="M661" s="95" t="s">
        <v>136</v>
      </c>
      <c r="N661" s="3" t="s">
        <v>138</v>
      </c>
      <c r="O661" s="3" t="s">
        <v>651</v>
      </c>
      <c r="P661" s="3" t="s">
        <v>6</v>
      </c>
      <c r="Q661" s="3" t="s">
        <v>6</v>
      </c>
      <c r="R661" s="95" t="s">
        <v>652</v>
      </c>
      <c r="S661" s="223" t="s">
        <v>5</v>
      </c>
      <c r="T661" s="223" t="s">
        <v>5</v>
      </c>
      <c r="U661" s="223" t="s">
        <v>5</v>
      </c>
      <c r="V661" s="223" t="s">
        <v>5</v>
      </c>
      <c r="W661" s="223" t="s">
        <v>5</v>
      </c>
      <c r="X661" s="3" t="s">
        <v>5</v>
      </c>
      <c r="Y661" s="3" t="s">
        <v>651</v>
      </c>
      <c r="Z661" s="3" t="s">
        <v>651</v>
      </c>
      <c r="AA661" s="3" t="s">
        <v>10</v>
      </c>
      <c r="AB661" s="223" t="s">
        <v>5</v>
      </c>
      <c r="AC661" s="3" t="s">
        <v>6</v>
      </c>
      <c r="AD661" s="3" t="s">
        <v>10</v>
      </c>
      <c r="AE661" s="95" t="s">
        <v>2263</v>
      </c>
    </row>
    <row r="662" spans="1:31" x14ac:dyDescent="0.35">
      <c r="A662" s="3" t="s">
        <v>3032</v>
      </c>
      <c r="B662" s="3" t="s">
        <v>1469</v>
      </c>
      <c r="C662" s="3">
        <v>5</v>
      </c>
      <c r="D662" s="95" t="s">
        <v>1479</v>
      </c>
      <c r="E662" s="95" t="s">
        <v>3033</v>
      </c>
      <c r="F662" s="95" t="s">
        <v>4</v>
      </c>
      <c r="G662" s="223">
        <v>44553</v>
      </c>
      <c r="H662" s="223">
        <v>44562</v>
      </c>
      <c r="I662" s="223">
        <v>46387</v>
      </c>
      <c r="J662" s="3">
        <v>25500</v>
      </c>
      <c r="K662" s="3" t="s">
        <v>10</v>
      </c>
      <c r="L662" s="3" t="s">
        <v>10</v>
      </c>
      <c r="M662" s="95" t="s">
        <v>131</v>
      </c>
      <c r="N662" s="3" t="s">
        <v>268</v>
      </c>
      <c r="O662" s="3" t="s">
        <v>651</v>
      </c>
      <c r="P662" s="3" t="s">
        <v>6</v>
      </c>
      <c r="Q662" s="3" t="s">
        <v>6</v>
      </c>
      <c r="R662" s="95" t="s">
        <v>652</v>
      </c>
      <c r="S662" s="223" t="s">
        <v>5</v>
      </c>
      <c r="T662" s="223" t="s">
        <v>5</v>
      </c>
      <c r="U662" s="223" t="s">
        <v>5</v>
      </c>
      <c r="V662" s="223" t="s">
        <v>5</v>
      </c>
      <c r="W662" s="223" t="s">
        <v>5</v>
      </c>
      <c r="X662" s="3" t="s">
        <v>5</v>
      </c>
      <c r="Y662" s="3" t="s">
        <v>651</v>
      </c>
      <c r="Z662" s="3" t="s">
        <v>651</v>
      </c>
      <c r="AA662" s="3" t="s">
        <v>10</v>
      </c>
      <c r="AB662" s="223" t="s">
        <v>5</v>
      </c>
      <c r="AC662" s="3" t="s">
        <v>6</v>
      </c>
      <c r="AD662" s="3" t="s">
        <v>10</v>
      </c>
      <c r="AE662" s="95" t="s">
        <v>2265</v>
      </c>
    </row>
    <row r="663" spans="1:31" x14ac:dyDescent="0.35">
      <c r="A663" s="3" t="s">
        <v>1480</v>
      </c>
      <c r="B663" s="3" t="s">
        <v>1469</v>
      </c>
      <c r="C663" s="3">
        <v>5</v>
      </c>
      <c r="D663" s="95" t="s">
        <v>1479</v>
      </c>
      <c r="E663" s="95" t="s">
        <v>1481</v>
      </c>
      <c r="F663" s="95" t="s">
        <v>651</v>
      </c>
      <c r="G663" s="223">
        <v>41470</v>
      </c>
      <c r="H663" s="223">
        <v>41487</v>
      </c>
      <c r="I663" s="223">
        <v>42735</v>
      </c>
      <c r="J663" s="3">
        <v>816</v>
      </c>
      <c r="K663" s="3" t="s">
        <v>10</v>
      </c>
      <c r="L663" s="3" t="s">
        <v>10</v>
      </c>
      <c r="M663" s="95" t="s">
        <v>131</v>
      </c>
      <c r="N663" s="3" t="s">
        <v>268</v>
      </c>
      <c r="O663" s="3" t="s">
        <v>651</v>
      </c>
      <c r="P663" s="3" t="s">
        <v>6</v>
      </c>
      <c r="Q663" s="3" t="s">
        <v>10</v>
      </c>
      <c r="R663" s="95" t="s">
        <v>3235</v>
      </c>
      <c r="S663" s="223" t="s">
        <v>5</v>
      </c>
      <c r="T663" s="223" t="s">
        <v>5</v>
      </c>
      <c r="U663" s="223" t="s">
        <v>5</v>
      </c>
      <c r="V663" s="223" t="s">
        <v>5</v>
      </c>
      <c r="W663" s="223" t="s">
        <v>5</v>
      </c>
      <c r="X663" s="3" t="s">
        <v>5</v>
      </c>
      <c r="Y663" s="3" t="s">
        <v>651</v>
      </c>
      <c r="Z663" s="3" t="s">
        <v>651</v>
      </c>
      <c r="AA663" s="3" t="s">
        <v>651</v>
      </c>
      <c r="AB663" s="223" t="s">
        <v>5</v>
      </c>
      <c r="AC663" s="3" t="s">
        <v>651</v>
      </c>
      <c r="AD663" s="3" t="s">
        <v>651</v>
      </c>
      <c r="AE663" s="95" t="s">
        <v>651</v>
      </c>
    </row>
    <row r="664" spans="1:31" x14ac:dyDescent="0.35">
      <c r="A664" s="3" t="s">
        <v>3034</v>
      </c>
      <c r="B664" s="3" t="s">
        <v>1469</v>
      </c>
      <c r="C664" s="3">
        <v>5</v>
      </c>
      <c r="D664" s="95" t="s">
        <v>1482</v>
      </c>
      <c r="E664" s="95" t="s">
        <v>3035</v>
      </c>
      <c r="F664" s="95" t="s">
        <v>4</v>
      </c>
      <c r="G664" s="223">
        <v>44070</v>
      </c>
      <c r="H664" s="223">
        <v>44075</v>
      </c>
      <c r="I664" s="223">
        <v>45900</v>
      </c>
      <c r="J664" s="3">
        <v>28</v>
      </c>
      <c r="K664" s="3" t="s">
        <v>10</v>
      </c>
      <c r="L664" s="3" t="s">
        <v>10</v>
      </c>
      <c r="M664" s="95" t="s">
        <v>114</v>
      </c>
      <c r="N664" s="3" t="s">
        <v>115</v>
      </c>
      <c r="O664" s="3" t="s">
        <v>651</v>
      </c>
      <c r="P664" s="3" t="s">
        <v>6</v>
      </c>
      <c r="Q664" s="3" t="s">
        <v>6</v>
      </c>
      <c r="R664" s="95" t="s">
        <v>652</v>
      </c>
      <c r="S664" s="223" t="s">
        <v>5</v>
      </c>
      <c r="T664" s="223" t="s">
        <v>5</v>
      </c>
      <c r="U664" s="223" t="s">
        <v>5</v>
      </c>
      <c r="V664" s="223" t="s">
        <v>5</v>
      </c>
      <c r="W664" s="223" t="s">
        <v>5</v>
      </c>
      <c r="X664" s="3" t="s">
        <v>5</v>
      </c>
      <c r="Y664" s="3" t="s">
        <v>651</v>
      </c>
      <c r="Z664" s="3" t="s">
        <v>651</v>
      </c>
      <c r="AA664" s="3" t="s">
        <v>10</v>
      </c>
      <c r="AB664" s="223" t="s">
        <v>5</v>
      </c>
      <c r="AC664" s="3" t="s">
        <v>6</v>
      </c>
      <c r="AD664" s="3" t="s">
        <v>10</v>
      </c>
      <c r="AE664" s="95" t="s">
        <v>2265</v>
      </c>
    </row>
    <row r="665" spans="1:31" x14ac:dyDescent="0.35">
      <c r="A665" s="3" t="s">
        <v>3066</v>
      </c>
      <c r="B665" s="3" t="s">
        <v>1469</v>
      </c>
      <c r="C665" s="3">
        <v>5</v>
      </c>
      <c r="D665" s="95" t="s">
        <v>3067</v>
      </c>
      <c r="E665" s="95" t="s">
        <v>3068</v>
      </c>
      <c r="F665" s="95" t="s">
        <v>4</v>
      </c>
      <c r="G665" s="223">
        <v>44070</v>
      </c>
      <c r="H665" s="223">
        <v>44075</v>
      </c>
      <c r="I665" s="223">
        <v>45900</v>
      </c>
      <c r="J665" s="3">
        <v>25</v>
      </c>
      <c r="K665" s="3" t="s">
        <v>10</v>
      </c>
      <c r="L665" s="3" t="s">
        <v>10</v>
      </c>
      <c r="M665" s="95" t="s">
        <v>114</v>
      </c>
      <c r="N665" s="3" t="s">
        <v>115</v>
      </c>
      <c r="O665" s="3" t="s">
        <v>651</v>
      </c>
      <c r="P665" s="3" t="s">
        <v>6</v>
      </c>
      <c r="Q665" s="3" t="s">
        <v>6</v>
      </c>
      <c r="R665" s="95" t="s">
        <v>652</v>
      </c>
      <c r="S665" s="223" t="s">
        <v>5</v>
      </c>
      <c r="T665" s="223" t="s">
        <v>5</v>
      </c>
      <c r="U665" s="223" t="s">
        <v>5</v>
      </c>
      <c r="V665" s="223" t="s">
        <v>5</v>
      </c>
      <c r="W665" s="223" t="s">
        <v>5</v>
      </c>
      <c r="X665" s="3" t="s">
        <v>5</v>
      </c>
      <c r="Y665" s="3" t="s">
        <v>651</v>
      </c>
      <c r="Z665" s="3" t="s">
        <v>651</v>
      </c>
      <c r="AA665" s="3" t="s">
        <v>10</v>
      </c>
      <c r="AB665" s="223" t="s">
        <v>5</v>
      </c>
      <c r="AC665" s="3" t="s">
        <v>6</v>
      </c>
      <c r="AD665" s="3" t="s">
        <v>10</v>
      </c>
      <c r="AE665" s="95" t="s">
        <v>2265</v>
      </c>
    </row>
    <row r="666" spans="1:31" x14ac:dyDescent="0.35">
      <c r="A666" s="3" t="s">
        <v>3036</v>
      </c>
      <c r="B666" s="3" t="s">
        <v>1469</v>
      </c>
      <c r="C666" s="3">
        <v>5</v>
      </c>
      <c r="D666" s="95" t="s">
        <v>173</v>
      </c>
      <c r="E666" s="95" t="s">
        <v>3037</v>
      </c>
      <c r="F666" s="95" t="s">
        <v>4</v>
      </c>
      <c r="G666" s="223">
        <v>44539</v>
      </c>
      <c r="H666" s="223">
        <v>44562</v>
      </c>
      <c r="I666" s="223">
        <v>46387</v>
      </c>
      <c r="J666" s="3">
        <v>32</v>
      </c>
      <c r="K666" s="3" t="s">
        <v>10</v>
      </c>
      <c r="L666" s="3" t="s">
        <v>10</v>
      </c>
      <c r="M666" s="95" t="s">
        <v>173</v>
      </c>
      <c r="N666" s="3" t="s">
        <v>174</v>
      </c>
      <c r="O666" s="3" t="s">
        <v>651</v>
      </c>
      <c r="P666" s="3" t="s">
        <v>6</v>
      </c>
      <c r="Q666" s="3" t="s">
        <v>6</v>
      </c>
      <c r="R666" s="95" t="s">
        <v>652</v>
      </c>
      <c r="S666" s="223" t="s">
        <v>5</v>
      </c>
      <c r="T666" s="223" t="s">
        <v>5</v>
      </c>
      <c r="U666" s="223" t="s">
        <v>5</v>
      </c>
      <c r="V666" s="223" t="s">
        <v>5</v>
      </c>
      <c r="W666" s="223" t="s">
        <v>5</v>
      </c>
      <c r="X666" s="3" t="s">
        <v>5</v>
      </c>
      <c r="Y666" s="3" t="s">
        <v>651</v>
      </c>
      <c r="Z666" s="3" t="s">
        <v>651</v>
      </c>
      <c r="AA666" s="3" t="s">
        <v>10</v>
      </c>
      <c r="AB666" s="223" t="s">
        <v>5</v>
      </c>
      <c r="AC666" s="3" t="s">
        <v>6</v>
      </c>
      <c r="AD666" s="3" t="s">
        <v>10</v>
      </c>
      <c r="AE666" s="95" t="s">
        <v>2263</v>
      </c>
    </row>
    <row r="667" spans="1:31" x14ac:dyDescent="0.35">
      <c r="A667" s="3" t="s">
        <v>1483</v>
      </c>
      <c r="B667" s="3" t="s">
        <v>1469</v>
      </c>
      <c r="C667" s="3">
        <v>5</v>
      </c>
      <c r="D667" s="95" t="s">
        <v>1484</v>
      </c>
      <c r="E667" s="95" t="s">
        <v>1485</v>
      </c>
      <c r="F667" s="95" t="s">
        <v>4</v>
      </c>
      <c r="G667" s="223">
        <v>42583</v>
      </c>
      <c r="H667" s="223">
        <v>42583</v>
      </c>
      <c r="I667" s="223">
        <v>44408</v>
      </c>
      <c r="J667" s="3">
        <v>1</v>
      </c>
      <c r="K667" s="3" t="s">
        <v>10</v>
      </c>
      <c r="L667" s="3" t="s">
        <v>10</v>
      </c>
      <c r="M667" s="95" t="s">
        <v>60</v>
      </c>
      <c r="N667" s="3" t="s">
        <v>174</v>
      </c>
      <c r="O667" s="3" t="s">
        <v>651</v>
      </c>
      <c r="P667" s="3" t="s">
        <v>6</v>
      </c>
      <c r="Q667" s="3" t="s">
        <v>6</v>
      </c>
      <c r="R667" s="95" t="s">
        <v>652</v>
      </c>
      <c r="S667" s="223" t="s">
        <v>5</v>
      </c>
      <c r="T667" s="223" t="s">
        <v>5</v>
      </c>
      <c r="U667" s="223" t="s">
        <v>5</v>
      </c>
      <c r="V667" s="223" t="s">
        <v>5</v>
      </c>
      <c r="W667" s="223" t="s">
        <v>5</v>
      </c>
      <c r="X667" s="3" t="s">
        <v>5</v>
      </c>
      <c r="Y667" s="3" t="s">
        <v>651</v>
      </c>
      <c r="Z667" s="3" t="s">
        <v>651</v>
      </c>
      <c r="AA667" s="3" t="s">
        <v>10</v>
      </c>
      <c r="AB667" s="223" t="s">
        <v>5</v>
      </c>
      <c r="AC667" s="3" t="s">
        <v>6</v>
      </c>
      <c r="AD667" s="3" t="s">
        <v>10</v>
      </c>
      <c r="AE667" s="95" t="s">
        <v>2263</v>
      </c>
    </row>
    <row r="668" spans="1:31" x14ac:dyDescent="0.35">
      <c r="A668" s="3" t="s">
        <v>3038</v>
      </c>
      <c r="B668" s="3" t="s">
        <v>1469</v>
      </c>
      <c r="C668" s="3">
        <v>5</v>
      </c>
      <c r="D668" s="95" t="s">
        <v>1462</v>
      </c>
      <c r="E668" s="95" t="s">
        <v>3039</v>
      </c>
      <c r="F668" s="95" t="s">
        <v>4</v>
      </c>
      <c r="G668" s="223">
        <v>44287</v>
      </c>
      <c r="H668" s="223">
        <v>44287</v>
      </c>
      <c r="I668" s="223">
        <v>46112</v>
      </c>
      <c r="J668" s="3">
        <v>299</v>
      </c>
      <c r="K668" s="3" t="s">
        <v>10</v>
      </c>
      <c r="L668" s="3" t="s">
        <v>10</v>
      </c>
      <c r="M668" s="95" t="s">
        <v>2555</v>
      </c>
      <c r="N668" s="3" t="s">
        <v>52</v>
      </c>
      <c r="O668" s="3" t="s">
        <v>651</v>
      </c>
      <c r="P668" s="3" t="s">
        <v>6</v>
      </c>
      <c r="Q668" s="3" t="s">
        <v>6</v>
      </c>
      <c r="R668" s="95" t="s">
        <v>652</v>
      </c>
      <c r="S668" s="223" t="s">
        <v>5</v>
      </c>
      <c r="T668" s="223" t="s">
        <v>5</v>
      </c>
      <c r="U668" s="223" t="s">
        <v>5</v>
      </c>
      <c r="V668" s="223" t="s">
        <v>5</v>
      </c>
      <c r="W668" s="223" t="s">
        <v>5</v>
      </c>
      <c r="X668" s="3" t="s">
        <v>5</v>
      </c>
      <c r="Y668" s="3" t="s">
        <v>651</v>
      </c>
      <c r="Z668" s="3" t="s">
        <v>651</v>
      </c>
      <c r="AA668" s="3" t="s">
        <v>10</v>
      </c>
      <c r="AB668" s="223" t="s">
        <v>5</v>
      </c>
      <c r="AC668" s="3" t="s">
        <v>10</v>
      </c>
      <c r="AD668" s="3" t="s">
        <v>6</v>
      </c>
      <c r="AE668" s="95" t="s">
        <v>2265</v>
      </c>
    </row>
    <row r="669" spans="1:31" x14ac:dyDescent="0.35">
      <c r="A669" s="3" t="s">
        <v>3040</v>
      </c>
      <c r="B669" s="3" t="s">
        <v>1469</v>
      </c>
      <c r="C669" s="3">
        <v>5</v>
      </c>
      <c r="D669" s="95" t="s">
        <v>1486</v>
      </c>
      <c r="E669" s="95" t="s">
        <v>3041</v>
      </c>
      <c r="F669" s="95" t="s">
        <v>4</v>
      </c>
      <c r="G669" s="223">
        <v>44699</v>
      </c>
      <c r="H669" s="223">
        <v>44713</v>
      </c>
      <c r="I669" s="223">
        <v>46538</v>
      </c>
      <c r="J669" s="3">
        <v>2525</v>
      </c>
      <c r="K669" s="3" t="s">
        <v>10</v>
      </c>
      <c r="L669" s="3" t="s">
        <v>10</v>
      </c>
      <c r="M669" s="95" t="s">
        <v>27</v>
      </c>
      <c r="N669" s="3" t="s">
        <v>28</v>
      </c>
      <c r="O669" s="3" t="s">
        <v>651</v>
      </c>
      <c r="P669" s="3" t="s">
        <v>6</v>
      </c>
      <c r="Q669" s="3" t="s">
        <v>6</v>
      </c>
      <c r="R669" s="95" t="s">
        <v>652</v>
      </c>
      <c r="S669" s="223" t="s">
        <v>5</v>
      </c>
      <c r="T669" s="223" t="s">
        <v>5</v>
      </c>
      <c r="U669" s="223" t="s">
        <v>5</v>
      </c>
      <c r="V669" s="223" t="s">
        <v>5</v>
      </c>
      <c r="W669" s="223" t="s">
        <v>5</v>
      </c>
      <c r="X669" s="3" t="s">
        <v>5</v>
      </c>
      <c r="Y669" s="3" t="s">
        <v>651</v>
      </c>
      <c r="Z669" s="3" t="s">
        <v>651</v>
      </c>
      <c r="AA669" s="3" t="s">
        <v>10</v>
      </c>
      <c r="AB669" s="223" t="s">
        <v>5</v>
      </c>
      <c r="AC669" s="3" t="s">
        <v>6</v>
      </c>
      <c r="AD669" s="3" t="s">
        <v>10</v>
      </c>
      <c r="AE669" s="95" t="s">
        <v>2265</v>
      </c>
    </row>
    <row r="670" spans="1:31" x14ac:dyDescent="0.35">
      <c r="A670" s="3" t="s">
        <v>1487</v>
      </c>
      <c r="B670" s="3" t="s">
        <v>1469</v>
      </c>
      <c r="C670" s="3">
        <v>5</v>
      </c>
      <c r="D670" s="95" t="s">
        <v>1488</v>
      </c>
      <c r="E670" s="95" t="s">
        <v>1489</v>
      </c>
      <c r="F670" s="95" t="s">
        <v>651</v>
      </c>
      <c r="G670" s="223">
        <v>41296</v>
      </c>
      <c r="H670" s="223">
        <v>41296</v>
      </c>
      <c r="I670" s="223">
        <v>43121</v>
      </c>
      <c r="J670" s="3">
        <v>5</v>
      </c>
      <c r="K670" s="3" t="s">
        <v>10</v>
      </c>
      <c r="L670" s="3" t="s">
        <v>10</v>
      </c>
      <c r="M670" s="95" t="s">
        <v>1490</v>
      </c>
      <c r="N670" s="3" t="s">
        <v>521</v>
      </c>
      <c r="O670" s="3" t="s">
        <v>651</v>
      </c>
      <c r="P670" s="3" t="s">
        <v>6</v>
      </c>
      <c r="Q670" s="3" t="s">
        <v>10</v>
      </c>
      <c r="R670" s="95" t="s">
        <v>3235</v>
      </c>
      <c r="S670" s="223" t="s">
        <v>5</v>
      </c>
      <c r="T670" s="223" t="s">
        <v>5</v>
      </c>
      <c r="U670" s="223" t="s">
        <v>5</v>
      </c>
      <c r="V670" s="223" t="s">
        <v>5</v>
      </c>
      <c r="W670" s="223" t="s">
        <v>5</v>
      </c>
      <c r="X670" s="3" t="s">
        <v>5</v>
      </c>
      <c r="Y670" s="3" t="s">
        <v>651</v>
      </c>
      <c r="Z670" s="3" t="s">
        <v>651</v>
      </c>
      <c r="AA670" s="3" t="s">
        <v>651</v>
      </c>
      <c r="AB670" s="223" t="s">
        <v>5</v>
      </c>
      <c r="AC670" s="3" t="s">
        <v>651</v>
      </c>
      <c r="AD670" s="3" t="s">
        <v>651</v>
      </c>
      <c r="AE670" s="95" t="s">
        <v>651</v>
      </c>
    </row>
    <row r="671" spans="1:31" x14ac:dyDescent="0.35">
      <c r="A671" s="3" t="s">
        <v>3042</v>
      </c>
      <c r="B671" s="3" t="s">
        <v>1469</v>
      </c>
      <c r="C671" s="3">
        <v>5</v>
      </c>
      <c r="D671" s="95" t="s">
        <v>1491</v>
      </c>
      <c r="E671" s="95" t="s">
        <v>3043</v>
      </c>
      <c r="F671" s="95" t="s">
        <v>4</v>
      </c>
      <c r="G671" s="223">
        <v>44112</v>
      </c>
      <c r="H671" s="223">
        <v>44136</v>
      </c>
      <c r="I671" s="223">
        <v>45961</v>
      </c>
      <c r="J671" s="3">
        <v>197</v>
      </c>
      <c r="K671" s="3" t="s">
        <v>10</v>
      </c>
      <c r="L671" s="3" t="s">
        <v>10</v>
      </c>
      <c r="M671" s="95" t="s">
        <v>47</v>
      </c>
      <c r="N671" s="3" t="s">
        <v>48</v>
      </c>
      <c r="O671" s="3" t="s">
        <v>651</v>
      </c>
      <c r="P671" s="3" t="s">
        <v>6</v>
      </c>
      <c r="Q671" s="3" t="s">
        <v>6</v>
      </c>
      <c r="R671" s="95" t="s">
        <v>652</v>
      </c>
      <c r="S671" s="223" t="s">
        <v>5</v>
      </c>
      <c r="T671" s="223" t="s">
        <v>5</v>
      </c>
      <c r="U671" s="223" t="s">
        <v>5</v>
      </c>
      <c r="V671" s="223" t="s">
        <v>5</v>
      </c>
      <c r="W671" s="223" t="s">
        <v>5</v>
      </c>
      <c r="X671" s="3" t="s">
        <v>5</v>
      </c>
      <c r="Y671" s="3" t="s">
        <v>651</v>
      </c>
      <c r="Z671" s="3" t="s">
        <v>651</v>
      </c>
      <c r="AA671" s="3" t="s">
        <v>10</v>
      </c>
      <c r="AB671" s="223" t="s">
        <v>5</v>
      </c>
      <c r="AC671" s="3" t="s">
        <v>6</v>
      </c>
      <c r="AD671" s="3" t="s">
        <v>6</v>
      </c>
      <c r="AE671" s="95" t="s">
        <v>2265</v>
      </c>
    </row>
    <row r="672" spans="1:31" x14ac:dyDescent="0.35">
      <c r="A672" s="3" t="s">
        <v>3044</v>
      </c>
      <c r="B672" s="3" t="s">
        <v>1469</v>
      </c>
      <c r="C672" s="3">
        <v>5</v>
      </c>
      <c r="D672" s="95" t="s">
        <v>54</v>
      </c>
      <c r="E672" s="95" t="s">
        <v>3045</v>
      </c>
      <c r="F672" s="95" t="s">
        <v>4</v>
      </c>
      <c r="G672" s="223">
        <v>44733</v>
      </c>
      <c r="H672" s="223">
        <v>44743</v>
      </c>
      <c r="I672" s="223">
        <v>46568</v>
      </c>
      <c r="J672" s="3">
        <v>2</v>
      </c>
      <c r="K672" s="3" t="s">
        <v>10</v>
      </c>
      <c r="L672" s="3" t="s">
        <v>10</v>
      </c>
      <c r="M672" s="95" t="s">
        <v>54</v>
      </c>
      <c r="N672" s="3" t="s">
        <v>55</v>
      </c>
      <c r="O672" s="3" t="s">
        <v>651</v>
      </c>
      <c r="P672" s="3" t="s">
        <v>6</v>
      </c>
      <c r="Q672" s="3" t="s">
        <v>6</v>
      </c>
      <c r="R672" s="95" t="s">
        <v>652</v>
      </c>
      <c r="S672" s="223" t="s">
        <v>5</v>
      </c>
      <c r="T672" s="223" t="s">
        <v>5</v>
      </c>
      <c r="U672" s="223" t="s">
        <v>5</v>
      </c>
      <c r="V672" s="223" t="s">
        <v>5</v>
      </c>
      <c r="W672" s="223" t="s">
        <v>5</v>
      </c>
      <c r="X672" s="3" t="s">
        <v>5</v>
      </c>
      <c r="Y672" s="3" t="s">
        <v>651</v>
      </c>
      <c r="Z672" s="3" t="s">
        <v>651</v>
      </c>
      <c r="AA672" s="3" t="s">
        <v>10</v>
      </c>
      <c r="AB672" s="223" t="s">
        <v>5</v>
      </c>
      <c r="AC672" s="3" t="s">
        <v>6</v>
      </c>
      <c r="AD672" s="3" t="s">
        <v>10</v>
      </c>
      <c r="AE672" s="95" t="s">
        <v>2263</v>
      </c>
    </row>
    <row r="673" spans="1:31" x14ac:dyDescent="0.35">
      <c r="A673" s="3" t="s">
        <v>3046</v>
      </c>
      <c r="B673" s="3" t="s">
        <v>1469</v>
      </c>
      <c r="C673" s="3">
        <v>5</v>
      </c>
      <c r="D673" s="95" t="s">
        <v>1492</v>
      </c>
      <c r="E673" s="95" t="s">
        <v>3047</v>
      </c>
      <c r="F673" s="95" t="s">
        <v>4</v>
      </c>
      <c r="G673" s="223">
        <v>44698</v>
      </c>
      <c r="H673" s="223">
        <v>44698</v>
      </c>
      <c r="I673" s="223">
        <v>46523</v>
      </c>
      <c r="J673" s="3">
        <v>36</v>
      </c>
      <c r="K673" s="3" t="s">
        <v>10</v>
      </c>
      <c r="L673" s="3" t="s">
        <v>10</v>
      </c>
      <c r="M673" s="95" t="s">
        <v>201</v>
      </c>
      <c r="N673" s="3" t="s">
        <v>68</v>
      </c>
      <c r="O673" s="3" t="s">
        <v>651</v>
      </c>
      <c r="P673" s="3" t="s">
        <v>6</v>
      </c>
      <c r="Q673" s="3" t="s">
        <v>6</v>
      </c>
      <c r="R673" s="95" t="s">
        <v>652</v>
      </c>
      <c r="S673" s="223" t="s">
        <v>5</v>
      </c>
      <c r="T673" s="223" t="s">
        <v>5</v>
      </c>
      <c r="U673" s="223" t="s">
        <v>5</v>
      </c>
      <c r="V673" s="223" t="s">
        <v>5</v>
      </c>
      <c r="W673" s="223" t="s">
        <v>5</v>
      </c>
      <c r="X673" s="3" t="s">
        <v>5</v>
      </c>
      <c r="Y673" s="3" t="s">
        <v>651</v>
      </c>
      <c r="Z673" s="3" t="s">
        <v>651</v>
      </c>
      <c r="AA673" s="3" t="s">
        <v>10</v>
      </c>
      <c r="AB673" s="223" t="s">
        <v>5</v>
      </c>
      <c r="AC673" s="3" t="s">
        <v>6</v>
      </c>
      <c r="AD673" s="3" t="s">
        <v>10</v>
      </c>
      <c r="AE673" s="95" t="s">
        <v>2263</v>
      </c>
    </row>
    <row r="674" spans="1:31" x14ac:dyDescent="0.35">
      <c r="A674" s="3" t="s">
        <v>3048</v>
      </c>
      <c r="B674" s="3" t="s">
        <v>1469</v>
      </c>
      <c r="C674" s="3">
        <v>5</v>
      </c>
      <c r="D674" s="95" t="s">
        <v>1493</v>
      </c>
      <c r="E674" s="95" t="s">
        <v>3049</v>
      </c>
      <c r="F674" s="95" t="s">
        <v>4</v>
      </c>
      <c r="G674" s="223">
        <v>44112</v>
      </c>
      <c r="H674" s="223">
        <v>44136</v>
      </c>
      <c r="I674" s="223">
        <v>45961</v>
      </c>
      <c r="J674" s="3">
        <v>7</v>
      </c>
      <c r="K674" s="3" t="s">
        <v>10</v>
      </c>
      <c r="L674" s="3" t="s">
        <v>10</v>
      </c>
      <c r="M674" s="95" t="s">
        <v>47</v>
      </c>
      <c r="N674" s="3" t="s">
        <v>48</v>
      </c>
      <c r="O674" s="3" t="s">
        <v>651</v>
      </c>
      <c r="P674" s="3" t="s">
        <v>6</v>
      </c>
      <c r="Q674" s="3" t="s">
        <v>6</v>
      </c>
      <c r="R674" s="95" t="s">
        <v>652</v>
      </c>
      <c r="S674" s="223" t="s">
        <v>5</v>
      </c>
      <c r="T674" s="223" t="s">
        <v>5</v>
      </c>
      <c r="U674" s="223" t="s">
        <v>5</v>
      </c>
      <c r="V674" s="223" t="s">
        <v>5</v>
      </c>
      <c r="W674" s="223" t="s">
        <v>5</v>
      </c>
      <c r="X674" s="3" t="s">
        <v>5</v>
      </c>
      <c r="Y674" s="3" t="s">
        <v>651</v>
      </c>
      <c r="Z674" s="3" t="s">
        <v>651</v>
      </c>
      <c r="AA674" s="3" t="s">
        <v>10</v>
      </c>
      <c r="AB674" s="223" t="s">
        <v>5</v>
      </c>
      <c r="AC674" s="3" t="s">
        <v>6</v>
      </c>
      <c r="AD674" s="3" t="s">
        <v>6</v>
      </c>
      <c r="AE674" s="95" t="s">
        <v>2265</v>
      </c>
    </row>
    <row r="675" spans="1:31" x14ac:dyDescent="0.35">
      <c r="A675" s="3" t="s">
        <v>3050</v>
      </c>
      <c r="B675" s="3" t="s">
        <v>1469</v>
      </c>
      <c r="C675" s="3">
        <v>5</v>
      </c>
      <c r="D675" s="95" t="s">
        <v>1237</v>
      </c>
      <c r="E675" s="95" t="s">
        <v>3051</v>
      </c>
      <c r="F675" s="95" t="s">
        <v>4</v>
      </c>
      <c r="G675" s="223">
        <v>44890</v>
      </c>
      <c r="H675" s="223">
        <v>44896</v>
      </c>
      <c r="I675" s="223">
        <v>46721</v>
      </c>
      <c r="J675" s="3">
        <v>25</v>
      </c>
      <c r="K675" s="3" t="s">
        <v>10</v>
      </c>
      <c r="L675" s="3" t="s">
        <v>10</v>
      </c>
      <c r="M675" s="95" t="s">
        <v>116</v>
      </c>
      <c r="N675" s="3" t="s">
        <v>117</v>
      </c>
      <c r="O675" s="3" t="s">
        <v>651</v>
      </c>
      <c r="P675" s="3" t="s">
        <v>6</v>
      </c>
      <c r="Q675" s="3" t="s">
        <v>6</v>
      </c>
      <c r="R675" s="95" t="s">
        <v>652</v>
      </c>
      <c r="S675" s="223" t="s">
        <v>5</v>
      </c>
      <c r="T675" s="223" t="s">
        <v>5</v>
      </c>
      <c r="U675" s="223" t="s">
        <v>5</v>
      </c>
      <c r="V675" s="223" t="s">
        <v>5</v>
      </c>
      <c r="W675" s="223" t="s">
        <v>5</v>
      </c>
      <c r="X675" s="3" t="s">
        <v>5</v>
      </c>
      <c r="Y675" s="3" t="s">
        <v>651</v>
      </c>
      <c r="Z675" s="3" t="s">
        <v>651</v>
      </c>
      <c r="AA675" s="3" t="s">
        <v>10</v>
      </c>
      <c r="AB675" s="223" t="s">
        <v>5</v>
      </c>
      <c r="AC675" s="3" t="s">
        <v>6</v>
      </c>
      <c r="AD675" s="3" t="s">
        <v>10</v>
      </c>
      <c r="AE675" s="95" t="s">
        <v>2265</v>
      </c>
    </row>
    <row r="676" spans="1:31" x14ac:dyDescent="0.35">
      <c r="A676" s="3" t="s">
        <v>1494</v>
      </c>
      <c r="B676" s="3" t="s">
        <v>325</v>
      </c>
      <c r="C676" s="3">
        <v>6</v>
      </c>
      <c r="D676" s="95" t="s">
        <v>1495</v>
      </c>
      <c r="E676" s="95" t="s">
        <v>2500</v>
      </c>
      <c r="F676" s="95" t="s">
        <v>651</v>
      </c>
      <c r="G676" s="223">
        <v>42842</v>
      </c>
      <c r="H676" s="223">
        <v>42894</v>
      </c>
      <c r="I676" s="223">
        <v>44719</v>
      </c>
      <c r="J676" s="3" t="s">
        <v>2266</v>
      </c>
      <c r="K676" s="3" t="s">
        <v>10</v>
      </c>
      <c r="L676" s="3" t="s">
        <v>10</v>
      </c>
      <c r="M676" s="95" t="s">
        <v>230</v>
      </c>
      <c r="N676" s="3" t="s">
        <v>28</v>
      </c>
      <c r="O676" s="3" t="s">
        <v>651</v>
      </c>
      <c r="P676" s="3" t="s">
        <v>10</v>
      </c>
      <c r="Q676" s="3" t="s">
        <v>6</v>
      </c>
      <c r="R676" s="95" t="s">
        <v>2267</v>
      </c>
      <c r="S676" s="223" t="s">
        <v>5</v>
      </c>
      <c r="T676" s="223" t="s">
        <v>5</v>
      </c>
      <c r="U676" s="223" t="s">
        <v>5</v>
      </c>
      <c r="V676" s="223" t="s">
        <v>5</v>
      </c>
      <c r="W676" s="223" t="s">
        <v>5</v>
      </c>
      <c r="X676" s="3" t="s">
        <v>5</v>
      </c>
      <c r="Y676" s="3" t="s">
        <v>651</v>
      </c>
      <c r="Z676" s="3" t="s">
        <v>651</v>
      </c>
      <c r="AA676" s="3" t="s">
        <v>651</v>
      </c>
      <c r="AB676" s="223" t="s">
        <v>5</v>
      </c>
      <c r="AC676" s="3" t="s">
        <v>651</v>
      </c>
      <c r="AD676" s="3" t="s">
        <v>651</v>
      </c>
      <c r="AE676" s="95" t="s">
        <v>651</v>
      </c>
    </row>
    <row r="677" spans="1:31" x14ac:dyDescent="0.35">
      <c r="A677" s="3" t="s">
        <v>1496</v>
      </c>
      <c r="B677" s="3" t="s">
        <v>325</v>
      </c>
      <c r="C677" s="3">
        <v>6</v>
      </c>
      <c r="D677" s="95" t="s">
        <v>1497</v>
      </c>
      <c r="E677" s="95" t="s">
        <v>2500</v>
      </c>
      <c r="F677" s="95" t="s">
        <v>651</v>
      </c>
      <c r="G677" s="223">
        <v>42842</v>
      </c>
      <c r="H677" s="223">
        <v>42894</v>
      </c>
      <c r="I677" s="223">
        <v>44719</v>
      </c>
      <c r="J677" s="3" t="s">
        <v>2266</v>
      </c>
      <c r="K677" s="3" t="s">
        <v>10</v>
      </c>
      <c r="L677" s="3" t="s">
        <v>10</v>
      </c>
      <c r="M677" s="95" t="s">
        <v>1498</v>
      </c>
      <c r="N677" s="3" t="s">
        <v>28</v>
      </c>
      <c r="O677" s="3" t="s">
        <v>651</v>
      </c>
      <c r="P677" s="3" t="s">
        <v>10</v>
      </c>
      <c r="Q677" s="3" t="s">
        <v>6</v>
      </c>
      <c r="R677" s="95" t="s">
        <v>2267</v>
      </c>
      <c r="S677" s="223" t="s">
        <v>5</v>
      </c>
      <c r="T677" s="223" t="s">
        <v>5</v>
      </c>
      <c r="U677" s="223" t="s">
        <v>5</v>
      </c>
      <c r="V677" s="223" t="s">
        <v>5</v>
      </c>
      <c r="W677" s="223" t="s">
        <v>5</v>
      </c>
      <c r="X677" s="3" t="s">
        <v>5</v>
      </c>
      <c r="Y677" s="3" t="s">
        <v>651</v>
      </c>
      <c r="Z677" s="3" t="s">
        <v>651</v>
      </c>
      <c r="AA677" s="3" t="s">
        <v>651</v>
      </c>
      <c r="AB677" s="223" t="s">
        <v>5</v>
      </c>
      <c r="AC677" s="3" t="s">
        <v>651</v>
      </c>
      <c r="AD677" s="3" t="s">
        <v>651</v>
      </c>
      <c r="AE677" s="95" t="s">
        <v>651</v>
      </c>
    </row>
    <row r="678" spans="1:31" x14ac:dyDescent="0.35">
      <c r="A678" s="3" t="s">
        <v>2501</v>
      </c>
      <c r="B678" s="3" t="s">
        <v>325</v>
      </c>
      <c r="C678" s="3">
        <v>6</v>
      </c>
      <c r="D678" s="95" t="s">
        <v>2502</v>
      </c>
      <c r="E678" s="95" t="s">
        <v>2889</v>
      </c>
      <c r="F678" s="95" t="s">
        <v>437</v>
      </c>
      <c r="G678" s="223">
        <v>44978</v>
      </c>
      <c r="H678" s="223">
        <v>45031</v>
      </c>
      <c r="I678" s="223">
        <v>46857</v>
      </c>
      <c r="J678" s="3">
        <v>4</v>
      </c>
      <c r="K678" s="3" t="s">
        <v>6</v>
      </c>
      <c r="L678" s="3" t="s">
        <v>6</v>
      </c>
      <c r="M678" s="95" t="s">
        <v>136</v>
      </c>
      <c r="N678" s="3" t="s">
        <v>138</v>
      </c>
      <c r="O678" s="3" t="s">
        <v>8</v>
      </c>
      <c r="P678" s="3" t="s">
        <v>6</v>
      </c>
      <c r="Q678" s="3" t="s">
        <v>6</v>
      </c>
      <c r="R678" s="95" t="s">
        <v>9</v>
      </c>
      <c r="S678" s="223">
        <v>44333</v>
      </c>
      <c r="T678" s="223">
        <v>44333</v>
      </c>
      <c r="U678" s="223">
        <v>44333</v>
      </c>
      <c r="V678" s="223">
        <v>44333</v>
      </c>
      <c r="W678" s="223" t="s">
        <v>6</v>
      </c>
      <c r="X678" s="3" t="s">
        <v>26</v>
      </c>
      <c r="Y678" s="3" t="s">
        <v>2248</v>
      </c>
      <c r="Z678" s="3" t="s">
        <v>2249</v>
      </c>
      <c r="AA678" s="3" t="s">
        <v>6</v>
      </c>
      <c r="AB678" s="223">
        <v>44862</v>
      </c>
      <c r="AC678" s="3" t="s">
        <v>6</v>
      </c>
      <c r="AD678" s="3" t="s">
        <v>10</v>
      </c>
      <c r="AE678" s="95" t="s">
        <v>2263</v>
      </c>
    </row>
    <row r="679" spans="1:31" x14ac:dyDescent="0.35">
      <c r="A679" s="3" t="s">
        <v>2503</v>
      </c>
      <c r="B679" s="3" t="s">
        <v>325</v>
      </c>
      <c r="C679" s="3">
        <v>6</v>
      </c>
      <c r="D679" s="95" t="s">
        <v>2504</v>
      </c>
      <c r="E679" s="95" t="s">
        <v>2889</v>
      </c>
      <c r="F679" s="95" t="s">
        <v>437</v>
      </c>
      <c r="G679" s="223">
        <v>44978</v>
      </c>
      <c r="H679" s="223">
        <v>45031</v>
      </c>
      <c r="I679" s="223">
        <v>46857</v>
      </c>
      <c r="J679" s="3">
        <v>2</v>
      </c>
      <c r="K679" s="3" t="s">
        <v>6</v>
      </c>
      <c r="L679" s="3" t="s">
        <v>6</v>
      </c>
      <c r="M679" s="95" t="s">
        <v>136</v>
      </c>
      <c r="N679" s="3" t="s">
        <v>138</v>
      </c>
      <c r="O679" s="3" t="s">
        <v>8</v>
      </c>
      <c r="P679" s="3" t="s">
        <v>6</v>
      </c>
      <c r="Q679" s="3" t="s">
        <v>6</v>
      </c>
      <c r="R679" s="95" t="s">
        <v>9</v>
      </c>
      <c r="S679" s="223">
        <v>44333</v>
      </c>
      <c r="T679" s="223">
        <v>44333</v>
      </c>
      <c r="U679" s="223">
        <v>44333</v>
      </c>
      <c r="V679" s="223">
        <v>44333</v>
      </c>
      <c r="W679" s="223" t="s">
        <v>6</v>
      </c>
      <c r="X679" s="3" t="s">
        <v>26</v>
      </c>
      <c r="Y679" s="3" t="s">
        <v>2248</v>
      </c>
      <c r="Z679" s="3" t="s">
        <v>2249</v>
      </c>
      <c r="AA679" s="3" t="s">
        <v>6</v>
      </c>
      <c r="AB679" s="223">
        <v>44862</v>
      </c>
      <c r="AC679" s="3" t="s">
        <v>6</v>
      </c>
      <c r="AD679" s="3" t="s">
        <v>10</v>
      </c>
      <c r="AE679" s="95" t="s">
        <v>2263</v>
      </c>
    </row>
    <row r="680" spans="1:31" x14ac:dyDescent="0.35">
      <c r="A680" s="3" t="s">
        <v>1499</v>
      </c>
      <c r="B680" s="3" t="s">
        <v>325</v>
      </c>
      <c r="C680" s="3">
        <v>6</v>
      </c>
      <c r="D680" s="95" t="s">
        <v>1500</v>
      </c>
      <c r="E680" s="95" t="s">
        <v>2505</v>
      </c>
      <c r="F680" s="95" t="s">
        <v>651</v>
      </c>
      <c r="G680" s="223">
        <v>43042</v>
      </c>
      <c r="H680" s="223">
        <v>43101</v>
      </c>
      <c r="I680" s="223">
        <v>44927</v>
      </c>
      <c r="J680" s="3" t="s">
        <v>2266</v>
      </c>
      <c r="K680" s="3" t="s">
        <v>10</v>
      </c>
      <c r="L680" s="3" t="s">
        <v>10</v>
      </c>
      <c r="M680" s="95" t="s">
        <v>737</v>
      </c>
      <c r="N680" s="3" t="s">
        <v>28</v>
      </c>
      <c r="O680" s="3" t="s">
        <v>651</v>
      </c>
      <c r="P680" s="3" t="s">
        <v>10</v>
      </c>
      <c r="Q680" s="3" t="s">
        <v>6</v>
      </c>
      <c r="R680" s="95" t="s">
        <v>2267</v>
      </c>
      <c r="S680" s="223" t="s">
        <v>5</v>
      </c>
      <c r="T680" s="223" t="s">
        <v>5</v>
      </c>
      <c r="U680" s="223" t="s">
        <v>5</v>
      </c>
      <c r="V680" s="223" t="s">
        <v>5</v>
      </c>
      <c r="W680" s="223" t="s">
        <v>5</v>
      </c>
      <c r="X680" s="3" t="s">
        <v>5</v>
      </c>
      <c r="Y680" s="3" t="s">
        <v>651</v>
      </c>
      <c r="Z680" s="3" t="s">
        <v>651</v>
      </c>
      <c r="AA680" s="3" t="s">
        <v>651</v>
      </c>
      <c r="AB680" s="223" t="s">
        <v>5</v>
      </c>
      <c r="AC680" s="3" t="s">
        <v>651</v>
      </c>
      <c r="AD680" s="3" t="s">
        <v>651</v>
      </c>
      <c r="AE680" s="95" t="s">
        <v>651</v>
      </c>
    </row>
    <row r="681" spans="1:31" x14ac:dyDescent="0.35">
      <c r="A681" s="3" t="s">
        <v>1501</v>
      </c>
      <c r="B681" s="3" t="s">
        <v>325</v>
      </c>
      <c r="C681" s="3">
        <v>6</v>
      </c>
      <c r="D681" s="95" t="s">
        <v>3131</v>
      </c>
      <c r="E681" s="95" t="s">
        <v>2506</v>
      </c>
      <c r="F681" s="95" t="s">
        <v>4</v>
      </c>
      <c r="G681" s="223">
        <v>42886</v>
      </c>
      <c r="H681" s="223">
        <v>42887</v>
      </c>
      <c r="I681" s="223">
        <v>44712</v>
      </c>
      <c r="J681" s="3">
        <v>13</v>
      </c>
      <c r="K681" s="3" t="s">
        <v>10</v>
      </c>
      <c r="L681" s="3" t="s">
        <v>10</v>
      </c>
      <c r="M681" s="95" t="s">
        <v>19</v>
      </c>
      <c r="N681" s="3" t="s">
        <v>20</v>
      </c>
      <c r="O681" s="3" t="s">
        <v>651</v>
      </c>
      <c r="P681" s="3" t="s">
        <v>6</v>
      </c>
      <c r="Q681" s="3" t="s">
        <v>6</v>
      </c>
      <c r="R681" s="95" t="s">
        <v>652</v>
      </c>
      <c r="S681" s="223" t="s">
        <v>5</v>
      </c>
      <c r="T681" s="223" t="s">
        <v>5</v>
      </c>
      <c r="U681" s="223" t="s">
        <v>5</v>
      </c>
      <c r="V681" s="223" t="s">
        <v>5</v>
      </c>
      <c r="W681" s="223" t="s">
        <v>5</v>
      </c>
      <c r="X681" s="3" t="s">
        <v>5</v>
      </c>
      <c r="Y681" s="3" t="s">
        <v>651</v>
      </c>
      <c r="Z681" s="3" t="s">
        <v>651</v>
      </c>
      <c r="AA681" s="3" t="s">
        <v>10</v>
      </c>
      <c r="AB681" s="223" t="s">
        <v>5</v>
      </c>
      <c r="AC681" s="3" t="s">
        <v>10</v>
      </c>
      <c r="AD681" s="3" t="s">
        <v>10</v>
      </c>
      <c r="AE681" s="95" t="s">
        <v>2263</v>
      </c>
    </row>
    <row r="682" spans="1:31" x14ac:dyDescent="0.35">
      <c r="A682" s="3" t="s">
        <v>1502</v>
      </c>
      <c r="B682" s="3" t="s">
        <v>325</v>
      </c>
      <c r="C682" s="3">
        <v>6</v>
      </c>
      <c r="D682" s="95" t="s">
        <v>1503</v>
      </c>
      <c r="E682" s="95" t="s">
        <v>2507</v>
      </c>
      <c r="F682" s="95" t="s">
        <v>651</v>
      </c>
      <c r="G682" s="223">
        <v>43266</v>
      </c>
      <c r="H682" s="223">
        <v>43282</v>
      </c>
      <c r="I682" s="223">
        <v>45107</v>
      </c>
      <c r="J682" s="3" t="s">
        <v>2266</v>
      </c>
      <c r="K682" s="3" t="s">
        <v>10</v>
      </c>
      <c r="L682" s="3" t="s">
        <v>10</v>
      </c>
      <c r="M682" s="95" t="s">
        <v>1504</v>
      </c>
      <c r="N682" s="3" t="s">
        <v>115</v>
      </c>
      <c r="O682" s="3" t="s">
        <v>651</v>
      </c>
      <c r="P682" s="3" t="s">
        <v>10</v>
      </c>
      <c r="Q682" s="3" t="s">
        <v>6</v>
      </c>
      <c r="R682" s="95" t="s">
        <v>2267</v>
      </c>
      <c r="S682" s="223" t="s">
        <v>5</v>
      </c>
      <c r="T682" s="223" t="s">
        <v>5</v>
      </c>
      <c r="U682" s="223" t="s">
        <v>5</v>
      </c>
      <c r="V682" s="223" t="s">
        <v>5</v>
      </c>
      <c r="W682" s="223" t="s">
        <v>5</v>
      </c>
      <c r="X682" s="3" t="s">
        <v>5</v>
      </c>
      <c r="Y682" s="3" t="s">
        <v>651</v>
      </c>
      <c r="Z682" s="3" t="s">
        <v>651</v>
      </c>
      <c r="AA682" s="3" t="s">
        <v>651</v>
      </c>
      <c r="AB682" s="223" t="s">
        <v>5</v>
      </c>
      <c r="AC682" s="3" t="s">
        <v>651</v>
      </c>
      <c r="AD682" s="3" t="s">
        <v>651</v>
      </c>
      <c r="AE682" s="95" t="s">
        <v>651</v>
      </c>
    </row>
    <row r="683" spans="1:31" x14ac:dyDescent="0.35">
      <c r="A683" s="3" t="s">
        <v>1505</v>
      </c>
      <c r="B683" s="3" t="s">
        <v>325</v>
      </c>
      <c r="C683" s="3">
        <v>6</v>
      </c>
      <c r="D683" s="95" t="s">
        <v>1506</v>
      </c>
      <c r="E683" s="95" t="s">
        <v>1507</v>
      </c>
      <c r="F683" s="95" t="s">
        <v>4</v>
      </c>
      <c r="G683" s="223">
        <v>44979</v>
      </c>
      <c r="H683" s="223">
        <v>45009</v>
      </c>
      <c r="I683" s="223">
        <v>46835</v>
      </c>
      <c r="J683" s="3">
        <v>168</v>
      </c>
      <c r="K683" s="3" t="s">
        <v>10</v>
      </c>
      <c r="L683" s="3" t="s">
        <v>10</v>
      </c>
      <c r="M683" s="95" t="s">
        <v>105</v>
      </c>
      <c r="N683" s="3" t="s">
        <v>106</v>
      </c>
      <c r="O683" s="3" t="s">
        <v>651</v>
      </c>
      <c r="P683" s="3" t="s">
        <v>6</v>
      </c>
      <c r="Q683" s="3" t="s">
        <v>6</v>
      </c>
      <c r="R683" s="95" t="s">
        <v>652</v>
      </c>
      <c r="S683" s="223" t="s">
        <v>5</v>
      </c>
      <c r="T683" s="223" t="s">
        <v>5</v>
      </c>
      <c r="U683" s="223" t="s">
        <v>5</v>
      </c>
      <c r="V683" s="223" t="s">
        <v>5</v>
      </c>
      <c r="W683" s="223" t="s">
        <v>5</v>
      </c>
      <c r="X683" s="3" t="s">
        <v>5</v>
      </c>
      <c r="Y683" s="3" t="s">
        <v>651</v>
      </c>
      <c r="Z683" s="3" t="s">
        <v>651</v>
      </c>
      <c r="AA683" s="3" t="s">
        <v>10</v>
      </c>
      <c r="AB683" s="223" t="s">
        <v>5</v>
      </c>
      <c r="AC683" s="3" t="s">
        <v>10</v>
      </c>
      <c r="AD683" s="3" t="s">
        <v>10</v>
      </c>
      <c r="AE683" s="95" t="s">
        <v>2265</v>
      </c>
    </row>
    <row r="684" spans="1:31" x14ac:dyDescent="0.35">
      <c r="A684" s="3" t="s">
        <v>1508</v>
      </c>
      <c r="B684" s="3" t="s">
        <v>325</v>
      </c>
      <c r="C684" s="3">
        <v>6</v>
      </c>
      <c r="D684" s="95" t="s">
        <v>2508</v>
      </c>
      <c r="E684" s="95" t="s">
        <v>2509</v>
      </c>
      <c r="F684" s="95" t="s">
        <v>4</v>
      </c>
      <c r="G684" s="223">
        <v>45545</v>
      </c>
      <c r="H684" s="223">
        <v>45566</v>
      </c>
      <c r="I684" s="223">
        <v>47391</v>
      </c>
      <c r="J684" s="3">
        <v>15</v>
      </c>
      <c r="K684" s="3" t="s">
        <v>10</v>
      </c>
      <c r="L684" s="3" t="s">
        <v>10</v>
      </c>
      <c r="M684" s="95" t="s">
        <v>114</v>
      </c>
      <c r="N684" s="3" t="s">
        <v>115</v>
      </c>
      <c r="O684" s="3" t="s">
        <v>651</v>
      </c>
      <c r="P684" s="3" t="s">
        <v>6</v>
      </c>
      <c r="Q684" s="3" t="s">
        <v>6</v>
      </c>
      <c r="R684" s="95" t="s">
        <v>652</v>
      </c>
      <c r="S684" s="223" t="s">
        <v>5</v>
      </c>
      <c r="T684" s="223" t="s">
        <v>5</v>
      </c>
      <c r="U684" s="223" t="s">
        <v>5</v>
      </c>
      <c r="V684" s="223" t="s">
        <v>5</v>
      </c>
      <c r="W684" s="223" t="s">
        <v>5</v>
      </c>
      <c r="X684" s="3" t="s">
        <v>5</v>
      </c>
      <c r="Y684" s="3" t="s">
        <v>651</v>
      </c>
      <c r="Z684" s="3" t="s">
        <v>651</v>
      </c>
      <c r="AA684" s="3" t="s">
        <v>10</v>
      </c>
      <c r="AB684" s="223" t="s">
        <v>5</v>
      </c>
      <c r="AC684" s="3" t="s">
        <v>6</v>
      </c>
      <c r="AD684" s="3" t="s">
        <v>10</v>
      </c>
      <c r="AE684" s="95" t="s">
        <v>2265</v>
      </c>
    </row>
    <row r="685" spans="1:31" x14ac:dyDescent="0.35">
      <c r="A685" s="3" t="s">
        <v>1509</v>
      </c>
      <c r="B685" s="3" t="s">
        <v>325</v>
      </c>
      <c r="C685" s="3">
        <v>6</v>
      </c>
      <c r="D685" s="95" t="s">
        <v>1510</v>
      </c>
      <c r="E685" s="95" t="s">
        <v>2510</v>
      </c>
      <c r="F685" s="95" t="s">
        <v>3261</v>
      </c>
      <c r="G685" s="223">
        <v>43483</v>
      </c>
      <c r="H685" s="223">
        <v>43525</v>
      </c>
      <c r="I685" s="223">
        <v>45351</v>
      </c>
      <c r="J685" s="3">
        <v>9</v>
      </c>
      <c r="K685" s="3" t="s">
        <v>10</v>
      </c>
      <c r="L685" s="3" t="s">
        <v>10</v>
      </c>
      <c r="M685" s="95" t="s">
        <v>230</v>
      </c>
      <c r="N685" s="3" t="s">
        <v>28</v>
      </c>
      <c r="O685" s="3" t="s">
        <v>651</v>
      </c>
      <c r="P685" s="3" t="s">
        <v>6</v>
      </c>
      <c r="Q685" s="3" t="s">
        <v>6</v>
      </c>
      <c r="R685" s="95" t="s">
        <v>652</v>
      </c>
      <c r="S685" s="223" t="s">
        <v>5</v>
      </c>
      <c r="T685" s="223" t="s">
        <v>5</v>
      </c>
      <c r="U685" s="223" t="s">
        <v>5</v>
      </c>
      <c r="V685" s="223" t="s">
        <v>5</v>
      </c>
      <c r="W685" s="223" t="s">
        <v>5</v>
      </c>
      <c r="X685" s="3" t="s">
        <v>5</v>
      </c>
      <c r="Y685" s="3" t="s">
        <v>651</v>
      </c>
      <c r="Z685" s="3" t="s">
        <v>651</v>
      </c>
      <c r="AA685" s="3" t="s">
        <v>10</v>
      </c>
      <c r="AB685" s="223" t="s">
        <v>5</v>
      </c>
      <c r="AC685" s="3" t="s">
        <v>6</v>
      </c>
      <c r="AD685" s="3" t="s">
        <v>10</v>
      </c>
      <c r="AE685" s="95" t="s">
        <v>2265</v>
      </c>
    </row>
    <row r="686" spans="1:31" x14ac:dyDescent="0.35">
      <c r="A686" s="3" t="s">
        <v>1511</v>
      </c>
      <c r="B686" s="3" t="s">
        <v>325</v>
      </c>
      <c r="C686" s="3">
        <v>6</v>
      </c>
      <c r="D686" s="95" t="s">
        <v>1512</v>
      </c>
      <c r="E686" s="95" t="s">
        <v>2511</v>
      </c>
      <c r="F686" s="95" t="s">
        <v>3261</v>
      </c>
      <c r="G686" s="223">
        <v>43881</v>
      </c>
      <c r="H686" s="223">
        <v>43922</v>
      </c>
      <c r="I686" s="223">
        <v>45747</v>
      </c>
      <c r="J686" s="3">
        <v>8</v>
      </c>
      <c r="K686" s="3" t="s">
        <v>10</v>
      </c>
      <c r="L686" s="3" t="s">
        <v>10</v>
      </c>
      <c r="M686" s="95" t="s">
        <v>136</v>
      </c>
      <c r="N686" s="3" t="s">
        <v>138</v>
      </c>
      <c r="O686" s="3" t="s">
        <v>651</v>
      </c>
      <c r="P686" s="3" t="s">
        <v>6</v>
      </c>
      <c r="Q686" s="3" t="s">
        <v>6</v>
      </c>
      <c r="R686" s="95" t="s">
        <v>652</v>
      </c>
      <c r="S686" s="223" t="s">
        <v>5</v>
      </c>
      <c r="T686" s="223" t="s">
        <v>5</v>
      </c>
      <c r="U686" s="223" t="s">
        <v>5</v>
      </c>
      <c r="V686" s="223" t="s">
        <v>5</v>
      </c>
      <c r="W686" s="223" t="s">
        <v>5</v>
      </c>
      <c r="X686" s="3" t="s">
        <v>5</v>
      </c>
      <c r="Y686" s="3" t="s">
        <v>651</v>
      </c>
      <c r="Z686" s="3" t="s">
        <v>651</v>
      </c>
      <c r="AA686" s="3" t="s">
        <v>6</v>
      </c>
      <c r="AB686" s="223">
        <v>45474</v>
      </c>
      <c r="AC686" s="3" t="s">
        <v>6</v>
      </c>
      <c r="AD686" s="3" t="s">
        <v>10</v>
      </c>
      <c r="AE686" s="95" t="s">
        <v>2265</v>
      </c>
    </row>
    <row r="687" spans="1:31" x14ac:dyDescent="0.35">
      <c r="A687" s="3" t="s">
        <v>1513</v>
      </c>
      <c r="B687" s="3" t="s">
        <v>325</v>
      </c>
      <c r="C687" s="3">
        <v>6</v>
      </c>
      <c r="D687" s="95" t="s">
        <v>2512</v>
      </c>
      <c r="E687" s="95" t="s">
        <v>3262</v>
      </c>
      <c r="F687" s="95" t="s">
        <v>3261</v>
      </c>
      <c r="G687" s="223">
        <v>43840</v>
      </c>
      <c r="H687" s="223">
        <v>43862</v>
      </c>
      <c r="I687" s="223">
        <v>45688</v>
      </c>
      <c r="J687" s="3">
        <v>18</v>
      </c>
      <c r="K687" s="3" t="s">
        <v>10</v>
      </c>
      <c r="L687" s="3" t="s">
        <v>10</v>
      </c>
      <c r="M687" s="95" t="s">
        <v>116</v>
      </c>
      <c r="N687" s="3" t="s">
        <v>117</v>
      </c>
      <c r="O687" s="3" t="s">
        <v>651</v>
      </c>
      <c r="P687" s="3" t="s">
        <v>6</v>
      </c>
      <c r="Q687" s="3" t="s">
        <v>6</v>
      </c>
      <c r="R687" s="95" t="s">
        <v>652</v>
      </c>
      <c r="S687" s="223" t="s">
        <v>5</v>
      </c>
      <c r="T687" s="223" t="s">
        <v>5</v>
      </c>
      <c r="U687" s="223" t="s">
        <v>5</v>
      </c>
      <c r="V687" s="223" t="s">
        <v>5</v>
      </c>
      <c r="W687" s="223" t="s">
        <v>5</v>
      </c>
      <c r="X687" s="3" t="s">
        <v>5</v>
      </c>
      <c r="Y687" s="3" t="s">
        <v>651</v>
      </c>
      <c r="Z687" s="3" t="s">
        <v>651</v>
      </c>
      <c r="AA687" s="3" t="s">
        <v>6</v>
      </c>
      <c r="AB687" s="223">
        <v>45474</v>
      </c>
      <c r="AC687" s="3" t="s">
        <v>6</v>
      </c>
      <c r="AD687" s="3" t="s">
        <v>10</v>
      </c>
      <c r="AE687" s="95" t="s">
        <v>2265</v>
      </c>
    </row>
    <row r="688" spans="1:31" x14ac:dyDescent="0.35">
      <c r="A688" s="3" t="s">
        <v>1514</v>
      </c>
      <c r="B688" s="3" t="s">
        <v>325</v>
      </c>
      <c r="C688" s="3">
        <v>6</v>
      </c>
      <c r="D688" s="95" t="s">
        <v>2513</v>
      </c>
      <c r="E688" s="95" t="s">
        <v>3263</v>
      </c>
      <c r="F688" s="95" t="s">
        <v>3261</v>
      </c>
      <c r="G688" s="223">
        <v>44395</v>
      </c>
      <c r="H688" s="223">
        <v>44409</v>
      </c>
      <c r="I688" s="223">
        <v>46234</v>
      </c>
      <c r="J688" s="3">
        <v>34</v>
      </c>
      <c r="K688" s="3" t="s">
        <v>10</v>
      </c>
      <c r="L688" s="3" t="s">
        <v>10</v>
      </c>
      <c r="M688" s="95" t="s">
        <v>47</v>
      </c>
      <c r="N688" s="3" t="s">
        <v>48</v>
      </c>
      <c r="O688" s="3" t="s">
        <v>651</v>
      </c>
      <c r="P688" s="3" t="s">
        <v>6</v>
      </c>
      <c r="Q688" s="3" t="s">
        <v>6</v>
      </c>
      <c r="R688" s="95" t="s">
        <v>652</v>
      </c>
      <c r="S688" s="223" t="s">
        <v>5</v>
      </c>
      <c r="T688" s="223" t="s">
        <v>5</v>
      </c>
      <c r="U688" s="223" t="s">
        <v>5</v>
      </c>
      <c r="V688" s="223" t="s">
        <v>5</v>
      </c>
      <c r="W688" s="223" t="s">
        <v>5</v>
      </c>
      <c r="X688" s="3" t="s">
        <v>5</v>
      </c>
      <c r="Y688" s="3" t="s">
        <v>651</v>
      </c>
      <c r="Z688" s="3" t="s">
        <v>651</v>
      </c>
      <c r="AA688" s="3" t="s">
        <v>10</v>
      </c>
      <c r="AB688" s="223" t="s">
        <v>5</v>
      </c>
      <c r="AC688" s="3" t="s">
        <v>6</v>
      </c>
      <c r="AD688" s="3" t="s">
        <v>10</v>
      </c>
      <c r="AE688" s="95" t="s">
        <v>2265</v>
      </c>
    </row>
    <row r="689" spans="1:31" x14ac:dyDescent="0.35">
      <c r="A689" s="3" t="s">
        <v>1515</v>
      </c>
      <c r="B689" s="3" t="s">
        <v>325</v>
      </c>
      <c r="C689" s="3">
        <v>6</v>
      </c>
      <c r="D689" s="95" t="s">
        <v>1516</v>
      </c>
      <c r="E689" s="95" t="s">
        <v>3264</v>
      </c>
      <c r="F689" s="95" t="s">
        <v>3261</v>
      </c>
      <c r="G689" s="223">
        <v>44172</v>
      </c>
      <c r="H689" s="223">
        <v>44197</v>
      </c>
      <c r="I689" s="223">
        <v>46022</v>
      </c>
      <c r="J689" s="3">
        <v>2</v>
      </c>
      <c r="K689" s="3" t="s">
        <v>10</v>
      </c>
      <c r="L689" s="3" t="s">
        <v>10</v>
      </c>
      <c r="M689" s="95" t="s">
        <v>60</v>
      </c>
      <c r="N689" s="3" t="s">
        <v>28</v>
      </c>
      <c r="O689" s="3" t="s">
        <v>651</v>
      </c>
      <c r="P689" s="3" t="s">
        <v>6</v>
      </c>
      <c r="Q689" s="3" t="s">
        <v>6</v>
      </c>
      <c r="R689" s="95" t="s">
        <v>652</v>
      </c>
      <c r="S689" s="223" t="s">
        <v>5</v>
      </c>
      <c r="T689" s="223" t="s">
        <v>5</v>
      </c>
      <c r="U689" s="223" t="s">
        <v>5</v>
      </c>
      <c r="V689" s="223" t="s">
        <v>5</v>
      </c>
      <c r="W689" s="223" t="s">
        <v>5</v>
      </c>
      <c r="X689" s="3" t="s">
        <v>5</v>
      </c>
      <c r="Y689" s="3" t="s">
        <v>651</v>
      </c>
      <c r="Z689" s="3" t="s">
        <v>651</v>
      </c>
      <c r="AA689" s="3" t="s">
        <v>6</v>
      </c>
      <c r="AB689" s="223">
        <v>45474</v>
      </c>
      <c r="AC689" s="3" t="s">
        <v>10</v>
      </c>
      <c r="AD689" s="3" t="s">
        <v>10</v>
      </c>
      <c r="AE689" s="95" t="s">
        <v>2265</v>
      </c>
    </row>
    <row r="690" spans="1:31" x14ac:dyDescent="0.35">
      <c r="A690" s="3" t="s">
        <v>1517</v>
      </c>
      <c r="B690" s="3" t="s">
        <v>325</v>
      </c>
      <c r="C690" s="3">
        <v>6</v>
      </c>
      <c r="D690" s="95" t="s">
        <v>2514</v>
      </c>
      <c r="E690" s="95" t="s">
        <v>2505</v>
      </c>
      <c r="F690" s="95" t="s">
        <v>3261</v>
      </c>
      <c r="G690" s="223">
        <v>45009</v>
      </c>
      <c r="H690" s="223">
        <v>45017</v>
      </c>
      <c r="I690" s="223">
        <v>46843</v>
      </c>
      <c r="J690" s="3">
        <v>2</v>
      </c>
      <c r="K690" s="3" t="s">
        <v>10</v>
      </c>
      <c r="L690" s="3" t="s">
        <v>10</v>
      </c>
      <c r="M690" s="95" t="s">
        <v>737</v>
      </c>
      <c r="N690" s="3" t="s">
        <v>28</v>
      </c>
      <c r="O690" s="3" t="s">
        <v>651</v>
      </c>
      <c r="P690" s="3" t="s">
        <v>6</v>
      </c>
      <c r="Q690" s="3" t="s">
        <v>6</v>
      </c>
      <c r="R690" s="95" t="s">
        <v>652</v>
      </c>
      <c r="S690" s="223" t="s">
        <v>5</v>
      </c>
      <c r="T690" s="223" t="s">
        <v>5</v>
      </c>
      <c r="U690" s="223" t="s">
        <v>5</v>
      </c>
      <c r="V690" s="223" t="s">
        <v>5</v>
      </c>
      <c r="W690" s="223" t="s">
        <v>5</v>
      </c>
      <c r="X690" s="3" t="s">
        <v>5</v>
      </c>
      <c r="Y690" s="3" t="s">
        <v>651</v>
      </c>
      <c r="Z690" s="3" t="s">
        <v>651</v>
      </c>
      <c r="AA690" s="3" t="s">
        <v>10</v>
      </c>
      <c r="AB690" s="223" t="s">
        <v>5</v>
      </c>
      <c r="AC690" s="3" t="s">
        <v>6</v>
      </c>
      <c r="AD690" s="3" t="s">
        <v>10</v>
      </c>
      <c r="AE690" s="95" t="s">
        <v>2265</v>
      </c>
    </row>
    <row r="691" spans="1:31" x14ac:dyDescent="0.35">
      <c r="A691" s="3" t="s">
        <v>1518</v>
      </c>
      <c r="B691" s="3" t="s">
        <v>325</v>
      </c>
      <c r="C691" s="3">
        <v>6</v>
      </c>
      <c r="D691" s="95" t="s">
        <v>2515</v>
      </c>
      <c r="E691" s="95" t="s">
        <v>2516</v>
      </c>
      <c r="F691" s="95" t="s">
        <v>3261</v>
      </c>
      <c r="G691" s="223">
        <v>44930</v>
      </c>
      <c r="H691" s="223">
        <v>44930</v>
      </c>
      <c r="I691" s="223">
        <v>46755</v>
      </c>
      <c r="J691" s="3">
        <v>9</v>
      </c>
      <c r="K691" s="3" t="s">
        <v>10</v>
      </c>
      <c r="L691" s="3" t="s">
        <v>10</v>
      </c>
      <c r="M691" s="95" t="s">
        <v>201</v>
      </c>
      <c r="N691" s="3" t="s">
        <v>68</v>
      </c>
      <c r="O691" s="3" t="s">
        <v>651</v>
      </c>
      <c r="P691" s="3" t="s">
        <v>6</v>
      </c>
      <c r="Q691" s="3" t="s">
        <v>6</v>
      </c>
      <c r="R691" s="95" t="s">
        <v>652</v>
      </c>
      <c r="S691" s="223" t="s">
        <v>5</v>
      </c>
      <c r="T691" s="223" t="s">
        <v>5</v>
      </c>
      <c r="U691" s="223" t="s">
        <v>5</v>
      </c>
      <c r="V691" s="223" t="s">
        <v>5</v>
      </c>
      <c r="W691" s="223" t="s">
        <v>5</v>
      </c>
      <c r="X691" s="3" t="s">
        <v>5</v>
      </c>
      <c r="Y691" s="3" t="s">
        <v>651</v>
      </c>
      <c r="Z691" s="3" t="s">
        <v>651</v>
      </c>
      <c r="AA691" s="3" t="s">
        <v>10</v>
      </c>
      <c r="AB691" s="223" t="s">
        <v>5</v>
      </c>
      <c r="AC691" s="3" t="s">
        <v>6</v>
      </c>
      <c r="AD691" s="3" t="s">
        <v>10</v>
      </c>
      <c r="AE691" s="95" t="s">
        <v>2265</v>
      </c>
    </row>
    <row r="692" spans="1:31" x14ac:dyDescent="0.35">
      <c r="A692" s="3" t="s">
        <v>324</v>
      </c>
      <c r="B692" s="3" t="s">
        <v>325</v>
      </c>
      <c r="C692" s="3">
        <v>6</v>
      </c>
      <c r="D692" s="95" t="s">
        <v>3165</v>
      </c>
      <c r="E692" s="95" t="s">
        <v>422</v>
      </c>
      <c r="F692" s="95" t="s">
        <v>437</v>
      </c>
      <c r="G692" s="223">
        <v>44455</v>
      </c>
      <c r="H692" s="223">
        <v>44500</v>
      </c>
      <c r="I692" s="223">
        <v>46326</v>
      </c>
      <c r="J692" s="3">
        <v>0</v>
      </c>
      <c r="K692" s="3" t="s">
        <v>6</v>
      </c>
      <c r="L692" s="3" t="s">
        <v>6</v>
      </c>
      <c r="M692" s="95" t="s">
        <v>19</v>
      </c>
      <c r="N692" s="3" t="s">
        <v>20</v>
      </c>
      <c r="O692" s="3" t="s">
        <v>21</v>
      </c>
      <c r="P692" s="3" t="s">
        <v>6</v>
      </c>
      <c r="Q692" s="3" t="s">
        <v>6</v>
      </c>
      <c r="R692" s="95" t="s">
        <v>22</v>
      </c>
      <c r="S692" s="223">
        <v>43675</v>
      </c>
      <c r="T692" s="223">
        <v>43756</v>
      </c>
      <c r="U692" s="223">
        <v>43647</v>
      </c>
      <c r="V692" s="223">
        <v>43647</v>
      </c>
      <c r="W692" s="223" t="s">
        <v>6</v>
      </c>
      <c r="X692" s="3" t="s">
        <v>26</v>
      </c>
      <c r="Y692" s="3" t="s">
        <v>2116</v>
      </c>
      <c r="Z692" s="3" t="s">
        <v>20</v>
      </c>
      <c r="AA692" s="3" t="s">
        <v>6</v>
      </c>
      <c r="AB692" s="223">
        <v>44442</v>
      </c>
      <c r="AC692" s="3" t="s">
        <v>10</v>
      </c>
      <c r="AD692" s="3" t="s">
        <v>10</v>
      </c>
      <c r="AE692" s="95" t="s">
        <v>2263</v>
      </c>
    </row>
    <row r="693" spans="1:31" x14ac:dyDescent="0.35">
      <c r="A693" s="3" t="s">
        <v>1519</v>
      </c>
      <c r="B693" s="3" t="s">
        <v>325</v>
      </c>
      <c r="C693" s="3">
        <v>6</v>
      </c>
      <c r="D693" s="95" t="s">
        <v>1520</v>
      </c>
      <c r="E693" s="95" t="s">
        <v>2507</v>
      </c>
      <c r="F693" s="95" t="s">
        <v>3261</v>
      </c>
      <c r="G693" s="223">
        <v>45140</v>
      </c>
      <c r="H693" s="223">
        <v>45170</v>
      </c>
      <c r="I693" s="223">
        <v>46996</v>
      </c>
      <c r="J693" s="3">
        <v>47</v>
      </c>
      <c r="K693" s="3" t="s">
        <v>10</v>
      </c>
      <c r="L693" s="3" t="s">
        <v>10</v>
      </c>
      <c r="M693" s="95" t="s">
        <v>1521</v>
      </c>
      <c r="N693" s="3" t="s">
        <v>115</v>
      </c>
      <c r="O693" s="3" t="s">
        <v>651</v>
      </c>
      <c r="P693" s="3" t="s">
        <v>6</v>
      </c>
      <c r="Q693" s="3" t="s">
        <v>6</v>
      </c>
      <c r="R693" s="95" t="s">
        <v>652</v>
      </c>
      <c r="S693" s="223" t="s">
        <v>5</v>
      </c>
      <c r="T693" s="223" t="s">
        <v>5</v>
      </c>
      <c r="U693" s="223" t="s">
        <v>5</v>
      </c>
      <c r="V693" s="223" t="s">
        <v>5</v>
      </c>
      <c r="W693" s="223" t="s">
        <v>5</v>
      </c>
      <c r="X693" s="3" t="s">
        <v>5</v>
      </c>
      <c r="Y693" s="3" t="s">
        <v>651</v>
      </c>
      <c r="Z693" s="3" t="s">
        <v>651</v>
      </c>
      <c r="AA693" s="3" t="s">
        <v>10</v>
      </c>
      <c r="AB693" s="223" t="s">
        <v>5</v>
      </c>
      <c r="AC693" s="3" t="s">
        <v>6</v>
      </c>
      <c r="AD693" s="3" t="s">
        <v>10</v>
      </c>
      <c r="AE693" s="95" t="s">
        <v>2265</v>
      </c>
    </row>
    <row r="694" spans="1:31" x14ac:dyDescent="0.35">
      <c r="A694" s="3" t="s">
        <v>1522</v>
      </c>
      <c r="B694" s="3" t="s">
        <v>325</v>
      </c>
      <c r="C694" s="3">
        <v>6</v>
      </c>
      <c r="D694" s="95" t="s">
        <v>1523</v>
      </c>
      <c r="E694" s="95" t="s">
        <v>2517</v>
      </c>
      <c r="F694" s="95" t="s">
        <v>651</v>
      </c>
      <c r="G694" s="223">
        <v>42278</v>
      </c>
      <c r="H694" s="223">
        <v>42309</v>
      </c>
      <c r="I694" s="223">
        <v>44135</v>
      </c>
      <c r="J694" s="3" t="s">
        <v>2266</v>
      </c>
      <c r="K694" s="3" t="s">
        <v>10</v>
      </c>
      <c r="L694" s="3" t="s">
        <v>10</v>
      </c>
      <c r="M694" s="95" t="s">
        <v>47</v>
      </c>
      <c r="N694" s="3" t="s">
        <v>48</v>
      </c>
      <c r="O694" s="3" t="s">
        <v>651</v>
      </c>
      <c r="P694" s="3" t="s">
        <v>10</v>
      </c>
      <c r="Q694" s="3" t="s">
        <v>6</v>
      </c>
      <c r="R694" s="95" t="s">
        <v>2267</v>
      </c>
      <c r="S694" s="223" t="s">
        <v>5</v>
      </c>
      <c r="T694" s="223" t="s">
        <v>5</v>
      </c>
      <c r="U694" s="223" t="s">
        <v>5</v>
      </c>
      <c r="V694" s="223" t="s">
        <v>5</v>
      </c>
      <c r="W694" s="223" t="s">
        <v>5</v>
      </c>
      <c r="X694" s="3" t="s">
        <v>5</v>
      </c>
      <c r="Y694" s="3" t="s">
        <v>651</v>
      </c>
      <c r="Z694" s="3" t="s">
        <v>651</v>
      </c>
      <c r="AA694" s="3" t="s">
        <v>651</v>
      </c>
      <c r="AB694" s="223" t="s">
        <v>5</v>
      </c>
      <c r="AC694" s="3" t="s">
        <v>651</v>
      </c>
      <c r="AD694" s="3" t="s">
        <v>651</v>
      </c>
      <c r="AE694" s="95" t="s">
        <v>651</v>
      </c>
    </row>
    <row r="695" spans="1:31" x14ac:dyDescent="0.35">
      <c r="A695" s="3" t="s">
        <v>1997</v>
      </c>
      <c r="B695" s="3" t="s">
        <v>325</v>
      </c>
      <c r="C695" s="3">
        <v>6</v>
      </c>
      <c r="D695" s="95" t="s">
        <v>1998</v>
      </c>
      <c r="E695" s="95" t="s">
        <v>2272</v>
      </c>
      <c r="F695" s="95" t="s">
        <v>437</v>
      </c>
      <c r="G695" s="223">
        <v>44211</v>
      </c>
      <c r="H695" s="223">
        <v>44256</v>
      </c>
      <c r="I695" s="223">
        <v>46081</v>
      </c>
      <c r="J695" s="3">
        <v>17</v>
      </c>
      <c r="K695" s="3" t="s">
        <v>6</v>
      </c>
      <c r="L695" s="3" t="s">
        <v>6</v>
      </c>
      <c r="M695" s="95" t="s">
        <v>27</v>
      </c>
      <c r="N695" s="3" t="s">
        <v>28</v>
      </c>
      <c r="O695" s="3" t="s">
        <v>25</v>
      </c>
      <c r="P695" s="3" t="s">
        <v>6</v>
      </c>
      <c r="Q695" s="3" t="s">
        <v>6</v>
      </c>
      <c r="R695" s="95" t="s">
        <v>22</v>
      </c>
      <c r="S695" s="223">
        <v>43374</v>
      </c>
      <c r="T695" s="223">
        <v>43553</v>
      </c>
      <c r="U695" s="223">
        <v>43009</v>
      </c>
      <c r="V695" s="223">
        <v>43009</v>
      </c>
      <c r="W695" s="223" t="s">
        <v>6</v>
      </c>
      <c r="X695" s="3" t="s">
        <v>26</v>
      </c>
      <c r="Y695" s="3" t="s">
        <v>2100</v>
      </c>
      <c r="Z695" s="3" t="s">
        <v>28</v>
      </c>
      <c r="AA695" s="3" t="s">
        <v>6</v>
      </c>
      <c r="AB695" s="223">
        <v>42159</v>
      </c>
      <c r="AC695" s="3" t="s">
        <v>6</v>
      </c>
      <c r="AD695" s="3" t="s">
        <v>10</v>
      </c>
      <c r="AE695" s="95" t="s">
        <v>2263</v>
      </c>
    </row>
    <row r="696" spans="1:31" x14ac:dyDescent="0.35">
      <c r="A696" s="3" t="s">
        <v>1999</v>
      </c>
      <c r="B696" s="3" t="s">
        <v>325</v>
      </c>
      <c r="C696" s="3">
        <v>6</v>
      </c>
      <c r="D696" s="95" t="s">
        <v>2000</v>
      </c>
      <c r="E696" s="95" t="s">
        <v>2272</v>
      </c>
      <c r="F696" s="95" t="s">
        <v>437</v>
      </c>
      <c r="G696" s="223">
        <v>44211</v>
      </c>
      <c r="H696" s="223">
        <v>44256</v>
      </c>
      <c r="I696" s="223">
        <v>46081</v>
      </c>
      <c r="J696" s="3">
        <v>7</v>
      </c>
      <c r="K696" s="3" t="s">
        <v>6</v>
      </c>
      <c r="L696" s="3" t="s">
        <v>6</v>
      </c>
      <c r="M696" s="95" t="s">
        <v>27</v>
      </c>
      <c r="N696" s="3" t="s">
        <v>28</v>
      </c>
      <c r="O696" s="3" t="s">
        <v>25</v>
      </c>
      <c r="P696" s="3" t="s">
        <v>6</v>
      </c>
      <c r="Q696" s="3" t="s">
        <v>6</v>
      </c>
      <c r="R696" s="95" t="s">
        <v>22</v>
      </c>
      <c r="S696" s="223">
        <v>43374</v>
      </c>
      <c r="T696" s="223">
        <v>43553</v>
      </c>
      <c r="U696" s="223">
        <v>43009</v>
      </c>
      <c r="V696" s="223">
        <v>43009</v>
      </c>
      <c r="W696" s="223" t="s">
        <v>6</v>
      </c>
      <c r="X696" s="3" t="s">
        <v>26</v>
      </c>
      <c r="Y696" s="3" t="s">
        <v>2100</v>
      </c>
      <c r="Z696" s="3" t="s">
        <v>28</v>
      </c>
      <c r="AA696" s="3" t="s">
        <v>6</v>
      </c>
      <c r="AB696" s="223">
        <v>42159</v>
      </c>
      <c r="AC696" s="3" t="s">
        <v>6</v>
      </c>
      <c r="AD696" s="3" t="s">
        <v>10</v>
      </c>
      <c r="AE696" s="95" t="s">
        <v>2263</v>
      </c>
    </row>
    <row r="697" spans="1:31" x14ac:dyDescent="0.35">
      <c r="A697" s="3" t="s">
        <v>2001</v>
      </c>
      <c r="B697" s="3" t="s">
        <v>325</v>
      </c>
      <c r="C697" s="3">
        <v>6</v>
      </c>
      <c r="D697" s="95" t="s">
        <v>2002</v>
      </c>
      <c r="E697" s="95" t="s">
        <v>1912</v>
      </c>
      <c r="F697" s="95" t="s">
        <v>437</v>
      </c>
      <c r="G697" s="223">
        <v>44609</v>
      </c>
      <c r="H697" s="223">
        <v>44609</v>
      </c>
      <c r="I697" s="223">
        <v>46434</v>
      </c>
      <c r="J697" s="3">
        <v>45</v>
      </c>
      <c r="K697" s="3" t="s">
        <v>6</v>
      </c>
      <c r="L697" s="3" t="s">
        <v>6</v>
      </c>
      <c r="M697" s="95" t="s">
        <v>23</v>
      </c>
      <c r="N697" s="3" t="s">
        <v>24</v>
      </c>
      <c r="O697" s="3" t="s">
        <v>25</v>
      </c>
      <c r="P697" s="3" t="s">
        <v>6</v>
      </c>
      <c r="Q697" s="3" t="s">
        <v>6</v>
      </c>
      <c r="R697" s="95" t="s">
        <v>22</v>
      </c>
      <c r="S697" s="223">
        <v>43374</v>
      </c>
      <c r="T697" s="223">
        <v>43497</v>
      </c>
      <c r="U697" s="223">
        <v>42644</v>
      </c>
      <c r="V697" s="223">
        <v>42644</v>
      </c>
      <c r="W697" s="223" t="s">
        <v>6</v>
      </c>
      <c r="X697" s="3" t="s">
        <v>26</v>
      </c>
      <c r="Y697" s="3" t="s">
        <v>2093</v>
      </c>
      <c r="Z697" s="3" t="s">
        <v>24</v>
      </c>
      <c r="AA697" s="3" t="s">
        <v>6</v>
      </c>
      <c r="AB697" s="223">
        <v>42782</v>
      </c>
      <c r="AC697" s="3" t="s">
        <v>10</v>
      </c>
      <c r="AD697" s="3" t="s">
        <v>10</v>
      </c>
      <c r="AE697" s="95" t="s">
        <v>2263</v>
      </c>
    </row>
    <row r="698" spans="1:31" x14ac:dyDescent="0.35">
      <c r="A698" s="3" t="s">
        <v>2003</v>
      </c>
      <c r="B698" s="3" t="s">
        <v>325</v>
      </c>
      <c r="C698" s="3">
        <v>6</v>
      </c>
      <c r="D698" s="95" t="s">
        <v>2004</v>
      </c>
      <c r="E698" s="95" t="s">
        <v>1912</v>
      </c>
      <c r="F698" s="95" t="s">
        <v>437</v>
      </c>
      <c r="G698" s="223">
        <v>44609</v>
      </c>
      <c r="H698" s="223">
        <v>44609</v>
      </c>
      <c r="I698" s="223">
        <v>46434</v>
      </c>
      <c r="J698" s="3">
        <v>30</v>
      </c>
      <c r="K698" s="3" t="s">
        <v>6</v>
      </c>
      <c r="L698" s="3" t="s">
        <v>6</v>
      </c>
      <c r="M698" s="95" t="s">
        <v>23</v>
      </c>
      <c r="N698" s="3" t="s">
        <v>24</v>
      </c>
      <c r="O698" s="3" t="s">
        <v>25</v>
      </c>
      <c r="P698" s="3" t="s">
        <v>6</v>
      </c>
      <c r="Q698" s="3" t="s">
        <v>6</v>
      </c>
      <c r="R698" s="95" t="s">
        <v>22</v>
      </c>
      <c r="S698" s="223">
        <v>43374</v>
      </c>
      <c r="T698" s="223">
        <v>43497</v>
      </c>
      <c r="U698" s="223">
        <v>42644</v>
      </c>
      <c r="V698" s="223">
        <v>42644</v>
      </c>
      <c r="W698" s="223" t="s">
        <v>6</v>
      </c>
      <c r="X698" s="3" t="s">
        <v>26</v>
      </c>
      <c r="Y698" s="3" t="s">
        <v>2093</v>
      </c>
      <c r="Z698" s="3" t="s">
        <v>24</v>
      </c>
      <c r="AA698" s="3" t="s">
        <v>6</v>
      </c>
      <c r="AB698" s="223">
        <v>42782</v>
      </c>
      <c r="AC698" s="3" t="s">
        <v>10</v>
      </c>
      <c r="AD698" s="3" t="s">
        <v>10</v>
      </c>
      <c r="AE698" s="95" t="s">
        <v>2263</v>
      </c>
    </row>
    <row r="699" spans="1:31" x14ac:dyDescent="0.35">
      <c r="A699" s="3" t="s">
        <v>1524</v>
      </c>
      <c r="B699" s="3" t="s">
        <v>325</v>
      </c>
      <c r="C699" s="3">
        <v>6</v>
      </c>
      <c r="D699" s="95" t="s">
        <v>2518</v>
      </c>
      <c r="E699" s="95" t="s">
        <v>3265</v>
      </c>
      <c r="F699" s="95" t="s">
        <v>4</v>
      </c>
      <c r="G699" s="223">
        <v>44256</v>
      </c>
      <c r="H699" s="223">
        <v>44348</v>
      </c>
      <c r="I699" s="223">
        <v>46173</v>
      </c>
      <c r="J699" s="3">
        <v>50</v>
      </c>
      <c r="K699" s="3" t="s">
        <v>10</v>
      </c>
      <c r="L699" s="3" t="s">
        <v>10</v>
      </c>
      <c r="M699" s="95" t="s">
        <v>2555</v>
      </c>
      <c r="N699" s="3" t="s">
        <v>52</v>
      </c>
      <c r="O699" s="3" t="s">
        <v>651</v>
      </c>
      <c r="P699" s="3" t="s">
        <v>6</v>
      </c>
      <c r="Q699" s="3" t="s">
        <v>6</v>
      </c>
      <c r="R699" s="95" t="s">
        <v>2520</v>
      </c>
      <c r="S699" s="223" t="s">
        <v>5</v>
      </c>
      <c r="T699" s="223" t="s">
        <v>5</v>
      </c>
      <c r="U699" s="223" t="s">
        <v>5</v>
      </c>
      <c r="V699" s="223" t="s">
        <v>5</v>
      </c>
      <c r="W699" s="223" t="s">
        <v>5</v>
      </c>
      <c r="X699" s="3" t="s">
        <v>5</v>
      </c>
      <c r="Y699" s="3" t="s">
        <v>651</v>
      </c>
      <c r="Z699" s="3" t="s">
        <v>651</v>
      </c>
      <c r="AA699" s="3" t="s">
        <v>10</v>
      </c>
      <c r="AB699" s="223" t="s">
        <v>5</v>
      </c>
      <c r="AC699" s="3" t="s">
        <v>10</v>
      </c>
      <c r="AD699" s="3" t="s">
        <v>6</v>
      </c>
      <c r="AE699" s="95" t="s">
        <v>2265</v>
      </c>
    </row>
    <row r="700" spans="1:31" x14ac:dyDescent="0.35">
      <c r="A700" s="3" t="s">
        <v>1525</v>
      </c>
      <c r="B700" s="3" t="s">
        <v>325</v>
      </c>
      <c r="C700" s="3">
        <v>6</v>
      </c>
      <c r="D700" s="95" t="s">
        <v>2521</v>
      </c>
      <c r="E700" s="95" t="s">
        <v>3266</v>
      </c>
      <c r="F700" s="95" t="s">
        <v>3261</v>
      </c>
      <c r="G700" s="223">
        <v>42891</v>
      </c>
      <c r="H700" s="223">
        <v>42921</v>
      </c>
      <c r="I700" s="223">
        <v>44746</v>
      </c>
      <c r="J700" s="3">
        <v>1840</v>
      </c>
      <c r="K700" s="3" t="s">
        <v>10</v>
      </c>
      <c r="L700" s="3" t="s">
        <v>10</v>
      </c>
      <c r="M700" s="95" t="s">
        <v>27</v>
      </c>
      <c r="N700" s="3" t="s">
        <v>28</v>
      </c>
      <c r="O700" s="3" t="s">
        <v>651</v>
      </c>
      <c r="P700" s="3" t="s">
        <v>6</v>
      </c>
      <c r="Q700" s="3" t="s">
        <v>6</v>
      </c>
      <c r="R700" s="95" t="s">
        <v>2522</v>
      </c>
      <c r="S700" s="223" t="s">
        <v>5</v>
      </c>
      <c r="T700" s="223" t="s">
        <v>5</v>
      </c>
      <c r="U700" s="223" t="s">
        <v>5</v>
      </c>
      <c r="V700" s="223" t="s">
        <v>5</v>
      </c>
      <c r="W700" s="223" t="s">
        <v>5</v>
      </c>
      <c r="X700" s="3" t="s">
        <v>5</v>
      </c>
      <c r="Y700" s="3" t="s">
        <v>651</v>
      </c>
      <c r="Z700" s="3" t="s">
        <v>651</v>
      </c>
      <c r="AA700" s="3" t="s">
        <v>10</v>
      </c>
      <c r="AB700" s="223" t="s">
        <v>5</v>
      </c>
      <c r="AC700" s="3" t="s">
        <v>6</v>
      </c>
      <c r="AD700" s="3" t="s">
        <v>6</v>
      </c>
      <c r="AE700" s="95" t="s">
        <v>2265</v>
      </c>
    </row>
    <row r="701" spans="1:31" x14ac:dyDescent="0.35">
      <c r="A701" s="3" t="s">
        <v>1526</v>
      </c>
      <c r="B701" s="3" t="s">
        <v>325</v>
      </c>
      <c r="C701" s="3">
        <v>6</v>
      </c>
      <c r="D701" s="95" t="s">
        <v>2523</v>
      </c>
      <c r="E701" s="95" t="s">
        <v>2519</v>
      </c>
      <c r="F701" s="95" t="s">
        <v>3261</v>
      </c>
      <c r="G701" s="223">
        <v>43026</v>
      </c>
      <c r="H701" s="223">
        <v>43026</v>
      </c>
      <c r="I701" s="223">
        <v>44851</v>
      </c>
      <c r="J701" s="3">
        <v>3872</v>
      </c>
      <c r="K701" s="3" t="s">
        <v>10</v>
      </c>
      <c r="L701" s="3" t="s">
        <v>10</v>
      </c>
      <c r="M701" s="95" t="s">
        <v>23</v>
      </c>
      <c r="N701" s="3" t="s">
        <v>24</v>
      </c>
      <c r="O701" s="3" t="s">
        <v>651</v>
      </c>
      <c r="P701" s="3" t="s">
        <v>6</v>
      </c>
      <c r="Q701" s="3" t="s">
        <v>6</v>
      </c>
      <c r="R701" s="95" t="s">
        <v>652</v>
      </c>
      <c r="S701" s="223" t="s">
        <v>5</v>
      </c>
      <c r="T701" s="223" t="s">
        <v>5</v>
      </c>
      <c r="U701" s="223" t="s">
        <v>5</v>
      </c>
      <c r="V701" s="223" t="s">
        <v>5</v>
      </c>
      <c r="W701" s="223" t="s">
        <v>5</v>
      </c>
      <c r="X701" s="3" t="s">
        <v>5</v>
      </c>
      <c r="Y701" s="3" t="s">
        <v>651</v>
      </c>
      <c r="Z701" s="3" t="s">
        <v>651</v>
      </c>
      <c r="AA701" s="3" t="s">
        <v>10</v>
      </c>
      <c r="AB701" s="223" t="s">
        <v>5</v>
      </c>
      <c r="AC701" s="3" t="s">
        <v>10</v>
      </c>
      <c r="AD701" s="3" t="s">
        <v>10</v>
      </c>
      <c r="AE701" s="95" t="s">
        <v>2263</v>
      </c>
    </row>
    <row r="702" spans="1:31" x14ac:dyDescent="0.35">
      <c r="A702" s="3" t="s">
        <v>1527</v>
      </c>
      <c r="B702" s="3" t="s">
        <v>325</v>
      </c>
      <c r="C702" s="3">
        <v>6</v>
      </c>
      <c r="D702" s="95" t="s">
        <v>1528</v>
      </c>
      <c r="E702" s="95" t="s">
        <v>2524</v>
      </c>
      <c r="F702" s="95" t="s">
        <v>4</v>
      </c>
      <c r="G702" s="223">
        <v>43059</v>
      </c>
      <c r="H702" s="223">
        <v>43060</v>
      </c>
      <c r="I702" s="223">
        <v>44885</v>
      </c>
      <c r="J702" s="3">
        <v>40</v>
      </c>
      <c r="K702" s="3" t="s">
        <v>10</v>
      </c>
      <c r="L702" s="3" t="s">
        <v>10</v>
      </c>
      <c r="M702" s="95" t="s">
        <v>23</v>
      </c>
      <c r="N702" s="3" t="s">
        <v>24</v>
      </c>
      <c r="O702" s="3" t="s">
        <v>651</v>
      </c>
      <c r="P702" s="3" t="s">
        <v>6</v>
      </c>
      <c r="Q702" s="3" t="s">
        <v>6</v>
      </c>
      <c r="R702" s="95" t="s">
        <v>652</v>
      </c>
      <c r="S702" s="223" t="s">
        <v>5</v>
      </c>
      <c r="T702" s="223" t="s">
        <v>5</v>
      </c>
      <c r="U702" s="223" t="s">
        <v>5</v>
      </c>
      <c r="V702" s="223" t="s">
        <v>5</v>
      </c>
      <c r="W702" s="223" t="s">
        <v>5</v>
      </c>
      <c r="X702" s="3" t="s">
        <v>5</v>
      </c>
      <c r="Y702" s="3" t="s">
        <v>651</v>
      </c>
      <c r="Z702" s="3" t="s">
        <v>651</v>
      </c>
      <c r="AA702" s="3" t="s">
        <v>10</v>
      </c>
      <c r="AB702" s="223" t="s">
        <v>5</v>
      </c>
      <c r="AC702" s="3" t="s">
        <v>10</v>
      </c>
      <c r="AD702" s="3" t="s">
        <v>10</v>
      </c>
      <c r="AE702" s="95" t="s">
        <v>2263</v>
      </c>
    </row>
    <row r="703" spans="1:31" x14ac:dyDescent="0.35">
      <c r="A703" s="3" t="s">
        <v>1529</v>
      </c>
      <c r="B703" s="3" t="s">
        <v>326</v>
      </c>
      <c r="C703" s="3">
        <v>10</v>
      </c>
      <c r="D703" s="95" t="s">
        <v>2525</v>
      </c>
      <c r="E703" s="95" t="s">
        <v>2526</v>
      </c>
      <c r="F703" s="95" t="s">
        <v>2527</v>
      </c>
      <c r="G703" s="223">
        <v>44676</v>
      </c>
      <c r="H703" s="223">
        <v>44676</v>
      </c>
      <c r="I703" s="223">
        <v>46265</v>
      </c>
      <c r="J703" s="3">
        <v>5</v>
      </c>
      <c r="K703" s="3" t="s">
        <v>10</v>
      </c>
      <c r="L703" s="3" t="s">
        <v>10</v>
      </c>
      <c r="M703" s="95" t="s">
        <v>201</v>
      </c>
      <c r="N703" s="3" t="s">
        <v>68</v>
      </c>
      <c r="O703" s="3" t="s">
        <v>651</v>
      </c>
      <c r="P703" s="3" t="s">
        <v>6</v>
      </c>
      <c r="Q703" s="3" t="s">
        <v>6</v>
      </c>
      <c r="R703" s="95" t="s">
        <v>652</v>
      </c>
      <c r="S703" s="223" t="s">
        <v>5</v>
      </c>
      <c r="T703" s="223" t="s">
        <v>5</v>
      </c>
      <c r="U703" s="223" t="s">
        <v>5</v>
      </c>
      <c r="V703" s="223" t="s">
        <v>5</v>
      </c>
      <c r="W703" s="223" t="s">
        <v>5</v>
      </c>
      <c r="X703" s="3" t="s">
        <v>5</v>
      </c>
      <c r="Y703" s="3" t="s">
        <v>651</v>
      </c>
      <c r="Z703" s="3" t="s">
        <v>651</v>
      </c>
      <c r="AA703" s="3" t="s">
        <v>10</v>
      </c>
      <c r="AB703" s="223" t="s">
        <v>5</v>
      </c>
      <c r="AC703" s="3" t="s">
        <v>6</v>
      </c>
      <c r="AD703" s="3" t="s">
        <v>10</v>
      </c>
      <c r="AE703" s="95" t="s">
        <v>2265</v>
      </c>
    </row>
    <row r="704" spans="1:31" x14ac:dyDescent="0.35">
      <c r="A704" s="3" t="s">
        <v>1530</v>
      </c>
      <c r="B704" s="3" t="s">
        <v>326</v>
      </c>
      <c r="C704" s="3">
        <v>10</v>
      </c>
      <c r="D704" s="95" t="s">
        <v>2528</v>
      </c>
      <c r="E704" s="95" t="s">
        <v>1531</v>
      </c>
      <c r="F704" s="95" t="s">
        <v>2527</v>
      </c>
      <c r="G704" s="223">
        <v>42383</v>
      </c>
      <c r="H704" s="223">
        <v>42383</v>
      </c>
      <c r="I704" s="223">
        <v>43072</v>
      </c>
      <c r="J704" s="3">
        <v>194</v>
      </c>
      <c r="K704" s="3" t="s">
        <v>10</v>
      </c>
      <c r="L704" s="3" t="s">
        <v>10</v>
      </c>
      <c r="M704" s="95" t="s">
        <v>27</v>
      </c>
      <c r="N704" s="3" t="s">
        <v>28</v>
      </c>
      <c r="O704" s="3" t="s">
        <v>651</v>
      </c>
      <c r="P704" s="3" t="s">
        <v>6</v>
      </c>
      <c r="Q704" s="3" t="s">
        <v>6</v>
      </c>
      <c r="R704" s="95" t="s">
        <v>652</v>
      </c>
      <c r="S704" s="223" t="s">
        <v>5</v>
      </c>
      <c r="T704" s="223" t="s">
        <v>5</v>
      </c>
      <c r="U704" s="223" t="s">
        <v>5</v>
      </c>
      <c r="V704" s="223" t="s">
        <v>5</v>
      </c>
      <c r="W704" s="223" t="s">
        <v>5</v>
      </c>
      <c r="X704" s="3" t="s">
        <v>5</v>
      </c>
      <c r="Y704" s="3" t="s">
        <v>651</v>
      </c>
      <c r="Z704" s="3" t="s">
        <v>651</v>
      </c>
      <c r="AA704" s="3" t="s">
        <v>6</v>
      </c>
      <c r="AB704" s="223">
        <v>44469</v>
      </c>
      <c r="AC704" s="3" t="s">
        <v>6</v>
      </c>
      <c r="AD704" s="3" t="s">
        <v>10</v>
      </c>
      <c r="AE704" s="95" t="s">
        <v>2265</v>
      </c>
    </row>
    <row r="705" spans="1:31" x14ac:dyDescent="0.35">
      <c r="A705" s="3" t="s">
        <v>2890</v>
      </c>
      <c r="B705" s="3" t="s">
        <v>326</v>
      </c>
      <c r="C705" s="3">
        <v>10</v>
      </c>
      <c r="D705" s="95" t="s">
        <v>2891</v>
      </c>
      <c r="E705" s="95" t="s">
        <v>2892</v>
      </c>
      <c r="F705" s="95" t="s">
        <v>2527</v>
      </c>
      <c r="G705" s="223">
        <v>44784</v>
      </c>
      <c r="H705" s="223">
        <v>44819</v>
      </c>
      <c r="I705" s="223">
        <v>46644</v>
      </c>
      <c r="J705" s="3">
        <v>49</v>
      </c>
      <c r="K705" s="3" t="s">
        <v>10</v>
      </c>
      <c r="L705" s="3" t="s">
        <v>10</v>
      </c>
      <c r="M705" s="95" t="s">
        <v>23</v>
      </c>
      <c r="N705" s="3" t="s">
        <v>24</v>
      </c>
      <c r="O705" s="3" t="s">
        <v>651</v>
      </c>
      <c r="P705" s="3" t="s">
        <v>6</v>
      </c>
      <c r="Q705" s="3" t="s">
        <v>6</v>
      </c>
      <c r="R705" s="95" t="s">
        <v>652</v>
      </c>
      <c r="S705" s="223" t="s">
        <v>5</v>
      </c>
      <c r="T705" s="223" t="s">
        <v>5</v>
      </c>
      <c r="U705" s="223" t="s">
        <v>5</v>
      </c>
      <c r="V705" s="223" t="s">
        <v>5</v>
      </c>
      <c r="W705" s="223" t="s">
        <v>5</v>
      </c>
      <c r="X705" s="3" t="s">
        <v>5</v>
      </c>
      <c r="Y705" s="3" t="s">
        <v>651</v>
      </c>
      <c r="Z705" s="3" t="s">
        <v>651</v>
      </c>
      <c r="AA705" s="3" t="s">
        <v>6</v>
      </c>
      <c r="AB705" s="223">
        <v>44469</v>
      </c>
      <c r="AC705" s="3" t="s">
        <v>10</v>
      </c>
      <c r="AD705" s="3" t="s">
        <v>10</v>
      </c>
      <c r="AE705" s="95" t="s">
        <v>2263</v>
      </c>
    </row>
    <row r="706" spans="1:31" x14ac:dyDescent="0.35">
      <c r="A706" s="3" t="s">
        <v>2529</v>
      </c>
      <c r="B706" s="3" t="s">
        <v>326</v>
      </c>
      <c r="C706" s="3">
        <v>10</v>
      </c>
      <c r="D706" s="95" t="s">
        <v>2530</v>
      </c>
      <c r="E706" s="95" t="s">
        <v>2893</v>
      </c>
      <c r="F706" s="95" t="s">
        <v>2527</v>
      </c>
      <c r="G706" s="223">
        <v>44466</v>
      </c>
      <c r="H706" s="223">
        <v>44466</v>
      </c>
      <c r="I706" s="223">
        <v>46291</v>
      </c>
      <c r="J706" s="3">
        <v>0</v>
      </c>
      <c r="K706" s="3" t="s">
        <v>10</v>
      </c>
      <c r="L706" s="3" t="s">
        <v>10</v>
      </c>
      <c r="M706" s="95" t="s">
        <v>23</v>
      </c>
      <c r="N706" s="3" t="s">
        <v>24</v>
      </c>
      <c r="O706" s="3" t="s">
        <v>651</v>
      </c>
      <c r="P706" s="3" t="s">
        <v>6</v>
      </c>
      <c r="Q706" s="3" t="s">
        <v>6</v>
      </c>
      <c r="R706" s="95" t="s">
        <v>652</v>
      </c>
      <c r="S706" s="223" t="s">
        <v>5</v>
      </c>
      <c r="T706" s="223" t="s">
        <v>5</v>
      </c>
      <c r="U706" s="223" t="s">
        <v>5</v>
      </c>
      <c r="V706" s="223" t="s">
        <v>5</v>
      </c>
      <c r="W706" s="223" t="s">
        <v>5</v>
      </c>
      <c r="X706" s="3" t="s">
        <v>5</v>
      </c>
      <c r="Y706" s="3" t="s">
        <v>651</v>
      </c>
      <c r="Z706" s="3" t="s">
        <v>651</v>
      </c>
      <c r="AA706" s="3" t="s">
        <v>6</v>
      </c>
      <c r="AB706" s="223">
        <v>44469</v>
      </c>
      <c r="AC706" s="3" t="s">
        <v>10</v>
      </c>
      <c r="AD706" s="3" t="s">
        <v>10</v>
      </c>
      <c r="AE706" s="95" t="s">
        <v>2263</v>
      </c>
    </row>
    <row r="707" spans="1:31" x14ac:dyDescent="0.35">
      <c r="A707" s="3" t="s">
        <v>1532</v>
      </c>
      <c r="B707" s="3" t="s">
        <v>326</v>
      </c>
      <c r="C707" s="3">
        <v>10</v>
      </c>
      <c r="D707" s="95" t="s">
        <v>2532</v>
      </c>
      <c r="E707" s="95" t="s">
        <v>2894</v>
      </c>
      <c r="F707" s="95" t="s">
        <v>2527</v>
      </c>
      <c r="G707" s="223">
        <v>44280</v>
      </c>
      <c r="H707" s="223">
        <v>44378</v>
      </c>
      <c r="I707" s="223">
        <v>46203</v>
      </c>
      <c r="J707" s="3">
        <v>878</v>
      </c>
      <c r="K707" s="3" t="s">
        <v>10</v>
      </c>
      <c r="L707" s="3" t="s">
        <v>10</v>
      </c>
      <c r="M707" s="95" t="s">
        <v>27</v>
      </c>
      <c r="N707" s="3" t="s">
        <v>28</v>
      </c>
      <c r="O707" s="3" t="s">
        <v>651</v>
      </c>
      <c r="P707" s="3" t="s">
        <v>6</v>
      </c>
      <c r="Q707" s="3" t="s">
        <v>6</v>
      </c>
      <c r="R707" s="95" t="s">
        <v>652</v>
      </c>
      <c r="S707" s="223" t="s">
        <v>5</v>
      </c>
      <c r="T707" s="223" t="s">
        <v>5</v>
      </c>
      <c r="U707" s="223" t="s">
        <v>5</v>
      </c>
      <c r="V707" s="223" t="s">
        <v>5</v>
      </c>
      <c r="W707" s="223" t="s">
        <v>5</v>
      </c>
      <c r="X707" s="3" t="s">
        <v>5</v>
      </c>
      <c r="Y707" s="3" t="s">
        <v>651</v>
      </c>
      <c r="Z707" s="3" t="s">
        <v>651</v>
      </c>
      <c r="AA707" s="3" t="s">
        <v>6</v>
      </c>
      <c r="AB707" s="223">
        <v>44469</v>
      </c>
      <c r="AC707" s="3" t="s">
        <v>6</v>
      </c>
      <c r="AD707" s="3" t="s">
        <v>10</v>
      </c>
      <c r="AE707" s="95" t="s">
        <v>2265</v>
      </c>
    </row>
    <row r="708" spans="1:31" x14ac:dyDescent="0.35">
      <c r="A708" s="3" t="s">
        <v>1533</v>
      </c>
      <c r="B708" s="3" t="s">
        <v>326</v>
      </c>
      <c r="C708" s="3">
        <v>10</v>
      </c>
      <c r="D708" s="95" t="s">
        <v>2533</v>
      </c>
      <c r="E708" s="95" t="s">
        <v>2534</v>
      </c>
      <c r="F708" s="95" t="s">
        <v>2527</v>
      </c>
      <c r="G708" s="223">
        <v>35859</v>
      </c>
      <c r="H708" s="223">
        <v>35859</v>
      </c>
      <c r="I708" s="223">
        <v>37652</v>
      </c>
      <c r="J708" s="3">
        <v>31</v>
      </c>
      <c r="K708" s="3" t="s">
        <v>10</v>
      </c>
      <c r="L708" s="3" t="s">
        <v>10</v>
      </c>
      <c r="M708" s="95" t="s">
        <v>1228</v>
      </c>
      <c r="N708" s="3" t="s">
        <v>28</v>
      </c>
      <c r="O708" s="3" t="s">
        <v>651</v>
      </c>
      <c r="P708" s="3" t="s">
        <v>6</v>
      </c>
      <c r="Q708" s="3" t="s">
        <v>6</v>
      </c>
      <c r="R708" s="95" t="s">
        <v>652</v>
      </c>
      <c r="S708" s="223" t="s">
        <v>5</v>
      </c>
      <c r="T708" s="223" t="s">
        <v>5</v>
      </c>
      <c r="U708" s="223" t="s">
        <v>5</v>
      </c>
      <c r="V708" s="223" t="s">
        <v>5</v>
      </c>
      <c r="W708" s="223" t="s">
        <v>5</v>
      </c>
      <c r="X708" s="3" t="s">
        <v>5</v>
      </c>
      <c r="Y708" s="3" t="s">
        <v>651</v>
      </c>
      <c r="Z708" s="3" t="s">
        <v>651</v>
      </c>
      <c r="AA708" s="3" t="s">
        <v>10</v>
      </c>
      <c r="AB708" s="223" t="s">
        <v>5</v>
      </c>
      <c r="AC708" s="3" t="s">
        <v>6</v>
      </c>
      <c r="AD708" s="3" t="s">
        <v>10</v>
      </c>
      <c r="AE708" s="95" t="s">
        <v>2265</v>
      </c>
    </row>
    <row r="709" spans="1:31" x14ac:dyDescent="0.35">
      <c r="A709" s="3" t="s">
        <v>1534</v>
      </c>
      <c r="B709" s="3" t="s">
        <v>326</v>
      </c>
      <c r="C709" s="3">
        <v>10</v>
      </c>
      <c r="D709" s="95" t="s">
        <v>2535</v>
      </c>
      <c r="E709" s="95" t="s">
        <v>1535</v>
      </c>
      <c r="F709" s="95" t="s">
        <v>2527</v>
      </c>
      <c r="G709" s="223">
        <v>42460</v>
      </c>
      <c r="H709" s="223">
        <v>42480</v>
      </c>
      <c r="I709" s="223">
        <v>44255</v>
      </c>
      <c r="J709" s="3">
        <v>344</v>
      </c>
      <c r="K709" s="3" t="s">
        <v>10</v>
      </c>
      <c r="L709" s="3" t="s">
        <v>10</v>
      </c>
      <c r="M709" s="95" t="s">
        <v>105</v>
      </c>
      <c r="N709" s="3" t="s">
        <v>106</v>
      </c>
      <c r="O709" s="3" t="s">
        <v>651</v>
      </c>
      <c r="P709" s="3" t="s">
        <v>6</v>
      </c>
      <c r="Q709" s="3" t="s">
        <v>6</v>
      </c>
      <c r="R709" s="95" t="s">
        <v>652</v>
      </c>
      <c r="S709" s="223" t="s">
        <v>5</v>
      </c>
      <c r="T709" s="223" t="s">
        <v>5</v>
      </c>
      <c r="U709" s="223" t="s">
        <v>5</v>
      </c>
      <c r="V709" s="223" t="s">
        <v>5</v>
      </c>
      <c r="W709" s="223" t="s">
        <v>5</v>
      </c>
      <c r="X709" s="3" t="s">
        <v>5</v>
      </c>
      <c r="Y709" s="3" t="s">
        <v>651</v>
      </c>
      <c r="Z709" s="3" t="s">
        <v>651</v>
      </c>
      <c r="AA709" s="3" t="s">
        <v>10</v>
      </c>
      <c r="AB709" s="223" t="s">
        <v>5</v>
      </c>
      <c r="AC709" s="3" t="s">
        <v>10</v>
      </c>
      <c r="AD709" s="3" t="s">
        <v>6</v>
      </c>
      <c r="AE709" s="95" t="s">
        <v>2265</v>
      </c>
    </row>
    <row r="710" spans="1:31" x14ac:dyDescent="0.35">
      <c r="A710" s="3" t="s">
        <v>327</v>
      </c>
      <c r="B710" s="3" t="s">
        <v>326</v>
      </c>
      <c r="C710" s="3">
        <v>10</v>
      </c>
      <c r="D710" s="95" t="s">
        <v>3166</v>
      </c>
      <c r="E710" s="95" t="s">
        <v>422</v>
      </c>
      <c r="F710" s="95" t="s">
        <v>437</v>
      </c>
      <c r="G710" s="223">
        <v>44455</v>
      </c>
      <c r="H710" s="223">
        <v>44500</v>
      </c>
      <c r="I710" s="223">
        <v>46326</v>
      </c>
      <c r="J710" s="3">
        <v>1</v>
      </c>
      <c r="K710" s="3" t="s">
        <v>6</v>
      </c>
      <c r="L710" s="3" t="s">
        <v>6</v>
      </c>
      <c r="M710" s="95" t="s">
        <v>19</v>
      </c>
      <c r="N710" s="3" t="s">
        <v>20</v>
      </c>
      <c r="O710" s="3" t="s">
        <v>21</v>
      </c>
      <c r="P710" s="3" t="s">
        <v>6</v>
      </c>
      <c r="Q710" s="3" t="s">
        <v>6</v>
      </c>
      <c r="R710" s="95" t="s">
        <v>22</v>
      </c>
      <c r="S710" s="223">
        <v>43675</v>
      </c>
      <c r="T710" s="223">
        <v>43756</v>
      </c>
      <c r="U710" s="223">
        <v>43647</v>
      </c>
      <c r="V710" s="223">
        <v>43647</v>
      </c>
      <c r="W710" s="223" t="s">
        <v>6</v>
      </c>
      <c r="X710" s="3" t="s">
        <v>26</v>
      </c>
      <c r="Y710" s="3" t="s">
        <v>2116</v>
      </c>
      <c r="Z710" s="3" t="s">
        <v>20</v>
      </c>
      <c r="AA710" s="3" t="s">
        <v>6</v>
      </c>
      <c r="AB710" s="223">
        <v>44442</v>
      </c>
      <c r="AC710" s="3" t="s">
        <v>10</v>
      </c>
      <c r="AD710" s="3" t="s">
        <v>10</v>
      </c>
      <c r="AE710" s="95" t="s">
        <v>2263</v>
      </c>
    </row>
    <row r="711" spans="1:31" x14ac:dyDescent="0.35">
      <c r="A711" s="3" t="s">
        <v>2536</v>
      </c>
      <c r="B711" s="3" t="s">
        <v>326</v>
      </c>
      <c r="C711" s="3">
        <v>10</v>
      </c>
      <c r="D711" s="95" t="s">
        <v>2537</v>
      </c>
      <c r="E711" s="95" t="s">
        <v>2538</v>
      </c>
      <c r="F711" s="95" t="s">
        <v>2527</v>
      </c>
      <c r="G711" s="223">
        <v>37532</v>
      </c>
      <c r="H711" s="223">
        <v>37545</v>
      </c>
      <c r="I711" s="223">
        <v>39355</v>
      </c>
      <c r="J711" s="3">
        <v>34</v>
      </c>
      <c r="K711" s="3" t="s">
        <v>10</v>
      </c>
      <c r="L711" s="3" t="s">
        <v>10</v>
      </c>
      <c r="M711" s="95" t="s">
        <v>109</v>
      </c>
      <c r="N711" s="3" t="s">
        <v>110</v>
      </c>
      <c r="O711" s="3" t="s">
        <v>651</v>
      </c>
      <c r="P711" s="3" t="s">
        <v>6</v>
      </c>
      <c r="Q711" s="3" t="s">
        <v>6</v>
      </c>
      <c r="R711" s="95" t="s">
        <v>652</v>
      </c>
      <c r="S711" s="223" t="s">
        <v>5</v>
      </c>
      <c r="T711" s="223" t="s">
        <v>5</v>
      </c>
      <c r="U711" s="223" t="s">
        <v>5</v>
      </c>
      <c r="V711" s="223" t="s">
        <v>5</v>
      </c>
      <c r="W711" s="223" t="s">
        <v>5</v>
      </c>
      <c r="X711" s="3" t="s">
        <v>5</v>
      </c>
      <c r="Y711" s="3" t="s">
        <v>651</v>
      </c>
      <c r="Z711" s="3" t="s">
        <v>651</v>
      </c>
      <c r="AA711" s="3" t="s">
        <v>10</v>
      </c>
      <c r="AB711" s="223" t="s">
        <v>5</v>
      </c>
      <c r="AC711" s="3" t="s">
        <v>6</v>
      </c>
      <c r="AD711" s="3" t="s">
        <v>10</v>
      </c>
      <c r="AE711" s="95" t="s">
        <v>2265</v>
      </c>
    </row>
    <row r="712" spans="1:31" x14ac:dyDescent="0.35">
      <c r="A712" s="3" t="s">
        <v>1536</v>
      </c>
      <c r="B712" s="3" t="s">
        <v>326</v>
      </c>
      <c r="C712" s="3">
        <v>10</v>
      </c>
      <c r="D712" s="95" t="s">
        <v>2539</v>
      </c>
      <c r="E712" s="95" t="s">
        <v>2540</v>
      </c>
      <c r="F712" s="95" t="s">
        <v>3267</v>
      </c>
      <c r="G712" s="223">
        <v>45397</v>
      </c>
      <c r="H712" s="223">
        <v>45443</v>
      </c>
      <c r="I712" s="223">
        <v>47207</v>
      </c>
      <c r="J712" s="3">
        <v>40</v>
      </c>
      <c r="K712" s="3" t="s">
        <v>10</v>
      </c>
      <c r="L712" s="3" t="s">
        <v>10</v>
      </c>
      <c r="M712" s="95" t="s">
        <v>173</v>
      </c>
      <c r="N712" s="3" t="s">
        <v>174</v>
      </c>
      <c r="O712" s="3" t="s">
        <v>651</v>
      </c>
      <c r="P712" s="3" t="s">
        <v>6</v>
      </c>
      <c r="Q712" s="3" t="s">
        <v>6</v>
      </c>
      <c r="R712" s="95" t="s">
        <v>652</v>
      </c>
      <c r="S712" s="223" t="s">
        <v>5</v>
      </c>
      <c r="T712" s="223" t="s">
        <v>5</v>
      </c>
      <c r="U712" s="223" t="s">
        <v>5</v>
      </c>
      <c r="V712" s="223" t="s">
        <v>5</v>
      </c>
      <c r="W712" s="223" t="s">
        <v>5</v>
      </c>
      <c r="X712" s="3" t="s">
        <v>5</v>
      </c>
      <c r="Y712" s="3" t="s">
        <v>651</v>
      </c>
      <c r="Z712" s="3" t="s">
        <v>651</v>
      </c>
      <c r="AA712" s="3" t="s">
        <v>10</v>
      </c>
      <c r="AB712" s="223" t="s">
        <v>5</v>
      </c>
      <c r="AC712" s="3" t="s">
        <v>6</v>
      </c>
      <c r="AD712" s="3" t="s">
        <v>10</v>
      </c>
      <c r="AE712" s="95" t="s">
        <v>2265</v>
      </c>
    </row>
    <row r="713" spans="1:31" x14ac:dyDescent="0.35">
      <c r="A713" s="3" t="s">
        <v>1537</v>
      </c>
      <c r="B713" s="3" t="s">
        <v>326</v>
      </c>
      <c r="C713" s="3">
        <v>10</v>
      </c>
      <c r="D713" s="95" t="s">
        <v>2541</v>
      </c>
      <c r="E713" s="95" t="s">
        <v>2895</v>
      </c>
      <c r="F713" s="95" t="s">
        <v>2527</v>
      </c>
      <c r="G713" s="223">
        <v>36647</v>
      </c>
      <c r="H713" s="223">
        <v>36647</v>
      </c>
      <c r="I713" s="223">
        <v>38472</v>
      </c>
      <c r="J713" s="3">
        <v>7</v>
      </c>
      <c r="K713" s="3" t="s">
        <v>10</v>
      </c>
      <c r="L713" s="3" t="s">
        <v>10</v>
      </c>
      <c r="M713" s="95" t="s">
        <v>131</v>
      </c>
      <c r="N713" s="3" t="s">
        <v>268</v>
      </c>
      <c r="O713" s="3" t="s">
        <v>651</v>
      </c>
      <c r="P713" s="3" t="s">
        <v>6</v>
      </c>
      <c r="Q713" s="3" t="s">
        <v>6</v>
      </c>
      <c r="R713" s="95" t="s">
        <v>652</v>
      </c>
      <c r="S713" s="223" t="s">
        <v>5</v>
      </c>
      <c r="T713" s="223" t="s">
        <v>5</v>
      </c>
      <c r="U713" s="223" t="s">
        <v>5</v>
      </c>
      <c r="V713" s="223" t="s">
        <v>5</v>
      </c>
      <c r="W713" s="223" t="s">
        <v>5</v>
      </c>
      <c r="X713" s="3" t="s">
        <v>5</v>
      </c>
      <c r="Y713" s="3" t="s">
        <v>651</v>
      </c>
      <c r="Z713" s="3" t="s">
        <v>651</v>
      </c>
      <c r="AA713" s="3" t="s">
        <v>10</v>
      </c>
      <c r="AB713" s="223" t="s">
        <v>5</v>
      </c>
      <c r="AC713" s="3" t="s">
        <v>6</v>
      </c>
      <c r="AD713" s="3" t="s">
        <v>10</v>
      </c>
      <c r="AE713" s="95" t="s">
        <v>2265</v>
      </c>
    </row>
    <row r="714" spans="1:31" x14ac:dyDescent="0.35">
      <c r="A714" s="3" t="s">
        <v>1538</v>
      </c>
      <c r="B714" s="3" t="s">
        <v>326</v>
      </c>
      <c r="C714" s="3">
        <v>10</v>
      </c>
      <c r="D714" s="95" t="s">
        <v>2542</v>
      </c>
      <c r="E714" s="95" t="s">
        <v>2543</v>
      </c>
      <c r="F714" s="95" t="s">
        <v>2527</v>
      </c>
      <c r="G714" s="223">
        <v>35671</v>
      </c>
      <c r="H714" s="223">
        <v>35671</v>
      </c>
      <c r="I714" s="223">
        <v>37468</v>
      </c>
      <c r="J714" s="3">
        <v>69</v>
      </c>
      <c r="K714" s="3" t="s">
        <v>10</v>
      </c>
      <c r="L714" s="3" t="s">
        <v>10</v>
      </c>
      <c r="M714" s="95" t="s">
        <v>116</v>
      </c>
      <c r="N714" s="3" t="s">
        <v>117</v>
      </c>
      <c r="O714" s="3" t="s">
        <v>651</v>
      </c>
      <c r="P714" s="3" t="s">
        <v>6</v>
      </c>
      <c r="Q714" s="3" t="s">
        <v>6</v>
      </c>
      <c r="R714" s="95" t="s">
        <v>652</v>
      </c>
      <c r="S714" s="223" t="s">
        <v>5</v>
      </c>
      <c r="T714" s="223" t="s">
        <v>5</v>
      </c>
      <c r="U714" s="223" t="s">
        <v>5</v>
      </c>
      <c r="V714" s="223" t="s">
        <v>5</v>
      </c>
      <c r="W714" s="223" t="s">
        <v>5</v>
      </c>
      <c r="X714" s="3" t="s">
        <v>5</v>
      </c>
      <c r="Y714" s="3" t="s">
        <v>651</v>
      </c>
      <c r="Z714" s="3" t="s">
        <v>651</v>
      </c>
      <c r="AA714" s="3" t="s">
        <v>10</v>
      </c>
      <c r="AB714" s="223" t="s">
        <v>5</v>
      </c>
      <c r="AC714" s="3" t="s">
        <v>6</v>
      </c>
      <c r="AD714" s="3" t="s">
        <v>10</v>
      </c>
      <c r="AE714" s="95" t="s">
        <v>2265</v>
      </c>
    </row>
    <row r="715" spans="1:31" x14ac:dyDescent="0.35">
      <c r="A715" s="3" t="s">
        <v>1539</v>
      </c>
      <c r="B715" s="3" t="s">
        <v>326</v>
      </c>
      <c r="C715" s="3">
        <v>10</v>
      </c>
      <c r="D715" s="95" t="s">
        <v>2544</v>
      </c>
      <c r="E715" s="95" t="s">
        <v>2545</v>
      </c>
      <c r="F715" s="95" t="s">
        <v>2527</v>
      </c>
      <c r="G715" s="223">
        <v>35671</v>
      </c>
      <c r="H715" s="223">
        <v>35671</v>
      </c>
      <c r="I715" s="223">
        <v>37468</v>
      </c>
      <c r="J715" s="3">
        <v>9</v>
      </c>
      <c r="K715" s="3" t="s">
        <v>10</v>
      </c>
      <c r="L715" s="3" t="s">
        <v>10</v>
      </c>
      <c r="M715" s="95" t="s">
        <v>27</v>
      </c>
      <c r="N715" s="3" t="s">
        <v>28</v>
      </c>
      <c r="O715" s="3" t="s">
        <v>651</v>
      </c>
      <c r="P715" s="3" t="s">
        <v>6</v>
      </c>
      <c r="Q715" s="3" t="s">
        <v>6</v>
      </c>
      <c r="R715" s="95" t="s">
        <v>652</v>
      </c>
      <c r="S715" s="223" t="s">
        <v>5</v>
      </c>
      <c r="T715" s="223" t="s">
        <v>5</v>
      </c>
      <c r="U715" s="223" t="s">
        <v>5</v>
      </c>
      <c r="V715" s="223" t="s">
        <v>5</v>
      </c>
      <c r="W715" s="223" t="s">
        <v>5</v>
      </c>
      <c r="X715" s="3" t="s">
        <v>5</v>
      </c>
      <c r="Y715" s="3" t="s">
        <v>651</v>
      </c>
      <c r="Z715" s="3" t="s">
        <v>651</v>
      </c>
      <c r="AA715" s="3" t="s">
        <v>10</v>
      </c>
      <c r="AB715" s="223" t="s">
        <v>5</v>
      </c>
      <c r="AC715" s="3" t="s">
        <v>6</v>
      </c>
      <c r="AD715" s="3" t="s">
        <v>10</v>
      </c>
      <c r="AE715" s="95" t="s">
        <v>2265</v>
      </c>
    </row>
    <row r="716" spans="1:31" x14ac:dyDescent="0.35">
      <c r="A716" s="3" t="s">
        <v>2546</v>
      </c>
      <c r="B716" s="3" t="s">
        <v>326</v>
      </c>
      <c r="C716" s="3">
        <v>10</v>
      </c>
      <c r="D716" s="95" t="s">
        <v>2896</v>
      </c>
      <c r="E716" s="95" t="s">
        <v>2531</v>
      </c>
      <c r="F716" s="95" t="s">
        <v>2527</v>
      </c>
      <c r="G716" s="223">
        <v>45397</v>
      </c>
      <c r="H716" s="223">
        <v>45443</v>
      </c>
      <c r="I716" s="223">
        <v>47207</v>
      </c>
      <c r="J716" s="3">
        <v>4</v>
      </c>
      <c r="K716" s="3" t="s">
        <v>10</v>
      </c>
      <c r="L716" s="3" t="s">
        <v>10</v>
      </c>
      <c r="M716" s="95" t="s">
        <v>27</v>
      </c>
      <c r="N716" s="3" t="s">
        <v>28</v>
      </c>
      <c r="O716" s="3" t="s">
        <v>651</v>
      </c>
      <c r="P716" s="3" t="s">
        <v>6</v>
      </c>
      <c r="Q716" s="3" t="s">
        <v>6</v>
      </c>
      <c r="R716" s="95" t="s">
        <v>652</v>
      </c>
      <c r="S716" s="223" t="s">
        <v>5</v>
      </c>
      <c r="T716" s="223" t="s">
        <v>5</v>
      </c>
      <c r="U716" s="223" t="s">
        <v>5</v>
      </c>
      <c r="V716" s="223" t="s">
        <v>5</v>
      </c>
      <c r="W716" s="223" t="s">
        <v>5</v>
      </c>
      <c r="X716" s="3" t="s">
        <v>5</v>
      </c>
      <c r="Y716" s="3" t="s">
        <v>651</v>
      </c>
      <c r="Z716" s="3" t="s">
        <v>651</v>
      </c>
      <c r="AA716" s="3" t="s">
        <v>10</v>
      </c>
      <c r="AB716" s="223" t="s">
        <v>5</v>
      </c>
      <c r="AC716" s="3" t="s">
        <v>10</v>
      </c>
      <c r="AD716" s="3" t="s">
        <v>10</v>
      </c>
      <c r="AE716" s="95" t="s">
        <v>2265</v>
      </c>
    </row>
    <row r="717" spans="1:31" x14ac:dyDescent="0.35">
      <c r="A717" s="3" t="s">
        <v>2547</v>
      </c>
      <c r="B717" s="3" t="s">
        <v>326</v>
      </c>
      <c r="C717" s="3">
        <v>10</v>
      </c>
      <c r="D717" s="95" t="s">
        <v>2548</v>
      </c>
      <c r="E717" s="95" t="s">
        <v>2549</v>
      </c>
      <c r="F717" s="95" t="s">
        <v>2527</v>
      </c>
      <c r="G717" s="223">
        <v>35684</v>
      </c>
      <c r="H717" s="223">
        <v>35684</v>
      </c>
      <c r="I717" s="223">
        <v>37499</v>
      </c>
      <c r="J717" s="3">
        <v>1</v>
      </c>
      <c r="K717" s="3" t="s">
        <v>10</v>
      </c>
      <c r="L717" s="3" t="s">
        <v>10</v>
      </c>
      <c r="M717" s="95" t="s">
        <v>60</v>
      </c>
      <c r="N717" s="3" t="s">
        <v>62</v>
      </c>
      <c r="O717" s="3" t="s">
        <v>651</v>
      </c>
      <c r="P717" s="3" t="s">
        <v>6</v>
      </c>
      <c r="Q717" s="3" t="s">
        <v>6</v>
      </c>
      <c r="R717" s="95" t="s">
        <v>652</v>
      </c>
      <c r="S717" s="223" t="s">
        <v>5</v>
      </c>
      <c r="T717" s="223" t="s">
        <v>5</v>
      </c>
      <c r="U717" s="223" t="s">
        <v>5</v>
      </c>
      <c r="V717" s="223" t="s">
        <v>5</v>
      </c>
      <c r="W717" s="223" t="s">
        <v>5</v>
      </c>
      <c r="X717" s="3" t="s">
        <v>5</v>
      </c>
      <c r="Y717" s="3" t="s">
        <v>651</v>
      </c>
      <c r="Z717" s="3" t="s">
        <v>651</v>
      </c>
      <c r="AA717" s="3" t="s">
        <v>10</v>
      </c>
      <c r="AB717" s="223" t="s">
        <v>5</v>
      </c>
      <c r="AC717" s="3" t="s">
        <v>6</v>
      </c>
      <c r="AD717" s="3" t="s">
        <v>10</v>
      </c>
      <c r="AE717" s="95" t="s">
        <v>2265</v>
      </c>
    </row>
    <row r="718" spans="1:31" x14ac:dyDescent="0.35">
      <c r="A718" s="3" t="s">
        <v>1540</v>
      </c>
      <c r="B718" s="3" t="s">
        <v>326</v>
      </c>
      <c r="C718" s="3">
        <v>10</v>
      </c>
      <c r="D718" s="95" t="s">
        <v>2550</v>
      </c>
      <c r="E718" s="95" t="s">
        <v>2551</v>
      </c>
      <c r="F718" s="95" t="s">
        <v>2527</v>
      </c>
      <c r="G718" s="223">
        <v>44105</v>
      </c>
      <c r="H718" s="223">
        <v>44106</v>
      </c>
      <c r="I718" s="223">
        <v>45930</v>
      </c>
      <c r="J718" s="3">
        <v>16</v>
      </c>
      <c r="K718" s="3" t="s">
        <v>10</v>
      </c>
      <c r="L718" s="3" t="s">
        <v>10</v>
      </c>
      <c r="M718" s="95" t="s">
        <v>15</v>
      </c>
      <c r="N718" s="3" t="s">
        <v>16</v>
      </c>
      <c r="O718" s="3" t="s">
        <v>651</v>
      </c>
      <c r="P718" s="3" t="s">
        <v>6</v>
      </c>
      <c r="Q718" s="3" t="s">
        <v>6</v>
      </c>
      <c r="R718" s="95" t="s">
        <v>652</v>
      </c>
      <c r="S718" s="223" t="s">
        <v>5</v>
      </c>
      <c r="T718" s="223" t="s">
        <v>5</v>
      </c>
      <c r="U718" s="223" t="s">
        <v>5</v>
      </c>
      <c r="V718" s="223" t="s">
        <v>5</v>
      </c>
      <c r="W718" s="223" t="s">
        <v>5</v>
      </c>
      <c r="X718" s="3" t="s">
        <v>5</v>
      </c>
      <c r="Y718" s="3" t="s">
        <v>651</v>
      </c>
      <c r="Z718" s="3" t="s">
        <v>651</v>
      </c>
      <c r="AA718" s="3" t="s">
        <v>10</v>
      </c>
      <c r="AB718" s="223" t="s">
        <v>5</v>
      </c>
      <c r="AC718" s="3" t="s">
        <v>6</v>
      </c>
      <c r="AD718" s="3" t="s">
        <v>10</v>
      </c>
      <c r="AE718" s="95" t="s">
        <v>2265</v>
      </c>
    </row>
    <row r="719" spans="1:31" x14ac:dyDescent="0.35">
      <c r="A719" s="3" t="s">
        <v>2552</v>
      </c>
      <c r="B719" s="3" t="s">
        <v>326</v>
      </c>
      <c r="C719" s="3">
        <v>10</v>
      </c>
      <c r="D719" s="95" t="s">
        <v>2553</v>
      </c>
      <c r="E719" s="95" t="s">
        <v>2554</v>
      </c>
      <c r="F719" s="95" t="s">
        <v>2527</v>
      </c>
      <c r="G719" s="223">
        <v>43434</v>
      </c>
      <c r="H719" s="223">
        <v>43525</v>
      </c>
      <c r="I719" s="223">
        <v>45351</v>
      </c>
      <c r="J719" s="3">
        <v>21</v>
      </c>
      <c r="K719" s="3" t="s">
        <v>10</v>
      </c>
      <c r="L719" s="3" t="s">
        <v>10</v>
      </c>
      <c r="M719" s="95" t="s">
        <v>2555</v>
      </c>
      <c r="N719" s="3" t="s">
        <v>52</v>
      </c>
      <c r="O719" s="3" t="s">
        <v>651</v>
      </c>
      <c r="P719" s="3" t="s">
        <v>6</v>
      </c>
      <c r="Q719" s="3" t="s">
        <v>6</v>
      </c>
      <c r="R719" s="95" t="s">
        <v>652</v>
      </c>
      <c r="S719" s="223" t="s">
        <v>5</v>
      </c>
      <c r="T719" s="223" t="s">
        <v>5</v>
      </c>
      <c r="U719" s="223" t="s">
        <v>5</v>
      </c>
      <c r="V719" s="223" t="s">
        <v>5</v>
      </c>
      <c r="W719" s="223" t="s">
        <v>5</v>
      </c>
      <c r="X719" s="3" t="s">
        <v>5</v>
      </c>
      <c r="Y719" s="3" t="s">
        <v>651</v>
      </c>
      <c r="Z719" s="3" t="s">
        <v>651</v>
      </c>
      <c r="AA719" s="3" t="s">
        <v>10</v>
      </c>
      <c r="AB719" s="223" t="s">
        <v>5</v>
      </c>
      <c r="AC719" s="3" t="s">
        <v>10</v>
      </c>
      <c r="AD719" s="3" t="s">
        <v>6</v>
      </c>
      <c r="AE719" s="95" t="s">
        <v>2265</v>
      </c>
    </row>
    <row r="720" spans="1:31" x14ac:dyDescent="0.35">
      <c r="A720" s="3" t="s">
        <v>1541</v>
      </c>
      <c r="B720" s="3" t="s">
        <v>326</v>
      </c>
      <c r="C720" s="3">
        <v>10</v>
      </c>
      <c r="D720" s="95" t="s">
        <v>2556</v>
      </c>
      <c r="E720" s="95" t="s">
        <v>2557</v>
      </c>
      <c r="F720" s="95" t="s">
        <v>2527</v>
      </c>
      <c r="G720" s="223">
        <v>43957</v>
      </c>
      <c r="H720" s="223">
        <v>43964</v>
      </c>
      <c r="I720" s="223">
        <v>45777</v>
      </c>
      <c r="J720" s="3">
        <v>64</v>
      </c>
      <c r="K720" s="3" t="s">
        <v>10</v>
      </c>
      <c r="L720" s="3" t="s">
        <v>10</v>
      </c>
      <c r="M720" s="95" t="s">
        <v>114</v>
      </c>
      <c r="N720" s="3" t="s">
        <v>115</v>
      </c>
      <c r="O720" s="3" t="s">
        <v>651</v>
      </c>
      <c r="P720" s="3" t="s">
        <v>6</v>
      </c>
      <c r="Q720" s="3" t="s">
        <v>6</v>
      </c>
      <c r="R720" s="95" t="s">
        <v>652</v>
      </c>
      <c r="S720" s="223" t="s">
        <v>5</v>
      </c>
      <c r="T720" s="223" t="s">
        <v>5</v>
      </c>
      <c r="U720" s="223" t="s">
        <v>5</v>
      </c>
      <c r="V720" s="223" t="s">
        <v>5</v>
      </c>
      <c r="W720" s="223" t="s">
        <v>5</v>
      </c>
      <c r="X720" s="3" t="s">
        <v>5</v>
      </c>
      <c r="Y720" s="3" t="s">
        <v>651</v>
      </c>
      <c r="Z720" s="3" t="s">
        <v>651</v>
      </c>
      <c r="AA720" s="3" t="s">
        <v>10</v>
      </c>
      <c r="AB720" s="223" t="s">
        <v>5</v>
      </c>
      <c r="AC720" s="3" t="s">
        <v>10</v>
      </c>
      <c r="AD720" s="3" t="s">
        <v>6</v>
      </c>
      <c r="AE720" s="95" t="s">
        <v>2265</v>
      </c>
    </row>
    <row r="721" spans="1:31" x14ac:dyDescent="0.35">
      <c r="A721" s="3" t="s">
        <v>1542</v>
      </c>
      <c r="B721" s="3" t="s">
        <v>326</v>
      </c>
      <c r="C721" s="3">
        <v>10</v>
      </c>
      <c r="D721" s="95" t="s">
        <v>2558</v>
      </c>
      <c r="E721" s="95" t="s">
        <v>2559</v>
      </c>
      <c r="F721" s="95" t="s">
        <v>2527</v>
      </c>
      <c r="G721" s="223">
        <v>37532</v>
      </c>
      <c r="H721" s="223">
        <v>37545</v>
      </c>
      <c r="I721" s="223">
        <v>39355</v>
      </c>
      <c r="J721" s="3">
        <v>19</v>
      </c>
      <c r="K721" s="3" t="s">
        <v>10</v>
      </c>
      <c r="L721" s="3" t="s">
        <v>10</v>
      </c>
      <c r="M721" s="95" t="s">
        <v>683</v>
      </c>
      <c r="N721" s="3" t="s">
        <v>239</v>
      </c>
      <c r="O721" s="3" t="s">
        <v>651</v>
      </c>
      <c r="P721" s="3" t="s">
        <v>6</v>
      </c>
      <c r="Q721" s="3" t="s">
        <v>6</v>
      </c>
      <c r="R721" s="95" t="s">
        <v>652</v>
      </c>
      <c r="S721" s="223" t="s">
        <v>5</v>
      </c>
      <c r="T721" s="223" t="s">
        <v>5</v>
      </c>
      <c r="U721" s="223" t="s">
        <v>5</v>
      </c>
      <c r="V721" s="223" t="s">
        <v>5</v>
      </c>
      <c r="W721" s="223" t="s">
        <v>5</v>
      </c>
      <c r="X721" s="3" t="s">
        <v>5</v>
      </c>
      <c r="Y721" s="3" t="s">
        <v>651</v>
      </c>
      <c r="Z721" s="3" t="s">
        <v>651</v>
      </c>
      <c r="AA721" s="3" t="s">
        <v>10</v>
      </c>
      <c r="AB721" s="223" t="s">
        <v>5</v>
      </c>
      <c r="AC721" s="3" t="s">
        <v>6</v>
      </c>
      <c r="AD721" s="3" t="s">
        <v>10</v>
      </c>
      <c r="AE721" s="95" t="s">
        <v>2265</v>
      </c>
    </row>
    <row r="722" spans="1:31" x14ac:dyDescent="0.35">
      <c r="A722" s="3" t="s">
        <v>2560</v>
      </c>
      <c r="B722" s="3" t="s">
        <v>326</v>
      </c>
      <c r="C722" s="3">
        <v>10</v>
      </c>
      <c r="D722" s="95" t="s">
        <v>2561</v>
      </c>
      <c r="E722" s="95" t="s">
        <v>2562</v>
      </c>
      <c r="F722" s="95" t="s">
        <v>2527</v>
      </c>
      <c r="G722" s="223">
        <v>44134</v>
      </c>
      <c r="H722" s="223">
        <v>44151</v>
      </c>
      <c r="I722" s="223">
        <v>45930</v>
      </c>
      <c r="J722" s="3">
        <v>16</v>
      </c>
      <c r="K722" s="3" t="s">
        <v>10</v>
      </c>
      <c r="L722" s="3" t="s">
        <v>10</v>
      </c>
      <c r="M722" s="95" t="s">
        <v>19</v>
      </c>
      <c r="N722" s="3" t="s">
        <v>20</v>
      </c>
      <c r="O722" s="3" t="s">
        <v>651</v>
      </c>
      <c r="P722" s="3" t="s">
        <v>6</v>
      </c>
      <c r="Q722" s="3" t="s">
        <v>6</v>
      </c>
      <c r="R722" s="95" t="s">
        <v>652</v>
      </c>
      <c r="S722" s="223" t="s">
        <v>5</v>
      </c>
      <c r="T722" s="223" t="s">
        <v>5</v>
      </c>
      <c r="U722" s="223" t="s">
        <v>5</v>
      </c>
      <c r="V722" s="223" t="s">
        <v>5</v>
      </c>
      <c r="W722" s="223" t="s">
        <v>5</v>
      </c>
      <c r="X722" s="3" t="s">
        <v>5</v>
      </c>
      <c r="Y722" s="3" t="s">
        <v>651</v>
      </c>
      <c r="Z722" s="3" t="s">
        <v>651</v>
      </c>
      <c r="AA722" s="3" t="s">
        <v>10</v>
      </c>
      <c r="AB722" s="223" t="s">
        <v>5</v>
      </c>
      <c r="AC722" s="3" t="s">
        <v>6</v>
      </c>
      <c r="AD722" s="3" t="s">
        <v>10</v>
      </c>
      <c r="AE722" s="95" t="s">
        <v>2265</v>
      </c>
    </row>
    <row r="723" spans="1:31" x14ac:dyDescent="0.35">
      <c r="A723" s="3" t="s">
        <v>1543</v>
      </c>
      <c r="B723" s="3" t="s">
        <v>326</v>
      </c>
      <c r="C723" s="3">
        <v>10</v>
      </c>
      <c r="D723" s="95" t="s">
        <v>2563</v>
      </c>
      <c r="E723" s="95" t="s">
        <v>2564</v>
      </c>
      <c r="F723" s="95" t="s">
        <v>2527</v>
      </c>
      <c r="G723" s="223">
        <v>44740</v>
      </c>
      <c r="H723" s="223">
        <v>44760</v>
      </c>
      <c r="I723" s="223">
        <v>46538</v>
      </c>
      <c r="J723" s="3">
        <v>48</v>
      </c>
      <c r="K723" s="3" t="s">
        <v>10</v>
      </c>
      <c r="L723" s="3" t="s">
        <v>10</v>
      </c>
      <c r="M723" s="95" t="s">
        <v>19</v>
      </c>
      <c r="N723" s="3" t="s">
        <v>20</v>
      </c>
      <c r="O723" s="3" t="s">
        <v>651</v>
      </c>
      <c r="P723" s="3" t="s">
        <v>6</v>
      </c>
      <c r="Q723" s="3" t="s">
        <v>6</v>
      </c>
      <c r="R723" s="95" t="s">
        <v>652</v>
      </c>
      <c r="S723" s="223" t="s">
        <v>5</v>
      </c>
      <c r="T723" s="223" t="s">
        <v>5</v>
      </c>
      <c r="U723" s="223" t="s">
        <v>5</v>
      </c>
      <c r="V723" s="223" t="s">
        <v>5</v>
      </c>
      <c r="W723" s="223" t="s">
        <v>5</v>
      </c>
      <c r="X723" s="3" t="s">
        <v>5</v>
      </c>
      <c r="Y723" s="3" t="s">
        <v>651</v>
      </c>
      <c r="Z723" s="3" t="s">
        <v>651</v>
      </c>
      <c r="AA723" s="3" t="s">
        <v>10</v>
      </c>
      <c r="AB723" s="223" t="s">
        <v>5</v>
      </c>
      <c r="AC723" s="3" t="s">
        <v>10</v>
      </c>
      <c r="AD723" s="3" t="s">
        <v>10</v>
      </c>
      <c r="AE723" s="95" t="s">
        <v>2265</v>
      </c>
    </row>
    <row r="724" spans="1:31" x14ac:dyDescent="0.35">
      <c r="A724" s="3" t="s">
        <v>2005</v>
      </c>
      <c r="B724" s="3" t="s">
        <v>326</v>
      </c>
      <c r="C724" s="3">
        <v>10</v>
      </c>
      <c r="D724" s="95" t="s">
        <v>2006</v>
      </c>
      <c r="E724" s="95" t="s">
        <v>2272</v>
      </c>
      <c r="F724" s="95" t="s">
        <v>437</v>
      </c>
      <c r="G724" s="223">
        <v>44211</v>
      </c>
      <c r="H724" s="223">
        <v>44256</v>
      </c>
      <c r="I724" s="223">
        <v>46081</v>
      </c>
      <c r="J724" s="3">
        <v>1</v>
      </c>
      <c r="K724" s="3" t="s">
        <v>6</v>
      </c>
      <c r="L724" s="3" t="s">
        <v>6</v>
      </c>
      <c r="M724" s="95" t="s">
        <v>27</v>
      </c>
      <c r="N724" s="3" t="s">
        <v>28</v>
      </c>
      <c r="O724" s="3" t="s">
        <v>25</v>
      </c>
      <c r="P724" s="3" t="s">
        <v>6</v>
      </c>
      <c r="Q724" s="3" t="s">
        <v>6</v>
      </c>
      <c r="R724" s="95" t="s">
        <v>22</v>
      </c>
      <c r="S724" s="223">
        <v>43374</v>
      </c>
      <c r="T724" s="223">
        <v>43553</v>
      </c>
      <c r="U724" s="223">
        <v>43009</v>
      </c>
      <c r="V724" s="223">
        <v>43009</v>
      </c>
      <c r="W724" s="223" t="s">
        <v>6</v>
      </c>
      <c r="X724" s="3" t="s">
        <v>26</v>
      </c>
      <c r="Y724" s="3" t="s">
        <v>2100</v>
      </c>
      <c r="Z724" s="3" t="s">
        <v>28</v>
      </c>
      <c r="AA724" s="3" t="s">
        <v>6</v>
      </c>
      <c r="AB724" s="223">
        <v>42159</v>
      </c>
      <c r="AC724" s="3" t="s">
        <v>6</v>
      </c>
      <c r="AD724" s="3" t="s">
        <v>10</v>
      </c>
      <c r="AE724" s="95" t="s">
        <v>2263</v>
      </c>
    </row>
    <row r="725" spans="1:31" x14ac:dyDescent="0.35">
      <c r="A725" s="3" t="s">
        <v>328</v>
      </c>
      <c r="B725" s="3" t="s">
        <v>326</v>
      </c>
      <c r="C725" s="3">
        <v>10</v>
      </c>
      <c r="D725" s="95" t="s">
        <v>2007</v>
      </c>
      <c r="E725" s="95" t="s">
        <v>1912</v>
      </c>
      <c r="F725" s="95" t="s">
        <v>437</v>
      </c>
      <c r="G725" s="223">
        <v>44609</v>
      </c>
      <c r="H725" s="223">
        <v>44609</v>
      </c>
      <c r="I725" s="223">
        <v>46434</v>
      </c>
      <c r="J725" s="3">
        <v>4</v>
      </c>
      <c r="K725" s="3" t="s">
        <v>6</v>
      </c>
      <c r="L725" s="3" t="s">
        <v>6</v>
      </c>
      <c r="M725" s="95" t="s">
        <v>23</v>
      </c>
      <c r="N725" s="3" t="s">
        <v>24</v>
      </c>
      <c r="O725" s="3" t="s">
        <v>25</v>
      </c>
      <c r="P725" s="3" t="s">
        <v>6</v>
      </c>
      <c r="Q725" s="3" t="s">
        <v>6</v>
      </c>
      <c r="R725" s="95" t="s">
        <v>22</v>
      </c>
      <c r="S725" s="223">
        <v>43374</v>
      </c>
      <c r="T725" s="223">
        <v>43497</v>
      </c>
      <c r="U725" s="223">
        <v>42644</v>
      </c>
      <c r="V725" s="223">
        <v>42644</v>
      </c>
      <c r="W725" s="223" t="s">
        <v>6</v>
      </c>
      <c r="X725" s="3" t="s">
        <v>26</v>
      </c>
      <c r="Y725" s="3" t="s">
        <v>2093</v>
      </c>
      <c r="Z725" s="3" t="s">
        <v>24</v>
      </c>
      <c r="AA725" s="3" t="s">
        <v>6</v>
      </c>
      <c r="AB725" s="223">
        <v>42782</v>
      </c>
      <c r="AC725" s="3" t="s">
        <v>10</v>
      </c>
      <c r="AD725" s="3" t="s">
        <v>10</v>
      </c>
      <c r="AE725" s="95" t="s">
        <v>2263</v>
      </c>
    </row>
    <row r="726" spans="1:31" x14ac:dyDescent="0.35">
      <c r="A726" s="3" t="s">
        <v>1544</v>
      </c>
      <c r="B726" s="3" t="s">
        <v>326</v>
      </c>
      <c r="C726" s="3">
        <v>10</v>
      </c>
      <c r="D726" s="95" t="s">
        <v>2565</v>
      </c>
      <c r="E726" s="95" t="s">
        <v>2566</v>
      </c>
      <c r="F726" s="95" t="s">
        <v>2527</v>
      </c>
      <c r="G726" s="223">
        <v>44180</v>
      </c>
      <c r="H726" s="223">
        <v>44180</v>
      </c>
      <c r="I726" s="223">
        <v>46005</v>
      </c>
      <c r="J726" s="3">
        <v>1637</v>
      </c>
      <c r="K726" s="3" t="s">
        <v>10</v>
      </c>
      <c r="L726" s="3" t="s">
        <v>10</v>
      </c>
      <c r="M726" s="95" t="s">
        <v>23</v>
      </c>
      <c r="N726" s="3" t="s">
        <v>24</v>
      </c>
      <c r="O726" s="3" t="s">
        <v>651</v>
      </c>
      <c r="P726" s="3" t="s">
        <v>6</v>
      </c>
      <c r="Q726" s="3" t="s">
        <v>6</v>
      </c>
      <c r="R726" s="95" t="s">
        <v>652</v>
      </c>
      <c r="S726" s="223" t="s">
        <v>5</v>
      </c>
      <c r="T726" s="223" t="s">
        <v>5</v>
      </c>
      <c r="U726" s="223" t="s">
        <v>5</v>
      </c>
      <c r="V726" s="223" t="s">
        <v>5</v>
      </c>
      <c r="W726" s="223" t="s">
        <v>5</v>
      </c>
      <c r="X726" s="3" t="s">
        <v>5</v>
      </c>
      <c r="Y726" s="3" t="s">
        <v>651</v>
      </c>
      <c r="Z726" s="3" t="s">
        <v>651</v>
      </c>
      <c r="AA726" s="3" t="s">
        <v>6</v>
      </c>
      <c r="AB726" s="223">
        <v>44469</v>
      </c>
      <c r="AC726" s="3" t="s">
        <v>10</v>
      </c>
      <c r="AD726" s="3" t="s">
        <v>10</v>
      </c>
      <c r="AE726" s="95" t="s">
        <v>2263</v>
      </c>
    </row>
    <row r="727" spans="1:31" x14ac:dyDescent="0.35">
      <c r="A727" s="3" t="s">
        <v>1545</v>
      </c>
      <c r="B727" s="3" t="s">
        <v>599</v>
      </c>
      <c r="C727" s="3">
        <v>3</v>
      </c>
      <c r="D727" s="95" t="s">
        <v>1052</v>
      </c>
      <c r="E727" s="95" t="s">
        <v>1546</v>
      </c>
      <c r="F727" s="95" t="s">
        <v>2567</v>
      </c>
      <c r="G727" s="223">
        <v>45634</v>
      </c>
      <c r="H727" s="223">
        <v>45634</v>
      </c>
      <c r="I727" s="223">
        <v>47459</v>
      </c>
      <c r="J727" s="3">
        <v>5607</v>
      </c>
      <c r="K727" s="3" t="s">
        <v>10</v>
      </c>
      <c r="L727" s="3" t="s">
        <v>10</v>
      </c>
      <c r="M727" s="95" t="s">
        <v>23</v>
      </c>
      <c r="N727" s="3" t="s">
        <v>24</v>
      </c>
      <c r="O727" s="3" t="s">
        <v>651</v>
      </c>
      <c r="P727" s="3" t="s">
        <v>6</v>
      </c>
      <c r="Q727" s="3" t="s">
        <v>6</v>
      </c>
      <c r="R727" s="95" t="s">
        <v>652</v>
      </c>
      <c r="S727" s="223" t="s">
        <v>5</v>
      </c>
      <c r="T727" s="223" t="s">
        <v>5</v>
      </c>
      <c r="U727" s="223" t="s">
        <v>5</v>
      </c>
      <c r="V727" s="223" t="s">
        <v>5</v>
      </c>
      <c r="W727" s="223" t="s">
        <v>5</v>
      </c>
      <c r="X727" s="3" t="s">
        <v>5</v>
      </c>
      <c r="Y727" s="3" t="s">
        <v>651</v>
      </c>
      <c r="Z727" s="3" t="s">
        <v>651</v>
      </c>
      <c r="AA727" s="3" t="s">
        <v>6</v>
      </c>
      <c r="AB727" s="223">
        <v>44221</v>
      </c>
      <c r="AC727" s="3" t="s">
        <v>10</v>
      </c>
      <c r="AD727" s="3" t="s">
        <v>10</v>
      </c>
      <c r="AE727" s="95" t="s">
        <v>2263</v>
      </c>
    </row>
    <row r="728" spans="1:31" x14ac:dyDescent="0.35">
      <c r="A728" s="3" t="s">
        <v>1547</v>
      </c>
      <c r="B728" s="3" t="s">
        <v>599</v>
      </c>
      <c r="C728" s="3">
        <v>3</v>
      </c>
      <c r="D728" s="95" t="s">
        <v>1548</v>
      </c>
      <c r="E728" s="95" t="s">
        <v>1549</v>
      </c>
      <c r="F728" s="95" t="s">
        <v>4</v>
      </c>
      <c r="G728" s="223">
        <v>44919</v>
      </c>
      <c r="H728" s="223">
        <v>45009</v>
      </c>
      <c r="I728" s="223">
        <v>46835</v>
      </c>
      <c r="J728" s="3">
        <v>1950</v>
      </c>
      <c r="K728" s="3" t="s">
        <v>10</v>
      </c>
      <c r="L728" s="3" t="s">
        <v>10</v>
      </c>
      <c r="M728" s="95" t="s">
        <v>27</v>
      </c>
      <c r="N728" s="3" t="s">
        <v>28</v>
      </c>
      <c r="O728" s="3" t="s">
        <v>651</v>
      </c>
      <c r="P728" s="3" t="s">
        <v>6</v>
      </c>
      <c r="Q728" s="3" t="s">
        <v>6</v>
      </c>
      <c r="R728" s="95" t="s">
        <v>652</v>
      </c>
      <c r="S728" s="223" t="s">
        <v>5</v>
      </c>
      <c r="T728" s="223" t="s">
        <v>5</v>
      </c>
      <c r="U728" s="223" t="s">
        <v>5</v>
      </c>
      <c r="V728" s="223" t="s">
        <v>5</v>
      </c>
      <c r="W728" s="223" t="s">
        <v>5</v>
      </c>
      <c r="X728" s="3" t="s">
        <v>5</v>
      </c>
      <c r="Y728" s="3" t="s">
        <v>651</v>
      </c>
      <c r="Z728" s="3" t="s">
        <v>651</v>
      </c>
      <c r="AA728" s="3" t="s">
        <v>10</v>
      </c>
      <c r="AB728" s="223" t="s">
        <v>5</v>
      </c>
      <c r="AC728" s="3" t="s">
        <v>6</v>
      </c>
      <c r="AD728" s="3" t="s">
        <v>6</v>
      </c>
      <c r="AE728" s="95" t="s">
        <v>2265</v>
      </c>
    </row>
    <row r="729" spans="1:31" x14ac:dyDescent="0.35">
      <c r="A729" s="3" t="s">
        <v>1550</v>
      </c>
      <c r="B729" s="3" t="s">
        <v>599</v>
      </c>
      <c r="C729" s="3">
        <v>3</v>
      </c>
      <c r="D729" s="95" t="s">
        <v>1551</v>
      </c>
      <c r="E729" s="95" t="s">
        <v>1552</v>
      </c>
      <c r="F729" s="95" t="s">
        <v>4</v>
      </c>
      <c r="G729" s="223">
        <v>45241</v>
      </c>
      <c r="H729" s="223">
        <v>45242</v>
      </c>
      <c r="I729" s="223">
        <v>47068</v>
      </c>
      <c r="J729" s="3">
        <v>2550</v>
      </c>
      <c r="K729" s="3" t="s">
        <v>10</v>
      </c>
      <c r="L729" s="3" t="s">
        <v>10</v>
      </c>
      <c r="M729" s="95" t="s">
        <v>47</v>
      </c>
      <c r="N729" s="3" t="s">
        <v>268</v>
      </c>
      <c r="O729" s="3" t="s">
        <v>651</v>
      </c>
      <c r="P729" s="3" t="s">
        <v>6</v>
      </c>
      <c r="Q729" s="3" t="s">
        <v>6</v>
      </c>
      <c r="R729" s="95" t="s">
        <v>652</v>
      </c>
      <c r="S729" s="223" t="s">
        <v>5</v>
      </c>
      <c r="T729" s="223" t="s">
        <v>5</v>
      </c>
      <c r="U729" s="223" t="s">
        <v>5</v>
      </c>
      <c r="V729" s="223" t="s">
        <v>5</v>
      </c>
      <c r="W729" s="223" t="s">
        <v>5</v>
      </c>
      <c r="X729" s="3" t="s">
        <v>5</v>
      </c>
      <c r="Y729" s="3" t="s">
        <v>651</v>
      </c>
      <c r="Z729" s="3" t="s">
        <v>651</v>
      </c>
      <c r="AA729" s="3" t="s">
        <v>10</v>
      </c>
      <c r="AB729" s="223" t="s">
        <v>5</v>
      </c>
      <c r="AC729" s="3" t="s">
        <v>10</v>
      </c>
      <c r="AD729" s="3" t="s">
        <v>6</v>
      </c>
      <c r="AE729" s="95" t="s">
        <v>2265</v>
      </c>
    </row>
    <row r="730" spans="1:31" x14ac:dyDescent="0.35">
      <c r="A730" s="3" t="s">
        <v>1553</v>
      </c>
      <c r="B730" s="3" t="s">
        <v>599</v>
      </c>
      <c r="C730" s="3">
        <v>3</v>
      </c>
      <c r="D730" s="95" t="s">
        <v>1554</v>
      </c>
      <c r="E730" s="95" t="s">
        <v>1555</v>
      </c>
      <c r="F730" s="95" t="s">
        <v>4</v>
      </c>
      <c r="G730" s="223">
        <v>45199</v>
      </c>
      <c r="H730" s="223">
        <v>45289</v>
      </c>
      <c r="I730" s="223">
        <v>47115</v>
      </c>
      <c r="J730" s="3">
        <v>30</v>
      </c>
      <c r="K730" s="3" t="s">
        <v>10</v>
      </c>
      <c r="L730" s="3" t="s">
        <v>10</v>
      </c>
      <c r="M730" s="95" t="s">
        <v>201</v>
      </c>
      <c r="N730" s="3" t="s">
        <v>68</v>
      </c>
      <c r="O730" s="3" t="s">
        <v>651</v>
      </c>
      <c r="P730" s="3" t="s">
        <v>6</v>
      </c>
      <c r="Q730" s="3" t="s">
        <v>6</v>
      </c>
      <c r="R730" s="95" t="s">
        <v>652</v>
      </c>
      <c r="S730" s="223" t="s">
        <v>5</v>
      </c>
      <c r="T730" s="223" t="s">
        <v>5</v>
      </c>
      <c r="U730" s="223" t="s">
        <v>5</v>
      </c>
      <c r="V730" s="223" t="s">
        <v>5</v>
      </c>
      <c r="W730" s="223" t="s">
        <v>5</v>
      </c>
      <c r="X730" s="3" t="s">
        <v>5</v>
      </c>
      <c r="Y730" s="3" t="s">
        <v>651</v>
      </c>
      <c r="Z730" s="3" t="s">
        <v>651</v>
      </c>
      <c r="AA730" s="3" t="s">
        <v>10</v>
      </c>
      <c r="AB730" s="223" t="s">
        <v>5</v>
      </c>
      <c r="AC730" s="3" t="s">
        <v>6</v>
      </c>
      <c r="AD730" s="3" t="s">
        <v>6</v>
      </c>
      <c r="AE730" s="95" t="s">
        <v>2265</v>
      </c>
    </row>
    <row r="731" spans="1:31" x14ac:dyDescent="0.35">
      <c r="A731" s="3" t="s">
        <v>1556</v>
      </c>
      <c r="B731" s="3" t="s">
        <v>599</v>
      </c>
      <c r="C731" s="3">
        <v>3</v>
      </c>
      <c r="D731" s="95" t="s">
        <v>1557</v>
      </c>
      <c r="E731" s="95" t="s">
        <v>1558</v>
      </c>
      <c r="F731" s="95" t="s">
        <v>4</v>
      </c>
      <c r="G731" s="223">
        <v>44758</v>
      </c>
      <c r="H731" s="223">
        <v>44851</v>
      </c>
      <c r="I731" s="223">
        <v>46676</v>
      </c>
      <c r="J731" s="4">
        <v>30</v>
      </c>
      <c r="K731" s="3" t="s">
        <v>10</v>
      </c>
      <c r="L731" s="3" t="s">
        <v>10</v>
      </c>
      <c r="M731" s="95" t="s">
        <v>145</v>
      </c>
      <c r="N731" s="3" t="s">
        <v>146</v>
      </c>
      <c r="O731" s="3" t="s">
        <v>651</v>
      </c>
      <c r="P731" s="3" t="s">
        <v>6</v>
      </c>
      <c r="Q731" s="3" t="s">
        <v>6</v>
      </c>
      <c r="R731" s="95" t="s">
        <v>652</v>
      </c>
      <c r="S731" s="223" t="s">
        <v>5</v>
      </c>
      <c r="T731" s="223" t="s">
        <v>5</v>
      </c>
      <c r="U731" s="223" t="s">
        <v>5</v>
      </c>
      <c r="V731" s="223" t="s">
        <v>5</v>
      </c>
      <c r="W731" s="223" t="s">
        <v>5</v>
      </c>
      <c r="X731" s="3" t="s">
        <v>5</v>
      </c>
      <c r="Y731" s="3" t="s">
        <v>651</v>
      </c>
      <c r="Z731" s="3" t="s">
        <v>651</v>
      </c>
      <c r="AA731" s="3" t="s">
        <v>10</v>
      </c>
      <c r="AB731" s="223" t="s">
        <v>5</v>
      </c>
      <c r="AC731" s="3" t="s">
        <v>10</v>
      </c>
      <c r="AD731" s="3" t="s">
        <v>6</v>
      </c>
      <c r="AE731" s="95" t="s">
        <v>2265</v>
      </c>
    </row>
    <row r="732" spans="1:31" x14ac:dyDescent="0.35">
      <c r="A732" s="3" t="s">
        <v>1559</v>
      </c>
      <c r="B732" s="3" t="s">
        <v>599</v>
      </c>
      <c r="C732" s="3">
        <v>3</v>
      </c>
      <c r="D732" s="95" t="s">
        <v>1560</v>
      </c>
      <c r="E732" s="95" t="s">
        <v>1561</v>
      </c>
      <c r="F732" s="95" t="s">
        <v>4</v>
      </c>
      <c r="G732" s="223">
        <v>44583</v>
      </c>
      <c r="H732" s="223">
        <v>44673</v>
      </c>
      <c r="I732" s="223">
        <v>46498</v>
      </c>
      <c r="J732" s="3">
        <v>80</v>
      </c>
      <c r="K732" s="3" t="s">
        <v>10</v>
      </c>
      <c r="L732" s="3" t="s">
        <v>10</v>
      </c>
      <c r="M732" s="95" t="s">
        <v>136</v>
      </c>
      <c r="N732" s="3" t="s">
        <v>138</v>
      </c>
      <c r="O732" s="3" t="s">
        <v>651</v>
      </c>
      <c r="P732" s="3" t="s">
        <v>6</v>
      </c>
      <c r="Q732" s="3" t="s">
        <v>6</v>
      </c>
      <c r="R732" s="95" t="s">
        <v>652</v>
      </c>
      <c r="S732" s="223" t="s">
        <v>5</v>
      </c>
      <c r="T732" s="223" t="s">
        <v>5</v>
      </c>
      <c r="U732" s="223" t="s">
        <v>5</v>
      </c>
      <c r="V732" s="223" t="s">
        <v>5</v>
      </c>
      <c r="W732" s="223" t="s">
        <v>5</v>
      </c>
      <c r="X732" s="3" t="s">
        <v>5</v>
      </c>
      <c r="Y732" s="3" t="s">
        <v>651</v>
      </c>
      <c r="Z732" s="3" t="s">
        <v>651</v>
      </c>
      <c r="AA732" s="3" t="s">
        <v>10</v>
      </c>
      <c r="AB732" s="223" t="s">
        <v>5</v>
      </c>
      <c r="AC732" s="3" t="s">
        <v>6</v>
      </c>
      <c r="AD732" s="3" t="s">
        <v>6</v>
      </c>
      <c r="AE732" s="95" t="s">
        <v>2265</v>
      </c>
    </row>
    <row r="733" spans="1:31" x14ac:dyDescent="0.35">
      <c r="A733" s="3" t="s">
        <v>1562</v>
      </c>
      <c r="B733" s="3" t="s">
        <v>599</v>
      </c>
      <c r="C733" s="3">
        <v>3</v>
      </c>
      <c r="D733" s="95" t="s">
        <v>1563</v>
      </c>
      <c r="E733" s="95" t="s">
        <v>1564</v>
      </c>
      <c r="F733" s="95" t="s">
        <v>4</v>
      </c>
      <c r="G733" s="223">
        <v>43162</v>
      </c>
      <c r="H733" s="223">
        <v>43162</v>
      </c>
      <c r="I733" s="223">
        <v>44987</v>
      </c>
      <c r="J733" s="3">
        <v>1</v>
      </c>
      <c r="K733" s="3" t="s">
        <v>10</v>
      </c>
      <c r="L733" s="3" t="s">
        <v>10</v>
      </c>
      <c r="M733" s="95" t="s">
        <v>109</v>
      </c>
      <c r="N733" s="3" t="s">
        <v>110</v>
      </c>
      <c r="O733" s="3" t="s">
        <v>651</v>
      </c>
      <c r="P733" s="3" t="s">
        <v>6</v>
      </c>
      <c r="Q733" s="3" t="s">
        <v>6</v>
      </c>
      <c r="R733" s="95" t="s">
        <v>652</v>
      </c>
      <c r="S733" s="223" t="s">
        <v>5</v>
      </c>
      <c r="T733" s="223" t="s">
        <v>5</v>
      </c>
      <c r="U733" s="223" t="s">
        <v>5</v>
      </c>
      <c r="V733" s="223" t="s">
        <v>5</v>
      </c>
      <c r="W733" s="223" t="s">
        <v>5</v>
      </c>
      <c r="X733" s="3" t="s">
        <v>5</v>
      </c>
      <c r="Y733" s="3" t="s">
        <v>651</v>
      </c>
      <c r="Z733" s="3" t="s">
        <v>651</v>
      </c>
      <c r="AA733" s="3" t="s">
        <v>10</v>
      </c>
      <c r="AB733" s="223" t="s">
        <v>5</v>
      </c>
      <c r="AC733" s="3" t="s">
        <v>6</v>
      </c>
      <c r="AD733" s="3" t="s">
        <v>6</v>
      </c>
      <c r="AE733" s="95" t="s">
        <v>2265</v>
      </c>
    </row>
    <row r="734" spans="1:31" x14ac:dyDescent="0.35">
      <c r="A734" s="3" t="s">
        <v>1565</v>
      </c>
      <c r="B734" s="3" t="s">
        <v>599</v>
      </c>
      <c r="C734" s="3">
        <v>3</v>
      </c>
      <c r="D734" s="95" t="s">
        <v>315</v>
      </c>
      <c r="E734" s="95" t="s">
        <v>1566</v>
      </c>
      <c r="F734" s="95" t="s">
        <v>4</v>
      </c>
      <c r="G734" s="223">
        <v>45185</v>
      </c>
      <c r="H734" s="223">
        <v>45292</v>
      </c>
      <c r="I734" s="223">
        <v>47118</v>
      </c>
      <c r="J734" s="3">
        <v>360</v>
      </c>
      <c r="K734" s="3" t="s">
        <v>10</v>
      </c>
      <c r="L734" s="3" t="s">
        <v>10</v>
      </c>
      <c r="M734" s="95" t="s">
        <v>105</v>
      </c>
      <c r="N734" s="3" t="s">
        <v>106</v>
      </c>
      <c r="O734" s="3" t="s">
        <v>651</v>
      </c>
      <c r="P734" s="3" t="s">
        <v>6</v>
      </c>
      <c r="Q734" s="3" t="s">
        <v>6</v>
      </c>
      <c r="R734" s="95" t="s">
        <v>652</v>
      </c>
      <c r="S734" s="223" t="s">
        <v>5</v>
      </c>
      <c r="T734" s="223" t="s">
        <v>5</v>
      </c>
      <c r="U734" s="223" t="s">
        <v>5</v>
      </c>
      <c r="V734" s="223" t="s">
        <v>5</v>
      </c>
      <c r="W734" s="223" t="s">
        <v>5</v>
      </c>
      <c r="X734" s="3" t="s">
        <v>5</v>
      </c>
      <c r="Y734" s="3" t="s">
        <v>651</v>
      </c>
      <c r="Z734" s="3" t="s">
        <v>651</v>
      </c>
      <c r="AA734" s="3" t="s">
        <v>10</v>
      </c>
      <c r="AB734" s="223" t="s">
        <v>5</v>
      </c>
      <c r="AC734" s="3" t="s">
        <v>10</v>
      </c>
      <c r="AD734" s="3" t="s">
        <v>6</v>
      </c>
      <c r="AE734" s="95" t="s">
        <v>2265</v>
      </c>
    </row>
    <row r="735" spans="1:31" x14ac:dyDescent="0.35">
      <c r="A735" s="3" t="s">
        <v>1567</v>
      </c>
      <c r="B735" s="3" t="s">
        <v>599</v>
      </c>
      <c r="C735" s="3">
        <v>3</v>
      </c>
      <c r="D735" s="95" t="s">
        <v>1568</v>
      </c>
      <c r="E735" s="95" t="s">
        <v>1569</v>
      </c>
      <c r="F735" s="95" t="s">
        <v>2567</v>
      </c>
      <c r="G735" s="223">
        <v>43175</v>
      </c>
      <c r="H735" s="223">
        <v>43175</v>
      </c>
      <c r="I735" s="223">
        <v>45731</v>
      </c>
      <c r="J735" s="3">
        <v>520</v>
      </c>
      <c r="K735" s="3" t="s">
        <v>10</v>
      </c>
      <c r="L735" s="3" t="s">
        <v>10</v>
      </c>
      <c r="M735" s="95" t="s">
        <v>2555</v>
      </c>
      <c r="N735" s="3" t="s">
        <v>52</v>
      </c>
      <c r="O735" s="3" t="s">
        <v>651</v>
      </c>
      <c r="P735" s="3" t="s">
        <v>6</v>
      </c>
      <c r="Q735" s="3" t="s">
        <v>6</v>
      </c>
      <c r="R735" s="95" t="s">
        <v>652</v>
      </c>
      <c r="S735" s="223" t="s">
        <v>5</v>
      </c>
      <c r="T735" s="223" t="s">
        <v>5</v>
      </c>
      <c r="U735" s="223" t="s">
        <v>5</v>
      </c>
      <c r="V735" s="223" t="s">
        <v>5</v>
      </c>
      <c r="W735" s="223" t="s">
        <v>5</v>
      </c>
      <c r="X735" s="3" t="s">
        <v>5</v>
      </c>
      <c r="Y735" s="3" t="s">
        <v>651</v>
      </c>
      <c r="Z735" s="3" t="s">
        <v>651</v>
      </c>
      <c r="AA735" s="3" t="s">
        <v>6</v>
      </c>
      <c r="AB735" s="223">
        <v>44774</v>
      </c>
      <c r="AC735" s="3" t="s">
        <v>10</v>
      </c>
      <c r="AD735" s="3" t="s">
        <v>6</v>
      </c>
      <c r="AE735" s="95" t="s">
        <v>2265</v>
      </c>
    </row>
    <row r="736" spans="1:31" x14ac:dyDescent="0.35">
      <c r="A736" s="3" t="s">
        <v>1570</v>
      </c>
      <c r="B736" s="3" t="s">
        <v>599</v>
      </c>
      <c r="C736" s="3">
        <v>3</v>
      </c>
      <c r="D736" s="95" t="s">
        <v>740</v>
      </c>
      <c r="E736" s="95" t="s">
        <v>1571</v>
      </c>
      <c r="F736" s="95" t="s">
        <v>4</v>
      </c>
      <c r="G736" s="223">
        <v>45185</v>
      </c>
      <c r="H736" s="223">
        <v>45228</v>
      </c>
      <c r="I736" s="223">
        <v>47054</v>
      </c>
      <c r="J736" s="3">
        <v>11</v>
      </c>
      <c r="K736" s="3" t="s">
        <v>10</v>
      </c>
      <c r="L736" s="3" t="s">
        <v>10</v>
      </c>
      <c r="M736" s="95" t="s">
        <v>19</v>
      </c>
      <c r="N736" s="3" t="s">
        <v>20</v>
      </c>
      <c r="O736" s="3" t="s">
        <v>651</v>
      </c>
      <c r="P736" s="3" t="s">
        <v>6</v>
      </c>
      <c r="Q736" s="3" t="s">
        <v>6</v>
      </c>
      <c r="R736" s="95" t="s">
        <v>652</v>
      </c>
      <c r="S736" s="223" t="s">
        <v>5</v>
      </c>
      <c r="T736" s="223" t="s">
        <v>5</v>
      </c>
      <c r="U736" s="223" t="s">
        <v>5</v>
      </c>
      <c r="V736" s="223" t="s">
        <v>5</v>
      </c>
      <c r="W736" s="223" t="s">
        <v>5</v>
      </c>
      <c r="X736" s="3" t="s">
        <v>5</v>
      </c>
      <c r="Y736" s="3" t="s">
        <v>651</v>
      </c>
      <c r="Z736" s="3" t="s">
        <v>651</v>
      </c>
      <c r="AA736" s="3" t="s">
        <v>10</v>
      </c>
      <c r="AB736" s="223" t="s">
        <v>5</v>
      </c>
      <c r="AC736" s="3" t="s">
        <v>10</v>
      </c>
      <c r="AD736" s="3" t="s">
        <v>6</v>
      </c>
      <c r="AE736" s="95" t="s">
        <v>2265</v>
      </c>
    </row>
    <row r="737" spans="1:31" x14ac:dyDescent="0.35">
      <c r="A737" s="3" t="s">
        <v>1572</v>
      </c>
      <c r="B737" s="3" t="s">
        <v>599</v>
      </c>
      <c r="C737" s="3">
        <v>3</v>
      </c>
      <c r="D737" s="95" t="s">
        <v>1573</v>
      </c>
      <c r="E737" s="95" t="s">
        <v>3268</v>
      </c>
      <c r="F737" s="95" t="s">
        <v>2567</v>
      </c>
      <c r="G737" s="223">
        <v>44280</v>
      </c>
      <c r="H737" s="223">
        <v>44282</v>
      </c>
      <c r="I737" s="223">
        <v>46108</v>
      </c>
      <c r="J737" s="3">
        <v>1100</v>
      </c>
      <c r="K737" s="3" t="s">
        <v>10</v>
      </c>
      <c r="L737" s="3" t="s">
        <v>10</v>
      </c>
      <c r="M737" s="95" t="s">
        <v>27</v>
      </c>
      <c r="N737" s="3" t="s">
        <v>28</v>
      </c>
      <c r="O737" s="3" t="s">
        <v>651</v>
      </c>
      <c r="P737" s="3" t="s">
        <v>6</v>
      </c>
      <c r="Q737" s="3" t="s">
        <v>6</v>
      </c>
      <c r="R737" s="95" t="s">
        <v>652</v>
      </c>
      <c r="S737" s="223" t="s">
        <v>5</v>
      </c>
      <c r="T737" s="223" t="s">
        <v>5</v>
      </c>
      <c r="U737" s="223" t="s">
        <v>5</v>
      </c>
      <c r="V737" s="223" t="s">
        <v>5</v>
      </c>
      <c r="W737" s="223" t="s">
        <v>5</v>
      </c>
      <c r="X737" s="3" t="s">
        <v>5</v>
      </c>
      <c r="Y737" s="3" t="s">
        <v>651</v>
      </c>
      <c r="Z737" s="3" t="s">
        <v>651</v>
      </c>
      <c r="AA737" s="3" t="s">
        <v>6</v>
      </c>
      <c r="AB737" s="223">
        <v>43221</v>
      </c>
      <c r="AC737" s="3" t="s">
        <v>10</v>
      </c>
      <c r="AD737" s="3" t="s">
        <v>6</v>
      </c>
      <c r="AE737" s="95" t="s">
        <v>2265</v>
      </c>
    </row>
    <row r="738" spans="1:31" x14ac:dyDescent="0.35">
      <c r="A738" s="3" t="s">
        <v>329</v>
      </c>
      <c r="B738" s="3" t="s">
        <v>330</v>
      </c>
      <c r="C738" s="3">
        <v>2</v>
      </c>
      <c r="D738" s="95" t="s">
        <v>3167</v>
      </c>
      <c r="E738" s="95" t="s">
        <v>422</v>
      </c>
      <c r="F738" s="95" t="s">
        <v>437</v>
      </c>
      <c r="G738" s="223">
        <v>44455</v>
      </c>
      <c r="H738" s="223">
        <v>44500</v>
      </c>
      <c r="I738" s="223">
        <v>46326</v>
      </c>
      <c r="J738" s="3">
        <v>4</v>
      </c>
      <c r="K738" s="3" t="s">
        <v>6</v>
      </c>
      <c r="L738" s="3" t="s">
        <v>6</v>
      </c>
      <c r="M738" s="95" t="s">
        <v>19</v>
      </c>
      <c r="N738" s="3" t="s">
        <v>20</v>
      </c>
      <c r="O738" s="3" t="s">
        <v>21</v>
      </c>
      <c r="P738" s="3" t="s">
        <v>6</v>
      </c>
      <c r="Q738" s="3" t="s">
        <v>6</v>
      </c>
      <c r="R738" s="95" t="s">
        <v>22</v>
      </c>
      <c r="S738" s="223">
        <v>43675</v>
      </c>
      <c r="T738" s="223">
        <v>43756</v>
      </c>
      <c r="U738" s="223">
        <v>43647</v>
      </c>
      <c r="V738" s="223">
        <v>43647</v>
      </c>
      <c r="W738" s="223" t="s">
        <v>6</v>
      </c>
      <c r="X738" s="3" t="s">
        <v>26</v>
      </c>
      <c r="Y738" s="3" t="s">
        <v>2116</v>
      </c>
      <c r="Z738" s="3" t="s">
        <v>20</v>
      </c>
      <c r="AA738" s="3" t="s">
        <v>6</v>
      </c>
      <c r="AB738" s="223">
        <v>44442</v>
      </c>
      <c r="AC738" s="3" t="s">
        <v>10</v>
      </c>
      <c r="AD738" s="3" t="s">
        <v>10</v>
      </c>
      <c r="AE738" s="95" t="s">
        <v>2263</v>
      </c>
    </row>
    <row r="739" spans="1:31" x14ac:dyDescent="0.35">
      <c r="A739" s="3" t="s">
        <v>331</v>
      </c>
      <c r="B739" s="3" t="s">
        <v>330</v>
      </c>
      <c r="C739" s="3">
        <v>2</v>
      </c>
      <c r="D739" s="95" t="s">
        <v>480</v>
      </c>
      <c r="E739" s="95" t="s">
        <v>481</v>
      </c>
      <c r="F739" s="95" t="s">
        <v>4</v>
      </c>
      <c r="G739" s="223">
        <v>42508</v>
      </c>
      <c r="H739" s="223">
        <v>42552</v>
      </c>
      <c r="I739" s="223">
        <v>44377</v>
      </c>
      <c r="J739" s="3">
        <v>88</v>
      </c>
      <c r="K739" s="3" t="s">
        <v>6</v>
      </c>
      <c r="L739" s="3" t="s">
        <v>6</v>
      </c>
      <c r="M739" s="95" t="s">
        <v>2555</v>
      </c>
      <c r="N739" s="3" t="s">
        <v>52</v>
      </c>
      <c r="O739" s="3" t="s">
        <v>17</v>
      </c>
      <c r="P739" s="3" t="s">
        <v>6</v>
      </c>
      <c r="Q739" s="3" t="s">
        <v>6</v>
      </c>
      <c r="R739" s="95" t="s">
        <v>9</v>
      </c>
      <c r="S739" s="223">
        <v>43591</v>
      </c>
      <c r="T739" s="223">
        <v>43749</v>
      </c>
      <c r="U739" s="223">
        <v>43679</v>
      </c>
      <c r="V739" s="223">
        <v>43679</v>
      </c>
      <c r="W739" s="223" t="s">
        <v>6</v>
      </c>
      <c r="X739" s="3" t="s">
        <v>26</v>
      </c>
      <c r="Y739" s="3" t="s">
        <v>2121</v>
      </c>
      <c r="Z739" s="3" t="s">
        <v>52</v>
      </c>
      <c r="AA739" s="3" t="s">
        <v>2372</v>
      </c>
      <c r="AB739" s="223" t="s">
        <v>5</v>
      </c>
      <c r="AC739" s="3" t="s">
        <v>10</v>
      </c>
      <c r="AD739" s="3" t="s">
        <v>6</v>
      </c>
      <c r="AE739" s="95" t="s">
        <v>2265</v>
      </c>
    </row>
    <row r="740" spans="1:31" x14ac:dyDescent="0.35">
      <c r="A740" s="3" t="s">
        <v>332</v>
      </c>
      <c r="B740" s="3" t="s">
        <v>330</v>
      </c>
      <c r="C740" s="3">
        <v>2</v>
      </c>
      <c r="D740" s="95" t="s">
        <v>333</v>
      </c>
      <c r="E740" s="95" t="s">
        <v>2272</v>
      </c>
      <c r="F740" s="95" t="s">
        <v>437</v>
      </c>
      <c r="G740" s="223">
        <v>44211</v>
      </c>
      <c r="H740" s="223">
        <v>44256</v>
      </c>
      <c r="I740" s="223">
        <v>46081</v>
      </c>
      <c r="J740" s="3">
        <v>291</v>
      </c>
      <c r="K740" s="3" t="s">
        <v>6</v>
      </c>
      <c r="L740" s="3" t="s">
        <v>6</v>
      </c>
      <c r="M740" s="95" t="s">
        <v>27</v>
      </c>
      <c r="N740" s="3" t="s">
        <v>28</v>
      </c>
      <c r="O740" s="3" t="s">
        <v>25</v>
      </c>
      <c r="P740" s="3" t="s">
        <v>6</v>
      </c>
      <c r="Q740" s="3" t="s">
        <v>6</v>
      </c>
      <c r="R740" s="95" t="s">
        <v>22</v>
      </c>
      <c r="S740" s="223">
        <v>43374</v>
      </c>
      <c r="T740" s="223">
        <v>43553</v>
      </c>
      <c r="U740" s="223">
        <v>43009</v>
      </c>
      <c r="V740" s="223">
        <v>43009</v>
      </c>
      <c r="W740" s="223" t="s">
        <v>6</v>
      </c>
      <c r="X740" s="3" t="s">
        <v>26</v>
      </c>
      <c r="Y740" s="3" t="s">
        <v>2100</v>
      </c>
      <c r="Z740" s="3" t="s">
        <v>28</v>
      </c>
      <c r="AA740" s="3" t="s">
        <v>6</v>
      </c>
      <c r="AB740" s="223">
        <v>42159</v>
      </c>
      <c r="AC740" s="3" t="s">
        <v>6</v>
      </c>
      <c r="AD740" s="3" t="s">
        <v>10</v>
      </c>
      <c r="AE740" s="95" t="s">
        <v>2263</v>
      </c>
    </row>
    <row r="741" spans="1:31" x14ac:dyDescent="0.35">
      <c r="A741" s="3" t="s">
        <v>334</v>
      </c>
      <c r="B741" s="3" t="s">
        <v>330</v>
      </c>
      <c r="C741" s="3">
        <v>2</v>
      </c>
      <c r="D741" s="95" t="s">
        <v>2008</v>
      </c>
      <c r="E741" s="95" t="s">
        <v>1912</v>
      </c>
      <c r="F741" s="95" t="s">
        <v>437</v>
      </c>
      <c r="G741" s="223">
        <v>44609</v>
      </c>
      <c r="H741" s="223">
        <v>44609</v>
      </c>
      <c r="I741" s="223">
        <v>46434</v>
      </c>
      <c r="J741" s="3">
        <v>276</v>
      </c>
      <c r="K741" s="3" t="s">
        <v>6</v>
      </c>
      <c r="L741" s="3" t="s">
        <v>6</v>
      </c>
      <c r="M741" s="95" t="s">
        <v>23</v>
      </c>
      <c r="N741" s="3" t="s">
        <v>24</v>
      </c>
      <c r="O741" s="3" t="s">
        <v>25</v>
      </c>
      <c r="P741" s="3" t="s">
        <v>6</v>
      </c>
      <c r="Q741" s="3" t="s">
        <v>6</v>
      </c>
      <c r="R741" s="95" t="s">
        <v>22</v>
      </c>
      <c r="S741" s="223">
        <v>43374</v>
      </c>
      <c r="T741" s="223">
        <v>43497</v>
      </c>
      <c r="U741" s="223">
        <v>42644</v>
      </c>
      <c r="V741" s="223">
        <v>42644</v>
      </c>
      <c r="W741" s="223" t="s">
        <v>6</v>
      </c>
      <c r="X741" s="3" t="s">
        <v>26</v>
      </c>
      <c r="Y741" s="3" t="s">
        <v>2093</v>
      </c>
      <c r="Z741" s="3" t="s">
        <v>24</v>
      </c>
      <c r="AA741" s="3" t="s">
        <v>6</v>
      </c>
      <c r="AB741" s="223">
        <v>42782</v>
      </c>
      <c r="AC741" s="3" t="s">
        <v>10</v>
      </c>
      <c r="AD741" s="3" t="s">
        <v>10</v>
      </c>
      <c r="AE741" s="95" t="s">
        <v>2263</v>
      </c>
    </row>
    <row r="742" spans="1:31" x14ac:dyDescent="0.35">
      <c r="A742" s="3" t="s">
        <v>335</v>
      </c>
      <c r="B742" s="3" t="s">
        <v>336</v>
      </c>
      <c r="C742" s="3">
        <v>1</v>
      </c>
      <c r="D742" s="95" t="s">
        <v>3168</v>
      </c>
      <c r="E742" s="95" t="s">
        <v>422</v>
      </c>
      <c r="F742" s="95" t="s">
        <v>437</v>
      </c>
      <c r="G742" s="223">
        <v>44455</v>
      </c>
      <c r="H742" s="223">
        <v>44500</v>
      </c>
      <c r="I742" s="223">
        <v>46326</v>
      </c>
      <c r="J742" s="3">
        <v>0</v>
      </c>
      <c r="K742" s="3" t="s">
        <v>6</v>
      </c>
      <c r="L742" s="3" t="s">
        <v>6</v>
      </c>
      <c r="M742" s="95" t="s">
        <v>19</v>
      </c>
      <c r="N742" s="3" t="s">
        <v>20</v>
      </c>
      <c r="O742" s="3" t="s">
        <v>21</v>
      </c>
      <c r="P742" s="3" t="s">
        <v>6</v>
      </c>
      <c r="Q742" s="3" t="s">
        <v>6</v>
      </c>
      <c r="R742" s="95" t="s">
        <v>22</v>
      </c>
      <c r="S742" s="223">
        <v>43675</v>
      </c>
      <c r="T742" s="223">
        <v>43756</v>
      </c>
      <c r="U742" s="223">
        <v>43647</v>
      </c>
      <c r="V742" s="223">
        <v>43647</v>
      </c>
      <c r="W742" s="223" t="s">
        <v>6</v>
      </c>
      <c r="X742" s="3" t="s">
        <v>26</v>
      </c>
      <c r="Y742" s="3" t="s">
        <v>2116</v>
      </c>
      <c r="Z742" s="3" t="s">
        <v>20</v>
      </c>
      <c r="AA742" s="3" t="s">
        <v>6</v>
      </c>
      <c r="AB742" s="223">
        <v>44442</v>
      </c>
      <c r="AC742" s="3" t="s">
        <v>10</v>
      </c>
      <c r="AD742" s="3" t="s">
        <v>10</v>
      </c>
      <c r="AE742" s="95" t="s">
        <v>2263</v>
      </c>
    </row>
    <row r="743" spans="1:31" x14ac:dyDescent="0.35">
      <c r="A743" s="3" t="s">
        <v>337</v>
      </c>
      <c r="B743" s="3" t="s">
        <v>336</v>
      </c>
      <c r="C743" s="3">
        <v>1</v>
      </c>
      <c r="D743" s="95" t="s">
        <v>172</v>
      </c>
      <c r="E743" s="95" t="s">
        <v>338</v>
      </c>
      <c r="F743" s="95" t="s">
        <v>4</v>
      </c>
      <c r="G743" s="223">
        <v>43474</v>
      </c>
      <c r="H743" s="223">
        <v>43525</v>
      </c>
      <c r="I743" s="223">
        <v>45351</v>
      </c>
      <c r="J743" s="3">
        <v>15</v>
      </c>
      <c r="K743" s="3" t="s">
        <v>10</v>
      </c>
      <c r="L743" s="3" t="s">
        <v>6</v>
      </c>
      <c r="M743" s="95" t="s">
        <v>173</v>
      </c>
      <c r="N743" s="3" t="s">
        <v>174</v>
      </c>
      <c r="O743" s="3" t="s">
        <v>17</v>
      </c>
      <c r="P743" s="3" t="s">
        <v>6</v>
      </c>
      <c r="Q743" s="3" t="s">
        <v>6</v>
      </c>
      <c r="R743" s="95" t="s">
        <v>50</v>
      </c>
      <c r="S743" s="223">
        <v>43591</v>
      </c>
      <c r="T743" s="223">
        <v>43672</v>
      </c>
      <c r="U743" s="223">
        <v>43556</v>
      </c>
      <c r="V743" s="223">
        <v>43556</v>
      </c>
      <c r="W743" s="223" t="s">
        <v>6</v>
      </c>
      <c r="X743" s="3" t="s">
        <v>51</v>
      </c>
      <c r="Y743" s="3" t="s">
        <v>2953</v>
      </c>
      <c r="Z743" s="3" t="s">
        <v>62</v>
      </c>
      <c r="AA743" s="3" t="s">
        <v>10</v>
      </c>
      <c r="AB743" s="223" t="s">
        <v>5</v>
      </c>
      <c r="AC743" s="3" t="s">
        <v>6</v>
      </c>
      <c r="AD743" s="3" t="s">
        <v>10</v>
      </c>
      <c r="AE743" s="95" t="s">
        <v>2263</v>
      </c>
    </row>
    <row r="744" spans="1:31" x14ac:dyDescent="0.35">
      <c r="A744" s="3" t="s">
        <v>434</v>
      </c>
      <c r="B744" s="3" t="s">
        <v>336</v>
      </c>
      <c r="C744" s="3">
        <v>1</v>
      </c>
      <c r="D744" s="95" t="s">
        <v>339</v>
      </c>
      <c r="E744" s="95" t="s">
        <v>435</v>
      </c>
      <c r="F744" s="95" t="s">
        <v>4</v>
      </c>
      <c r="G744" s="223">
        <v>45474</v>
      </c>
      <c r="H744" s="223">
        <v>45474</v>
      </c>
      <c r="I744" s="223">
        <v>47299</v>
      </c>
      <c r="J744" s="3">
        <v>11</v>
      </c>
      <c r="K744" s="3" t="s">
        <v>10</v>
      </c>
      <c r="L744" s="3" t="s">
        <v>6</v>
      </c>
      <c r="M744" s="95" t="s">
        <v>340</v>
      </c>
      <c r="N744" s="3" t="s">
        <v>68</v>
      </c>
      <c r="O744" s="3" t="s">
        <v>49</v>
      </c>
      <c r="P744" s="3" t="s">
        <v>6</v>
      </c>
      <c r="Q744" s="3" t="s">
        <v>6</v>
      </c>
      <c r="R744" s="95" t="s">
        <v>50</v>
      </c>
      <c r="S744" s="223">
        <v>43528</v>
      </c>
      <c r="T744" s="223">
        <v>43588</v>
      </c>
      <c r="U744" s="223">
        <v>43221</v>
      </c>
      <c r="V744" s="223">
        <v>43221</v>
      </c>
      <c r="W744" s="223" t="s">
        <v>6</v>
      </c>
      <c r="X744" s="3" t="s">
        <v>26</v>
      </c>
      <c r="Y744" s="3" t="s">
        <v>2141</v>
      </c>
      <c r="Z744" s="3" t="s">
        <v>2249</v>
      </c>
      <c r="AA744" s="3" t="s">
        <v>2254</v>
      </c>
      <c r="AB744" s="223" t="s">
        <v>5</v>
      </c>
      <c r="AC744" s="3" t="s">
        <v>6</v>
      </c>
      <c r="AD744" s="3" t="s">
        <v>10</v>
      </c>
      <c r="AE744" s="95" t="s">
        <v>2263</v>
      </c>
    </row>
    <row r="745" spans="1:31" x14ac:dyDescent="0.35">
      <c r="A745" s="3" t="s">
        <v>1576</v>
      </c>
      <c r="B745" s="3" t="s">
        <v>336</v>
      </c>
      <c r="C745" s="3">
        <v>1</v>
      </c>
      <c r="D745" s="95" t="s">
        <v>1577</v>
      </c>
      <c r="E745" s="95" t="s">
        <v>1578</v>
      </c>
      <c r="F745" s="95" t="s">
        <v>651</v>
      </c>
      <c r="G745" s="223">
        <v>44887</v>
      </c>
      <c r="H745" s="223">
        <v>44887</v>
      </c>
      <c r="I745" s="223">
        <v>46712</v>
      </c>
      <c r="J745" s="3" t="s">
        <v>2266</v>
      </c>
      <c r="K745" s="3" t="s">
        <v>10</v>
      </c>
      <c r="L745" s="3" t="s">
        <v>10</v>
      </c>
      <c r="M745" s="95" t="s">
        <v>19</v>
      </c>
      <c r="N745" s="3" t="s">
        <v>20</v>
      </c>
      <c r="O745" s="3" t="s">
        <v>651</v>
      </c>
      <c r="P745" s="3" t="s">
        <v>10</v>
      </c>
      <c r="Q745" s="3" t="s">
        <v>6</v>
      </c>
      <c r="R745" s="95" t="s">
        <v>2267</v>
      </c>
      <c r="S745" s="223" t="s">
        <v>5</v>
      </c>
      <c r="T745" s="223" t="s">
        <v>5</v>
      </c>
      <c r="U745" s="223" t="s">
        <v>5</v>
      </c>
      <c r="V745" s="223" t="s">
        <v>5</v>
      </c>
      <c r="W745" s="223" t="s">
        <v>5</v>
      </c>
      <c r="X745" s="3" t="s">
        <v>5</v>
      </c>
      <c r="Y745" s="3" t="s">
        <v>651</v>
      </c>
      <c r="Z745" s="3" t="s">
        <v>651</v>
      </c>
      <c r="AA745" s="3" t="s">
        <v>651</v>
      </c>
      <c r="AB745" s="223" t="s">
        <v>5</v>
      </c>
      <c r="AC745" s="3" t="s">
        <v>651</v>
      </c>
      <c r="AD745" s="3" t="s">
        <v>651</v>
      </c>
      <c r="AE745" s="95" t="s">
        <v>651</v>
      </c>
    </row>
    <row r="746" spans="1:31" x14ac:dyDescent="0.35">
      <c r="A746" s="3" t="s">
        <v>2897</v>
      </c>
      <c r="B746" s="3" t="s">
        <v>336</v>
      </c>
      <c r="C746" s="3">
        <v>1</v>
      </c>
      <c r="D746" s="95" t="s">
        <v>2898</v>
      </c>
      <c r="E746" s="95" t="s">
        <v>509</v>
      </c>
      <c r="F746" s="95" t="s">
        <v>437</v>
      </c>
      <c r="G746" s="223">
        <v>44775</v>
      </c>
      <c r="H746" s="223">
        <v>44775</v>
      </c>
      <c r="I746" s="223">
        <v>46600</v>
      </c>
      <c r="J746" s="3">
        <v>2</v>
      </c>
      <c r="K746" s="3" t="s">
        <v>6</v>
      </c>
      <c r="L746" s="3" t="s">
        <v>6</v>
      </c>
      <c r="M746" s="95" t="s">
        <v>184</v>
      </c>
      <c r="N746" s="3" t="s">
        <v>68</v>
      </c>
      <c r="O746" s="3" t="s">
        <v>49</v>
      </c>
      <c r="P746" s="3" t="s">
        <v>6</v>
      </c>
      <c r="Q746" s="3" t="s">
        <v>6</v>
      </c>
      <c r="R746" s="95" t="s">
        <v>9</v>
      </c>
      <c r="S746" s="223">
        <v>43528</v>
      </c>
      <c r="T746" s="223">
        <v>43588</v>
      </c>
      <c r="U746" s="223">
        <v>43221</v>
      </c>
      <c r="V746" s="223">
        <v>43221</v>
      </c>
      <c r="W746" s="223" t="s">
        <v>6</v>
      </c>
      <c r="X746" s="3" t="s">
        <v>26</v>
      </c>
      <c r="Y746" s="3" t="s">
        <v>2137</v>
      </c>
      <c r="Z746" s="3" t="s">
        <v>2249</v>
      </c>
      <c r="AA746" s="3" t="s">
        <v>6</v>
      </c>
      <c r="AB746" s="223">
        <v>44901</v>
      </c>
      <c r="AC746" s="3" t="s">
        <v>6</v>
      </c>
      <c r="AD746" s="3" t="s">
        <v>10</v>
      </c>
      <c r="AE746" s="95" t="s">
        <v>2263</v>
      </c>
    </row>
    <row r="747" spans="1:31" x14ac:dyDescent="0.35">
      <c r="A747" s="3" t="s">
        <v>2009</v>
      </c>
      <c r="B747" s="3" t="s">
        <v>336</v>
      </c>
      <c r="C747" s="3">
        <v>1</v>
      </c>
      <c r="D747" s="95" t="s">
        <v>342</v>
      </c>
      <c r="E747" s="95" t="s">
        <v>2272</v>
      </c>
      <c r="F747" s="95" t="s">
        <v>437</v>
      </c>
      <c r="G747" s="223">
        <v>44211</v>
      </c>
      <c r="H747" s="223">
        <v>44256</v>
      </c>
      <c r="I747" s="223">
        <v>46081</v>
      </c>
      <c r="J747" s="3">
        <v>0</v>
      </c>
      <c r="K747" s="3" t="s">
        <v>6</v>
      </c>
      <c r="L747" s="3" t="s">
        <v>6</v>
      </c>
      <c r="M747" s="95" t="s">
        <v>27</v>
      </c>
      <c r="N747" s="3" t="s">
        <v>28</v>
      </c>
      <c r="O747" s="3" t="s">
        <v>25</v>
      </c>
      <c r="P747" s="3" t="s">
        <v>6</v>
      </c>
      <c r="Q747" s="3" t="s">
        <v>6</v>
      </c>
      <c r="R747" s="95" t="s">
        <v>22</v>
      </c>
      <c r="S747" s="223">
        <v>43374</v>
      </c>
      <c r="T747" s="223">
        <v>43553</v>
      </c>
      <c r="U747" s="223">
        <v>43009</v>
      </c>
      <c r="V747" s="223">
        <v>43009</v>
      </c>
      <c r="W747" s="223" t="s">
        <v>6</v>
      </c>
      <c r="X747" s="3" t="s">
        <v>26</v>
      </c>
      <c r="Y747" s="3" t="s">
        <v>2100</v>
      </c>
      <c r="Z747" s="3" t="s">
        <v>28</v>
      </c>
      <c r="AA747" s="3" t="s">
        <v>6</v>
      </c>
      <c r="AB747" s="223">
        <v>42159</v>
      </c>
      <c r="AC747" s="3" t="s">
        <v>6</v>
      </c>
      <c r="AD747" s="3" t="s">
        <v>10</v>
      </c>
      <c r="AE747" s="95" t="s">
        <v>2263</v>
      </c>
    </row>
    <row r="748" spans="1:31" x14ac:dyDescent="0.35">
      <c r="A748" s="3" t="s">
        <v>341</v>
      </c>
      <c r="B748" s="3" t="s">
        <v>336</v>
      </c>
      <c r="C748" s="3">
        <v>1</v>
      </c>
      <c r="D748" s="95" t="s">
        <v>2010</v>
      </c>
      <c r="E748" s="95" t="s">
        <v>1912</v>
      </c>
      <c r="F748" s="95" t="s">
        <v>437</v>
      </c>
      <c r="G748" s="223">
        <v>44609</v>
      </c>
      <c r="H748" s="223">
        <v>44609</v>
      </c>
      <c r="I748" s="223">
        <v>46434</v>
      </c>
      <c r="J748" s="3">
        <v>0</v>
      </c>
      <c r="K748" s="3" t="s">
        <v>6</v>
      </c>
      <c r="L748" s="3" t="s">
        <v>6</v>
      </c>
      <c r="M748" s="95" t="s">
        <v>23</v>
      </c>
      <c r="N748" s="3" t="s">
        <v>24</v>
      </c>
      <c r="O748" s="3" t="s">
        <v>25</v>
      </c>
      <c r="P748" s="3" t="s">
        <v>6</v>
      </c>
      <c r="Q748" s="3" t="s">
        <v>6</v>
      </c>
      <c r="R748" s="95" t="s">
        <v>22</v>
      </c>
      <c r="S748" s="223">
        <v>43374</v>
      </c>
      <c r="T748" s="223">
        <v>43497</v>
      </c>
      <c r="U748" s="223">
        <v>42644</v>
      </c>
      <c r="V748" s="223">
        <v>42644</v>
      </c>
      <c r="W748" s="223" t="s">
        <v>6</v>
      </c>
      <c r="X748" s="3" t="s">
        <v>26</v>
      </c>
      <c r="Y748" s="3" t="s">
        <v>2093</v>
      </c>
      <c r="Z748" s="3" t="s">
        <v>24</v>
      </c>
      <c r="AA748" s="3" t="s">
        <v>6</v>
      </c>
      <c r="AB748" s="223">
        <v>42782</v>
      </c>
      <c r="AC748" s="3" t="s">
        <v>10</v>
      </c>
      <c r="AD748" s="3" t="s">
        <v>10</v>
      </c>
      <c r="AE748" s="95" t="s">
        <v>2263</v>
      </c>
    </row>
    <row r="749" spans="1:31" x14ac:dyDescent="0.35">
      <c r="A749" s="3" t="s">
        <v>343</v>
      </c>
      <c r="B749" s="3" t="s">
        <v>336</v>
      </c>
      <c r="C749" s="3">
        <v>1</v>
      </c>
      <c r="D749" s="95" t="s">
        <v>344</v>
      </c>
      <c r="E749" s="95" t="s">
        <v>501</v>
      </c>
      <c r="F749" s="95" t="s">
        <v>4</v>
      </c>
      <c r="G749" s="223">
        <v>37975</v>
      </c>
      <c r="H749" s="223">
        <v>37975</v>
      </c>
      <c r="I749" s="223">
        <v>39801</v>
      </c>
      <c r="J749" s="3">
        <v>41</v>
      </c>
      <c r="K749" s="3" t="s">
        <v>10</v>
      </c>
      <c r="L749" s="3" t="s">
        <v>6</v>
      </c>
      <c r="M749" s="95" t="s">
        <v>2555</v>
      </c>
      <c r="N749" s="3" t="s">
        <v>52</v>
      </c>
      <c r="O749" s="3" t="s">
        <v>17</v>
      </c>
      <c r="P749" s="3" t="s">
        <v>6</v>
      </c>
      <c r="Q749" s="3" t="s">
        <v>6</v>
      </c>
      <c r="R749" s="95" t="s">
        <v>50</v>
      </c>
      <c r="S749" s="223">
        <v>43591</v>
      </c>
      <c r="T749" s="223">
        <v>43749</v>
      </c>
      <c r="U749" s="223">
        <v>43679</v>
      </c>
      <c r="V749" s="223">
        <v>43679</v>
      </c>
      <c r="W749" s="223" t="s">
        <v>6</v>
      </c>
      <c r="X749" s="3" t="s">
        <v>26</v>
      </c>
      <c r="Y749" s="3" t="s">
        <v>2128</v>
      </c>
      <c r="Z749" s="3" t="s">
        <v>52</v>
      </c>
      <c r="AA749" s="3" t="s">
        <v>2372</v>
      </c>
      <c r="AB749" s="223" t="s">
        <v>5</v>
      </c>
      <c r="AC749" s="3" t="s">
        <v>10</v>
      </c>
      <c r="AD749" s="3" t="s">
        <v>6</v>
      </c>
      <c r="AE749" s="95" t="s">
        <v>2265</v>
      </c>
    </row>
    <row r="750" spans="1:31" x14ac:dyDescent="0.35">
      <c r="A750" s="3" t="s">
        <v>1579</v>
      </c>
      <c r="B750" s="3" t="s">
        <v>336</v>
      </c>
      <c r="C750" s="3">
        <v>1</v>
      </c>
      <c r="D750" s="95" t="s">
        <v>1580</v>
      </c>
      <c r="E750" s="95" t="s">
        <v>2899</v>
      </c>
      <c r="F750" s="95" t="s">
        <v>4</v>
      </c>
      <c r="G750" s="223">
        <v>44099</v>
      </c>
      <c r="H750" s="223">
        <v>44100</v>
      </c>
      <c r="I750" s="223">
        <v>45925</v>
      </c>
      <c r="J750" s="3">
        <v>800</v>
      </c>
      <c r="K750" s="3" t="s">
        <v>10</v>
      </c>
      <c r="L750" s="3" t="s">
        <v>10</v>
      </c>
      <c r="M750" s="95" t="s">
        <v>23</v>
      </c>
      <c r="N750" s="3" t="s">
        <v>24</v>
      </c>
      <c r="O750" s="3" t="s">
        <v>651</v>
      </c>
      <c r="P750" s="3" t="s">
        <v>6</v>
      </c>
      <c r="Q750" s="3" t="s">
        <v>6</v>
      </c>
      <c r="R750" s="95" t="s">
        <v>652</v>
      </c>
      <c r="S750" s="223" t="s">
        <v>5</v>
      </c>
      <c r="T750" s="223" t="s">
        <v>5</v>
      </c>
      <c r="U750" s="223" t="s">
        <v>5</v>
      </c>
      <c r="V750" s="223" t="s">
        <v>5</v>
      </c>
      <c r="W750" s="223" t="s">
        <v>5</v>
      </c>
      <c r="X750" s="3" t="s">
        <v>5</v>
      </c>
      <c r="Y750" s="3" t="s">
        <v>651</v>
      </c>
      <c r="Z750" s="3" t="s">
        <v>651</v>
      </c>
      <c r="AA750" s="3" t="s">
        <v>10</v>
      </c>
      <c r="AB750" s="223" t="s">
        <v>5</v>
      </c>
      <c r="AC750" s="3" t="s">
        <v>10</v>
      </c>
      <c r="AD750" s="3" t="s">
        <v>10</v>
      </c>
      <c r="AE750" s="95" t="s">
        <v>2263</v>
      </c>
    </row>
    <row r="751" spans="1:31" x14ac:dyDescent="0.35">
      <c r="A751" s="3" t="s">
        <v>345</v>
      </c>
      <c r="B751" s="3" t="s">
        <v>336</v>
      </c>
      <c r="C751" s="3">
        <v>1</v>
      </c>
      <c r="D751" s="95" t="s">
        <v>346</v>
      </c>
      <c r="E751" s="95" t="s">
        <v>436</v>
      </c>
      <c r="F751" s="95" t="s">
        <v>437</v>
      </c>
      <c r="G751" s="223">
        <v>45489</v>
      </c>
      <c r="H751" s="223">
        <v>45536</v>
      </c>
      <c r="I751" s="223">
        <v>47361</v>
      </c>
      <c r="J751" s="3">
        <v>171</v>
      </c>
      <c r="K751" s="3" t="s">
        <v>10</v>
      </c>
      <c r="L751" s="3" t="s">
        <v>6</v>
      </c>
      <c r="M751" s="95" t="s">
        <v>27</v>
      </c>
      <c r="N751" s="3" t="s">
        <v>28</v>
      </c>
      <c r="O751" s="3" t="s">
        <v>25</v>
      </c>
      <c r="P751" s="3" t="s">
        <v>6</v>
      </c>
      <c r="Q751" s="3" t="s">
        <v>6</v>
      </c>
      <c r="R751" s="95" t="s">
        <v>50</v>
      </c>
      <c r="S751" s="223">
        <v>43374</v>
      </c>
      <c r="T751" s="223">
        <v>43553</v>
      </c>
      <c r="U751" s="223">
        <v>43191</v>
      </c>
      <c r="V751" s="223">
        <v>43191</v>
      </c>
      <c r="W751" s="223" t="s">
        <v>6</v>
      </c>
      <c r="X751" s="3" t="s">
        <v>26</v>
      </c>
      <c r="Y751" s="3" t="s">
        <v>2103</v>
      </c>
      <c r="Z751" s="3" t="s">
        <v>28</v>
      </c>
      <c r="AA751" s="3" t="s">
        <v>6</v>
      </c>
      <c r="AB751" s="223">
        <v>43588</v>
      </c>
      <c r="AC751" s="3" t="s">
        <v>6</v>
      </c>
      <c r="AD751" s="3" t="s">
        <v>10</v>
      </c>
      <c r="AE751" s="95" t="s">
        <v>2263</v>
      </c>
    </row>
    <row r="752" spans="1:31" x14ac:dyDescent="0.35">
      <c r="A752" s="3" t="s">
        <v>3269</v>
      </c>
      <c r="B752" s="3" t="s">
        <v>336</v>
      </c>
      <c r="C752" s="3">
        <v>1</v>
      </c>
      <c r="D752" s="95" t="s">
        <v>3270</v>
      </c>
      <c r="E752" s="95" t="s">
        <v>4</v>
      </c>
      <c r="F752" s="95" t="s">
        <v>4</v>
      </c>
      <c r="G752" s="223">
        <v>45627</v>
      </c>
      <c r="H752" s="223">
        <v>45627</v>
      </c>
      <c r="I752" s="223">
        <v>47453</v>
      </c>
      <c r="J752" s="3">
        <v>45</v>
      </c>
      <c r="K752" s="3" t="s">
        <v>10</v>
      </c>
      <c r="L752" s="3" t="s">
        <v>6</v>
      </c>
      <c r="M752" s="95" t="s">
        <v>3271</v>
      </c>
      <c r="N752" s="3" t="s">
        <v>62</v>
      </c>
      <c r="O752" s="3" t="s">
        <v>56</v>
      </c>
      <c r="P752" s="3" t="s">
        <v>6</v>
      </c>
      <c r="Q752" s="3" t="s">
        <v>6</v>
      </c>
      <c r="R752" s="95" t="s">
        <v>3272</v>
      </c>
      <c r="S752" s="223">
        <v>45383</v>
      </c>
      <c r="T752" s="223">
        <v>45412</v>
      </c>
      <c r="U752" s="223">
        <v>45407</v>
      </c>
      <c r="V752" s="223">
        <v>45407</v>
      </c>
      <c r="W752" s="223" t="s">
        <v>6</v>
      </c>
      <c r="X752" s="3" t="s">
        <v>26</v>
      </c>
      <c r="Y752" s="3" t="s">
        <v>3195</v>
      </c>
      <c r="Z752" s="3" t="s">
        <v>62</v>
      </c>
      <c r="AA752" s="3" t="s">
        <v>10</v>
      </c>
      <c r="AB752" s="223" t="s">
        <v>5</v>
      </c>
      <c r="AC752" s="3" t="s">
        <v>10</v>
      </c>
      <c r="AD752" s="3" t="s">
        <v>10</v>
      </c>
      <c r="AE752" s="95" t="s">
        <v>2263</v>
      </c>
    </row>
    <row r="753" spans="1:31" x14ac:dyDescent="0.35">
      <c r="A753" s="3" t="s">
        <v>1581</v>
      </c>
      <c r="B753" s="3" t="s">
        <v>602</v>
      </c>
      <c r="C753" s="3">
        <v>4</v>
      </c>
      <c r="D753" s="95" t="s">
        <v>1106</v>
      </c>
      <c r="E753" s="95" t="s">
        <v>2568</v>
      </c>
      <c r="F753" s="95" t="s">
        <v>2569</v>
      </c>
      <c r="G753" s="223">
        <v>42451</v>
      </c>
      <c r="H753" s="223">
        <v>42461</v>
      </c>
      <c r="I753" s="223">
        <v>44286</v>
      </c>
      <c r="J753" s="3">
        <v>145</v>
      </c>
      <c r="K753" s="3" t="s">
        <v>10</v>
      </c>
      <c r="L753" s="3" t="s">
        <v>10</v>
      </c>
      <c r="M753" s="95" t="s">
        <v>19</v>
      </c>
      <c r="N753" s="3" t="s">
        <v>20</v>
      </c>
      <c r="O753" s="3" t="s">
        <v>651</v>
      </c>
      <c r="P753" s="3" t="s">
        <v>6</v>
      </c>
      <c r="Q753" s="3" t="s">
        <v>6</v>
      </c>
      <c r="R753" s="95" t="s">
        <v>652</v>
      </c>
      <c r="S753" s="223" t="s">
        <v>5</v>
      </c>
      <c r="T753" s="223" t="s">
        <v>5</v>
      </c>
      <c r="U753" s="223" t="s">
        <v>5</v>
      </c>
      <c r="V753" s="223" t="s">
        <v>5</v>
      </c>
      <c r="W753" s="223" t="s">
        <v>5</v>
      </c>
      <c r="X753" s="3" t="s">
        <v>5</v>
      </c>
      <c r="Y753" s="3" t="s">
        <v>651</v>
      </c>
      <c r="Z753" s="3" t="s">
        <v>651</v>
      </c>
      <c r="AA753" s="3" t="s">
        <v>6</v>
      </c>
      <c r="AB753" s="223">
        <v>43831</v>
      </c>
      <c r="AC753" s="3" t="s">
        <v>10</v>
      </c>
      <c r="AD753" s="3" t="s">
        <v>10</v>
      </c>
      <c r="AE753" s="95" t="s">
        <v>2263</v>
      </c>
    </row>
    <row r="754" spans="1:31" x14ac:dyDescent="0.35">
      <c r="A754" s="3" t="s">
        <v>1582</v>
      </c>
      <c r="B754" s="3" t="s">
        <v>602</v>
      </c>
      <c r="C754" s="3">
        <v>4</v>
      </c>
      <c r="D754" s="95" t="s">
        <v>1583</v>
      </c>
      <c r="E754" s="95" t="s">
        <v>2570</v>
      </c>
      <c r="F754" s="95" t="s">
        <v>2569</v>
      </c>
      <c r="G754" s="223">
        <v>44470</v>
      </c>
      <c r="H754" s="223">
        <v>44470</v>
      </c>
      <c r="I754" s="223">
        <v>46295</v>
      </c>
      <c r="J754" s="3">
        <v>70</v>
      </c>
      <c r="K754" s="3" t="s">
        <v>10</v>
      </c>
      <c r="L754" s="3" t="s">
        <v>10</v>
      </c>
      <c r="M754" s="95" t="s">
        <v>173</v>
      </c>
      <c r="N754" s="3" t="s">
        <v>178</v>
      </c>
      <c r="O754" s="3" t="s">
        <v>651</v>
      </c>
      <c r="P754" s="3" t="s">
        <v>6</v>
      </c>
      <c r="Q754" s="3" t="s">
        <v>6</v>
      </c>
      <c r="R754" s="95" t="s">
        <v>652</v>
      </c>
      <c r="S754" s="223" t="s">
        <v>5</v>
      </c>
      <c r="T754" s="223" t="s">
        <v>5</v>
      </c>
      <c r="U754" s="223" t="s">
        <v>5</v>
      </c>
      <c r="V754" s="223" t="s">
        <v>5</v>
      </c>
      <c r="W754" s="223" t="s">
        <v>5</v>
      </c>
      <c r="X754" s="3" t="s">
        <v>5</v>
      </c>
      <c r="Y754" s="3" t="s">
        <v>651</v>
      </c>
      <c r="Z754" s="3" t="s">
        <v>651</v>
      </c>
      <c r="AA754" s="3" t="s">
        <v>6</v>
      </c>
      <c r="AB754" s="223">
        <v>43831</v>
      </c>
      <c r="AC754" s="3" t="s">
        <v>6</v>
      </c>
      <c r="AD754" s="3" t="s">
        <v>10</v>
      </c>
      <c r="AE754" s="95" t="s">
        <v>2263</v>
      </c>
    </row>
    <row r="755" spans="1:31" x14ac:dyDescent="0.35">
      <c r="A755" s="3" t="s">
        <v>1584</v>
      </c>
      <c r="B755" s="3" t="s">
        <v>602</v>
      </c>
      <c r="C755" s="3">
        <v>4</v>
      </c>
      <c r="D755" s="95" t="s">
        <v>1585</v>
      </c>
      <c r="E755" s="95" t="s">
        <v>2571</v>
      </c>
      <c r="F755" s="95" t="s">
        <v>2569</v>
      </c>
      <c r="G755" s="223">
        <v>41313</v>
      </c>
      <c r="H755" s="223">
        <v>41313</v>
      </c>
      <c r="I755" s="223">
        <v>41851</v>
      </c>
      <c r="J755" s="3">
        <v>20</v>
      </c>
      <c r="K755" s="3" t="s">
        <v>10</v>
      </c>
      <c r="L755" s="3" t="s">
        <v>10</v>
      </c>
      <c r="M755" s="95" t="s">
        <v>933</v>
      </c>
      <c r="N755" s="3" t="s">
        <v>28</v>
      </c>
      <c r="O755" s="3" t="s">
        <v>651</v>
      </c>
      <c r="P755" s="3" t="s">
        <v>6</v>
      </c>
      <c r="Q755" s="3" t="s">
        <v>6</v>
      </c>
      <c r="R755" s="95" t="s">
        <v>652</v>
      </c>
      <c r="S755" s="223" t="s">
        <v>5</v>
      </c>
      <c r="T755" s="223" t="s">
        <v>5</v>
      </c>
      <c r="U755" s="223" t="s">
        <v>5</v>
      </c>
      <c r="V755" s="223" t="s">
        <v>5</v>
      </c>
      <c r="W755" s="223" t="s">
        <v>5</v>
      </c>
      <c r="X755" s="3" t="s">
        <v>5</v>
      </c>
      <c r="Y755" s="3" t="s">
        <v>651</v>
      </c>
      <c r="Z755" s="3" t="s">
        <v>651</v>
      </c>
      <c r="AA755" s="3" t="s">
        <v>6</v>
      </c>
      <c r="AB755" s="223">
        <v>43831</v>
      </c>
      <c r="AC755" s="3" t="s">
        <v>6</v>
      </c>
      <c r="AD755" s="3" t="s">
        <v>10</v>
      </c>
      <c r="AE755" s="95" t="s">
        <v>2263</v>
      </c>
    </row>
    <row r="756" spans="1:31" x14ac:dyDescent="0.35">
      <c r="A756" s="3" t="s">
        <v>1586</v>
      </c>
      <c r="B756" s="3" t="s">
        <v>602</v>
      </c>
      <c r="C756" s="3">
        <v>4</v>
      </c>
      <c r="D756" s="95" t="s">
        <v>1587</v>
      </c>
      <c r="E756" s="95" t="s">
        <v>4</v>
      </c>
      <c r="F756" s="95" t="s">
        <v>2569</v>
      </c>
      <c r="G756" s="223">
        <v>42139</v>
      </c>
      <c r="H756" s="223">
        <v>42186</v>
      </c>
      <c r="I756" s="223">
        <v>44012</v>
      </c>
      <c r="J756" s="3">
        <v>31</v>
      </c>
      <c r="K756" s="3" t="s">
        <v>10</v>
      </c>
      <c r="L756" s="3" t="s">
        <v>10</v>
      </c>
      <c r="M756" s="95" t="s">
        <v>177</v>
      </c>
      <c r="N756" s="3" t="s">
        <v>178</v>
      </c>
      <c r="O756" s="3" t="s">
        <v>651</v>
      </c>
      <c r="P756" s="3" t="s">
        <v>6</v>
      </c>
      <c r="Q756" s="3" t="s">
        <v>6</v>
      </c>
      <c r="R756" s="95" t="s">
        <v>652</v>
      </c>
      <c r="S756" s="223" t="s">
        <v>5</v>
      </c>
      <c r="T756" s="223" t="s">
        <v>5</v>
      </c>
      <c r="U756" s="223" t="s">
        <v>5</v>
      </c>
      <c r="V756" s="223" t="s">
        <v>5</v>
      </c>
      <c r="W756" s="223" t="s">
        <v>5</v>
      </c>
      <c r="X756" s="3" t="s">
        <v>5</v>
      </c>
      <c r="Y756" s="3" t="s">
        <v>651</v>
      </c>
      <c r="Z756" s="3" t="s">
        <v>651</v>
      </c>
      <c r="AA756" s="3" t="s">
        <v>6</v>
      </c>
      <c r="AB756" s="223">
        <v>43831</v>
      </c>
      <c r="AC756" s="3" t="s">
        <v>6</v>
      </c>
      <c r="AD756" s="3" t="s">
        <v>10</v>
      </c>
      <c r="AE756" s="95" t="s">
        <v>2263</v>
      </c>
    </row>
    <row r="757" spans="1:31" x14ac:dyDescent="0.35">
      <c r="A757" s="3" t="s">
        <v>1588</v>
      </c>
      <c r="B757" s="3" t="s">
        <v>602</v>
      </c>
      <c r="C757" s="3">
        <v>4</v>
      </c>
      <c r="D757" s="95" t="s">
        <v>1589</v>
      </c>
      <c r="E757" s="95" t="s">
        <v>2572</v>
      </c>
      <c r="F757" s="95" t="s">
        <v>2569</v>
      </c>
      <c r="G757" s="223">
        <v>41619</v>
      </c>
      <c r="H757" s="223">
        <v>41640</v>
      </c>
      <c r="I757" s="223">
        <v>43465</v>
      </c>
      <c r="J757" s="3">
        <v>34</v>
      </c>
      <c r="K757" s="3" t="s">
        <v>10</v>
      </c>
      <c r="L757" s="3" t="s">
        <v>10</v>
      </c>
      <c r="M757" s="95" t="s">
        <v>47</v>
      </c>
      <c r="N757" s="3" t="s">
        <v>48</v>
      </c>
      <c r="O757" s="3" t="s">
        <v>651</v>
      </c>
      <c r="P757" s="3" t="s">
        <v>6</v>
      </c>
      <c r="Q757" s="3" t="s">
        <v>6</v>
      </c>
      <c r="R757" s="95" t="s">
        <v>652</v>
      </c>
      <c r="S757" s="223" t="s">
        <v>5</v>
      </c>
      <c r="T757" s="223" t="s">
        <v>5</v>
      </c>
      <c r="U757" s="223" t="s">
        <v>5</v>
      </c>
      <c r="V757" s="223" t="s">
        <v>5</v>
      </c>
      <c r="W757" s="223" t="s">
        <v>5</v>
      </c>
      <c r="X757" s="3" t="s">
        <v>5</v>
      </c>
      <c r="Y757" s="3" t="s">
        <v>651</v>
      </c>
      <c r="Z757" s="3" t="s">
        <v>651</v>
      </c>
      <c r="AA757" s="3" t="s">
        <v>6</v>
      </c>
      <c r="AB757" s="223">
        <v>43831</v>
      </c>
      <c r="AC757" s="3" t="s">
        <v>6</v>
      </c>
      <c r="AD757" s="3" t="s">
        <v>6</v>
      </c>
      <c r="AE757" s="95" t="s">
        <v>2263</v>
      </c>
    </row>
    <row r="758" spans="1:31" x14ac:dyDescent="0.35">
      <c r="A758" s="3" t="s">
        <v>1590</v>
      </c>
      <c r="B758" s="3" t="s">
        <v>602</v>
      </c>
      <c r="C758" s="3">
        <v>4</v>
      </c>
      <c r="D758" s="95" t="s">
        <v>1591</v>
      </c>
      <c r="E758" s="95" t="s">
        <v>2573</v>
      </c>
      <c r="F758" s="95" t="s">
        <v>2569</v>
      </c>
      <c r="G758" s="223">
        <v>44757</v>
      </c>
      <c r="H758" s="223">
        <v>44774</v>
      </c>
      <c r="I758" s="223">
        <v>46599</v>
      </c>
      <c r="J758" s="3">
        <v>65</v>
      </c>
      <c r="K758" s="3" t="s">
        <v>10</v>
      </c>
      <c r="L758" s="3" t="s">
        <v>10</v>
      </c>
      <c r="M758" s="95" t="s">
        <v>116</v>
      </c>
      <c r="N758" s="3" t="s">
        <v>117</v>
      </c>
      <c r="O758" s="3" t="s">
        <v>651</v>
      </c>
      <c r="P758" s="3" t="s">
        <v>6</v>
      </c>
      <c r="Q758" s="3" t="s">
        <v>6</v>
      </c>
      <c r="R758" s="95" t="s">
        <v>652</v>
      </c>
      <c r="S758" s="223" t="s">
        <v>5</v>
      </c>
      <c r="T758" s="223" t="s">
        <v>5</v>
      </c>
      <c r="U758" s="223" t="s">
        <v>5</v>
      </c>
      <c r="V758" s="223" t="s">
        <v>5</v>
      </c>
      <c r="W758" s="223" t="s">
        <v>5</v>
      </c>
      <c r="X758" s="3" t="s">
        <v>5</v>
      </c>
      <c r="Y758" s="3" t="s">
        <v>651</v>
      </c>
      <c r="Z758" s="3" t="s">
        <v>651</v>
      </c>
      <c r="AA758" s="3" t="s">
        <v>6</v>
      </c>
      <c r="AB758" s="223">
        <v>43831</v>
      </c>
      <c r="AC758" s="3" t="s">
        <v>6</v>
      </c>
      <c r="AD758" s="3" t="s">
        <v>10</v>
      </c>
      <c r="AE758" s="95" t="s">
        <v>2263</v>
      </c>
    </row>
    <row r="759" spans="1:31" x14ac:dyDescent="0.35">
      <c r="A759" s="3" t="s">
        <v>1592</v>
      </c>
      <c r="B759" s="3" t="s">
        <v>602</v>
      </c>
      <c r="C759" s="3">
        <v>4</v>
      </c>
      <c r="D759" s="95" t="s">
        <v>1593</v>
      </c>
      <c r="E759" s="95" t="s">
        <v>2574</v>
      </c>
      <c r="F759" s="95" t="s">
        <v>2569</v>
      </c>
      <c r="G759" s="223">
        <v>38813</v>
      </c>
      <c r="H759" s="223">
        <v>38869</v>
      </c>
      <c r="I759" s="223">
        <v>40694</v>
      </c>
      <c r="J759" s="3">
        <v>12</v>
      </c>
      <c r="K759" s="3" t="s">
        <v>10</v>
      </c>
      <c r="L759" s="3" t="s">
        <v>10</v>
      </c>
      <c r="M759" s="95" t="s">
        <v>136</v>
      </c>
      <c r="N759" s="3" t="s">
        <v>138</v>
      </c>
      <c r="O759" s="3" t="s">
        <v>651</v>
      </c>
      <c r="P759" s="3" t="s">
        <v>6</v>
      </c>
      <c r="Q759" s="3" t="s">
        <v>6</v>
      </c>
      <c r="R759" s="95" t="s">
        <v>652</v>
      </c>
      <c r="S759" s="223" t="s">
        <v>5</v>
      </c>
      <c r="T759" s="223" t="s">
        <v>5</v>
      </c>
      <c r="U759" s="223" t="s">
        <v>5</v>
      </c>
      <c r="V759" s="223" t="s">
        <v>5</v>
      </c>
      <c r="W759" s="223" t="s">
        <v>5</v>
      </c>
      <c r="X759" s="3" t="s">
        <v>5</v>
      </c>
      <c r="Y759" s="3" t="s">
        <v>651</v>
      </c>
      <c r="Z759" s="3" t="s">
        <v>651</v>
      </c>
      <c r="AA759" s="3" t="s">
        <v>6</v>
      </c>
      <c r="AB759" s="223">
        <v>43831</v>
      </c>
      <c r="AC759" s="3" t="s">
        <v>6</v>
      </c>
      <c r="AD759" s="3" t="s">
        <v>10</v>
      </c>
      <c r="AE759" s="95" t="s">
        <v>2263</v>
      </c>
    </row>
    <row r="760" spans="1:31" x14ac:dyDescent="0.35">
      <c r="A760" s="3" t="s">
        <v>1594</v>
      </c>
      <c r="B760" s="3" t="s">
        <v>602</v>
      </c>
      <c r="C760" s="3">
        <v>4</v>
      </c>
      <c r="D760" s="95" t="s">
        <v>1595</v>
      </c>
      <c r="E760" s="95" t="s">
        <v>2575</v>
      </c>
      <c r="F760" s="95" t="s">
        <v>2569</v>
      </c>
      <c r="G760" s="223">
        <v>44701</v>
      </c>
      <c r="H760" s="223">
        <v>44743</v>
      </c>
      <c r="I760" s="223">
        <v>44926</v>
      </c>
      <c r="J760" s="3">
        <v>604</v>
      </c>
      <c r="K760" s="3" t="s">
        <v>10</v>
      </c>
      <c r="L760" s="3" t="s">
        <v>10</v>
      </c>
      <c r="M760" s="95" t="s">
        <v>114</v>
      </c>
      <c r="N760" s="3" t="s">
        <v>115</v>
      </c>
      <c r="O760" s="3" t="s">
        <v>651</v>
      </c>
      <c r="P760" s="3" t="s">
        <v>6</v>
      </c>
      <c r="Q760" s="3" t="s">
        <v>6</v>
      </c>
      <c r="R760" s="95" t="s">
        <v>652</v>
      </c>
      <c r="S760" s="223" t="s">
        <v>5</v>
      </c>
      <c r="T760" s="223" t="s">
        <v>5</v>
      </c>
      <c r="U760" s="223" t="s">
        <v>5</v>
      </c>
      <c r="V760" s="223" t="s">
        <v>5</v>
      </c>
      <c r="W760" s="223" t="s">
        <v>5</v>
      </c>
      <c r="X760" s="3" t="s">
        <v>5</v>
      </c>
      <c r="Y760" s="3" t="s">
        <v>651</v>
      </c>
      <c r="Z760" s="3" t="s">
        <v>651</v>
      </c>
      <c r="AA760" s="3" t="s">
        <v>6</v>
      </c>
      <c r="AB760" s="223">
        <v>43831</v>
      </c>
      <c r="AC760" s="3" t="s">
        <v>6</v>
      </c>
      <c r="AD760" s="3" t="s">
        <v>10</v>
      </c>
      <c r="AE760" s="95" t="s">
        <v>2263</v>
      </c>
    </row>
    <row r="761" spans="1:31" x14ac:dyDescent="0.35">
      <c r="A761" s="3" t="s">
        <v>1596</v>
      </c>
      <c r="B761" s="3" t="s">
        <v>602</v>
      </c>
      <c r="C761" s="3">
        <v>4</v>
      </c>
      <c r="D761" s="95" t="s">
        <v>1597</v>
      </c>
      <c r="E761" s="95" t="s">
        <v>2576</v>
      </c>
      <c r="F761" s="95" t="s">
        <v>2569</v>
      </c>
      <c r="G761" s="223">
        <v>39002</v>
      </c>
      <c r="H761" s="223">
        <v>39052</v>
      </c>
      <c r="I761" s="223">
        <v>40877</v>
      </c>
      <c r="J761" s="3">
        <v>6</v>
      </c>
      <c r="K761" s="3" t="s">
        <v>10</v>
      </c>
      <c r="L761" s="3" t="s">
        <v>10</v>
      </c>
      <c r="M761" s="95" t="s">
        <v>737</v>
      </c>
      <c r="N761" s="3" t="s">
        <v>28</v>
      </c>
      <c r="O761" s="3" t="s">
        <v>651</v>
      </c>
      <c r="P761" s="3" t="s">
        <v>6</v>
      </c>
      <c r="Q761" s="3" t="s">
        <v>6</v>
      </c>
      <c r="R761" s="95" t="s">
        <v>652</v>
      </c>
      <c r="S761" s="223" t="s">
        <v>5</v>
      </c>
      <c r="T761" s="223" t="s">
        <v>5</v>
      </c>
      <c r="U761" s="223" t="s">
        <v>5</v>
      </c>
      <c r="V761" s="223" t="s">
        <v>5</v>
      </c>
      <c r="W761" s="223" t="s">
        <v>5</v>
      </c>
      <c r="X761" s="3" t="s">
        <v>5</v>
      </c>
      <c r="Y761" s="3" t="s">
        <v>651</v>
      </c>
      <c r="Z761" s="3" t="s">
        <v>651</v>
      </c>
      <c r="AA761" s="3" t="s">
        <v>6</v>
      </c>
      <c r="AB761" s="223">
        <v>43831</v>
      </c>
      <c r="AC761" s="3" t="s">
        <v>6</v>
      </c>
      <c r="AD761" s="3" t="s">
        <v>10</v>
      </c>
      <c r="AE761" s="95" t="s">
        <v>2263</v>
      </c>
    </row>
    <row r="762" spans="1:31" x14ac:dyDescent="0.35">
      <c r="A762" s="3" t="s">
        <v>1598</v>
      </c>
      <c r="B762" s="3" t="s">
        <v>602</v>
      </c>
      <c r="C762" s="3">
        <v>4</v>
      </c>
      <c r="D762" s="95" t="s">
        <v>3194</v>
      </c>
      <c r="E762" s="95" t="s">
        <v>4</v>
      </c>
      <c r="F762" s="95" t="s">
        <v>2569</v>
      </c>
      <c r="G762" s="223">
        <v>38121</v>
      </c>
      <c r="H762" s="223">
        <v>38139</v>
      </c>
      <c r="I762" s="223">
        <v>39964</v>
      </c>
      <c r="J762" s="3">
        <v>0</v>
      </c>
      <c r="K762" s="3" t="s">
        <v>10</v>
      </c>
      <c r="L762" s="3" t="s">
        <v>10</v>
      </c>
      <c r="M762" s="95" t="s">
        <v>105</v>
      </c>
      <c r="N762" s="3" t="s">
        <v>106</v>
      </c>
      <c r="O762" s="3" t="s">
        <v>651</v>
      </c>
      <c r="P762" s="3" t="s">
        <v>6</v>
      </c>
      <c r="Q762" s="3" t="s">
        <v>6</v>
      </c>
      <c r="R762" s="95" t="s">
        <v>652</v>
      </c>
      <c r="S762" s="223" t="s">
        <v>5</v>
      </c>
      <c r="T762" s="223" t="s">
        <v>5</v>
      </c>
      <c r="U762" s="223" t="s">
        <v>5</v>
      </c>
      <c r="V762" s="223" t="s">
        <v>5</v>
      </c>
      <c r="W762" s="223" t="s">
        <v>5</v>
      </c>
      <c r="X762" s="3" t="s">
        <v>5</v>
      </c>
      <c r="Y762" s="3" t="s">
        <v>651</v>
      </c>
      <c r="Z762" s="3" t="s">
        <v>651</v>
      </c>
      <c r="AA762" s="3" t="s">
        <v>6</v>
      </c>
      <c r="AB762" s="223">
        <v>43831</v>
      </c>
      <c r="AC762" s="3" t="s">
        <v>10</v>
      </c>
      <c r="AD762" s="3" t="s">
        <v>6</v>
      </c>
      <c r="AE762" s="95" t="s">
        <v>2263</v>
      </c>
    </row>
    <row r="763" spans="1:31" x14ac:dyDescent="0.35">
      <c r="A763" s="3" t="s">
        <v>1599</v>
      </c>
      <c r="B763" s="3" t="s">
        <v>602</v>
      </c>
      <c r="C763" s="3">
        <v>4</v>
      </c>
      <c r="D763" s="95" t="s">
        <v>1600</v>
      </c>
      <c r="E763" s="95" t="s">
        <v>2577</v>
      </c>
      <c r="F763" s="95" t="s">
        <v>2569</v>
      </c>
      <c r="G763" s="223">
        <v>42670</v>
      </c>
      <c r="H763" s="223">
        <v>42736</v>
      </c>
      <c r="I763" s="223">
        <v>44561</v>
      </c>
      <c r="J763" s="3">
        <v>15</v>
      </c>
      <c r="K763" s="3" t="s">
        <v>10</v>
      </c>
      <c r="L763" s="3" t="s">
        <v>10</v>
      </c>
      <c r="M763" s="95" t="s">
        <v>201</v>
      </c>
      <c r="N763" s="3" t="s">
        <v>68</v>
      </c>
      <c r="O763" s="3" t="s">
        <v>651</v>
      </c>
      <c r="P763" s="3" t="s">
        <v>6</v>
      </c>
      <c r="Q763" s="3" t="s">
        <v>6</v>
      </c>
      <c r="R763" s="95" t="s">
        <v>652</v>
      </c>
      <c r="S763" s="223" t="s">
        <v>5</v>
      </c>
      <c r="T763" s="223" t="s">
        <v>5</v>
      </c>
      <c r="U763" s="223" t="s">
        <v>5</v>
      </c>
      <c r="V763" s="223" t="s">
        <v>5</v>
      </c>
      <c r="W763" s="223" t="s">
        <v>5</v>
      </c>
      <c r="X763" s="3" t="s">
        <v>5</v>
      </c>
      <c r="Y763" s="3" t="s">
        <v>651</v>
      </c>
      <c r="Z763" s="3" t="s">
        <v>651</v>
      </c>
      <c r="AA763" s="3" t="s">
        <v>6</v>
      </c>
      <c r="AB763" s="223">
        <v>43831</v>
      </c>
      <c r="AC763" s="3" t="s">
        <v>6</v>
      </c>
      <c r="AD763" s="3" t="s">
        <v>10</v>
      </c>
      <c r="AE763" s="95" t="s">
        <v>2263</v>
      </c>
    </row>
    <row r="764" spans="1:31" x14ac:dyDescent="0.35">
      <c r="A764" s="3" t="s">
        <v>1601</v>
      </c>
      <c r="B764" s="3" t="s">
        <v>602</v>
      </c>
      <c r="C764" s="3">
        <v>4</v>
      </c>
      <c r="D764" s="95" t="s">
        <v>1602</v>
      </c>
      <c r="E764" s="95" t="s">
        <v>2578</v>
      </c>
      <c r="F764" s="95" t="s">
        <v>2569</v>
      </c>
      <c r="G764" s="223">
        <v>42614</v>
      </c>
      <c r="H764" s="223">
        <v>44470</v>
      </c>
      <c r="I764" s="223">
        <v>44469</v>
      </c>
      <c r="J764" s="3">
        <v>1714</v>
      </c>
      <c r="K764" s="3" t="s">
        <v>10</v>
      </c>
      <c r="L764" s="3" t="s">
        <v>10</v>
      </c>
      <c r="M764" s="95" t="s">
        <v>27</v>
      </c>
      <c r="N764" s="3" t="s">
        <v>28</v>
      </c>
      <c r="O764" s="3" t="s">
        <v>651</v>
      </c>
      <c r="P764" s="3" t="s">
        <v>6</v>
      </c>
      <c r="Q764" s="3" t="s">
        <v>6</v>
      </c>
      <c r="R764" s="95" t="s">
        <v>652</v>
      </c>
      <c r="S764" s="223" t="s">
        <v>5</v>
      </c>
      <c r="T764" s="223" t="s">
        <v>5</v>
      </c>
      <c r="U764" s="223" t="s">
        <v>5</v>
      </c>
      <c r="V764" s="223" t="s">
        <v>5</v>
      </c>
      <c r="W764" s="223" t="s">
        <v>5</v>
      </c>
      <c r="X764" s="3" t="s">
        <v>5</v>
      </c>
      <c r="Y764" s="3" t="s">
        <v>651</v>
      </c>
      <c r="Z764" s="3" t="s">
        <v>651</v>
      </c>
      <c r="AA764" s="3" t="s">
        <v>6</v>
      </c>
      <c r="AB764" s="223">
        <v>43831</v>
      </c>
      <c r="AC764" s="3" t="s">
        <v>6</v>
      </c>
      <c r="AD764" s="3" t="s">
        <v>10</v>
      </c>
      <c r="AE764" s="95" t="s">
        <v>2263</v>
      </c>
    </row>
    <row r="765" spans="1:31" x14ac:dyDescent="0.35">
      <c r="A765" s="3" t="s">
        <v>2242</v>
      </c>
      <c r="B765" s="3" t="s">
        <v>602</v>
      </c>
      <c r="C765" s="3">
        <v>4</v>
      </c>
      <c r="D765" s="95" t="s">
        <v>2241</v>
      </c>
      <c r="E765" s="95" t="s">
        <v>2272</v>
      </c>
      <c r="F765" s="95" t="s">
        <v>437</v>
      </c>
      <c r="G765" s="223">
        <v>44211</v>
      </c>
      <c r="H765" s="223">
        <v>44256</v>
      </c>
      <c r="I765" s="223">
        <v>46081</v>
      </c>
      <c r="J765" s="3">
        <v>0</v>
      </c>
      <c r="K765" s="3" t="s">
        <v>6</v>
      </c>
      <c r="L765" s="3" t="s">
        <v>6</v>
      </c>
      <c r="M765" s="95" t="s">
        <v>27</v>
      </c>
      <c r="N765" s="3" t="s">
        <v>28</v>
      </c>
      <c r="O765" s="3" t="s">
        <v>25</v>
      </c>
      <c r="P765" s="3" t="s">
        <v>6</v>
      </c>
      <c r="Q765" s="3" t="s">
        <v>6</v>
      </c>
      <c r="R765" s="95" t="s">
        <v>22</v>
      </c>
      <c r="S765" s="223">
        <v>43374</v>
      </c>
      <c r="T765" s="223">
        <v>43553</v>
      </c>
      <c r="U765" s="223">
        <v>43009</v>
      </c>
      <c r="V765" s="223">
        <v>43009</v>
      </c>
      <c r="W765" s="223" t="s">
        <v>6</v>
      </c>
      <c r="X765" s="3" t="s">
        <v>26</v>
      </c>
      <c r="Y765" s="3" t="s">
        <v>2100</v>
      </c>
      <c r="Z765" s="3" t="s">
        <v>28</v>
      </c>
      <c r="AA765" s="3" t="s">
        <v>6</v>
      </c>
      <c r="AB765" s="223">
        <v>42159</v>
      </c>
      <c r="AC765" s="3" t="s">
        <v>6</v>
      </c>
      <c r="AD765" s="3" t="s">
        <v>10</v>
      </c>
      <c r="AE765" s="95" t="s">
        <v>2263</v>
      </c>
    </row>
    <row r="766" spans="1:31" x14ac:dyDescent="0.35">
      <c r="A766" s="3" t="s">
        <v>1603</v>
      </c>
      <c r="B766" s="3" t="s">
        <v>602</v>
      </c>
      <c r="C766" s="3">
        <v>4</v>
      </c>
      <c r="D766" s="95" t="s">
        <v>1604</v>
      </c>
      <c r="E766" s="95" t="s">
        <v>2579</v>
      </c>
      <c r="F766" s="95" t="s">
        <v>2569</v>
      </c>
      <c r="G766" s="223">
        <v>41579</v>
      </c>
      <c r="H766" s="223">
        <v>41640</v>
      </c>
      <c r="I766" s="223">
        <v>43465</v>
      </c>
      <c r="J766" s="3">
        <v>65</v>
      </c>
      <c r="K766" s="3" t="s">
        <v>10</v>
      </c>
      <c r="L766" s="3" t="s">
        <v>10</v>
      </c>
      <c r="M766" s="95" t="s">
        <v>2555</v>
      </c>
      <c r="N766" s="3" t="s">
        <v>52</v>
      </c>
      <c r="O766" s="3" t="s">
        <v>651</v>
      </c>
      <c r="P766" s="3" t="s">
        <v>6</v>
      </c>
      <c r="Q766" s="3" t="s">
        <v>6</v>
      </c>
      <c r="R766" s="95" t="s">
        <v>652</v>
      </c>
      <c r="S766" s="223" t="s">
        <v>5</v>
      </c>
      <c r="T766" s="223" t="s">
        <v>5</v>
      </c>
      <c r="U766" s="223" t="s">
        <v>5</v>
      </c>
      <c r="V766" s="223" t="s">
        <v>5</v>
      </c>
      <c r="W766" s="223" t="s">
        <v>5</v>
      </c>
      <c r="X766" s="3" t="s">
        <v>5</v>
      </c>
      <c r="Y766" s="3" t="s">
        <v>651</v>
      </c>
      <c r="Z766" s="3" t="s">
        <v>651</v>
      </c>
      <c r="AA766" s="3" t="s">
        <v>6</v>
      </c>
      <c r="AB766" s="223">
        <v>43831</v>
      </c>
      <c r="AC766" s="3" t="s">
        <v>10</v>
      </c>
      <c r="AD766" s="3" t="s">
        <v>6</v>
      </c>
      <c r="AE766" s="95" t="s">
        <v>2263</v>
      </c>
    </row>
    <row r="767" spans="1:31" x14ac:dyDescent="0.35">
      <c r="A767" s="3" t="s">
        <v>1605</v>
      </c>
      <c r="B767" s="3" t="s">
        <v>602</v>
      </c>
      <c r="C767" s="3">
        <v>4</v>
      </c>
      <c r="D767" s="95" t="s">
        <v>1606</v>
      </c>
      <c r="E767" s="95" t="s">
        <v>2580</v>
      </c>
      <c r="F767" s="95" t="s">
        <v>2569</v>
      </c>
      <c r="G767" s="223">
        <v>44225</v>
      </c>
      <c r="H767" s="223">
        <v>44256</v>
      </c>
      <c r="I767" s="223">
        <v>46081</v>
      </c>
      <c r="J767" s="3">
        <v>22087</v>
      </c>
      <c r="K767" s="3" t="s">
        <v>10</v>
      </c>
      <c r="L767" s="3" t="s">
        <v>10</v>
      </c>
      <c r="M767" s="95" t="s">
        <v>23</v>
      </c>
      <c r="N767" s="3" t="s">
        <v>24</v>
      </c>
      <c r="O767" s="3" t="s">
        <v>651</v>
      </c>
      <c r="P767" s="3" t="s">
        <v>6</v>
      </c>
      <c r="Q767" s="3" t="s">
        <v>6</v>
      </c>
      <c r="R767" s="95" t="s">
        <v>652</v>
      </c>
      <c r="S767" s="223" t="s">
        <v>5</v>
      </c>
      <c r="T767" s="223" t="s">
        <v>5</v>
      </c>
      <c r="U767" s="223" t="s">
        <v>5</v>
      </c>
      <c r="V767" s="223" t="s">
        <v>5</v>
      </c>
      <c r="W767" s="223" t="s">
        <v>5</v>
      </c>
      <c r="X767" s="3" t="s">
        <v>5</v>
      </c>
      <c r="Y767" s="3" t="s">
        <v>651</v>
      </c>
      <c r="Z767" s="3" t="s">
        <v>651</v>
      </c>
      <c r="AA767" s="3" t="s">
        <v>6</v>
      </c>
      <c r="AB767" s="223">
        <v>43831</v>
      </c>
      <c r="AC767" s="3" t="s">
        <v>10</v>
      </c>
      <c r="AD767" s="3" t="s">
        <v>10</v>
      </c>
      <c r="AE767" s="95" t="s">
        <v>2263</v>
      </c>
    </row>
    <row r="768" spans="1:31" x14ac:dyDescent="0.35">
      <c r="A768" s="3" t="s">
        <v>1607</v>
      </c>
      <c r="B768" s="3" t="s">
        <v>602</v>
      </c>
      <c r="C768" s="3">
        <v>4</v>
      </c>
      <c r="D768" s="95" t="s">
        <v>1608</v>
      </c>
      <c r="E768" s="95" t="s">
        <v>2581</v>
      </c>
      <c r="F768" s="95" t="s">
        <v>2569</v>
      </c>
      <c r="G768" s="223">
        <v>44748</v>
      </c>
      <c r="H768" s="223">
        <v>44778</v>
      </c>
      <c r="I768" s="223">
        <v>46603</v>
      </c>
      <c r="J768" s="3">
        <v>46</v>
      </c>
      <c r="K768" s="3" t="s">
        <v>10</v>
      </c>
      <c r="L768" s="3" t="s">
        <v>10</v>
      </c>
      <c r="M768" s="95" t="s">
        <v>23</v>
      </c>
      <c r="N768" s="3" t="s">
        <v>24</v>
      </c>
      <c r="O768" s="3" t="s">
        <v>651</v>
      </c>
      <c r="P768" s="3" t="s">
        <v>6</v>
      </c>
      <c r="Q768" s="3" t="s">
        <v>6</v>
      </c>
      <c r="R768" s="95" t="s">
        <v>652</v>
      </c>
      <c r="S768" s="223" t="s">
        <v>5</v>
      </c>
      <c r="T768" s="223" t="s">
        <v>5</v>
      </c>
      <c r="U768" s="223" t="s">
        <v>5</v>
      </c>
      <c r="V768" s="223" t="s">
        <v>5</v>
      </c>
      <c r="W768" s="223" t="s">
        <v>5</v>
      </c>
      <c r="X768" s="3" t="s">
        <v>5</v>
      </c>
      <c r="Y768" s="3" t="s">
        <v>651</v>
      </c>
      <c r="Z768" s="3" t="s">
        <v>651</v>
      </c>
      <c r="AA768" s="3" t="s">
        <v>6</v>
      </c>
      <c r="AB768" s="223">
        <v>43831</v>
      </c>
      <c r="AC768" s="3" t="s">
        <v>10</v>
      </c>
      <c r="AD768" s="3" t="s">
        <v>10</v>
      </c>
      <c r="AE768" s="95" t="s">
        <v>2263</v>
      </c>
    </row>
    <row r="769" spans="1:31" x14ac:dyDescent="0.35">
      <c r="A769" s="3" t="s">
        <v>515</v>
      </c>
      <c r="B769" s="3" t="s">
        <v>348</v>
      </c>
      <c r="C769" s="3">
        <v>8</v>
      </c>
      <c r="D769" s="95" t="s">
        <v>3178</v>
      </c>
      <c r="E769" s="95" t="s">
        <v>505</v>
      </c>
      <c r="F769" s="95" t="s">
        <v>4</v>
      </c>
      <c r="G769" s="223">
        <v>43666</v>
      </c>
      <c r="H769" s="223">
        <v>43666</v>
      </c>
      <c r="I769" s="223">
        <v>45473</v>
      </c>
      <c r="J769" s="3">
        <v>0</v>
      </c>
      <c r="K769" s="3" t="s">
        <v>6</v>
      </c>
      <c r="L769" s="3" t="s">
        <v>6</v>
      </c>
      <c r="M769" s="95" t="s">
        <v>116</v>
      </c>
      <c r="N769" s="3" t="s">
        <v>117</v>
      </c>
      <c r="O769" s="3" t="s">
        <v>17</v>
      </c>
      <c r="P769" s="3" t="s">
        <v>6</v>
      </c>
      <c r="Q769" s="3" t="s">
        <v>6</v>
      </c>
      <c r="R769" s="95" t="s">
        <v>9</v>
      </c>
      <c r="S769" s="223">
        <v>43591</v>
      </c>
      <c r="T769" s="223">
        <v>43651</v>
      </c>
      <c r="U769" s="223">
        <v>43616</v>
      </c>
      <c r="V769" s="223">
        <v>43616</v>
      </c>
      <c r="W769" s="223" t="s">
        <v>6</v>
      </c>
      <c r="X769" s="3" t="s">
        <v>26</v>
      </c>
      <c r="Y769" s="3" t="s">
        <v>2932</v>
      </c>
      <c r="Z769" s="3" t="s">
        <v>2924</v>
      </c>
      <c r="AA769" s="3" t="s">
        <v>2254</v>
      </c>
      <c r="AB769" s="223" t="s">
        <v>5</v>
      </c>
      <c r="AC769" s="3" t="s">
        <v>6</v>
      </c>
      <c r="AD769" s="3" t="s">
        <v>10</v>
      </c>
      <c r="AE769" s="95" t="s">
        <v>2265</v>
      </c>
    </row>
    <row r="770" spans="1:31" x14ac:dyDescent="0.35">
      <c r="A770" s="3" t="s">
        <v>347</v>
      </c>
      <c r="B770" s="3" t="s">
        <v>348</v>
      </c>
      <c r="C770" s="3">
        <v>8</v>
      </c>
      <c r="D770" s="95" t="s">
        <v>349</v>
      </c>
      <c r="E770" s="95" t="s">
        <v>4</v>
      </c>
      <c r="F770" s="95" t="s">
        <v>4</v>
      </c>
      <c r="G770" s="223">
        <v>43831</v>
      </c>
      <c r="H770" s="223">
        <v>43831</v>
      </c>
      <c r="I770" s="223">
        <v>45657</v>
      </c>
      <c r="J770" s="3">
        <v>15</v>
      </c>
      <c r="K770" s="3" t="s">
        <v>10</v>
      </c>
      <c r="L770" s="3" t="s">
        <v>6</v>
      </c>
      <c r="M770" s="95" t="s">
        <v>350</v>
      </c>
      <c r="N770" s="3" t="s">
        <v>48</v>
      </c>
      <c r="O770" s="3" t="s">
        <v>49</v>
      </c>
      <c r="P770" s="3" t="s">
        <v>6</v>
      </c>
      <c r="Q770" s="3" t="s">
        <v>6</v>
      </c>
      <c r="R770" s="95" t="s">
        <v>50</v>
      </c>
      <c r="S770" s="223">
        <v>43836</v>
      </c>
      <c r="T770" s="223">
        <v>43868</v>
      </c>
      <c r="U770" s="223">
        <v>43800</v>
      </c>
      <c r="V770" s="223">
        <v>43800</v>
      </c>
      <c r="W770" s="223" t="s">
        <v>6</v>
      </c>
      <c r="X770" s="3" t="s">
        <v>51</v>
      </c>
      <c r="Y770" s="3" t="s">
        <v>2931</v>
      </c>
      <c r="Z770" s="3" t="s">
        <v>2924</v>
      </c>
      <c r="AA770" s="3" t="s">
        <v>10</v>
      </c>
      <c r="AB770" s="223" t="s">
        <v>5</v>
      </c>
      <c r="AC770" s="3" t="s">
        <v>10</v>
      </c>
      <c r="AD770" s="3" t="s">
        <v>10</v>
      </c>
      <c r="AE770" s="95" t="s">
        <v>2265</v>
      </c>
    </row>
    <row r="771" spans="1:31" x14ac:dyDescent="0.35">
      <c r="A771" s="3" t="s">
        <v>352</v>
      </c>
      <c r="B771" s="3" t="s">
        <v>348</v>
      </c>
      <c r="C771" s="3">
        <v>8</v>
      </c>
      <c r="D771" s="95" t="s">
        <v>353</v>
      </c>
      <c r="E771" s="95" t="s">
        <v>2900</v>
      </c>
      <c r="F771" s="95" t="s">
        <v>4</v>
      </c>
      <c r="G771" s="223">
        <v>43191</v>
      </c>
      <c r="H771" s="223">
        <v>43191</v>
      </c>
      <c r="I771" s="223">
        <v>45016</v>
      </c>
      <c r="J771" s="3">
        <v>245</v>
      </c>
      <c r="K771" s="3" t="s">
        <v>10</v>
      </c>
      <c r="L771" s="3" t="s">
        <v>6</v>
      </c>
      <c r="M771" s="95" t="s">
        <v>54</v>
      </c>
      <c r="N771" s="3" t="s">
        <v>55</v>
      </c>
      <c r="O771" s="3" t="s">
        <v>56</v>
      </c>
      <c r="P771" s="3" t="s">
        <v>6</v>
      </c>
      <c r="Q771" s="3" t="s">
        <v>6</v>
      </c>
      <c r="R771" s="95" t="s">
        <v>50</v>
      </c>
      <c r="S771" s="223">
        <v>43801</v>
      </c>
      <c r="T771" s="223">
        <v>43847</v>
      </c>
      <c r="U771" s="223">
        <v>43800</v>
      </c>
      <c r="V771" s="223">
        <v>43800</v>
      </c>
      <c r="W771" s="223" t="s">
        <v>6</v>
      </c>
      <c r="X771" s="3" t="s">
        <v>26</v>
      </c>
      <c r="Y771" s="3" t="s">
        <v>2142</v>
      </c>
      <c r="Z771" s="3" t="s">
        <v>2249</v>
      </c>
      <c r="AA771" s="3" t="s">
        <v>10</v>
      </c>
      <c r="AB771" s="223" t="s">
        <v>5</v>
      </c>
      <c r="AC771" s="3" t="s">
        <v>6</v>
      </c>
      <c r="AD771" s="3" t="s">
        <v>10</v>
      </c>
      <c r="AE771" s="95" t="s">
        <v>2263</v>
      </c>
    </row>
    <row r="772" spans="1:31" x14ac:dyDescent="0.35">
      <c r="A772" s="3" t="s">
        <v>354</v>
      </c>
      <c r="B772" s="3" t="s">
        <v>348</v>
      </c>
      <c r="C772" s="3">
        <v>8</v>
      </c>
      <c r="D772" s="95" t="s">
        <v>3169</v>
      </c>
      <c r="E772" s="95" t="s">
        <v>422</v>
      </c>
      <c r="F772" s="95" t="s">
        <v>437</v>
      </c>
      <c r="G772" s="223">
        <v>44455</v>
      </c>
      <c r="H772" s="223">
        <v>44500</v>
      </c>
      <c r="I772" s="223">
        <v>46326</v>
      </c>
      <c r="J772" s="3">
        <v>0</v>
      </c>
      <c r="K772" s="3" t="s">
        <v>6</v>
      </c>
      <c r="L772" s="3" t="s">
        <v>6</v>
      </c>
      <c r="M772" s="95" t="s">
        <v>19</v>
      </c>
      <c r="N772" s="3" t="s">
        <v>20</v>
      </c>
      <c r="O772" s="3" t="s">
        <v>21</v>
      </c>
      <c r="P772" s="3" t="s">
        <v>6</v>
      </c>
      <c r="Q772" s="3" t="s">
        <v>6</v>
      </c>
      <c r="R772" s="95" t="s">
        <v>22</v>
      </c>
      <c r="S772" s="223">
        <v>43675</v>
      </c>
      <c r="T772" s="223">
        <v>43756</v>
      </c>
      <c r="U772" s="223">
        <v>43647</v>
      </c>
      <c r="V772" s="223">
        <v>43647</v>
      </c>
      <c r="W772" s="223" t="s">
        <v>6</v>
      </c>
      <c r="X772" s="3" t="s">
        <v>26</v>
      </c>
      <c r="Y772" s="3" t="s">
        <v>2116</v>
      </c>
      <c r="Z772" s="3" t="s">
        <v>20</v>
      </c>
      <c r="AA772" s="3" t="s">
        <v>6</v>
      </c>
      <c r="AB772" s="223">
        <v>44442</v>
      </c>
      <c r="AC772" s="3" t="s">
        <v>10</v>
      </c>
      <c r="AD772" s="3" t="s">
        <v>10</v>
      </c>
      <c r="AE772" s="95" t="s">
        <v>2263</v>
      </c>
    </row>
    <row r="773" spans="1:31" x14ac:dyDescent="0.35">
      <c r="A773" s="3" t="s">
        <v>355</v>
      </c>
      <c r="B773" s="3" t="s">
        <v>348</v>
      </c>
      <c r="C773" s="3">
        <v>8</v>
      </c>
      <c r="D773" s="95" t="s">
        <v>356</v>
      </c>
      <c r="E773" s="95" t="s">
        <v>2901</v>
      </c>
      <c r="F773" s="95" t="s">
        <v>4</v>
      </c>
      <c r="G773" s="223">
        <v>42840</v>
      </c>
      <c r="H773" s="223">
        <v>42840</v>
      </c>
      <c r="I773" s="223">
        <v>44665</v>
      </c>
      <c r="J773" s="3">
        <v>9</v>
      </c>
      <c r="K773" s="3" t="s">
        <v>10</v>
      </c>
      <c r="L773" s="3" t="s">
        <v>6</v>
      </c>
      <c r="M773" s="95" t="s">
        <v>105</v>
      </c>
      <c r="N773" s="3" t="s">
        <v>106</v>
      </c>
      <c r="O773" s="3" t="s">
        <v>49</v>
      </c>
      <c r="P773" s="3" t="s">
        <v>6</v>
      </c>
      <c r="Q773" s="3" t="s">
        <v>6</v>
      </c>
      <c r="R773" s="95" t="s">
        <v>50</v>
      </c>
      <c r="S773" s="223">
        <v>43437</v>
      </c>
      <c r="T773" s="223">
        <v>43602</v>
      </c>
      <c r="U773" s="223">
        <v>43252</v>
      </c>
      <c r="V773" s="223">
        <v>43252</v>
      </c>
      <c r="W773" s="223" t="s">
        <v>6</v>
      </c>
      <c r="X773" s="3" t="s">
        <v>51</v>
      </c>
      <c r="Y773" s="3" t="s">
        <v>2135</v>
      </c>
      <c r="Z773" s="3" t="s">
        <v>106</v>
      </c>
      <c r="AA773" s="3" t="s">
        <v>10</v>
      </c>
      <c r="AB773" s="223" t="s">
        <v>5</v>
      </c>
      <c r="AC773" s="3" t="s">
        <v>10</v>
      </c>
      <c r="AD773" s="3" t="s">
        <v>6</v>
      </c>
      <c r="AE773" s="95" t="s">
        <v>2265</v>
      </c>
    </row>
    <row r="774" spans="1:31" x14ac:dyDescent="0.35">
      <c r="A774" s="3" t="s">
        <v>357</v>
      </c>
      <c r="B774" s="3" t="s">
        <v>348</v>
      </c>
      <c r="C774" s="3">
        <v>8</v>
      </c>
      <c r="D774" s="95" t="s">
        <v>2582</v>
      </c>
      <c r="E774" s="95" t="s">
        <v>2292</v>
      </c>
      <c r="F774" s="95" t="s">
        <v>4</v>
      </c>
      <c r="G774" s="223">
        <v>44628</v>
      </c>
      <c r="H774" s="223">
        <v>44652</v>
      </c>
      <c r="I774" s="223">
        <v>46477</v>
      </c>
      <c r="J774" s="3">
        <v>81</v>
      </c>
      <c r="K774" s="3" t="s">
        <v>6</v>
      </c>
      <c r="L774" s="3" t="s">
        <v>6</v>
      </c>
      <c r="M774" s="95" t="s">
        <v>47</v>
      </c>
      <c r="N774" s="3" t="s">
        <v>48</v>
      </c>
      <c r="O774" s="3" t="s">
        <v>49</v>
      </c>
      <c r="P774" s="3" t="s">
        <v>6</v>
      </c>
      <c r="Q774" s="3" t="s">
        <v>6</v>
      </c>
      <c r="R774" s="95" t="s">
        <v>9</v>
      </c>
      <c r="S774" s="223">
        <v>43437</v>
      </c>
      <c r="T774" s="223">
        <v>43747</v>
      </c>
      <c r="U774" s="223">
        <v>43405</v>
      </c>
      <c r="V774" s="223">
        <v>43405</v>
      </c>
      <c r="W774" s="223" t="s">
        <v>6</v>
      </c>
      <c r="X774" s="3" t="s">
        <v>26</v>
      </c>
      <c r="Y774" s="3" t="s">
        <v>2928</v>
      </c>
      <c r="Z774" s="3" t="s">
        <v>2924</v>
      </c>
      <c r="AA774" s="3" t="s">
        <v>10</v>
      </c>
      <c r="AB774" s="223" t="s">
        <v>5</v>
      </c>
      <c r="AC774" s="3" t="s">
        <v>6</v>
      </c>
      <c r="AD774" s="3" t="s">
        <v>6</v>
      </c>
      <c r="AE774" s="95" t="s">
        <v>2265</v>
      </c>
    </row>
    <row r="775" spans="1:31" x14ac:dyDescent="0.35">
      <c r="A775" s="3" t="s">
        <v>2902</v>
      </c>
      <c r="B775" s="3" t="s">
        <v>348</v>
      </c>
      <c r="C775" s="3">
        <v>8</v>
      </c>
      <c r="D775" s="95" t="s">
        <v>3273</v>
      </c>
      <c r="E775" s="95" t="s">
        <v>2903</v>
      </c>
      <c r="F775" s="95" t="s">
        <v>4</v>
      </c>
      <c r="G775" s="223">
        <v>44431</v>
      </c>
      <c r="H775" s="223">
        <v>44440</v>
      </c>
      <c r="I775" s="223">
        <v>46265</v>
      </c>
      <c r="J775" s="3">
        <v>140</v>
      </c>
      <c r="K775" s="3" t="s">
        <v>10</v>
      </c>
      <c r="L775" s="3" t="s">
        <v>6</v>
      </c>
      <c r="M775" s="95" t="s">
        <v>47</v>
      </c>
      <c r="N775" s="3" t="s">
        <v>48</v>
      </c>
      <c r="O775" s="3" t="s">
        <v>49</v>
      </c>
      <c r="P775" s="3" t="s">
        <v>6</v>
      </c>
      <c r="Q775" s="3" t="s">
        <v>6</v>
      </c>
      <c r="R775" s="95" t="s">
        <v>50</v>
      </c>
      <c r="S775" s="223">
        <v>43801</v>
      </c>
      <c r="T775" s="223">
        <v>43847</v>
      </c>
      <c r="U775" s="223">
        <v>43800</v>
      </c>
      <c r="V775" s="223">
        <v>43800</v>
      </c>
      <c r="W775" s="223" t="s">
        <v>6</v>
      </c>
      <c r="X775" s="3" t="s">
        <v>51</v>
      </c>
      <c r="Y775" s="3" t="s">
        <v>2931</v>
      </c>
      <c r="Z775" s="3" t="s">
        <v>2924</v>
      </c>
      <c r="AA775" s="3" t="s">
        <v>10</v>
      </c>
      <c r="AB775" s="223" t="s">
        <v>5</v>
      </c>
      <c r="AC775" s="3" t="s">
        <v>6</v>
      </c>
      <c r="AD775" s="3" t="s">
        <v>10</v>
      </c>
      <c r="AE775" s="95" t="s">
        <v>2265</v>
      </c>
    </row>
    <row r="776" spans="1:31" x14ac:dyDescent="0.35">
      <c r="A776" s="3" t="s">
        <v>358</v>
      </c>
      <c r="B776" s="3" t="s">
        <v>348</v>
      </c>
      <c r="C776" s="3">
        <v>8</v>
      </c>
      <c r="D776" s="95" t="s">
        <v>359</v>
      </c>
      <c r="E776" s="95" t="s">
        <v>2904</v>
      </c>
      <c r="F776" s="95" t="s">
        <v>4</v>
      </c>
      <c r="G776" s="223">
        <v>44853</v>
      </c>
      <c r="H776" s="223">
        <v>44866</v>
      </c>
      <c r="I776" s="223">
        <v>46691</v>
      </c>
      <c r="J776" s="3">
        <v>80</v>
      </c>
      <c r="K776" s="3" t="s">
        <v>10</v>
      </c>
      <c r="L776" s="3" t="s">
        <v>6</v>
      </c>
      <c r="M776" s="95" t="s">
        <v>116</v>
      </c>
      <c r="N776" s="3" t="s">
        <v>117</v>
      </c>
      <c r="O776" s="3" t="s">
        <v>17</v>
      </c>
      <c r="P776" s="3" t="s">
        <v>6</v>
      </c>
      <c r="Q776" s="3" t="s">
        <v>6</v>
      </c>
      <c r="R776" s="95" t="s">
        <v>50</v>
      </c>
      <c r="S776" s="223">
        <v>43591</v>
      </c>
      <c r="T776" s="223">
        <v>43651</v>
      </c>
      <c r="U776" s="223">
        <v>43616</v>
      </c>
      <c r="V776" s="223">
        <v>43616</v>
      </c>
      <c r="W776" s="223" t="s">
        <v>6</v>
      </c>
      <c r="X776" s="3" t="s">
        <v>26</v>
      </c>
      <c r="Y776" s="3" t="s">
        <v>2936</v>
      </c>
      <c r="Z776" s="3" t="s">
        <v>2924</v>
      </c>
      <c r="AA776" s="3" t="s">
        <v>10</v>
      </c>
      <c r="AB776" s="223" t="s">
        <v>5</v>
      </c>
      <c r="AC776" s="3" t="s">
        <v>10</v>
      </c>
      <c r="AD776" s="3" t="s">
        <v>10</v>
      </c>
      <c r="AE776" s="95" t="s">
        <v>2265</v>
      </c>
    </row>
    <row r="777" spans="1:31" x14ac:dyDescent="0.35">
      <c r="A777" s="3" t="s">
        <v>360</v>
      </c>
      <c r="B777" s="3" t="s">
        <v>348</v>
      </c>
      <c r="C777" s="3">
        <v>8</v>
      </c>
      <c r="D777" s="95" t="s">
        <v>361</v>
      </c>
      <c r="E777" s="95" t="s">
        <v>2903</v>
      </c>
      <c r="F777" s="95" t="s">
        <v>4</v>
      </c>
      <c r="G777" s="223">
        <v>44431</v>
      </c>
      <c r="H777" s="223">
        <v>44440</v>
      </c>
      <c r="I777" s="223">
        <v>46265</v>
      </c>
      <c r="J777" s="3">
        <v>21</v>
      </c>
      <c r="K777" s="3" t="s">
        <v>10</v>
      </c>
      <c r="L777" s="3" t="s">
        <v>6</v>
      </c>
      <c r="M777" s="95" t="s">
        <v>47</v>
      </c>
      <c r="N777" s="3" t="s">
        <v>48</v>
      </c>
      <c r="O777" s="3" t="s">
        <v>49</v>
      </c>
      <c r="P777" s="3" t="s">
        <v>6</v>
      </c>
      <c r="Q777" s="3" t="s">
        <v>6</v>
      </c>
      <c r="R777" s="95" t="s">
        <v>50</v>
      </c>
      <c r="S777" s="223">
        <v>43437</v>
      </c>
      <c r="T777" s="223">
        <v>43747</v>
      </c>
      <c r="U777" s="223">
        <v>43405</v>
      </c>
      <c r="V777" s="223">
        <v>43405</v>
      </c>
      <c r="W777" s="223" t="s">
        <v>6</v>
      </c>
      <c r="X777" s="3" t="s">
        <v>26</v>
      </c>
      <c r="Y777" s="3" t="s">
        <v>2931</v>
      </c>
      <c r="Z777" s="3" t="s">
        <v>2924</v>
      </c>
      <c r="AA777" s="3" t="s">
        <v>10</v>
      </c>
      <c r="AB777" s="223" t="s">
        <v>5</v>
      </c>
      <c r="AC777" s="3" t="s">
        <v>6</v>
      </c>
      <c r="AD777" s="3" t="s">
        <v>6</v>
      </c>
      <c r="AE777" s="95" t="s">
        <v>2265</v>
      </c>
    </row>
    <row r="778" spans="1:31" x14ac:dyDescent="0.35">
      <c r="A778" s="3" t="s">
        <v>1609</v>
      </c>
      <c r="B778" s="3" t="s">
        <v>348</v>
      </c>
      <c r="C778" s="3">
        <v>8</v>
      </c>
      <c r="D778" s="95" t="s">
        <v>19</v>
      </c>
      <c r="E778" s="95" t="s">
        <v>2905</v>
      </c>
      <c r="F778" s="95" t="s">
        <v>651</v>
      </c>
      <c r="G778" s="223">
        <v>45105</v>
      </c>
      <c r="H778" s="223">
        <v>45108</v>
      </c>
      <c r="I778" s="223">
        <v>46934</v>
      </c>
      <c r="J778" s="3" t="s">
        <v>2266</v>
      </c>
      <c r="K778" s="3" t="s">
        <v>10</v>
      </c>
      <c r="L778" s="3" t="s">
        <v>10</v>
      </c>
      <c r="M778" s="95" t="s">
        <v>19</v>
      </c>
      <c r="N778" s="3" t="s">
        <v>20</v>
      </c>
      <c r="O778" s="3" t="s">
        <v>651</v>
      </c>
      <c r="P778" s="3" t="s">
        <v>10</v>
      </c>
      <c r="Q778" s="3" t="s">
        <v>6</v>
      </c>
      <c r="R778" s="95" t="s">
        <v>2267</v>
      </c>
      <c r="S778" s="223" t="s">
        <v>5</v>
      </c>
      <c r="T778" s="223" t="s">
        <v>5</v>
      </c>
      <c r="U778" s="223" t="s">
        <v>5</v>
      </c>
      <c r="V778" s="223" t="s">
        <v>5</v>
      </c>
      <c r="W778" s="223" t="s">
        <v>5</v>
      </c>
      <c r="X778" s="3" t="s">
        <v>5</v>
      </c>
      <c r="Y778" s="3" t="s">
        <v>651</v>
      </c>
      <c r="Z778" s="3" t="s">
        <v>651</v>
      </c>
      <c r="AA778" s="3" t="s">
        <v>651</v>
      </c>
      <c r="AB778" s="223" t="s">
        <v>5</v>
      </c>
      <c r="AC778" s="3" t="s">
        <v>651</v>
      </c>
      <c r="AD778" s="3" t="s">
        <v>651</v>
      </c>
      <c r="AE778" s="95" t="s">
        <v>651</v>
      </c>
    </row>
    <row r="779" spans="1:31" x14ac:dyDescent="0.35">
      <c r="A779" s="3" t="s">
        <v>362</v>
      </c>
      <c r="B779" s="3" t="s">
        <v>348</v>
      </c>
      <c r="C779" s="3">
        <v>8</v>
      </c>
      <c r="D779" s="95" t="s">
        <v>363</v>
      </c>
      <c r="E779" s="95" t="s">
        <v>2906</v>
      </c>
      <c r="F779" s="95" t="s">
        <v>437</v>
      </c>
      <c r="G779" s="223">
        <v>41178</v>
      </c>
      <c r="H779" s="223" t="s">
        <v>5</v>
      </c>
      <c r="I779" s="223">
        <v>43008</v>
      </c>
      <c r="J779" s="3">
        <v>830</v>
      </c>
      <c r="K779" s="3" t="s">
        <v>10</v>
      </c>
      <c r="L779" s="3" t="s">
        <v>6</v>
      </c>
      <c r="M779" s="95" t="s">
        <v>27</v>
      </c>
      <c r="N779" s="3" t="s">
        <v>28</v>
      </c>
      <c r="O779" s="3" t="s">
        <v>25</v>
      </c>
      <c r="P779" s="3" t="s">
        <v>6</v>
      </c>
      <c r="Q779" s="3" t="s">
        <v>6</v>
      </c>
      <c r="R779" s="95" t="s">
        <v>50</v>
      </c>
      <c r="S779" s="223">
        <v>43374</v>
      </c>
      <c r="T779" s="223">
        <v>43553</v>
      </c>
      <c r="U779" s="223">
        <v>43433</v>
      </c>
      <c r="V779" s="223">
        <v>43433</v>
      </c>
      <c r="W779" s="223" t="s">
        <v>6</v>
      </c>
      <c r="X779" s="3" t="s">
        <v>26</v>
      </c>
      <c r="Y779" s="3" t="s">
        <v>2104</v>
      </c>
      <c r="Z779" s="3" t="s">
        <v>28</v>
      </c>
      <c r="AA779" s="3" t="s">
        <v>6</v>
      </c>
      <c r="AB779" s="223">
        <v>44183</v>
      </c>
      <c r="AC779" s="3" t="s">
        <v>6</v>
      </c>
      <c r="AD779" s="3" t="s">
        <v>10</v>
      </c>
      <c r="AE779" s="95" t="s">
        <v>2263</v>
      </c>
    </row>
    <row r="780" spans="1:31" x14ac:dyDescent="0.35">
      <c r="A780" s="3" t="s">
        <v>2011</v>
      </c>
      <c r="B780" s="3" t="s">
        <v>348</v>
      </c>
      <c r="C780" s="3">
        <v>8</v>
      </c>
      <c r="D780" s="95" t="s">
        <v>2012</v>
      </c>
      <c r="E780" s="95" t="s">
        <v>2272</v>
      </c>
      <c r="F780" s="95" t="s">
        <v>437</v>
      </c>
      <c r="G780" s="223">
        <v>44211</v>
      </c>
      <c r="H780" s="223">
        <v>44256</v>
      </c>
      <c r="I780" s="223">
        <v>46081</v>
      </c>
      <c r="J780" s="3">
        <v>0</v>
      </c>
      <c r="K780" s="3" t="s">
        <v>6</v>
      </c>
      <c r="L780" s="3" t="s">
        <v>6</v>
      </c>
      <c r="M780" s="95" t="s">
        <v>27</v>
      </c>
      <c r="N780" s="3" t="s">
        <v>28</v>
      </c>
      <c r="O780" s="3" t="s">
        <v>25</v>
      </c>
      <c r="P780" s="3" t="s">
        <v>6</v>
      </c>
      <c r="Q780" s="3" t="s">
        <v>6</v>
      </c>
      <c r="R780" s="95" t="s">
        <v>22</v>
      </c>
      <c r="S780" s="223">
        <v>43374</v>
      </c>
      <c r="T780" s="223">
        <v>43553</v>
      </c>
      <c r="U780" s="223">
        <v>43009</v>
      </c>
      <c r="V780" s="223">
        <v>43009</v>
      </c>
      <c r="W780" s="223" t="s">
        <v>6</v>
      </c>
      <c r="X780" s="3" t="s">
        <v>26</v>
      </c>
      <c r="Y780" s="3" t="s">
        <v>2100</v>
      </c>
      <c r="Z780" s="3" t="s">
        <v>28</v>
      </c>
      <c r="AA780" s="3" t="s">
        <v>6</v>
      </c>
      <c r="AB780" s="223">
        <v>42159</v>
      </c>
      <c r="AC780" s="3" t="s">
        <v>6</v>
      </c>
      <c r="AD780" s="3" t="s">
        <v>10</v>
      </c>
      <c r="AE780" s="95" t="s">
        <v>2263</v>
      </c>
    </row>
    <row r="781" spans="1:31" x14ac:dyDescent="0.35">
      <c r="A781" s="3" t="s">
        <v>364</v>
      </c>
      <c r="B781" s="3" t="s">
        <v>348</v>
      </c>
      <c r="C781" s="3">
        <v>8</v>
      </c>
      <c r="D781" s="95" t="s">
        <v>2013</v>
      </c>
      <c r="E781" s="95" t="s">
        <v>1912</v>
      </c>
      <c r="F781" s="95" t="s">
        <v>437</v>
      </c>
      <c r="G781" s="223">
        <v>44609</v>
      </c>
      <c r="H781" s="223">
        <v>44609</v>
      </c>
      <c r="I781" s="223">
        <v>46434</v>
      </c>
      <c r="J781" s="3">
        <v>28</v>
      </c>
      <c r="K781" s="3" t="s">
        <v>6</v>
      </c>
      <c r="L781" s="3" t="s">
        <v>6</v>
      </c>
      <c r="M781" s="95" t="s">
        <v>23</v>
      </c>
      <c r="N781" s="3" t="s">
        <v>24</v>
      </c>
      <c r="O781" s="3" t="s">
        <v>25</v>
      </c>
      <c r="P781" s="3" t="s">
        <v>6</v>
      </c>
      <c r="Q781" s="3" t="s">
        <v>6</v>
      </c>
      <c r="R781" s="95" t="s">
        <v>22</v>
      </c>
      <c r="S781" s="223">
        <v>43374</v>
      </c>
      <c r="T781" s="223">
        <v>43497</v>
      </c>
      <c r="U781" s="223">
        <v>42644</v>
      </c>
      <c r="V781" s="223">
        <v>42644</v>
      </c>
      <c r="W781" s="223" t="s">
        <v>6</v>
      </c>
      <c r="X781" s="3" t="s">
        <v>26</v>
      </c>
      <c r="Y781" s="3" t="s">
        <v>2093</v>
      </c>
      <c r="Z781" s="3" t="s">
        <v>24</v>
      </c>
      <c r="AA781" s="3" t="s">
        <v>6</v>
      </c>
      <c r="AB781" s="223">
        <v>42782</v>
      </c>
      <c r="AC781" s="3" t="s">
        <v>10</v>
      </c>
      <c r="AD781" s="3" t="s">
        <v>10</v>
      </c>
      <c r="AE781" s="95" t="s">
        <v>2263</v>
      </c>
    </row>
    <row r="782" spans="1:31" x14ac:dyDescent="0.35">
      <c r="A782" s="3" t="s">
        <v>1610</v>
      </c>
      <c r="B782" s="3" t="s">
        <v>348</v>
      </c>
      <c r="C782" s="3">
        <v>8</v>
      </c>
      <c r="D782" s="95" t="s">
        <v>911</v>
      </c>
      <c r="E782" s="95" t="s">
        <v>2907</v>
      </c>
      <c r="F782" s="95" t="s">
        <v>437</v>
      </c>
      <c r="G782" s="223">
        <v>45231</v>
      </c>
      <c r="H782" s="223">
        <v>45231</v>
      </c>
      <c r="I782" s="223">
        <v>47057</v>
      </c>
      <c r="J782" s="3">
        <v>1871</v>
      </c>
      <c r="K782" s="3" t="s">
        <v>10</v>
      </c>
      <c r="L782" s="3" t="s">
        <v>6</v>
      </c>
      <c r="M782" s="95" t="s">
        <v>23</v>
      </c>
      <c r="N782" s="3" t="s">
        <v>24</v>
      </c>
      <c r="O782" s="3" t="s">
        <v>25</v>
      </c>
      <c r="P782" s="3" t="s">
        <v>6</v>
      </c>
      <c r="Q782" s="3" t="s">
        <v>6</v>
      </c>
      <c r="R782" s="95" t="s">
        <v>2908</v>
      </c>
      <c r="S782" s="223">
        <v>43374</v>
      </c>
      <c r="T782" s="223">
        <v>43553</v>
      </c>
      <c r="U782" s="223">
        <v>43433</v>
      </c>
      <c r="V782" s="223">
        <v>43433</v>
      </c>
      <c r="W782" s="223" t="s">
        <v>6</v>
      </c>
      <c r="X782" s="3" t="s">
        <v>26</v>
      </c>
      <c r="Y782" s="3" t="s">
        <v>2744</v>
      </c>
      <c r="Z782" s="3" t="s">
        <v>24</v>
      </c>
      <c r="AA782" s="3" t="s">
        <v>6</v>
      </c>
      <c r="AB782" s="223">
        <v>45226</v>
      </c>
      <c r="AC782" s="3" t="s">
        <v>10</v>
      </c>
      <c r="AD782" s="3" t="s">
        <v>10</v>
      </c>
      <c r="AE782" s="95" t="s">
        <v>2263</v>
      </c>
    </row>
    <row r="783" spans="1:31" x14ac:dyDescent="0.35">
      <c r="A783" s="3" t="s">
        <v>365</v>
      </c>
      <c r="B783" s="3" t="s">
        <v>348</v>
      </c>
      <c r="C783" s="3">
        <v>8</v>
      </c>
      <c r="D783" s="95" t="s">
        <v>366</v>
      </c>
      <c r="E783" s="95" t="s">
        <v>2909</v>
      </c>
      <c r="F783" s="95" t="s">
        <v>4</v>
      </c>
      <c r="G783" s="223">
        <v>37622</v>
      </c>
      <c r="H783" s="223">
        <v>37622</v>
      </c>
      <c r="I783" s="223">
        <v>39447</v>
      </c>
      <c r="J783" s="3">
        <v>19</v>
      </c>
      <c r="K783" s="3" t="s">
        <v>10</v>
      </c>
      <c r="L783" s="3" t="s">
        <v>6</v>
      </c>
      <c r="M783" s="95" t="s">
        <v>2555</v>
      </c>
      <c r="N783" s="3" t="s">
        <v>52</v>
      </c>
      <c r="O783" s="3" t="s">
        <v>17</v>
      </c>
      <c r="P783" s="3" t="s">
        <v>6</v>
      </c>
      <c r="Q783" s="3" t="s">
        <v>6</v>
      </c>
      <c r="R783" s="95" t="s">
        <v>50</v>
      </c>
      <c r="S783" s="223">
        <v>43591</v>
      </c>
      <c r="T783" s="223">
        <v>43749</v>
      </c>
      <c r="U783" s="223">
        <v>43679</v>
      </c>
      <c r="V783" s="223">
        <v>43679</v>
      </c>
      <c r="W783" s="223" t="s">
        <v>6</v>
      </c>
      <c r="X783" s="3" t="s">
        <v>26</v>
      </c>
      <c r="Y783" s="3" t="s">
        <v>2129</v>
      </c>
      <c r="Z783" s="3" t="s">
        <v>52</v>
      </c>
      <c r="AA783" s="3" t="s">
        <v>10</v>
      </c>
      <c r="AB783" s="223" t="s">
        <v>5</v>
      </c>
      <c r="AC783" s="3" t="s">
        <v>10</v>
      </c>
      <c r="AD783" s="3" t="s">
        <v>6</v>
      </c>
      <c r="AE783" s="95" t="s">
        <v>2265</v>
      </c>
    </row>
    <row r="784" spans="1:31" x14ac:dyDescent="0.35">
      <c r="A784" s="3" t="s">
        <v>1611</v>
      </c>
      <c r="B784" s="3" t="s">
        <v>606</v>
      </c>
      <c r="C784" s="3">
        <v>4</v>
      </c>
      <c r="D784" s="95" t="s">
        <v>1612</v>
      </c>
      <c r="E784" s="95" t="s">
        <v>3055</v>
      </c>
      <c r="F784" s="95" t="s">
        <v>2583</v>
      </c>
      <c r="G784" s="223">
        <v>44865</v>
      </c>
      <c r="H784" s="223">
        <v>44866</v>
      </c>
      <c r="I784" s="223">
        <v>46691</v>
      </c>
      <c r="J784" s="3">
        <v>250</v>
      </c>
      <c r="K784" s="3" t="s">
        <v>10</v>
      </c>
      <c r="L784" s="3" t="s">
        <v>10</v>
      </c>
      <c r="M784" s="95" t="s">
        <v>1498</v>
      </c>
      <c r="N784" s="3" t="s">
        <v>28</v>
      </c>
      <c r="O784" s="3" t="s">
        <v>651</v>
      </c>
      <c r="P784" s="3" t="s">
        <v>6</v>
      </c>
      <c r="Q784" s="3" t="s">
        <v>6</v>
      </c>
      <c r="R784" s="95" t="s">
        <v>652</v>
      </c>
      <c r="S784" s="223" t="s">
        <v>5</v>
      </c>
      <c r="T784" s="223" t="s">
        <v>5</v>
      </c>
      <c r="U784" s="223" t="s">
        <v>5</v>
      </c>
      <c r="V784" s="223" t="s">
        <v>5</v>
      </c>
      <c r="W784" s="223" t="s">
        <v>5</v>
      </c>
      <c r="X784" s="3" t="s">
        <v>5</v>
      </c>
      <c r="Y784" s="3" t="s">
        <v>651</v>
      </c>
      <c r="Z784" s="3" t="s">
        <v>651</v>
      </c>
      <c r="AA784" s="3" t="s">
        <v>6</v>
      </c>
      <c r="AB784" s="223">
        <v>44197</v>
      </c>
      <c r="AC784" s="3" t="s">
        <v>6</v>
      </c>
      <c r="AD784" s="3" t="s">
        <v>10</v>
      </c>
      <c r="AE784" s="95" t="s">
        <v>2263</v>
      </c>
    </row>
    <row r="785" spans="1:31" x14ac:dyDescent="0.35">
      <c r="A785" s="3" t="s">
        <v>1613</v>
      </c>
      <c r="B785" s="3" t="s">
        <v>606</v>
      </c>
      <c r="C785" s="3">
        <v>4</v>
      </c>
      <c r="D785" s="95" t="s">
        <v>1614</v>
      </c>
      <c r="E785" s="95" t="s">
        <v>3056</v>
      </c>
      <c r="F785" s="95" t="s">
        <v>2583</v>
      </c>
      <c r="G785" s="223">
        <v>44068</v>
      </c>
      <c r="H785" s="223">
        <v>44075</v>
      </c>
      <c r="I785" s="223">
        <v>45900</v>
      </c>
      <c r="J785" s="3">
        <v>150</v>
      </c>
      <c r="K785" s="3" t="s">
        <v>10</v>
      </c>
      <c r="L785" s="3" t="s">
        <v>10</v>
      </c>
      <c r="M785" s="95" t="s">
        <v>116</v>
      </c>
      <c r="N785" s="3" t="s">
        <v>117</v>
      </c>
      <c r="O785" s="3" t="s">
        <v>651</v>
      </c>
      <c r="P785" s="3" t="s">
        <v>6</v>
      </c>
      <c r="Q785" s="3" t="s">
        <v>6</v>
      </c>
      <c r="R785" s="95" t="s">
        <v>652</v>
      </c>
      <c r="S785" s="223" t="s">
        <v>5</v>
      </c>
      <c r="T785" s="223" t="s">
        <v>5</v>
      </c>
      <c r="U785" s="223" t="s">
        <v>5</v>
      </c>
      <c r="V785" s="223" t="s">
        <v>5</v>
      </c>
      <c r="W785" s="223" t="s">
        <v>5</v>
      </c>
      <c r="X785" s="3" t="s">
        <v>5</v>
      </c>
      <c r="Y785" s="3" t="s">
        <v>651</v>
      </c>
      <c r="Z785" s="3" t="s">
        <v>651</v>
      </c>
      <c r="AA785" s="3" t="s">
        <v>6</v>
      </c>
      <c r="AB785" s="223">
        <v>44197</v>
      </c>
      <c r="AC785" s="3" t="s">
        <v>6</v>
      </c>
      <c r="AD785" s="3" t="s">
        <v>10</v>
      </c>
      <c r="AE785" s="95" t="s">
        <v>2265</v>
      </c>
    </row>
    <row r="786" spans="1:31" x14ac:dyDescent="0.35">
      <c r="A786" s="3" t="s">
        <v>1615</v>
      </c>
      <c r="B786" s="3" t="s">
        <v>606</v>
      </c>
      <c r="C786" s="3">
        <v>4</v>
      </c>
      <c r="D786" s="95" t="s">
        <v>1616</v>
      </c>
      <c r="E786" s="95" t="s">
        <v>3057</v>
      </c>
      <c r="F786" s="95" t="s">
        <v>2583</v>
      </c>
      <c r="G786" s="223">
        <v>44312</v>
      </c>
      <c r="H786" s="223">
        <v>44317</v>
      </c>
      <c r="I786" s="223">
        <v>46142</v>
      </c>
      <c r="J786" s="3">
        <v>45</v>
      </c>
      <c r="K786" s="3" t="s">
        <v>10</v>
      </c>
      <c r="L786" s="3" t="s">
        <v>10</v>
      </c>
      <c r="M786" s="95" t="s">
        <v>136</v>
      </c>
      <c r="N786" s="3" t="s">
        <v>138</v>
      </c>
      <c r="O786" s="3" t="s">
        <v>651</v>
      </c>
      <c r="P786" s="3" t="s">
        <v>6</v>
      </c>
      <c r="Q786" s="3" t="s">
        <v>6</v>
      </c>
      <c r="R786" s="95" t="s">
        <v>652</v>
      </c>
      <c r="S786" s="223" t="s">
        <v>5</v>
      </c>
      <c r="T786" s="223" t="s">
        <v>5</v>
      </c>
      <c r="U786" s="223" t="s">
        <v>5</v>
      </c>
      <c r="V786" s="223" t="s">
        <v>5</v>
      </c>
      <c r="W786" s="223" t="s">
        <v>5</v>
      </c>
      <c r="X786" s="3" t="s">
        <v>5</v>
      </c>
      <c r="Y786" s="3" t="s">
        <v>651</v>
      </c>
      <c r="Z786" s="3" t="s">
        <v>651</v>
      </c>
      <c r="AA786" s="3" t="s">
        <v>6</v>
      </c>
      <c r="AB786" s="223">
        <v>44197</v>
      </c>
      <c r="AC786" s="3" t="s">
        <v>6</v>
      </c>
      <c r="AD786" s="3" t="s">
        <v>10</v>
      </c>
      <c r="AE786" s="95" t="s">
        <v>2263</v>
      </c>
    </row>
    <row r="787" spans="1:31" x14ac:dyDescent="0.35">
      <c r="A787" s="3" t="s">
        <v>1617</v>
      </c>
      <c r="B787" s="3" t="s">
        <v>606</v>
      </c>
      <c r="C787" s="3">
        <v>4</v>
      </c>
      <c r="D787" s="95" t="s">
        <v>1618</v>
      </c>
      <c r="E787" s="95" t="s">
        <v>3058</v>
      </c>
      <c r="F787" s="95" t="s">
        <v>2583</v>
      </c>
      <c r="G787" s="223">
        <v>45198</v>
      </c>
      <c r="H787" s="223">
        <v>45200</v>
      </c>
      <c r="I787" s="223">
        <v>47026</v>
      </c>
      <c r="J787" s="3">
        <v>30</v>
      </c>
      <c r="K787" s="3" t="s">
        <v>10</v>
      </c>
      <c r="L787" s="3" t="s">
        <v>10</v>
      </c>
      <c r="M787" s="95" t="s">
        <v>201</v>
      </c>
      <c r="N787" s="3" t="s">
        <v>68</v>
      </c>
      <c r="O787" s="3" t="s">
        <v>651</v>
      </c>
      <c r="P787" s="3" t="s">
        <v>6</v>
      </c>
      <c r="Q787" s="3" t="s">
        <v>6</v>
      </c>
      <c r="R787" s="95" t="s">
        <v>652</v>
      </c>
      <c r="S787" s="223" t="s">
        <v>5</v>
      </c>
      <c r="T787" s="223" t="s">
        <v>5</v>
      </c>
      <c r="U787" s="223" t="s">
        <v>5</v>
      </c>
      <c r="V787" s="223" t="s">
        <v>5</v>
      </c>
      <c r="W787" s="223" t="s">
        <v>5</v>
      </c>
      <c r="X787" s="3" t="s">
        <v>5</v>
      </c>
      <c r="Y787" s="3" t="s">
        <v>651</v>
      </c>
      <c r="Z787" s="3" t="s">
        <v>651</v>
      </c>
      <c r="AA787" s="3" t="s">
        <v>6</v>
      </c>
      <c r="AB787" s="223">
        <v>44197</v>
      </c>
      <c r="AC787" s="3" t="s">
        <v>6</v>
      </c>
      <c r="AD787" s="3" t="s">
        <v>10</v>
      </c>
      <c r="AE787" s="95" t="s">
        <v>2263</v>
      </c>
    </row>
    <row r="788" spans="1:31" x14ac:dyDescent="0.35">
      <c r="A788" s="3" t="s">
        <v>1619</v>
      </c>
      <c r="B788" s="3" t="s">
        <v>606</v>
      </c>
      <c r="C788" s="3">
        <v>4</v>
      </c>
      <c r="D788" s="95" t="s">
        <v>1620</v>
      </c>
      <c r="E788" s="95" t="s">
        <v>3059</v>
      </c>
      <c r="F788" s="95" t="s">
        <v>651</v>
      </c>
      <c r="G788" s="223">
        <v>44273</v>
      </c>
      <c r="H788" s="223">
        <v>44287</v>
      </c>
      <c r="I788" s="223">
        <v>46112</v>
      </c>
      <c r="J788" s="3" t="s">
        <v>2266</v>
      </c>
      <c r="K788" s="3" t="s">
        <v>10</v>
      </c>
      <c r="L788" s="3" t="s">
        <v>10</v>
      </c>
      <c r="M788" s="95" t="s">
        <v>19</v>
      </c>
      <c r="N788" s="3" t="s">
        <v>20</v>
      </c>
      <c r="O788" s="3" t="s">
        <v>651</v>
      </c>
      <c r="P788" s="3" t="s">
        <v>10</v>
      </c>
      <c r="Q788" s="3" t="s">
        <v>6</v>
      </c>
      <c r="R788" s="95" t="s">
        <v>2267</v>
      </c>
      <c r="S788" s="223" t="s">
        <v>5</v>
      </c>
      <c r="T788" s="223" t="s">
        <v>5</v>
      </c>
      <c r="U788" s="223" t="s">
        <v>5</v>
      </c>
      <c r="V788" s="223" t="s">
        <v>5</v>
      </c>
      <c r="W788" s="223" t="s">
        <v>5</v>
      </c>
      <c r="X788" s="3" t="s">
        <v>5</v>
      </c>
      <c r="Y788" s="3" t="s">
        <v>651</v>
      </c>
      <c r="Z788" s="3" t="s">
        <v>651</v>
      </c>
      <c r="AA788" s="3" t="s">
        <v>651</v>
      </c>
      <c r="AB788" s="223" t="s">
        <v>5</v>
      </c>
      <c r="AC788" s="3" t="s">
        <v>651</v>
      </c>
      <c r="AD788" s="3" t="s">
        <v>651</v>
      </c>
      <c r="AE788" s="95" t="s">
        <v>651</v>
      </c>
    </row>
    <row r="789" spans="1:31" x14ac:dyDescent="0.35">
      <c r="A789" s="3" t="s">
        <v>1621</v>
      </c>
      <c r="B789" s="3" t="s">
        <v>606</v>
      </c>
      <c r="C789" s="3">
        <v>4</v>
      </c>
      <c r="D789" s="95" t="s">
        <v>1106</v>
      </c>
      <c r="E789" s="95" t="s">
        <v>3060</v>
      </c>
      <c r="F789" s="95" t="s">
        <v>651</v>
      </c>
      <c r="G789" s="223">
        <v>44681</v>
      </c>
      <c r="H789" s="223">
        <v>44682</v>
      </c>
      <c r="I789" s="223">
        <v>46507</v>
      </c>
      <c r="J789" s="3">
        <v>15</v>
      </c>
      <c r="K789" s="3" t="s">
        <v>10</v>
      </c>
      <c r="L789" s="3" t="s">
        <v>10</v>
      </c>
      <c r="M789" s="95" t="s">
        <v>19</v>
      </c>
      <c r="N789" s="3" t="s">
        <v>20</v>
      </c>
      <c r="O789" s="3" t="s">
        <v>651</v>
      </c>
      <c r="P789" s="3" t="s">
        <v>6</v>
      </c>
      <c r="Q789" s="3" t="s">
        <v>6</v>
      </c>
      <c r="R789" s="95" t="s">
        <v>652</v>
      </c>
      <c r="S789" s="223" t="s">
        <v>5</v>
      </c>
      <c r="T789" s="223" t="s">
        <v>5</v>
      </c>
      <c r="U789" s="223" t="s">
        <v>5</v>
      </c>
      <c r="V789" s="223" t="s">
        <v>5</v>
      </c>
      <c r="W789" s="223" t="s">
        <v>5</v>
      </c>
      <c r="X789" s="3" t="s">
        <v>5</v>
      </c>
      <c r="Y789" s="3" t="s">
        <v>651</v>
      </c>
      <c r="Z789" s="3" t="s">
        <v>651</v>
      </c>
      <c r="AA789" s="3" t="s">
        <v>10</v>
      </c>
      <c r="AB789" s="223" t="s">
        <v>5</v>
      </c>
      <c r="AC789" s="3" t="s">
        <v>10</v>
      </c>
      <c r="AD789" s="3" t="s">
        <v>10</v>
      </c>
      <c r="AE789" s="95" t="s">
        <v>2263</v>
      </c>
    </row>
    <row r="790" spans="1:31" x14ac:dyDescent="0.35">
      <c r="A790" s="3" t="s">
        <v>1622</v>
      </c>
      <c r="B790" s="3" t="s">
        <v>606</v>
      </c>
      <c r="C790" s="3">
        <v>4</v>
      </c>
      <c r="D790" s="95" t="s">
        <v>1623</v>
      </c>
      <c r="E790" s="95" t="s">
        <v>3052</v>
      </c>
      <c r="F790" s="95" t="s">
        <v>2583</v>
      </c>
      <c r="G790" s="223">
        <v>44739</v>
      </c>
      <c r="H790" s="223">
        <v>44743</v>
      </c>
      <c r="I790" s="223">
        <v>45838</v>
      </c>
      <c r="J790" s="3">
        <v>2200</v>
      </c>
      <c r="K790" s="3" t="s">
        <v>10</v>
      </c>
      <c r="L790" s="3" t="s">
        <v>10</v>
      </c>
      <c r="M790" s="95" t="s">
        <v>27</v>
      </c>
      <c r="N790" s="3" t="s">
        <v>28</v>
      </c>
      <c r="O790" s="3" t="s">
        <v>651</v>
      </c>
      <c r="P790" s="3" t="s">
        <v>6</v>
      </c>
      <c r="Q790" s="3" t="s">
        <v>6</v>
      </c>
      <c r="R790" s="95" t="s">
        <v>652</v>
      </c>
      <c r="S790" s="223" t="s">
        <v>5</v>
      </c>
      <c r="T790" s="223" t="s">
        <v>5</v>
      </c>
      <c r="U790" s="223" t="s">
        <v>5</v>
      </c>
      <c r="V790" s="223" t="s">
        <v>5</v>
      </c>
      <c r="W790" s="223" t="s">
        <v>5</v>
      </c>
      <c r="X790" s="3" t="s">
        <v>5</v>
      </c>
      <c r="Y790" s="3" t="s">
        <v>651</v>
      </c>
      <c r="Z790" s="3" t="s">
        <v>651</v>
      </c>
      <c r="AA790" s="3" t="s">
        <v>6</v>
      </c>
      <c r="AB790" s="223">
        <v>44197</v>
      </c>
      <c r="AC790" s="3" t="s">
        <v>10</v>
      </c>
      <c r="AD790" s="3" t="s">
        <v>10</v>
      </c>
      <c r="AE790" s="95" t="s">
        <v>2263</v>
      </c>
    </row>
    <row r="791" spans="1:31" x14ac:dyDescent="0.35">
      <c r="A791" s="3" t="s">
        <v>1624</v>
      </c>
      <c r="B791" s="3" t="s">
        <v>606</v>
      </c>
      <c r="C791" s="3">
        <v>4</v>
      </c>
      <c r="D791" s="95" t="s">
        <v>1625</v>
      </c>
      <c r="E791" s="95" t="s">
        <v>3053</v>
      </c>
      <c r="F791" s="95" t="s">
        <v>2583</v>
      </c>
      <c r="G791" s="223">
        <v>44466</v>
      </c>
      <c r="H791" s="223">
        <v>44470</v>
      </c>
      <c r="I791" s="223">
        <v>46295</v>
      </c>
      <c r="J791" s="3">
        <v>6000</v>
      </c>
      <c r="K791" s="3" t="s">
        <v>10</v>
      </c>
      <c r="L791" s="3" t="s">
        <v>10</v>
      </c>
      <c r="M791" s="95" t="s">
        <v>23</v>
      </c>
      <c r="N791" s="3" t="s">
        <v>24</v>
      </c>
      <c r="O791" s="3" t="s">
        <v>651</v>
      </c>
      <c r="P791" s="3" t="s">
        <v>6</v>
      </c>
      <c r="Q791" s="3" t="s">
        <v>6</v>
      </c>
      <c r="R791" s="95" t="s">
        <v>652</v>
      </c>
      <c r="S791" s="223" t="s">
        <v>5</v>
      </c>
      <c r="T791" s="223" t="s">
        <v>5</v>
      </c>
      <c r="U791" s="223" t="s">
        <v>5</v>
      </c>
      <c r="V791" s="223" t="s">
        <v>5</v>
      </c>
      <c r="W791" s="223" t="s">
        <v>5</v>
      </c>
      <c r="X791" s="3" t="s">
        <v>5</v>
      </c>
      <c r="Y791" s="3" t="s">
        <v>651</v>
      </c>
      <c r="Z791" s="3" t="s">
        <v>651</v>
      </c>
      <c r="AA791" s="3" t="s">
        <v>6</v>
      </c>
      <c r="AB791" s="223">
        <v>44197</v>
      </c>
      <c r="AC791" s="3" t="s">
        <v>10</v>
      </c>
      <c r="AD791" s="3" t="s">
        <v>10</v>
      </c>
      <c r="AE791" s="95" t="s">
        <v>2263</v>
      </c>
    </row>
    <row r="792" spans="1:31" x14ac:dyDescent="0.35">
      <c r="A792" s="3" t="s">
        <v>1626</v>
      </c>
      <c r="B792" s="3" t="s">
        <v>606</v>
      </c>
      <c r="C792" s="3">
        <v>4</v>
      </c>
      <c r="D792" s="95" t="s">
        <v>1462</v>
      </c>
      <c r="E792" s="95" t="s">
        <v>3054</v>
      </c>
      <c r="F792" s="95" t="s">
        <v>2583</v>
      </c>
      <c r="G792" s="223">
        <v>45373</v>
      </c>
      <c r="H792" s="223">
        <v>45383</v>
      </c>
      <c r="I792" s="223">
        <v>46630</v>
      </c>
      <c r="J792" s="3">
        <v>90</v>
      </c>
      <c r="K792" s="3" t="s">
        <v>10</v>
      </c>
      <c r="L792" s="3" t="s">
        <v>10</v>
      </c>
      <c r="M792" s="95" t="s">
        <v>2555</v>
      </c>
      <c r="N792" s="3" t="s">
        <v>52</v>
      </c>
      <c r="O792" s="3" t="s">
        <v>651</v>
      </c>
      <c r="P792" s="3" t="s">
        <v>6</v>
      </c>
      <c r="Q792" s="3" t="s">
        <v>6</v>
      </c>
      <c r="R792" s="95" t="s">
        <v>652</v>
      </c>
      <c r="S792" s="223" t="s">
        <v>5</v>
      </c>
      <c r="T792" s="223" t="s">
        <v>5</v>
      </c>
      <c r="U792" s="223" t="s">
        <v>5</v>
      </c>
      <c r="V792" s="223" t="s">
        <v>5</v>
      </c>
      <c r="W792" s="223" t="s">
        <v>5</v>
      </c>
      <c r="X792" s="3" t="s">
        <v>5</v>
      </c>
      <c r="Y792" s="3" t="s">
        <v>651</v>
      </c>
      <c r="Z792" s="3" t="s">
        <v>651</v>
      </c>
      <c r="AA792" s="3" t="s">
        <v>6</v>
      </c>
      <c r="AB792" s="223">
        <v>44197</v>
      </c>
      <c r="AC792" s="3" t="s">
        <v>10</v>
      </c>
      <c r="AD792" s="3" t="s">
        <v>6</v>
      </c>
      <c r="AE792" s="95" t="s">
        <v>2265</v>
      </c>
    </row>
    <row r="793" spans="1:31" x14ac:dyDescent="0.35">
      <c r="A793" s="3" t="s">
        <v>2584</v>
      </c>
      <c r="B793" s="3" t="s">
        <v>368</v>
      </c>
      <c r="C793" s="3">
        <v>6</v>
      </c>
      <c r="D793" s="95" t="s">
        <v>2585</v>
      </c>
      <c r="E793" s="95" t="s">
        <v>2910</v>
      </c>
      <c r="F793" s="95" t="s">
        <v>437</v>
      </c>
      <c r="G793" s="223">
        <v>44978</v>
      </c>
      <c r="H793" s="223">
        <v>45031</v>
      </c>
      <c r="I793" s="223">
        <v>46857</v>
      </c>
      <c r="J793" s="3">
        <v>5</v>
      </c>
      <c r="K793" s="3" t="s">
        <v>6</v>
      </c>
      <c r="L793" s="3" t="s">
        <v>6</v>
      </c>
      <c r="M793" s="95" t="s">
        <v>136</v>
      </c>
      <c r="N793" s="3" t="s">
        <v>138</v>
      </c>
      <c r="O793" s="3" t="s">
        <v>8</v>
      </c>
      <c r="P793" s="3" t="s">
        <v>6</v>
      </c>
      <c r="Q793" s="3" t="s">
        <v>6</v>
      </c>
      <c r="R793" s="95" t="s">
        <v>9</v>
      </c>
      <c r="S793" s="223">
        <v>44333</v>
      </c>
      <c r="T793" s="223">
        <v>44333</v>
      </c>
      <c r="U793" s="223">
        <v>44333</v>
      </c>
      <c r="V793" s="223">
        <v>44333</v>
      </c>
      <c r="W793" s="223" t="s">
        <v>6</v>
      </c>
      <c r="X793" s="3" t="s">
        <v>26</v>
      </c>
      <c r="Y793" s="3" t="s">
        <v>2248</v>
      </c>
      <c r="Z793" s="3" t="s">
        <v>2249</v>
      </c>
      <c r="AA793" s="3" t="s">
        <v>6</v>
      </c>
      <c r="AB793" s="223">
        <v>44862</v>
      </c>
      <c r="AC793" s="3" t="s">
        <v>6</v>
      </c>
      <c r="AD793" s="3" t="s">
        <v>10</v>
      </c>
      <c r="AE793" s="95" t="s">
        <v>2263</v>
      </c>
    </row>
    <row r="794" spans="1:31" x14ac:dyDescent="0.35">
      <c r="A794" s="3" t="s">
        <v>367</v>
      </c>
      <c r="B794" s="3" t="s">
        <v>368</v>
      </c>
      <c r="C794" s="3">
        <v>6</v>
      </c>
      <c r="D794" s="95" t="s">
        <v>3170</v>
      </c>
      <c r="E794" s="95" t="s">
        <v>422</v>
      </c>
      <c r="F794" s="95" t="s">
        <v>437</v>
      </c>
      <c r="G794" s="223">
        <v>44455</v>
      </c>
      <c r="H794" s="223">
        <v>44500</v>
      </c>
      <c r="I794" s="223">
        <v>46326</v>
      </c>
      <c r="J794" s="3">
        <v>0</v>
      </c>
      <c r="K794" s="3" t="s">
        <v>6</v>
      </c>
      <c r="L794" s="3" t="s">
        <v>6</v>
      </c>
      <c r="M794" s="95" t="s">
        <v>19</v>
      </c>
      <c r="N794" s="3" t="s">
        <v>20</v>
      </c>
      <c r="O794" s="3" t="s">
        <v>21</v>
      </c>
      <c r="P794" s="3" t="s">
        <v>6</v>
      </c>
      <c r="Q794" s="3" t="s">
        <v>6</v>
      </c>
      <c r="R794" s="95" t="s">
        <v>22</v>
      </c>
      <c r="S794" s="223">
        <v>43675</v>
      </c>
      <c r="T794" s="223">
        <v>43756</v>
      </c>
      <c r="U794" s="223">
        <v>43647</v>
      </c>
      <c r="V794" s="223">
        <v>43647</v>
      </c>
      <c r="W794" s="223" t="s">
        <v>6</v>
      </c>
      <c r="X794" s="3" t="s">
        <v>26</v>
      </c>
      <c r="Y794" s="3" t="s">
        <v>2116</v>
      </c>
      <c r="Z794" s="3" t="s">
        <v>20</v>
      </c>
      <c r="AA794" s="3" t="s">
        <v>6</v>
      </c>
      <c r="AB794" s="223">
        <v>44442</v>
      </c>
      <c r="AC794" s="3" t="s">
        <v>10</v>
      </c>
      <c r="AD794" s="3" t="s">
        <v>10</v>
      </c>
      <c r="AE794" s="95" t="s">
        <v>2263</v>
      </c>
    </row>
    <row r="795" spans="1:31" x14ac:dyDescent="0.35">
      <c r="A795" s="3" t="s">
        <v>1627</v>
      </c>
      <c r="B795" s="3" t="s">
        <v>368</v>
      </c>
      <c r="C795" s="3">
        <v>6</v>
      </c>
      <c r="D795" s="95" t="s">
        <v>1628</v>
      </c>
      <c r="E795" s="95" t="s">
        <v>1629</v>
      </c>
      <c r="F795" s="95" t="s">
        <v>2586</v>
      </c>
      <c r="G795" s="223">
        <v>44497</v>
      </c>
      <c r="H795" s="223">
        <v>44507</v>
      </c>
      <c r="I795" s="223">
        <v>46332</v>
      </c>
      <c r="J795" s="3">
        <v>891</v>
      </c>
      <c r="K795" s="3" t="s">
        <v>10</v>
      </c>
      <c r="L795" s="3" t="s">
        <v>10</v>
      </c>
      <c r="M795" s="95" t="s">
        <v>230</v>
      </c>
      <c r="N795" s="3" t="s">
        <v>28</v>
      </c>
      <c r="O795" s="3" t="s">
        <v>651</v>
      </c>
      <c r="P795" s="3" t="s">
        <v>6</v>
      </c>
      <c r="Q795" s="3" t="s">
        <v>6</v>
      </c>
      <c r="R795" s="95" t="s">
        <v>652</v>
      </c>
      <c r="S795" s="223" t="s">
        <v>5</v>
      </c>
      <c r="T795" s="223" t="s">
        <v>5</v>
      </c>
      <c r="U795" s="223" t="s">
        <v>5</v>
      </c>
      <c r="V795" s="223" t="s">
        <v>5</v>
      </c>
      <c r="W795" s="223" t="s">
        <v>5</v>
      </c>
      <c r="X795" s="3" t="s">
        <v>5</v>
      </c>
      <c r="Y795" s="3" t="s">
        <v>651</v>
      </c>
      <c r="Z795" s="3" t="s">
        <v>651</v>
      </c>
      <c r="AA795" s="3" t="s">
        <v>10</v>
      </c>
      <c r="AB795" s="223" t="s">
        <v>5</v>
      </c>
      <c r="AC795" s="3" t="s">
        <v>6</v>
      </c>
      <c r="AD795" s="3" t="s">
        <v>10</v>
      </c>
      <c r="AE795" s="95" t="s">
        <v>2263</v>
      </c>
    </row>
    <row r="796" spans="1:31" x14ac:dyDescent="0.35">
      <c r="A796" s="3" t="s">
        <v>1630</v>
      </c>
      <c r="B796" s="3" t="s">
        <v>368</v>
      </c>
      <c r="C796" s="3">
        <v>6</v>
      </c>
      <c r="D796" s="95" t="s">
        <v>1631</v>
      </c>
      <c r="E796" s="95" t="s">
        <v>1632</v>
      </c>
      <c r="F796" s="95" t="s">
        <v>4</v>
      </c>
      <c r="G796" s="223">
        <v>44292</v>
      </c>
      <c r="H796" s="223">
        <v>44304</v>
      </c>
      <c r="I796" s="223">
        <v>46129</v>
      </c>
      <c r="J796" s="3">
        <v>40</v>
      </c>
      <c r="K796" s="3" t="s">
        <v>10</v>
      </c>
      <c r="L796" s="3" t="s">
        <v>10</v>
      </c>
      <c r="M796" s="95" t="s">
        <v>109</v>
      </c>
      <c r="N796" s="3" t="s">
        <v>110</v>
      </c>
      <c r="O796" s="3" t="s">
        <v>651</v>
      </c>
      <c r="P796" s="3" t="s">
        <v>6</v>
      </c>
      <c r="Q796" s="3" t="s">
        <v>6</v>
      </c>
      <c r="R796" s="95" t="s">
        <v>652</v>
      </c>
      <c r="S796" s="223" t="s">
        <v>5</v>
      </c>
      <c r="T796" s="223" t="s">
        <v>5</v>
      </c>
      <c r="U796" s="223" t="s">
        <v>5</v>
      </c>
      <c r="V796" s="223" t="s">
        <v>5</v>
      </c>
      <c r="W796" s="223" t="s">
        <v>5</v>
      </c>
      <c r="X796" s="3" t="s">
        <v>5</v>
      </c>
      <c r="Y796" s="3" t="s">
        <v>651</v>
      </c>
      <c r="Z796" s="3" t="s">
        <v>651</v>
      </c>
      <c r="AA796" s="3" t="s">
        <v>10</v>
      </c>
      <c r="AB796" s="223" t="s">
        <v>5</v>
      </c>
      <c r="AC796" s="3" t="s">
        <v>6</v>
      </c>
      <c r="AD796" s="3" t="s">
        <v>10</v>
      </c>
      <c r="AE796" s="95" t="s">
        <v>2263</v>
      </c>
    </row>
    <row r="797" spans="1:31" x14ac:dyDescent="0.35">
      <c r="A797" s="3" t="s">
        <v>1633</v>
      </c>
      <c r="B797" s="3" t="s">
        <v>368</v>
      </c>
      <c r="C797" s="3">
        <v>6</v>
      </c>
      <c r="D797" s="95" t="s">
        <v>1634</v>
      </c>
      <c r="E797" s="95" t="s">
        <v>1635</v>
      </c>
      <c r="F797" s="95" t="s">
        <v>4</v>
      </c>
      <c r="G797" s="223">
        <v>40947</v>
      </c>
      <c r="H797" s="223">
        <v>40947</v>
      </c>
      <c r="I797" s="223">
        <v>42773</v>
      </c>
      <c r="J797" s="3">
        <v>2</v>
      </c>
      <c r="K797" s="3" t="s">
        <v>10</v>
      </c>
      <c r="L797" s="3" t="s">
        <v>10</v>
      </c>
      <c r="M797" s="95" t="s">
        <v>11</v>
      </c>
      <c r="N797" s="3" t="s">
        <v>7</v>
      </c>
      <c r="O797" s="3" t="s">
        <v>651</v>
      </c>
      <c r="P797" s="3" t="s">
        <v>6</v>
      </c>
      <c r="Q797" s="3" t="s">
        <v>6</v>
      </c>
      <c r="R797" s="95" t="s">
        <v>652</v>
      </c>
      <c r="S797" s="223" t="s">
        <v>5</v>
      </c>
      <c r="T797" s="223" t="s">
        <v>5</v>
      </c>
      <c r="U797" s="223" t="s">
        <v>5</v>
      </c>
      <c r="V797" s="223" t="s">
        <v>5</v>
      </c>
      <c r="W797" s="223" t="s">
        <v>5</v>
      </c>
      <c r="X797" s="3" t="s">
        <v>5</v>
      </c>
      <c r="Y797" s="3" t="s">
        <v>651</v>
      </c>
      <c r="Z797" s="3" t="s">
        <v>651</v>
      </c>
      <c r="AA797" s="3" t="s">
        <v>10</v>
      </c>
      <c r="AB797" s="223" t="s">
        <v>5</v>
      </c>
      <c r="AC797" s="3" t="s">
        <v>6</v>
      </c>
      <c r="AD797" s="3" t="s">
        <v>10</v>
      </c>
      <c r="AE797" s="95" t="s">
        <v>2265</v>
      </c>
    </row>
    <row r="798" spans="1:31" x14ac:dyDescent="0.35">
      <c r="A798" s="3" t="s">
        <v>1636</v>
      </c>
      <c r="B798" s="3" t="s">
        <v>368</v>
      </c>
      <c r="C798" s="3">
        <v>6</v>
      </c>
      <c r="D798" s="95" t="s">
        <v>1637</v>
      </c>
      <c r="E798" s="95" t="s">
        <v>1635</v>
      </c>
      <c r="F798" s="95" t="s">
        <v>4</v>
      </c>
      <c r="G798" s="223">
        <v>41121</v>
      </c>
      <c r="H798" s="223">
        <v>41121</v>
      </c>
      <c r="I798" s="223">
        <v>42946</v>
      </c>
      <c r="J798" s="3">
        <v>14</v>
      </c>
      <c r="K798" s="3" t="s">
        <v>10</v>
      </c>
      <c r="L798" s="3" t="s">
        <v>10</v>
      </c>
      <c r="M798" s="95" t="s">
        <v>11</v>
      </c>
      <c r="N798" s="3" t="s">
        <v>7</v>
      </c>
      <c r="O798" s="3" t="s">
        <v>651</v>
      </c>
      <c r="P798" s="3" t="s">
        <v>6</v>
      </c>
      <c r="Q798" s="3" t="s">
        <v>6</v>
      </c>
      <c r="R798" s="95" t="s">
        <v>652</v>
      </c>
      <c r="S798" s="223" t="s">
        <v>5</v>
      </c>
      <c r="T798" s="223" t="s">
        <v>5</v>
      </c>
      <c r="U798" s="223" t="s">
        <v>5</v>
      </c>
      <c r="V798" s="223" t="s">
        <v>5</v>
      </c>
      <c r="W798" s="223" t="s">
        <v>5</v>
      </c>
      <c r="X798" s="3" t="s">
        <v>5</v>
      </c>
      <c r="Y798" s="3" t="s">
        <v>651</v>
      </c>
      <c r="Z798" s="3" t="s">
        <v>651</v>
      </c>
      <c r="AA798" s="3" t="s">
        <v>10</v>
      </c>
      <c r="AB798" s="223" t="s">
        <v>5</v>
      </c>
      <c r="AC798" s="3" t="s">
        <v>6</v>
      </c>
      <c r="AD798" s="3" t="s">
        <v>10</v>
      </c>
      <c r="AE798" s="95" t="s">
        <v>2265</v>
      </c>
    </row>
    <row r="799" spans="1:31" x14ac:dyDescent="0.35">
      <c r="A799" s="3" t="s">
        <v>1638</v>
      </c>
      <c r="B799" s="3" t="s">
        <v>368</v>
      </c>
      <c r="C799" s="3">
        <v>6</v>
      </c>
      <c r="D799" s="95" t="s">
        <v>1639</v>
      </c>
      <c r="E799" s="95" t="s">
        <v>1640</v>
      </c>
      <c r="F799" s="95" t="s">
        <v>4</v>
      </c>
      <c r="G799" s="223">
        <v>44819</v>
      </c>
      <c r="H799" s="223">
        <v>44859</v>
      </c>
      <c r="I799" s="223">
        <v>46684</v>
      </c>
      <c r="J799" s="3">
        <v>23</v>
      </c>
      <c r="K799" s="3" t="s">
        <v>10</v>
      </c>
      <c r="L799" s="3" t="s">
        <v>10</v>
      </c>
      <c r="M799" s="95" t="s">
        <v>933</v>
      </c>
      <c r="N799" s="3" t="s">
        <v>28</v>
      </c>
      <c r="O799" s="3" t="s">
        <v>651</v>
      </c>
      <c r="P799" s="3" t="s">
        <v>6</v>
      </c>
      <c r="Q799" s="3" t="s">
        <v>6</v>
      </c>
      <c r="R799" s="95" t="s">
        <v>652</v>
      </c>
      <c r="S799" s="223" t="s">
        <v>5</v>
      </c>
      <c r="T799" s="223" t="s">
        <v>5</v>
      </c>
      <c r="U799" s="223" t="s">
        <v>5</v>
      </c>
      <c r="V799" s="223" t="s">
        <v>5</v>
      </c>
      <c r="W799" s="223" t="s">
        <v>5</v>
      </c>
      <c r="X799" s="3" t="s">
        <v>5</v>
      </c>
      <c r="Y799" s="3" t="s">
        <v>651</v>
      </c>
      <c r="Z799" s="3" t="s">
        <v>651</v>
      </c>
      <c r="AA799" s="3" t="s">
        <v>10</v>
      </c>
      <c r="AB799" s="223" t="s">
        <v>5</v>
      </c>
      <c r="AC799" s="3" t="s">
        <v>6</v>
      </c>
      <c r="AD799" s="3" t="s">
        <v>10</v>
      </c>
      <c r="AE799" s="95" t="s">
        <v>2263</v>
      </c>
    </row>
    <row r="800" spans="1:31" x14ac:dyDescent="0.35">
      <c r="A800" s="3" t="s">
        <v>1641</v>
      </c>
      <c r="B800" s="3" t="s">
        <v>368</v>
      </c>
      <c r="C800" s="3">
        <v>6</v>
      </c>
      <c r="D800" s="95" t="s">
        <v>1642</v>
      </c>
      <c r="E800" s="95" t="s">
        <v>1635</v>
      </c>
      <c r="F800" s="95" t="s">
        <v>4</v>
      </c>
      <c r="G800" s="223">
        <v>43861</v>
      </c>
      <c r="H800" s="223" t="s">
        <v>5</v>
      </c>
      <c r="I800" s="223">
        <v>45687</v>
      </c>
      <c r="J800" s="3">
        <v>20</v>
      </c>
      <c r="K800" s="3" t="s">
        <v>10</v>
      </c>
      <c r="L800" s="3" t="s">
        <v>10</v>
      </c>
      <c r="M800" s="95" t="s">
        <v>11</v>
      </c>
      <c r="N800" s="3" t="s">
        <v>7</v>
      </c>
      <c r="O800" s="3" t="s">
        <v>651</v>
      </c>
      <c r="P800" s="3" t="s">
        <v>6</v>
      </c>
      <c r="Q800" s="3" t="s">
        <v>6</v>
      </c>
      <c r="R800" s="95" t="s">
        <v>652</v>
      </c>
      <c r="S800" s="223" t="s">
        <v>5</v>
      </c>
      <c r="T800" s="223" t="s">
        <v>5</v>
      </c>
      <c r="U800" s="223" t="s">
        <v>5</v>
      </c>
      <c r="V800" s="223" t="s">
        <v>5</v>
      </c>
      <c r="W800" s="223" t="s">
        <v>5</v>
      </c>
      <c r="X800" s="3" t="s">
        <v>5</v>
      </c>
      <c r="Y800" s="3" t="s">
        <v>651</v>
      </c>
      <c r="Z800" s="3" t="s">
        <v>651</v>
      </c>
      <c r="AA800" s="3" t="s">
        <v>10</v>
      </c>
      <c r="AB800" s="223" t="s">
        <v>5</v>
      </c>
      <c r="AC800" s="3" t="s">
        <v>6</v>
      </c>
      <c r="AD800" s="3" t="s">
        <v>10</v>
      </c>
      <c r="AE800" s="95" t="s">
        <v>2265</v>
      </c>
    </row>
    <row r="801" spans="1:31" x14ac:dyDescent="0.35">
      <c r="A801" s="3" t="s">
        <v>1643</v>
      </c>
      <c r="B801" s="3" t="s">
        <v>368</v>
      </c>
      <c r="C801" s="3">
        <v>6</v>
      </c>
      <c r="D801" s="95" t="s">
        <v>1644</v>
      </c>
      <c r="E801" s="95" t="s">
        <v>1645</v>
      </c>
      <c r="F801" s="95" t="s">
        <v>4</v>
      </c>
      <c r="G801" s="223">
        <v>43553</v>
      </c>
      <c r="H801" s="223">
        <v>43553</v>
      </c>
      <c r="I801" s="223">
        <v>45379</v>
      </c>
      <c r="J801" s="3">
        <v>6</v>
      </c>
      <c r="K801" s="3" t="s">
        <v>10</v>
      </c>
      <c r="L801" s="3" t="s">
        <v>10</v>
      </c>
      <c r="M801" s="95" t="s">
        <v>114</v>
      </c>
      <c r="N801" s="3" t="s">
        <v>115</v>
      </c>
      <c r="O801" s="3" t="s">
        <v>651</v>
      </c>
      <c r="P801" s="3" t="s">
        <v>6</v>
      </c>
      <c r="Q801" s="3" t="s">
        <v>6</v>
      </c>
      <c r="R801" s="95" t="s">
        <v>652</v>
      </c>
      <c r="S801" s="223" t="s">
        <v>5</v>
      </c>
      <c r="T801" s="223" t="s">
        <v>5</v>
      </c>
      <c r="U801" s="223" t="s">
        <v>5</v>
      </c>
      <c r="V801" s="223" t="s">
        <v>5</v>
      </c>
      <c r="W801" s="223" t="s">
        <v>5</v>
      </c>
      <c r="X801" s="3" t="s">
        <v>5</v>
      </c>
      <c r="Y801" s="3" t="s">
        <v>651</v>
      </c>
      <c r="Z801" s="3" t="s">
        <v>651</v>
      </c>
      <c r="AA801" s="3" t="s">
        <v>10</v>
      </c>
      <c r="AB801" s="223" t="s">
        <v>5</v>
      </c>
      <c r="AC801" s="3" t="s">
        <v>6</v>
      </c>
      <c r="AD801" s="3" t="s">
        <v>10</v>
      </c>
      <c r="AE801" s="95" t="s">
        <v>2263</v>
      </c>
    </row>
    <row r="802" spans="1:31" x14ac:dyDescent="0.35">
      <c r="A802" s="3" t="s">
        <v>1646</v>
      </c>
      <c r="B802" s="3" t="s">
        <v>368</v>
      </c>
      <c r="C802" s="3">
        <v>6</v>
      </c>
      <c r="D802" s="95" t="s">
        <v>1647</v>
      </c>
      <c r="E802" s="95" t="s">
        <v>2587</v>
      </c>
      <c r="F802" s="95" t="s">
        <v>4</v>
      </c>
      <c r="G802" s="223">
        <v>43489</v>
      </c>
      <c r="H802" s="223">
        <v>43495</v>
      </c>
      <c r="I802" s="223">
        <v>45320</v>
      </c>
      <c r="J802" s="3">
        <v>0</v>
      </c>
      <c r="K802" s="3" t="s">
        <v>10</v>
      </c>
      <c r="L802" s="3" t="s">
        <v>10</v>
      </c>
      <c r="M802" s="95" t="s">
        <v>131</v>
      </c>
      <c r="N802" s="3" t="s">
        <v>268</v>
      </c>
      <c r="O802" s="3" t="s">
        <v>651</v>
      </c>
      <c r="P802" s="3" t="s">
        <v>6</v>
      </c>
      <c r="Q802" s="3" t="s">
        <v>6</v>
      </c>
      <c r="R802" s="95" t="s">
        <v>652</v>
      </c>
      <c r="S802" s="223" t="s">
        <v>5</v>
      </c>
      <c r="T802" s="223" t="s">
        <v>5</v>
      </c>
      <c r="U802" s="223" t="s">
        <v>5</v>
      </c>
      <c r="V802" s="223" t="s">
        <v>5</v>
      </c>
      <c r="W802" s="223" t="s">
        <v>5</v>
      </c>
      <c r="X802" s="3" t="s">
        <v>5</v>
      </c>
      <c r="Y802" s="3" t="s">
        <v>651</v>
      </c>
      <c r="Z802" s="3" t="s">
        <v>651</v>
      </c>
      <c r="AA802" s="3" t="s">
        <v>10</v>
      </c>
      <c r="AB802" s="223" t="s">
        <v>5</v>
      </c>
      <c r="AC802" s="3" t="s">
        <v>6</v>
      </c>
      <c r="AD802" s="3" t="s">
        <v>10</v>
      </c>
      <c r="AE802" s="95" t="s">
        <v>2263</v>
      </c>
    </row>
    <row r="803" spans="1:31" x14ac:dyDescent="0.35">
      <c r="A803" s="3" t="s">
        <v>2588</v>
      </c>
      <c r="B803" s="3" t="s">
        <v>368</v>
      </c>
      <c r="C803" s="3">
        <v>6</v>
      </c>
      <c r="D803" s="95" t="s">
        <v>2589</v>
      </c>
      <c r="E803" s="95" t="s">
        <v>2590</v>
      </c>
      <c r="F803" s="95" t="s">
        <v>5</v>
      </c>
      <c r="G803" s="223">
        <v>44116</v>
      </c>
      <c r="H803" s="223">
        <v>44136</v>
      </c>
      <c r="I803" s="223">
        <v>45942</v>
      </c>
      <c r="J803" s="3">
        <v>22</v>
      </c>
      <c r="K803" s="3" t="s">
        <v>10</v>
      </c>
      <c r="L803" s="3" t="s">
        <v>10</v>
      </c>
      <c r="M803" s="95" t="s">
        <v>116</v>
      </c>
      <c r="N803" s="3" t="s">
        <v>117</v>
      </c>
      <c r="O803" s="3" t="s">
        <v>651</v>
      </c>
      <c r="P803" s="3" t="s">
        <v>6</v>
      </c>
      <c r="Q803" s="3" t="s">
        <v>6</v>
      </c>
      <c r="R803" s="95" t="s">
        <v>652</v>
      </c>
      <c r="S803" s="223" t="s">
        <v>5</v>
      </c>
      <c r="T803" s="223" t="s">
        <v>5</v>
      </c>
      <c r="U803" s="223" t="s">
        <v>5</v>
      </c>
      <c r="V803" s="223" t="s">
        <v>5</v>
      </c>
      <c r="W803" s="223" t="s">
        <v>5</v>
      </c>
      <c r="X803" s="3" t="s">
        <v>5</v>
      </c>
      <c r="Y803" s="3" t="s">
        <v>651</v>
      </c>
      <c r="Z803" s="3" t="s">
        <v>651</v>
      </c>
      <c r="AA803" s="3" t="s">
        <v>10</v>
      </c>
      <c r="AB803" s="223" t="s">
        <v>5</v>
      </c>
      <c r="AC803" s="3" t="s">
        <v>6</v>
      </c>
      <c r="AD803" s="3" t="s">
        <v>10</v>
      </c>
      <c r="AE803" s="95" t="s">
        <v>2263</v>
      </c>
    </row>
    <row r="804" spans="1:31" x14ac:dyDescent="0.35">
      <c r="A804" s="3" t="s">
        <v>1648</v>
      </c>
      <c r="B804" s="3" t="s">
        <v>368</v>
      </c>
      <c r="C804" s="3">
        <v>6</v>
      </c>
      <c r="D804" s="95" t="s">
        <v>1649</v>
      </c>
      <c r="E804" s="95" t="s">
        <v>1650</v>
      </c>
      <c r="F804" s="95" t="s">
        <v>2586</v>
      </c>
      <c r="G804" s="223">
        <v>43900</v>
      </c>
      <c r="H804" s="223">
        <v>43926</v>
      </c>
      <c r="I804" s="223">
        <v>45751</v>
      </c>
      <c r="J804" s="3">
        <v>131</v>
      </c>
      <c r="K804" s="3" t="s">
        <v>10</v>
      </c>
      <c r="L804" s="3" t="s">
        <v>10</v>
      </c>
      <c r="M804" s="95" t="s">
        <v>136</v>
      </c>
      <c r="N804" s="3" t="s">
        <v>138</v>
      </c>
      <c r="O804" s="3" t="s">
        <v>651</v>
      </c>
      <c r="P804" s="3" t="s">
        <v>6</v>
      </c>
      <c r="Q804" s="3" t="s">
        <v>6</v>
      </c>
      <c r="R804" s="95" t="s">
        <v>652</v>
      </c>
      <c r="S804" s="223" t="s">
        <v>5</v>
      </c>
      <c r="T804" s="223" t="s">
        <v>5</v>
      </c>
      <c r="U804" s="223" t="s">
        <v>5</v>
      </c>
      <c r="V804" s="223" t="s">
        <v>5</v>
      </c>
      <c r="W804" s="223" t="s">
        <v>5</v>
      </c>
      <c r="X804" s="3" t="s">
        <v>5</v>
      </c>
      <c r="Y804" s="3" t="s">
        <v>651</v>
      </c>
      <c r="Z804" s="3" t="s">
        <v>651</v>
      </c>
      <c r="AA804" s="3" t="s">
        <v>10</v>
      </c>
      <c r="AB804" s="223" t="s">
        <v>5</v>
      </c>
      <c r="AC804" s="3" t="s">
        <v>10</v>
      </c>
      <c r="AD804" s="3" t="s">
        <v>10</v>
      </c>
      <c r="AE804" s="95" t="s">
        <v>2263</v>
      </c>
    </row>
    <row r="805" spans="1:31" x14ac:dyDescent="0.35">
      <c r="A805" s="3" t="s">
        <v>1651</v>
      </c>
      <c r="B805" s="3" t="s">
        <v>368</v>
      </c>
      <c r="C805" s="3">
        <v>6</v>
      </c>
      <c r="D805" s="95" t="s">
        <v>1652</v>
      </c>
      <c r="E805" s="95" t="s">
        <v>1653</v>
      </c>
      <c r="F805" s="95" t="s">
        <v>4</v>
      </c>
      <c r="G805" s="223">
        <v>45181</v>
      </c>
      <c r="H805" s="223">
        <v>45200</v>
      </c>
      <c r="I805" s="223">
        <v>47008</v>
      </c>
      <c r="J805" s="3">
        <v>44</v>
      </c>
      <c r="K805" s="3" t="s">
        <v>10</v>
      </c>
      <c r="L805" s="3" t="s">
        <v>10</v>
      </c>
      <c r="M805" s="95" t="s">
        <v>201</v>
      </c>
      <c r="N805" s="3" t="s">
        <v>68</v>
      </c>
      <c r="O805" s="3" t="s">
        <v>651</v>
      </c>
      <c r="P805" s="3" t="s">
        <v>6</v>
      </c>
      <c r="Q805" s="3" t="s">
        <v>6</v>
      </c>
      <c r="R805" s="95" t="s">
        <v>652</v>
      </c>
      <c r="S805" s="223" t="s">
        <v>5</v>
      </c>
      <c r="T805" s="223" t="s">
        <v>5</v>
      </c>
      <c r="U805" s="223" t="s">
        <v>5</v>
      </c>
      <c r="V805" s="223" t="s">
        <v>5</v>
      </c>
      <c r="W805" s="223" t="s">
        <v>5</v>
      </c>
      <c r="X805" s="3" t="s">
        <v>5</v>
      </c>
      <c r="Y805" s="3" t="s">
        <v>651</v>
      </c>
      <c r="Z805" s="3" t="s">
        <v>651</v>
      </c>
      <c r="AA805" s="3" t="s">
        <v>10</v>
      </c>
      <c r="AB805" s="223" t="s">
        <v>5</v>
      </c>
      <c r="AC805" s="3" t="s">
        <v>6</v>
      </c>
      <c r="AD805" s="3" t="s">
        <v>10</v>
      </c>
      <c r="AE805" s="95" t="s">
        <v>2263</v>
      </c>
    </row>
    <row r="806" spans="1:31" x14ac:dyDescent="0.35">
      <c r="A806" s="3" t="s">
        <v>1654</v>
      </c>
      <c r="B806" s="3" t="s">
        <v>368</v>
      </c>
      <c r="C806" s="3">
        <v>6</v>
      </c>
      <c r="D806" s="95" t="s">
        <v>1655</v>
      </c>
      <c r="E806" s="95" t="s">
        <v>1656</v>
      </c>
      <c r="F806" s="95" t="s">
        <v>2586</v>
      </c>
      <c r="G806" s="223">
        <v>44497</v>
      </c>
      <c r="H806" s="223">
        <v>44502</v>
      </c>
      <c r="I806" s="223">
        <v>46327</v>
      </c>
      <c r="J806" s="3">
        <v>392</v>
      </c>
      <c r="K806" s="3" t="s">
        <v>10</v>
      </c>
      <c r="L806" s="3" t="s">
        <v>10</v>
      </c>
      <c r="M806" s="95" t="s">
        <v>19</v>
      </c>
      <c r="N806" s="3" t="s">
        <v>20</v>
      </c>
      <c r="O806" s="3" t="s">
        <v>651</v>
      </c>
      <c r="P806" s="3" t="s">
        <v>6</v>
      </c>
      <c r="Q806" s="3" t="s">
        <v>6</v>
      </c>
      <c r="R806" s="95" t="s">
        <v>652</v>
      </c>
      <c r="S806" s="223" t="s">
        <v>5</v>
      </c>
      <c r="T806" s="223" t="s">
        <v>5</v>
      </c>
      <c r="U806" s="223" t="s">
        <v>5</v>
      </c>
      <c r="V806" s="223" t="s">
        <v>5</v>
      </c>
      <c r="W806" s="223" t="s">
        <v>5</v>
      </c>
      <c r="X806" s="3" t="s">
        <v>5</v>
      </c>
      <c r="Y806" s="3" t="s">
        <v>651</v>
      </c>
      <c r="Z806" s="3" t="s">
        <v>651</v>
      </c>
      <c r="AA806" s="3" t="s">
        <v>10</v>
      </c>
      <c r="AB806" s="223" t="s">
        <v>5</v>
      </c>
      <c r="AC806" s="3" t="s">
        <v>10</v>
      </c>
      <c r="AD806" s="3" t="s">
        <v>10</v>
      </c>
      <c r="AE806" s="95" t="s">
        <v>2263</v>
      </c>
    </row>
    <row r="807" spans="1:31" x14ac:dyDescent="0.35">
      <c r="A807" s="3" t="s">
        <v>1657</v>
      </c>
      <c r="B807" s="3" t="s">
        <v>368</v>
      </c>
      <c r="C807" s="3">
        <v>6</v>
      </c>
      <c r="D807" s="95" t="s">
        <v>315</v>
      </c>
      <c r="E807" s="95" t="s">
        <v>1658</v>
      </c>
      <c r="F807" s="95" t="s">
        <v>2586</v>
      </c>
      <c r="G807" s="223">
        <v>45489</v>
      </c>
      <c r="H807" s="223">
        <v>45493</v>
      </c>
      <c r="I807" s="223">
        <v>47318</v>
      </c>
      <c r="J807" s="3">
        <v>655</v>
      </c>
      <c r="K807" s="3" t="s">
        <v>10</v>
      </c>
      <c r="L807" s="3" t="s">
        <v>10</v>
      </c>
      <c r="M807" s="95" t="s">
        <v>105</v>
      </c>
      <c r="N807" s="3" t="s">
        <v>106</v>
      </c>
      <c r="O807" s="3" t="s">
        <v>651</v>
      </c>
      <c r="P807" s="3" t="s">
        <v>6</v>
      </c>
      <c r="Q807" s="3" t="s">
        <v>6</v>
      </c>
      <c r="R807" s="95" t="s">
        <v>652</v>
      </c>
      <c r="S807" s="223" t="s">
        <v>5</v>
      </c>
      <c r="T807" s="223" t="s">
        <v>5</v>
      </c>
      <c r="U807" s="223" t="s">
        <v>5</v>
      </c>
      <c r="V807" s="223" t="s">
        <v>5</v>
      </c>
      <c r="W807" s="223" t="s">
        <v>5</v>
      </c>
      <c r="X807" s="3" t="s">
        <v>5</v>
      </c>
      <c r="Y807" s="3" t="s">
        <v>651</v>
      </c>
      <c r="Z807" s="3" t="s">
        <v>651</v>
      </c>
      <c r="AA807" s="3" t="s">
        <v>10</v>
      </c>
      <c r="AB807" s="223" t="s">
        <v>5</v>
      </c>
      <c r="AC807" s="3" t="s">
        <v>10</v>
      </c>
      <c r="AD807" s="3" t="s">
        <v>6</v>
      </c>
      <c r="AE807" s="95" t="s">
        <v>2263</v>
      </c>
    </row>
    <row r="808" spans="1:31" x14ac:dyDescent="0.35">
      <c r="A808" s="3" t="s">
        <v>2014</v>
      </c>
      <c r="B808" s="3" t="s">
        <v>368</v>
      </c>
      <c r="C808" s="3">
        <v>6</v>
      </c>
      <c r="D808" s="95" t="s">
        <v>2015</v>
      </c>
      <c r="E808" s="95" t="s">
        <v>2272</v>
      </c>
      <c r="F808" s="95" t="s">
        <v>437</v>
      </c>
      <c r="G808" s="223">
        <v>44211</v>
      </c>
      <c r="H808" s="223">
        <v>44256</v>
      </c>
      <c r="I808" s="223">
        <v>46081</v>
      </c>
      <c r="J808" s="3">
        <v>26</v>
      </c>
      <c r="K808" s="3" t="s">
        <v>6</v>
      </c>
      <c r="L808" s="3" t="s">
        <v>6</v>
      </c>
      <c r="M808" s="95" t="s">
        <v>27</v>
      </c>
      <c r="N808" s="3" t="s">
        <v>28</v>
      </c>
      <c r="O808" s="3" t="s">
        <v>25</v>
      </c>
      <c r="P808" s="3" t="s">
        <v>6</v>
      </c>
      <c r="Q808" s="3" t="s">
        <v>6</v>
      </c>
      <c r="R808" s="95" t="s">
        <v>9</v>
      </c>
      <c r="S808" s="223">
        <v>43374</v>
      </c>
      <c r="T808" s="223">
        <v>43553</v>
      </c>
      <c r="U808" s="223">
        <v>43009</v>
      </c>
      <c r="V808" s="223">
        <v>43009</v>
      </c>
      <c r="W808" s="223" t="s">
        <v>6</v>
      </c>
      <c r="X808" s="3" t="s">
        <v>26</v>
      </c>
      <c r="Y808" s="3" t="s">
        <v>2100</v>
      </c>
      <c r="Z808" s="3" t="s">
        <v>28</v>
      </c>
      <c r="AA808" s="3" t="s">
        <v>6</v>
      </c>
      <c r="AB808" s="223">
        <v>42159</v>
      </c>
      <c r="AC808" s="3" t="s">
        <v>6</v>
      </c>
      <c r="AD808" s="3" t="s">
        <v>10</v>
      </c>
      <c r="AE808" s="95" t="s">
        <v>2263</v>
      </c>
    </row>
    <row r="809" spans="1:31" x14ac:dyDescent="0.35">
      <c r="A809" s="3" t="s">
        <v>2016</v>
      </c>
      <c r="B809" s="3" t="s">
        <v>368</v>
      </c>
      <c r="C809" s="3">
        <v>6</v>
      </c>
      <c r="D809" s="95" t="s">
        <v>2017</v>
      </c>
      <c r="E809" s="95" t="s">
        <v>2272</v>
      </c>
      <c r="F809" s="95" t="s">
        <v>437</v>
      </c>
      <c r="G809" s="223">
        <v>44211</v>
      </c>
      <c r="H809" s="223">
        <v>44256</v>
      </c>
      <c r="I809" s="223">
        <v>46081</v>
      </c>
      <c r="J809" s="3">
        <v>11</v>
      </c>
      <c r="K809" s="3" t="s">
        <v>6</v>
      </c>
      <c r="L809" s="3" t="s">
        <v>6</v>
      </c>
      <c r="M809" s="95" t="s">
        <v>27</v>
      </c>
      <c r="N809" s="3" t="s">
        <v>28</v>
      </c>
      <c r="O809" s="3" t="s">
        <v>25</v>
      </c>
      <c r="P809" s="3" t="s">
        <v>6</v>
      </c>
      <c r="Q809" s="3" t="s">
        <v>6</v>
      </c>
      <c r="R809" s="95" t="s">
        <v>9</v>
      </c>
      <c r="S809" s="223">
        <v>43374</v>
      </c>
      <c r="T809" s="223">
        <v>43553</v>
      </c>
      <c r="U809" s="223">
        <v>43009</v>
      </c>
      <c r="V809" s="223">
        <v>43009</v>
      </c>
      <c r="W809" s="223" t="s">
        <v>6</v>
      </c>
      <c r="X809" s="3" t="s">
        <v>26</v>
      </c>
      <c r="Y809" s="3" t="s">
        <v>2100</v>
      </c>
      <c r="Z809" s="3" t="s">
        <v>28</v>
      </c>
      <c r="AA809" s="3" t="s">
        <v>6</v>
      </c>
      <c r="AB809" s="223">
        <v>42159</v>
      </c>
      <c r="AC809" s="3" t="s">
        <v>6</v>
      </c>
      <c r="AD809" s="3" t="s">
        <v>10</v>
      </c>
      <c r="AE809" s="95" t="s">
        <v>2263</v>
      </c>
    </row>
    <row r="810" spans="1:31" x14ac:dyDescent="0.35">
      <c r="A810" s="3" t="s">
        <v>2018</v>
      </c>
      <c r="B810" s="3" t="s">
        <v>368</v>
      </c>
      <c r="C810" s="3">
        <v>6</v>
      </c>
      <c r="D810" s="95" t="s">
        <v>2019</v>
      </c>
      <c r="E810" s="95" t="s">
        <v>1912</v>
      </c>
      <c r="F810" s="95" t="s">
        <v>437</v>
      </c>
      <c r="G810" s="223">
        <v>42746</v>
      </c>
      <c r="H810" s="223">
        <v>42782</v>
      </c>
      <c r="I810" s="223">
        <v>44607</v>
      </c>
      <c r="J810" s="3">
        <v>2297</v>
      </c>
      <c r="K810" s="3" t="s">
        <v>6</v>
      </c>
      <c r="L810" s="3" t="s">
        <v>6</v>
      </c>
      <c r="M810" s="95" t="s">
        <v>23</v>
      </c>
      <c r="N810" s="3" t="s">
        <v>24</v>
      </c>
      <c r="O810" s="3" t="s">
        <v>25</v>
      </c>
      <c r="P810" s="3" t="s">
        <v>6</v>
      </c>
      <c r="Q810" s="3" t="s">
        <v>6</v>
      </c>
      <c r="R810" s="95" t="s">
        <v>22</v>
      </c>
      <c r="S810" s="223">
        <v>43374</v>
      </c>
      <c r="T810" s="223">
        <v>43497</v>
      </c>
      <c r="U810" s="223">
        <v>42644</v>
      </c>
      <c r="V810" s="223">
        <v>42644</v>
      </c>
      <c r="W810" s="223" t="s">
        <v>6</v>
      </c>
      <c r="X810" s="3" t="s">
        <v>26</v>
      </c>
      <c r="Y810" s="3" t="s">
        <v>2093</v>
      </c>
      <c r="Z810" s="3" t="s">
        <v>24</v>
      </c>
      <c r="AA810" s="3" t="s">
        <v>6</v>
      </c>
      <c r="AB810" s="223">
        <v>42782</v>
      </c>
      <c r="AC810" s="3" t="s">
        <v>10</v>
      </c>
      <c r="AD810" s="3" t="s">
        <v>10</v>
      </c>
      <c r="AE810" s="95" t="s">
        <v>2263</v>
      </c>
    </row>
    <row r="811" spans="1:31" x14ac:dyDescent="0.35">
      <c r="A811" s="3" t="s">
        <v>2020</v>
      </c>
      <c r="B811" s="3" t="s">
        <v>368</v>
      </c>
      <c r="C811" s="3">
        <v>6</v>
      </c>
      <c r="D811" s="95" t="s">
        <v>2021</v>
      </c>
      <c r="E811" s="95" t="s">
        <v>1912</v>
      </c>
      <c r="F811" s="95" t="s">
        <v>437</v>
      </c>
      <c r="G811" s="223">
        <v>44609</v>
      </c>
      <c r="H811" s="223">
        <v>44609</v>
      </c>
      <c r="I811" s="223">
        <v>46434</v>
      </c>
      <c r="J811" s="3">
        <v>25</v>
      </c>
      <c r="K811" s="3" t="s">
        <v>6</v>
      </c>
      <c r="L811" s="3" t="s">
        <v>6</v>
      </c>
      <c r="M811" s="95" t="s">
        <v>23</v>
      </c>
      <c r="N811" s="3" t="s">
        <v>24</v>
      </c>
      <c r="O811" s="3" t="s">
        <v>25</v>
      </c>
      <c r="P811" s="3" t="s">
        <v>6</v>
      </c>
      <c r="Q811" s="3" t="s">
        <v>6</v>
      </c>
      <c r="R811" s="95" t="s">
        <v>22</v>
      </c>
      <c r="S811" s="223">
        <v>43374</v>
      </c>
      <c r="T811" s="223">
        <v>43497</v>
      </c>
      <c r="U811" s="223">
        <v>42644</v>
      </c>
      <c r="V811" s="223">
        <v>42644</v>
      </c>
      <c r="W811" s="223" t="s">
        <v>6</v>
      </c>
      <c r="X811" s="3" t="s">
        <v>26</v>
      </c>
      <c r="Y811" s="3" t="s">
        <v>2093</v>
      </c>
      <c r="Z811" s="3" t="s">
        <v>24</v>
      </c>
      <c r="AA811" s="3" t="s">
        <v>6</v>
      </c>
      <c r="AB811" s="223">
        <v>42782</v>
      </c>
      <c r="AC811" s="3" t="s">
        <v>10</v>
      </c>
      <c r="AD811" s="3" t="s">
        <v>10</v>
      </c>
      <c r="AE811" s="95" t="s">
        <v>2263</v>
      </c>
    </row>
    <row r="812" spans="1:31" x14ac:dyDescent="0.35">
      <c r="A812" s="3" t="s">
        <v>1659</v>
      </c>
      <c r="B812" s="3" t="s">
        <v>368</v>
      </c>
      <c r="C812" s="3">
        <v>6</v>
      </c>
      <c r="D812" s="95" t="s">
        <v>1111</v>
      </c>
      <c r="E812" s="95" t="s">
        <v>1660</v>
      </c>
      <c r="F812" s="95" t="s">
        <v>437</v>
      </c>
      <c r="G812" s="223">
        <v>45519</v>
      </c>
      <c r="H812" s="223">
        <v>45519</v>
      </c>
      <c r="I812" s="223">
        <v>47344</v>
      </c>
      <c r="J812" s="3">
        <v>514</v>
      </c>
      <c r="K812" s="3" t="s">
        <v>10</v>
      </c>
      <c r="L812" s="3" t="s">
        <v>6</v>
      </c>
      <c r="M812" s="95" t="s">
        <v>2555</v>
      </c>
      <c r="N812" s="3" t="s">
        <v>52</v>
      </c>
      <c r="O812" s="3" t="s">
        <v>17</v>
      </c>
      <c r="P812" s="3" t="s">
        <v>6</v>
      </c>
      <c r="Q812" s="3" t="s">
        <v>6</v>
      </c>
      <c r="R812" s="95" t="s">
        <v>50</v>
      </c>
      <c r="S812" s="223">
        <v>43591</v>
      </c>
      <c r="T812" s="223">
        <v>43749</v>
      </c>
      <c r="U812" s="223">
        <v>43679</v>
      </c>
      <c r="V812" s="223">
        <v>43679</v>
      </c>
      <c r="W812" s="223" t="s">
        <v>6</v>
      </c>
      <c r="X812" s="3" t="s">
        <v>26</v>
      </c>
      <c r="Y812" s="3" t="s">
        <v>2743</v>
      </c>
      <c r="Z812" s="3" t="s">
        <v>52</v>
      </c>
      <c r="AA812" s="3" t="s">
        <v>6</v>
      </c>
      <c r="AB812" s="223">
        <v>45513</v>
      </c>
      <c r="AC812" s="3" t="s">
        <v>10</v>
      </c>
      <c r="AD812" s="3" t="s">
        <v>6</v>
      </c>
      <c r="AE812" s="95" t="s">
        <v>2263</v>
      </c>
    </row>
    <row r="813" spans="1:31" x14ac:dyDescent="0.35">
      <c r="A813" s="3" t="s">
        <v>1661</v>
      </c>
      <c r="B813" s="3" t="s">
        <v>368</v>
      </c>
      <c r="C813" s="3">
        <v>6</v>
      </c>
      <c r="D813" s="95" t="s">
        <v>1662</v>
      </c>
      <c r="E813" s="95" t="s">
        <v>1663</v>
      </c>
      <c r="F813" s="95" t="s">
        <v>2586</v>
      </c>
      <c r="G813" s="223">
        <v>44393</v>
      </c>
      <c r="H813" s="223">
        <v>44422</v>
      </c>
      <c r="I813" s="223">
        <v>46247</v>
      </c>
      <c r="J813" s="3">
        <v>9547</v>
      </c>
      <c r="K813" s="3" t="s">
        <v>10</v>
      </c>
      <c r="L813" s="3" t="s">
        <v>10</v>
      </c>
      <c r="M813" s="95" t="s">
        <v>27</v>
      </c>
      <c r="N813" s="3" t="s">
        <v>28</v>
      </c>
      <c r="O813" s="3" t="s">
        <v>651</v>
      </c>
      <c r="P813" s="3" t="s">
        <v>6</v>
      </c>
      <c r="Q813" s="3" t="s">
        <v>6</v>
      </c>
      <c r="R813" s="95" t="s">
        <v>652</v>
      </c>
      <c r="S813" s="223" t="s">
        <v>5</v>
      </c>
      <c r="T813" s="223" t="s">
        <v>5</v>
      </c>
      <c r="U813" s="223" t="s">
        <v>5</v>
      </c>
      <c r="V813" s="223" t="s">
        <v>5</v>
      </c>
      <c r="W813" s="223" t="s">
        <v>5</v>
      </c>
      <c r="X813" s="3" t="s">
        <v>5</v>
      </c>
      <c r="Y813" s="3" t="s">
        <v>651</v>
      </c>
      <c r="Z813" s="3" t="s">
        <v>651</v>
      </c>
      <c r="AA813" s="3" t="s">
        <v>10</v>
      </c>
      <c r="AB813" s="223" t="s">
        <v>5</v>
      </c>
      <c r="AC813" s="3" t="s">
        <v>10</v>
      </c>
      <c r="AD813" s="3" t="s">
        <v>10</v>
      </c>
      <c r="AE813" s="95" t="s">
        <v>2263</v>
      </c>
    </row>
    <row r="814" spans="1:31" x14ac:dyDescent="0.35">
      <c r="A814" s="3" t="s">
        <v>1664</v>
      </c>
      <c r="B814" s="3" t="s">
        <v>368</v>
      </c>
      <c r="C814" s="3">
        <v>6</v>
      </c>
      <c r="D814" s="95" t="s">
        <v>1665</v>
      </c>
      <c r="E814" s="95" t="s">
        <v>2591</v>
      </c>
      <c r="F814" s="95" t="s">
        <v>2586</v>
      </c>
      <c r="G814" s="223">
        <v>44984</v>
      </c>
      <c r="H814" s="223">
        <v>44990</v>
      </c>
      <c r="I814" s="223">
        <v>46816</v>
      </c>
      <c r="J814" s="3">
        <v>38780</v>
      </c>
      <c r="K814" s="3" t="s">
        <v>10</v>
      </c>
      <c r="L814" s="3" t="s">
        <v>10</v>
      </c>
      <c r="M814" s="95" t="s">
        <v>23</v>
      </c>
      <c r="N814" s="3" t="s">
        <v>24</v>
      </c>
      <c r="O814" s="3" t="s">
        <v>651</v>
      </c>
      <c r="P814" s="3" t="s">
        <v>6</v>
      </c>
      <c r="Q814" s="3" t="s">
        <v>6</v>
      </c>
      <c r="R814" s="95" t="s">
        <v>652</v>
      </c>
      <c r="S814" s="223" t="s">
        <v>5</v>
      </c>
      <c r="T814" s="223" t="s">
        <v>5</v>
      </c>
      <c r="U814" s="223" t="s">
        <v>5</v>
      </c>
      <c r="V814" s="223" t="s">
        <v>5</v>
      </c>
      <c r="W814" s="223" t="s">
        <v>5</v>
      </c>
      <c r="X814" s="3" t="s">
        <v>5</v>
      </c>
      <c r="Y814" s="3" t="s">
        <v>651</v>
      </c>
      <c r="Z814" s="3" t="s">
        <v>651</v>
      </c>
      <c r="AA814" s="3" t="s">
        <v>10</v>
      </c>
      <c r="AB814" s="223" t="s">
        <v>5</v>
      </c>
      <c r="AC814" s="3" t="s">
        <v>10</v>
      </c>
      <c r="AD814" s="3" t="s">
        <v>10</v>
      </c>
      <c r="AE814" s="95" t="s">
        <v>2263</v>
      </c>
    </row>
    <row r="815" spans="1:31" x14ac:dyDescent="0.35">
      <c r="A815" s="3" t="s">
        <v>516</v>
      </c>
      <c r="B815" s="3" t="s">
        <v>370</v>
      </c>
      <c r="C815" s="3">
        <v>8</v>
      </c>
      <c r="D815" s="95" t="s">
        <v>3179</v>
      </c>
      <c r="E815" s="95" t="s">
        <v>505</v>
      </c>
      <c r="F815" s="95" t="s">
        <v>4</v>
      </c>
      <c r="G815" s="223">
        <v>43666</v>
      </c>
      <c r="H815" s="223">
        <v>43666</v>
      </c>
      <c r="I815" s="223">
        <v>45473</v>
      </c>
      <c r="J815" s="3">
        <v>0</v>
      </c>
      <c r="K815" s="3" t="s">
        <v>6</v>
      </c>
      <c r="L815" s="3" t="s">
        <v>6</v>
      </c>
      <c r="M815" s="95" t="s">
        <v>116</v>
      </c>
      <c r="N815" s="3" t="s">
        <v>117</v>
      </c>
      <c r="O815" s="3" t="s">
        <v>17</v>
      </c>
      <c r="P815" s="3" t="s">
        <v>6</v>
      </c>
      <c r="Q815" s="3" t="s">
        <v>6</v>
      </c>
      <c r="R815" s="95" t="s">
        <v>9</v>
      </c>
      <c r="S815" s="223">
        <v>43591</v>
      </c>
      <c r="T815" s="223">
        <v>43651</v>
      </c>
      <c r="U815" s="223">
        <v>43616</v>
      </c>
      <c r="V815" s="223">
        <v>43616</v>
      </c>
      <c r="W815" s="223" t="s">
        <v>6</v>
      </c>
      <c r="X815" s="3" t="s">
        <v>26</v>
      </c>
      <c r="Y815" s="3" t="s">
        <v>2932</v>
      </c>
      <c r="Z815" s="3" t="s">
        <v>2924</v>
      </c>
      <c r="AA815" s="3" t="s">
        <v>2254</v>
      </c>
      <c r="AB815" s="223" t="s">
        <v>5</v>
      </c>
      <c r="AC815" s="3" t="s">
        <v>6</v>
      </c>
      <c r="AD815" s="3" t="s">
        <v>10</v>
      </c>
      <c r="AE815" s="95" t="s">
        <v>2265</v>
      </c>
    </row>
    <row r="816" spans="1:31" x14ac:dyDescent="0.35">
      <c r="A816" s="3" t="s">
        <v>369</v>
      </c>
      <c r="B816" s="3" t="s">
        <v>370</v>
      </c>
      <c r="C816" s="3">
        <v>8</v>
      </c>
      <c r="D816" s="95" t="s">
        <v>371</v>
      </c>
      <c r="E816" s="95" t="s">
        <v>2592</v>
      </c>
      <c r="F816" s="95" t="s">
        <v>4</v>
      </c>
      <c r="G816" s="223">
        <v>45383</v>
      </c>
      <c r="H816" s="223">
        <v>45383</v>
      </c>
      <c r="I816" s="223">
        <v>47208</v>
      </c>
      <c r="J816" s="3">
        <v>13</v>
      </c>
      <c r="K816" s="3" t="s">
        <v>10</v>
      </c>
      <c r="L816" s="3" t="s">
        <v>6</v>
      </c>
      <c r="M816" s="95" t="s">
        <v>114</v>
      </c>
      <c r="N816" s="3" t="s">
        <v>115</v>
      </c>
      <c r="O816" s="3" t="s">
        <v>49</v>
      </c>
      <c r="P816" s="3" t="s">
        <v>6</v>
      </c>
      <c r="Q816" s="3" t="s">
        <v>6</v>
      </c>
      <c r="R816" s="95" t="s">
        <v>50</v>
      </c>
      <c r="S816" s="223">
        <v>43528</v>
      </c>
      <c r="T816" s="223">
        <v>43588</v>
      </c>
      <c r="U816" s="223">
        <v>43221</v>
      </c>
      <c r="V816" s="223">
        <v>43221</v>
      </c>
      <c r="W816" s="223" t="s">
        <v>6</v>
      </c>
      <c r="X816" s="3" t="s">
        <v>51</v>
      </c>
      <c r="Y816" s="3" t="s">
        <v>3188</v>
      </c>
      <c r="Z816" s="3" t="s">
        <v>62</v>
      </c>
      <c r="AA816" s="3" t="s">
        <v>10</v>
      </c>
      <c r="AB816" s="223" t="s">
        <v>5</v>
      </c>
      <c r="AC816" s="3" t="s">
        <v>6</v>
      </c>
      <c r="AD816" s="3" t="s">
        <v>10</v>
      </c>
      <c r="AE816" s="95" t="s">
        <v>2263</v>
      </c>
    </row>
    <row r="817" spans="1:31" x14ac:dyDescent="0.35">
      <c r="A817" s="3" t="s">
        <v>372</v>
      </c>
      <c r="B817" s="3" t="s">
        <v>370</v>
      </c>
      <c r="C817" s="3">
        <v>8</v>
      </c>
      <c r="D817" s="95" t="s">
        <v>373</v>
      </c>
      <c r="E817" s="95" t="s">
        <v>482</v>
      </c>
      <c r="F817" s="95" t="s">
        <v>437</v>
      </c>
      <c r="G817" s="223">
        <v>45453</v>
      </c>
      <c r="H817" s="223">
        <v>45453</v>
      </c>
      <c r="I817" s="223">
        <v>47278</v>
      </c>
      <c r="J817" s="3">
        <v>39</v>
      </c>
      <c r="K817" s="3" t="s">
        <v>10</v>
      </c>
      <c r="L817" s="3" t="s">
        <v>6</v>
      </c>
      <c r="M817" s="95" t="s">
        <v>374</v>
      </c>
      <c r="N817" s="3" t="s">
        <v>170</v>
      </c>
      <c r="O817" s="3" t="s">
        <v>21</v>
      </c>
      <c r="P817" s="3" t="s">
        <v>6</v>
      </c>
      <c r="Q817" s="3" t="s">
        <v>6</v>
      </c>
      <c r="R817" s="95" t="s">
        <v>50</v>
      </c>
      <c r="S817" s="223">
        <v>43668</v>
      </c>
      <c r="T817" s="223">
        <v>43728</v>
      </c>
      <c r="U817" s="223">
        <v>43647</v>
      </c>
      <c r="V817" s="223">
        <v>43647</v>
      </c>
      <c r="W817" s="223" t="s">
        <v>6</v>
      </c>
      <c r="X817" s="3" t="s">
        <v>26</v>
      </c>
      <c r="Y817" s="3" t="s">
        <v>2143</v>
      </c>
      <c r="Z817" s="3" t="s">
        <v>2249</v>
      </c>
      <c r="AA817" s="3" t="s">
        <v>6</v>
      </c>
      <c r="AB817" s="223">
        <v>45198</v>
      </c>
      <c r="AC817" s="3" t="s">
        <v>10</v>
      </c>
      <c r="AD817" s="3" t="s">
        <v>10</v>
      </c>
      <c r="AE817" s="95" t="s">
        <v>2263</v>
      </c>
    </row>
    <row r="818" spans="1:31" x14ac:dyDescent="0.35">
      <c r="A818" s="3" t="s">
        <v>2593</v>
      </c>
      <c r="B818" s="3" t="s">
        <v>370</v>
      </c>
      <c r="C818" s="3">
        <v>8</v>
      </c>
      <c r="D818" s="95" t="s">
        <v>315</v>
      </c>
      <c r="E818" s="95" t="s">
        <v>438</v>
      </c>
      <c r="F818" s="95" t="s">
        <v>4</v>
      </c>
      <c r="G818" s="223">
        <v>43815</v>
      </c>
      <c r="H818" s="223">
        <v>43816</v>
      </c>
      <c r="I818" s="223">
        <v>45642</v>
      </c>
      <c r="J818" s="3">
        <v>6</v>
      </c>
      <c r="K818" s="3" t="s">
        <v>10</v>
      </c>
      <c r="L818" s="3" t="s">
        <v>6</v>
      </c>
      <c r="M818" s="95" t="s">
        <v>105</v>
      </c>
      <c r="N818" s="3" t="s">
        <v>106</v>
      </c>
      <c r="O818" s="3" t="s">
        <v>49</v>
      </c>
      <c r="P818" s="3" t="s">
        <v>6</v>
      </c>
      <c r="Q818" s="3" t="s">
        <v>6</v>
      </c>
      <c r="R818" s="95" t="s">
        <v>50</v>
      </c>
      <c r="S818" s="223">
        <v>43437</v>
      </c>
      <c r="T818" s="223">
        <v>43602</v>
      </c>
      <c r="U818" s="223">
        <v>43252</v>
      </c>
      <c r="V818" s="223">
        <v>43252</v>
      </c>
      <c r="W818" s="223" t="s">
        <v>6</v>
      </c>
      <c r="X818" s="3" t="s">
        <v>51</v>
      </c>
      <c r="Y818" s="3" t="s">
        <v>2136</v>
      </c>
      <c r="Z818" s="3" t="s">
        <v>106</v>
      </c>
      <c r="AA818" s="3" t="s">
        <v>10</v>
      </c>
      <c r="AB818" s="223" t="s">
        <v>5</v>
      </c>
      <c r="AC818" s="3" t="s">
        <v>10</v>
      </c>
      <c r="AD818" s="3" t="s">
        <v>6</v>
      </c>
      <c r="AE818" s="95" t="s">
        <v>2265</v>
      </c>
    </row>
    <row r="819" spans="1:31" x14ac:dyDescent="0.35">
      <c r="A819" s="3" t="s">
        <v>375</v>
      </c>
      <c r="B819" s="3" t="s">
        <v>370</v>
      </c>
      <c r="C819" s="3">
        <v>8</v>
      </c>
      <c r="D819" s="95" t="s">
        <v>3171</v>
      </c>
      <c r="E819" s="95" t="s">
        <v>422</v>
      </c>
      <c r="F819" s="95" t="s">
        <v>437</v>
      </c>
      <c r="G819" s="223">
        <v>44455</v>
      </c>
      <c r="H819" s="223">
        <v>44500</v>
      </c>
      <c r="I819" s="223">
        <v>46326</v>
      </c>
      <c r="J819" s="3">
        <v>1</v>
      </c>
      <c r="K819" s="3" t="s">
        <v>6</v>
      </c>
      <c r="L819" s="3" t="s">
        <v>6</v>
      </c>
      <c r="M819" s="95" t="s">
        <v>19</v>
      </c>
      <c r="N819" s="3" t="s">
        <v>20</v>
      </c>
      <c r="O819" s="3" t="s">
        <v>21</v>
      </c>
      <c r="P819" s="3" t="s">
        <v>6</v>
      </c>
      <c r="Q819" s="3" t="s">
        <v>6</v>
      </c>
      <c r="R819" s="95" t="s">
        <v>22</v>
      </c>
      <c r="S819" s="223">
        <v>43675</v>
      </c>
      <c r="T819" s="223">
        <v>43756</v>
      </c>
      <c r="U819" s="223">
        <v>43647</v>
      </c>
      <c r="V819" s="223">
        <v>43647</v>
      </c>
      <c r="W819" s="223" t="s">
        <v>6</v>
      </c>
      <c r="X819" s="3" t="s">
        <v>26</v>
      </c>
      <c r="Y819" s="3" t="s">
        <v>2116</v>
      </c>
      <c r="Z819" s="3" t="s">
        <v>20</v>
      </c>
      <c r="AA819" s="3" t="s">
        <v>6</v>
      </c>
      <c r="AB819" s="223">
        <v>44442</v>
      </c>
      <c r="AC819" s="3" t="s">
        <v>10</v>
      </c>
      <c r="AD819" s="3" t="s">
        <v>10</v>
      </c>
      <c r="AE819" s="95" t="s">
        <v>2263</v>
      </c>
    </row>
    <row r="820" spans="1:31" x14ac:dyDescent="0.35">
      <c r="A820" s="3" t="s">
        <v>376</v>
      </c>
      <c r="B820" s="3" t="s">
        <v>370</v>
      </c>
      <c r="C820" s="3">
        <v>8</v>
      </c>
      <c r="D820" s="95" t="s">
        <v>377</v>
      </c>
      <c r="E820" s="95" t="s">
        <v>482</v>
      </c>
      <c r="F820" s="95" t="s">
        <v>437</v>
      </c>
      <c r="G820" s="223">
        <v>43927</v>
      </c>
      <c r="H820" s="223">
        <v>43931</v>
      </c>
      <c r="I820" s="223">
        <v>45747</v>
      </c>
      <c r="J820" s="3">
        <v>12</v>
      </c>
      <c r="K820" s="3" t="s">
        <v>10</v>
      </c>
      <c r="L820" s="3" t="s">
        <v>6</v>
      </c>
      <c r="M820" s="95" t="s">
        <v>109</v>
      </c>
      <c r="N820" s="3" t="s">
        <v>110</v>
      </c>
      <c r="O820" s="3" t="s">
        <v>25</v>
      </c>
      <c r="P820" s="3" t="s">
        <v>6</v>
      </c>
      <c r="Q820" s="3" t="s">
        <v>6</v>
      </c>
      <c r="R820" s="95" t="s">
        <v>50</v>
      </c>
      <c r="S820" s="223">
        <v>43374</v>
      </c>
      <c r="T820" s="223">
        <v>43434</v>
      </c>
      <c r="U820" s="223">
        <v>43313</v>
      </c>
      <c r="V820" s="223">
        <v>43313</v>
      </c>
      <c r="W820" s="223" t="s">
        <v>6</v>
      </c>
      <c r="X820" s="3" t="s">
        <v>26</v>
      </c>
      <c r="Y820" s="3" t="s">
        <v>2112</v>
      </c>
      <c r="Z820" s="3" t="s">
        <v>3189</v>
      </c>
      <c r="AA820" s="3" t="s">
        <v>6</v>
      </c>
      <c r="AB820" s="223">
        <v>43931</v>
      </c>
      <c r="AC820" s="3" t="s">
        <v>6</v>
      </c>
      <c r="AD820" s="3" t="s">
        <v>10</v>
      </c>
      <c r="AE820" s="95" t="s">
        <v>2265</v>
      </c>
    </row>
    <row r="821" spans="1:31" x14ac:dyDescent="0.35">
      <c r="A821" s="3" t="s">
        <v>378</v>
      </c>
      <c r="B821" s="3" t="s">
        <v>370</v>
      </c>
      <c r="C821" s="3">
        <v>8</v>
      </c>
      <c r="D821" s="95" t="s">
        <v>379</v>
      </c>
      <c r="E821" s="95" t="s">
        <v>482</v>
      </c>
      <c r="F821" s="95" t="s">
        <v>437</v>
      </c>
      <c r="G821" s="223">
        <v>44835</v>
      </c>
      <c r="H821" s="223">
        <v>44835</v>
      </c>
      <c r="I821" s="223">
        <v>46660</v>
      </c>
      <c r="J821" s="3">
        <v>90</v>
      </c>
      <c r="K821" s="3" t="s">
        <v>10</v>
      </c>
      <c r="L821" s="3" t="s">
        <v>6</v>
      </c>
      <c r="M821" s="95" t="s">
        <v>19</v>
      </c>
      <c r="N821" s="3" t="s">
        <v>20</v>
      </c>
      <c r="O821" s="3" t="s">
        <v>21</v>
      </c>
      <c r="P821" s="3" t="s">
        <v>6</v>
      </c>
      <c r="Q821" s="3" t="s">
        <v>6</v>
      </c>
      <c r="R821" s="95" t="s">
        <v>50</v>
      </c>
      <c r="S821" s="223">
        <v>43675</v>
      </c>
      <c r="T821" s="223">
        <v>43756</v>
      </c>
      <c r="U821" s="223">
        <v>43647</v>
      </c>
      <c r="V821" s="223">
        <v>43647</v>
      </c>
      <c r="W821" s="223" t="s">
        <v>6</v>
      </c>
      <c r="X821" s="3" t="s">
        <v>26</v>
      </c>
      <c r="Y821" s="3" t="s">
        <v>2941</v>
      </c>
      <c r="Z821" s="3" t="s">
        <v>20</v>
      </c>
      <c r="AA821" s="3" t="s">
        <v>6</v>
      </c>
      <c r="AB821" s="223">
        <v>44883</v>
      </c>
      <c r="AC821" s="3" t="s">
        <v>10</v>
      </c>
      <c r="AD821" s="3" t="s">
        <v>10</v>
      </c>
      <c r="AE821" s="95" t="s">
        <v>2263</v>
      </c>
    </row>
    <row r="822" spans="1:31" x14ac:dyDescent="0.35">
      <c r="A822" s="3" t="s">
        <v>380</v>
      </c>
      <c r="B822" s="3" t="s">
        <v>370</v>
      </c>
      <c r="C822" s="3">
        <v>8</v>
      </c>
      <c r="D822" s="95" t="s">
        <v>2594</v>
      </c>
      <c r="E822" s="95" t="s">
        <v>2292</v>
      </c>
      <c r="F822" s="95" t="s">
        <v>4</v>
      </c>
      <c r="G822" s="223">
        <v>44628</v>
      </c>
      <c r="H822" s="223">
        <v>44652</v>
      </c>
      <c r="I822" s="223">
        <v>46477</v>
      </c>
      <c r="J822" s="3">
        <v>7</v>
      </c>
      <c r="K822" s="3" t="s">
        <v>6</v>
      </c>
      <c r="L822" s="3" t="s">
        <v>6</v>
      </c>
      <c r="M822" s="95" t="s">
        <v>47</v>
      </c>
      <c r="N822" s="3" t="s">
        <v>48</v>
      </c>
      <c r="O822" s="3" t="s">
        <v>49</v>
      </c>
      <c r="P822" s="3" t="s">
        <v>6</v>
      </c>
      <c r="Q822" s="3" t="s">
        <v>6</v>
      </c>
      <c r="R822" s="95" t="s">
        <v>9</v>
      </c>
      <c r="S822" s="223">
        <v>43437</v>
      </c>
      <c r="T822" s="223">
        <v>43747</v>
      </c>
      <c r="U822" s="223">
        <v>43405</v>
      </c>
      <c r="V822" s="223">
        <v>43405</v>
      </c>
      <c r="W822" s="223" t="s">
        <v>6</v>
      </c>
      <c r="X822" s="3" t="s">
        <v>26</v>
      </c>
      <c r="Y822" s="3" t="s">
        <v>2928</v>
      </c>
      <c r="Z822" s="3" t="s">
        <v>2924</v>
      </c>
      <c r="AA822" s="3" t="s">
        <v>10</v>
      </c>
      <c r="AB822" s="223" t="s">
        <v>5</v>
      </c>
      <c r="AC822" s="3" t="s">
        <v>6</v>
      </c>
      <c r="AD822" s="3" t="s">
        <v>6</v>
      </c>
      <c r="AE822" s="95" t="s">
        <v>2265</v>
      </c>
    </row>
    <row r="823" spans="1:31" x14ac:dyDescent="0.35">
      <c r="A823" s="3" t="s">
        <v>381</v>
      </c>
      <c r="B823" s="3" t="s">
        <v>370</v>
      </c>
      <c r="C823" s="3">
        <v>8</v>
      </c>
      <c r="D823" s="95" t="s">
        <v>382</v>
      </c>
      <c r="E823" s="95" t="s">
        <v>482</v>
      </c>
      <c r="F823" s="95" t="s">
        <v>4</v>
      </c>
      <c r="G823" s="223">
        <v>45090</v>
      </c>
      <c r="H823" s="223">
        <v>45107</v>
      </c>
      <c r="I823" s="223">
        <v>46904</v>
      </c>
      <c r="J823" s="3">
        <v>37</v>
      </c>
      <c r="K823" s="3" t="s">
        <v>10</v>
      </c>
      <c r="L823" s="3" t="s">
        <v>6</v>
      </c>
      <c r="M823" s="95" t="s">
        <v>116</v>
      </c>
      <c r="N823" s="3" t="s">
        <v>117</v>
      </c>
      <c r="O823" s="3" t="s">
        <v>17</v>
      </c>
      <c r="P823" s="3" t="s">
        <v>6</v>
      </c>
      <c r="Q823" s="3" t="s">
        <v>6</v>
      </c>
      <c r="R823" s="95" t="s">
        <v>50</v>
      </c>
      <c r="S823" s="223">
        <v>43591</v>
      </c>
      <c r="T823" s="223">
        <v>43651</v>
      </c>
      <c r="U823" s="223">
        <v>43616</v>
      </c>
      <c r="V823" s="223">
        <v>43616</v>
      </c>
      <c r="W823" s="223" t="s">
        <v>6</v>
      </c>
      <c r="X823" s="3" t="s">
        <v>26</v>
      </c>
      <c r="Y823" s="3" t="s">
        <v>2934</v>
      </c>
      <c r="Z823" s="3" t="s">
        <v>2924</v>
      </c>
      <c r="AA823" s="3" t="s">
        <v>10</v>
      </c>
      <c r="AB823" s="223" t="s">
        <v>5</v>
      </c>
      <c r="AC823" s="3" t="s">
        <v>10</v>
      </c>
      <c r="AD823" s="3" t="s">
        <v>10</v>
      </c>
      <c r="AE823" s="95" t="s">
        <v>2265</v>
      </c>
    </row>
    <row r="824" spans="1:31" x14ac:dyDescent="0.35">
      <c r="A824" s="3" t="s">
        <v>383</v>
      </c>
      <c r="B824" s="3" t="s">
        <v>370</v>
      </c>
      <c r="C824" s="3">
        <v>8</v>
      </c>
      <c r="D824" s="95" t="s">
        <v>384</v>
      </c>
      <c r="E824" s="95" t="s">
        <v>385</v>
      </c>
      <c r="F824" s="95" t="s">
        <v>4</v>
      </c>
      <c r="G824" s="223">
        <v>44755</v>
      </c>
      <c r="H824" s="223">
        <v>44755</v>
      </c>
      <c r="I824" s="223">
        <v>46580</v>
      </c>
      <c r="J824" s="3">
        <v>7</v>
      </c>
      <c r="K824" s="3" t="s">
        <v>10</v>
      </c>
      <c r="L824" s="3" t="s">
        <v>6</v>
      </c>
      <c r="M824" s="95" t="s">
        <v>67</v>
      </c>
      <c r="N824" s="3" t="s">
        <v>68</v>
      </c>
      <c r="O824" s="3" t="s">
        <v>49</v>
      </c>
      <c r="P824" s="3" t="s">
        <v>6</v>
      </c>
      <c r="Q824" s="3" t="s">
        <v>6</v>
      </c>
      <c r="R824" s="95" t="s">
        <v>50</v>
      </c>
      <c r="S824" s="223">
        <v>43528</v>
      </c>
      <c r="T824" s="223">
        <v>43588</v>
      </c>
      <c r="U824" s="223">
        <v>43221</v>
      </c>
      <c r="V824" s="223">
        <v>43221</v>
      </c>
      <c r="W824" s="223" t="s">
        <v>6</v>
      </c>
      <c r="X824" s="3" t="s">
        <v>26</v>
      </c>
      <c r="Y824" s="3" t="s">
        <v>2143</v>
      </c>
      <c r="Z824" s="3" t="s">
        <v>2249</v>
      </c>
      <c r="AA824" s="3" t="s">
        <v>10</v>
      </c>
      <c r="AB824" s="223" t="s">
        <v>5</v>
      </c>
      <c r="AC824" s="3" t="s">
        <v>6</v>
      </c>
      <c r="AD824" s="3" t="s">
        <v>10</v>
      </c>
      <c r="AE824" s="95" t="s">
        <v>2263</v>
      </c>
    </row>
    <row r="825" spans="1:31" x14ac:dyDescent="0.35">
      <c r="A825" s="3" t="s">
        <v>386</v>
      </c>
      <c r="B825" s="3" t="s">
        <v>370</v>
      </c>
      <c r="C825" s="3">
        <v>8</v>
      </c>
      <c r="D825" s="95" t="s">
        <v>2022</v>
      </c>
      <c r="E825" s="95" t="s">
        <v>2023</v>
      </c>
      <c r="F825" s="95" t="s">
        <v>437</v>
      </c>
      <c r="G825" s="223">
        <v>45287</v>
      </c>
      <c r="H825" s="223">
        <v>45292</v>
      </c>
      <c r="I825" s="223">
        <v>47118</v>
      </c>
      <c r="J825" s="3">
        <v>714</v>
      </c>
      <c r="K825" s="3" t="s">
        <v>10</v>
      </c>
      <c r="L825" s="3" t="s">
        <v>6</v>
      </c>
      <c r="M825" s="95" t="s">
        <v>2555</v>
      </c>
      <c r="N825" s="3" t="s">
        <v>28</v>
      </c>
      <c r="O825" s="3" t="s">
        <v>25</v>
      </c>
      <c r="P825" s="3" t="s">
        <v>6</v>
      </c>
      <c r="Q825" s="3" t="s">
        <v>6</v>
      </c>
      <c r="R825" s="95" t="s">
        <v>50</v>
      </c>
      <c r="S825" s="223">
        <v>43374</v>
      </c>
      <c r="T825" s="223">
        <v>43553</v>
      </c>
      <c r="U825" s="223">
        <v>43433</v>
      </c>
      <c r="V825" s="223">
        <v>43433</v>
      </c>
      <c r="W825" s="223" t="s">
        <v>6</v>
      </c>
      <c r="X825" s="3" t="s">
        <v>26</v>
      </c>
      <c r="Y825" s="3" t="s">
        <v>2105</v>
      </c>
      <c r="Z825" s="3" t="s">
        <v>28</v>
      </c>
      <c r="AA825" s="3" t="s">
        <v>6</v>
      </c>
      <c r="AB825" s="223">
        <v>43833</v>
      </c>
      <c r="AC825" s="3" t="s">
        <v>6</v>
      </c>
      <c r="AD825" s="3" t="s">
        <v>10</v>
      </c>
      <c r="AE825" s="95" t="s">
        <v>2263</v>
      </c>
    </row>
    <row r="826" spans="1:31" x14ac:dyDescent="0.35">
      <c r="A826" s="3" t="s">
        <v>2024</v>
      </c>
      <c r="B826" s="3" t="s">
        <v>370</v>
      </c>
      <c r="C826" s="3">
        <v>8</v>
      </c>
      <c r="D826" s="95" t="s">
        <v>2025</v>
      </c>
      <c r="E826" s="95" t="s">
        <v>2272</v>
      </c>
      <c r="F826" s="95" t="s">
        <v>437</v>
      </c>
      <c r="G826" s="223">
        <v>44211</v>
      </c>
      <c r="H826" s="223">
        <v>44256</v>
      </c>
      <c r="I826" s="223">
        <v>46081</v>
      </c>
      <c r="J826" s="3">
        <v>1</v>
      </c>
      <c r="K826" s="3" t="s">
        <v>6</v>
      </c>
      <c r="L826" s="3" t="s">
        <v>6</v>
      </c>
      <c r="M826" s="95" t="s">
        <v>27</v>
      </c>
      <c r="N826" s="3" t="s">
        <v>28</v>
      </c>
      <c r="O826" s="3" t="s">
        <v>25</v>
      </c>
      <c r="P826" s="3" t="s">
        <v>6</v>
      </c>
      <c r="Q826" s="3" t="s">
        <v>6</v>
      </c>
      <c r="R826" s="95" t="s">
        <v>22</v>
      </c>
      <c r="S826" s="223">
        <v>43374</v>
      </c>
      <c r="T826" s="223">
        <v>43553</v>
      </c>
      <c r="U826" s="223">
        <v>43009</v>
      </c>
      <c r="V826" s="223">
        <v>43009</v>
      </c>
      <c r="W826" s="223" t="s">
        <v>6</v>
      </c>
      <c r="X826" s="3" t="s">
        <v>26</v>
      </c>
      <c r="Y826" s="3" t="s">
        <v>2100</v>
      </c>
      <c r="Z826" s="3" t="s">
        <v>28</v>
      </c>
      <c r="AA826" s="3" t="s">
        <v>6</v>
      </c>
      <c r="AB826" s="223">
        <v>42159</v>
      </c>
      <c r="AC826" s="3" t="s">
        <v>6</v>
      </c>
      <c r="AD826" s="3" t="s">
        <v>10</v>
      </c>
      <c r="AE826" s="95" t="s">
        <v>2263</v>
      </c>
    </row>
    <row r="827" spans="1:31" x14ac:dyDescent="0.35">
      <c r="A827" s="3" t="s">
        <v>387</v>
      </c>
      <c r="B827" s="3" t="s">
        <v>370</v>
      </c>
      <c r="C827" s="3">
        <v>8</v>
      </c>
      <c r="D827" s="95" t="s">
        <v>2026</v>
      </c>
      <c r="E827" s="95" t="s">
        <v>1912</v>
      </c>
      <c r="F827" s="95" t="s">
        <v>437</v>
      </c>
      <c r="G827" s="223">
        <v>44609</v>
      </c>
      <c r="H827" s="223">
        <v>44609</v>
      </c>
      <c r="I827" s="223">
        <v>46434</v>
      </c>
      <c r="J827" s="3">
        <v>3</v>
      </c>
      <c r="K827" s="3" t="s">
        <v>6</v>
      </c>
      <c r="L827" s="3" t="s">
        <v>6</v>
      </c>
      <c r="M827" s="95" t="s">
        <v>23</v>
      </c>
      <c r="N827" s="3" t="s">
        <v>24</v>
      </c>
      <c r="O827" s="3" t="s">
        <v>25</v>
      </c>
      <c r="P827" s="3" t="s">
        <v>6</v>
      </c>
      <c r="Q827" s="3" t="s">
        <v>6</v>
      </c>
      <c r="R827" s="95" t="s">
        <v>22</v>
      </c>
      <c r="S827" s="223">
        <v>43374</v>
      </c>
      <c r="T827" s="223">
        <v>43497</v>
      </c>
      <c r="U827" s="223">
        <v>42644</v>
      </c>
      <c r="V827" s="223">
        <v>42644</v>
      </c>
      <c r="W827" s="223" t="s">
        <v>6</v>
      </c>
      <c r="X827" s="3" t="s">
        <v>26</v>
      </c>
      <c r="Y827" s="3" t="s">
        <v>2093</v>
      </c>
      <c r="Z827" s="3" t="s">
        <v>24</v>
      </c>
      <c r="AA827" s="3" t="s">
        <v>6</v>
      </c>
      <c r="AB827" s="223">
        <v>42782</v>
      </c>
      <c r="AC827" s="3" t="s">
        <v>10</v>
      </c>
      <c r="AD827" s="3" t="s">
        <v>10</v>
      </c>
      <c r="AE827" s="95" t="s">
        <v>2263</v>
      </c>
    </row>
    <row r="828" spans="1:31" x14ac:dyDescent="0.35">
      <c r="A828" s="3" t="s">
        <v>388</v>
      </c>
      <c r="B828" s="3" t="s">
        <v>370</v>
      </c>
      <c r="C828" s="3">
        <v>8</v>
      </c>
      <c r="D828" s="95" t="s">
        <v>366</v>
      </c>
      <c r="E828" s="95" t="s">
        <v>2027</v>
      </c>
      <c r="F828" s="95" t="s">
        <v>437</v>
      </c>
      <c r="G828" s="223">
        <v>44358</v>
      </c>
      <c r="H828" s="223">
        <v>44359</v>
      </c>
      <c r="I828" s="223">
        <v>46184</v>
      </c>
      <c r="J828" s="3">
        <v>92</v>
      </c>
      <c r="K828" s="3" t="s">
        <v>10</v>
      </c>
      <c r="L828" s="3" t="s">
        <v>6</v>
      </c>
      <c r="M828" s="95" t="s">
        <v>2555</v>
      </c>
      <c r="N828" s="3" t="s">
        <v>52</v>
      </c>
      <c r="O828" s="3" t="s">
        <v>17</v>
      </c>
      <c r="P828" s="3" t="s">
        <v>6</v>
      </c>
      <c r="Q828" s="3" t="s">
        <v>6</v>
      </c>
      <c r="R828" s="95" t="s">
        <v>50</v>
      </c>
      <c r="S828" s="223">
        <v>43591</v>
      </c>
      <c r="T828" s="223">
        <v>43749</v>
      </c>
      <c r="U828" s="223">
        <v>43679</v>
      </c>
      <c r="V828" s="223">
        <v>43679</v>
      </c>
      <c r="W828" s="223" t="s">
        <v>6</v>
      </c>
      <c r="X828" s="3" t="s">
        <v>26</v>
      </c>
      <c r="Y828" s="3" t="s">
        <v>2130</v>
      </c>
      <c r="Z828" s="3" t="s">
        <v>52</v>
      </c>
      <c r="AA828" s="3" t="s">
        <v>6</v>
      </c>
      <c r="AB828" s="223">
        <v>45457</v>
      </c>
      <c r="AC828" s="3" t="s">
        <v>10</v>
      </c>
      <c r="AD828" s="3" t="s">
        <v>6</v>
      </c>
      <c r="AE828" s="95" t="s">
        <v>2265</v>
      </c>
    </row>
    <row r="829" spans="1:31" x14ac:dyDescent="0.35">
      <c r="A829" s="3" t="s">
        <v>389</v>
      </c>
      <c r="B829" s="3" t="s">
        <v>370</v>
      </c>
      <c r="C829" s="3">
        <v>8</v>
      </c>
      <c r="D829" s="95" t="s">
        <v>2028</v>
      </c>
      <c r="E829" s="95" t="s">
        <v>2029</v>
      </c>
      <c r="F829" s="95" t="s">
        <v>437</v>
      </c>
      <c r="G829" s="223">
        <v>45474</v>
      </c>
      <c r="H829" s="223">
        <v>45474</v>
      </c>
      <c r="I829" s="223">
        <v>47299</v>
      </c>
      <c r="J829" s="3">
        <v>3548</v>
      </c>
      <c r="K829" s="3" t="s">
        <v>10</v>
      </c>
      <c r="L829" s="3" t="s">
        <v>6</v>
      </c>
      <c r="M829" s="95" t="s">
        <v>23</v>
      </c>
      <c r="N829" s="3" t="s">
        <v>24</v>
      </c>
      <c r="O829" s="3" t="s">
        <v>25</v>
      </c>
      <c r="P829" s="3" t="s">
        <v>6</v>
      </c>
      <c r="Q829" s="3" t="s">
        <v>6</v>
      </c>
      <c r="R829" s="95" t="s">
        <v>50</v>
      </c>
      <c r="S829" s="223">
        <v>43374</v>
      </c>
      <c r="T829" s="223">
        <v>43497</v>
      </c>
      <c r="U829" s="223">
        <v>43433</v>
      </c>
      <c r="V829" s="223">
        <v>43433</v>
      </c>
      <c r="W829" s="223" t="s">
        <v>6</v>
      </c>
      <c r="X829" s="3" t="s">
        <v>26</v>
      </c>
      <c r="Y829" s="3" t="s">
        <v>2098</v>
      </c>
      <c r="Z829" s="3" t="s">
        <v>24</v>
      </c>
      <c r="AA829" s="3" t="s">
        <v>6</v>
      </c>
      <c r="AB829" s="223">
        <v>43882</v>
      </c>
      <c r="AC829" s="3" t="s">
        <v>10</v>
      </c>
      <c r="AD829" s="3" t="s">
        <v>10</v>
      </c>
      <c r="AE829" s="95" t="s">
        <v>2263</v>
      </c>
    </row>
    <row r="830" spans="1:31" x14ac:dyDescent="0.35">
      <c r="A830" s="3" t="s">
        <v>390</v>
      </c>
      <c r="B830" s="3" t="s">
        <v>370</v>
      </c>
      <c r="C830" s="3">
        <v>8</v>
      </c>
      <c r="D830" s="95" t="s">
        <v>391</v>
      </c>
      <c r="E830" s="95" t="s">
        <v>2029</v>
      </c>
      <c r="F830" s="95" t="s">
        <v>437</v>
      </c>
      <c r="G830" s="223">
        <v>44225</v>
      </c>
      <c r="H830" s="223">
        <v>44228</v>
      </c>
      <c r="I830" s="223">
        <v>46053</v>
      </c>
      <c r="J830" s="3" t="s">
        <v>5</v>
      </c>
      <c r="K830" s="3" t="s">
        <v>10</v>
      </c>
      <c r="L830" s="3" t="s">
        <v>6</v>
      </c>
      <c r="M830" s="95" t="s">
        <v>23</v>
      </c>
      <c r="N830" s="3" t="s">
        <v>24</v>
      </c>
      <c r="O830" s="3" t="s">
        <v>25</v>
      </c>
      <c r="P830" s="3" t="s">
        <v>6</v>
      </c>
      <c r="Q830" s="3" t="s">
        <v>6</v>
      </c>
      <c r="R830" s="95" t="s">
        <v>50</v>
      </c>
      <c r="S830" s="223">
        <v>43374</v>
      </c>
      <c r="T830" s="223">
        <v>43497</v>
      </c>
      <c r="U830" s="223">
        <v>43433</v>
      </c>
      <c r="V830" s="223">
        <v>43433</v>
      </c>
      <c r="W830" s="223" t="s">
        <v>6</v>
      </c>
      <c r="X830" s="3" t="s">
        <v>26</v>
      </c>
      <c r="Y830" s="3" t="s">
        <v>2098</v>
      </c>
      <c r="Z830" s="3" t="s">
        <v>24</v>
      </c>
      <c r="AA830" s="3" t="s">
        <v>6</v>
      </c>
      <c r="AB830" s="223">
        <v>43882</v>
      </c>
      <c r="AC830" s="3" t="s">
        <v>10</v>
      </c>
      <c r="AD830" s="3" t="s">
        <v>10</v>
      </c>
      <c r="AE830" s="95" t="s">
        <v>2263</v>
      </c>
    </row>
    <row r="831" spans="1:31" x14ac:dyDescent="0.35">
      <c r="A831" s="3" t="s">
        <v>1666</v>
      </c>
      <c r="B831" s="3" t="s">
        <v>393</v>
      </c>
      <c r="C831" s="3">
        <v>3</v>
      </c>
      <c r="D831" s="95" t="s">
        <v>1667</v>
      </c>
      <c r="E831" s="95" t="s">
        <v>2595</v>
      </c>
      <c r="F831" s="95" t="s">
        <v>3061</v>
      </c>
      <c r="G831" s="223">
        <v>45292</v>
      </c>
      <c r="H831" s="223">
        <v>45292</v>
      </c>
      <c r="I831" s="223">
        <v>47118</v>
      </c>
      <c r="J831" s="3">
        <v>227</v>
      </c>
      <c r="K831" s="3" t="s">
        <v>10</v>
      </c>
      <c r="L831" s="3" t="s">
        <v>10</v>
      </c>
      <c r="M831" s="95" t="s">
        <v>230</v>
      </c>
      <c r="N831" s="3" t="s">
        <v>28</v>
      </c>
      <c r="O831" s="3" t="s">
        <v>651</v>
      </c>
      <c r="P831" s="3" t="s">
        <v>6</v>
      </c>
      <c r="Q831" s="3" t="s">
        <v>6</v>
      </c>
      <c r="R831" s="95" t="s">
        <v>652</v>
      </c>
      <c r="S831" s="223" t="s">
        <v>5</v>
      </c>
      <c r="T831" s="223" t="s">
        <v>5</v>
      </c>
      <c r="U831" s="223" t="s">
        <v>5</v>
      </c>
      <c r="V831" s="223" t="s">
        <v>5</v>
      </c>
      <c r="W831" s="223" t="s">
        <v>5</v>
      </c>
      <c r="X831" s="3" t="s">
        <v>5</v>
      </c>
      <c r="Y831" s="3" t="s">
        <v>651</v>
      </c>
      <c r="Z831" s="3" t="s">
        <v>651</v>
      </c>
      <c r="AA831" s="3" t="s">
        <v>6</v>
      </c>
      <c r="AB831" s="223">
        <v>45155</v>
      </c>
      <c r="AC831" s="3" t="s">
        <v>6</v>
      </c>
      <c r="AD831" s="3" t="s">
        <v>10</v>
      </c>
      <c r="AE831" s="95" t="s">
        <v>2265</v>
      </c>
    </row>
    <row r="832" spans="1:31" x14ac:dyDescent="0.35">
      <c r="A832" s="3" t="s">
        <v>1668</v>
      </c>
      <c r="B832" s="3" t="s">
        <v>393</v>
      </c>
      <c r="C832" s="3">
        <v>3</v>
      </c>
      <c r="D832" s="95" t="s">
        <v>1669</v>
      </c>
      <c r="E832" s="95" t="s">
        <v>2596</v>
      </c>
      <c r="F832" s="95" t="s">
        <v>3061</v>
      </c>
      <c r="G832" s="223">
        <v>43161</v>
      </c>
      <c r="H832" s="223">
        <v>43161</v>
      </c>
      <c r="I832" s="223">
        <v>44986</v>
      </c>
      <c r="J832" s="3">
        <v>19</v>
      </c>
      <c r="K832" s="3" t="s">
        <v>10</v>
      </c>
      <c r="L832" s="3" t="s">
        <v>10</v>
      </c>
      <c r="M832" s="95" t="s">
        <v>173</v>
      </c>
      <c r="N832" s="3" t="s">
        <v>174</v>
      </c>
      <c r="O832" s="3" t="s">
        <v>651</v>
      </c>
      <c r="P832" s="3" t="s">
        <v>6</v>
      </c>
      <c r="Q832" s="3" t="s">
        <v>6</v>
      </c>
      <c r="R832" s="95" t="s">
        <v>652</v>
      </c>
      <c r="S832" s="223" t="s">
        <v>5</v>
      </c>
      <c r="T832" s="223" t="s">
        <v>5</v>
      </c>
      <c r="U832" s="223" t="s">
        <v>5</v>
      </c>
      <c r="V832" s="223" t="s">
        <v>5</v>
      </c>
      <c r="W832" s="223" t="s">
        <v>5</v>
      </c>
      <c r="X832" s="3" t="s">
        <v>5</v>
      </c>
      <c r="Y832" s="3" t="s">
        <v>651</v>
      </c>
      <c r="Z832" s="3" t="s">
        <v>651</v>
      </c>
      <c r="AA832" s="3" t="s">
        <v>6</v>
      </c>
      <c r="AB832" s="223">
        <v>45169</v>
      </c>
      <c r="AC832" s="3" t="s">
        <v>6</v>
      </c>
      <c r="AD832" s="3" t="s">
        <v>10</v>
      </c>
      <c r="AE832" s="95" t="s">
        <v>2265</v>
      </c>
    </row>
    <row r="833" spans="1:31" x14ac:dyDescent="0.35">
      <c r="A833" s="3" t="s">
        <v>1670</v>
      </c>
      <c r="B833" s="3" t="s">
        <v>393</v>
      </c>
      <c r="C833" s="3">
        <v>3</v>
      </c>
      <c r="D833" s="95" t="s">
        <v>1671</v>
      </c>
      <c r="E833" s="95" t="s">
        <v>2597</v>
      </c>
      <c r="F833" s="95" t="s">
        <v>4</v>
      </c>
      <c r="G833" s="223">
        <v>44410</v>
      </c>
      <c r="H833" s="223">
        <v>44410</v>
      </c>
      <c r="I833" s="223">
        <v>46234</v>
      </c>
      <c r="J833" s="3">
        <v>2909</v>
      </c>
      <c r="K833" s="3" t="s">
        <v>10</v>
      </c>
      <c r="L833" s="3" t="s">
        <v>10</v>
      </c>
      <c r="M833" s="95" t="s">
        <v>47</v>
      </c>
      <c r="N833" s="3" t="s">
        <v>268</v>
      </c>
      <c r="O833" s="3" t="s">
        <v>651</v>
      </c>
      <c r="P833" s="3" t="s">
        <v>6</v>
      </c>
      <c r="Q833" s="3" t="s">
        <v>6</v>
      </c>
      <c r="R833" s="95" t="s">
        <v>652</v>
      </c>
      <c r="S833" s="223" t="s">
        <v>5</v>
      </c>
      <c r="T833" s="223" t="s">
        <v>5</v>
      </c>
      <c r="U833" s="223" t="s">
        <v>5</v>
      </c>
      <c r="V833" s="223" t="s">
        <v>5</v>
      </c>
      <c r="W833" s="223" t="s">
        <v>5</v>
      </c>
      <c r="X833" s="3" t="s">
        <v>5</v>
      </c>
      <c r="Y833" s="3" t="s">
        <v>651</v>
      </c>
      <c r="Z833" s="3" t="s">
        <v>651</v>
      </c>
      <c r="AA833" s="3" t="s">
        <v>10</v>
      </c>
      <c r="AB833" s="223" t="s">
        <v>5</v>
      </c>
      <c r="AC833" s="3" t="s">
        <v>6</v>
      </c>
      <c r="AD833" s="3" t="s">
        <v>10</v>
      </c>
      <c r="AE833" s="95" t="s">
        <v>2265</v>
      </c>
    </row>
    <row r="834" spans="1:31" x14ac:dyDescent="0.35">
      <c r="A834" s="3" t="s">
        <v>1672</v>
      </c>
      <c r="B834" s="3" t="s">
        <v>393</v>
      </c>
      <c r="C834" s="3">
        <v>3</v>
      </c>
      <c r="D834" s="95" t="s">
        <v>1673</v>
      </c>
      <c r="E834" s="95" t="s">
        <v>1674</v>
      </c>
      <c r="F834" s="95" t="s">
        <v>3061</v>
      </c>
      <c r="G834" s="223">
        <v>44401</v>
      </c>
      <c r="H834" s="223">
        <v>44401</v>
      </c>
      <c r="I834" s="223">
        <v>46203</v>
      </c>
      <c r="J834" s="3">
        <v>43</v>
      </c>
      <c r="K834" s="3" t="s">
        <v>10</v>
      </c>
      <c r="L834" s="3" t="s">
        <v>10</v>
      </c>
      <c r="M834" s="95" t="s">
        <v>15</v>
      </c>
      <c r="N834" s="3" t="s">
        <v>16</v>
      </c>
      <c r="O834" s="3" t="s">
        <v>651</v>
      </c>
      <c r="P834" s="3" t="s">
        <v>6</v>
      </c>
      <c r="Q834" s="3" t="s">
        <v>6</v>
      </c>
      <c r="R834" s="95" t="s">
        <v>652</v>
      </c>
      <c r="S834" s="223" t="s">
        <v>5</v>
      </c>
      <c r="T834" s="223" t="s">
        <v>5</v>
      </c>
      <c r="U834" s="223" t="s">
        <v>5</v>
      </c>
      <c r="V834" s="223" t="s">
        <v>5</v>
      </c>
      <c r="W834" s="223" t="s">
        <v>5</v>
      </c>
      <c r="X834" s="3" t="s">
        <v>5</v>
      </c>
      <c r="Y834" s="3" t="s">
        <v>651</v>
      </c>
      <c r="Z834" s="3" t="s">
        <v>651</v>
      </c>
      <c r="AA834" s="3" t="s">
        <v>6</v>
      </c>
      <c r="AB834" s="223">
        <v>45246</v>
      </c>
      <c r="AC834" s="3" t="s">
        <v>6</v>
      </c>
      <c r="AD834" s="3" t="s">
        <v>10</v>
      </c>
      <c r="AE834" s="95" t="s">
        <v>2265</v>
      </c>
    </row>
    <row r="835" spans="1:31" x14ac:dyDescent="0.35">
      <c r="A835" s="3" t="s">
        <v>1675</v>
      </c>
      <c r="B835" s="3" t="s">
        <v>393</v>
      </c>
      <c r="C835" s="3">
        <v>3</v>
      </c>
      <c r="D835" s="95" t="s">
        <v>1065</v>
      </c>
      <c r="E835" s="95" t="s">
        <v>2598</v>
      </c>
      <c r="F835" s="95" t="s">
        <v>3061</v>
      </c>
      <c r="G835" s="223">
        <v>43282</v>
      </c>
      <c r="H835" s="223">
        <v>43282</v>
      </c>
      <c r="I835" s="223">
        <v>45107</v>
      </c>
      <c r="J835" s="3">
        <v>109</v>
      </c>
      <c r="K835" s="3" t="s">
        <v>10</v>
      </c>
      <c r="L835" s="3" t="s">
        <v>10</v>
      </c>
      <c r="M835" s="95" t="s">
        <v>116</v>
      </c>
      <c r="N835" s="3" t="s">
        <v>117</v>
      </c>
      <c r="O835" s="3" t="s">
        <v>651</v>
      </c>
      <c r="P835" s="3" t="s">
        <v>6</v>
      </c>
      <c r="Q835" s="3" t="s">
        <v>6</v>
      </c>
      <c r="R835" s="95" t="s">
        <v>652</v>
      </c>
      <c r="S835" s="223" t="s">
        <v>5</v>
      </c>
      <c r="T835" s="223" t="s">
        <v>5</v>
      </c>
      <c r="U835" s="223" t="s">
        <v>5</v>
      </c>
      <c r="V835" s="223" t="s">
        <v>5</v>
      </c>
      <c r="W835" s="223" t="s">
        <v>5</v>
      </c>
      <c r="X835" s="3" t="s">
        <v>5</v>
      </c>
      <c r="Y835" s="3" t="s">
        <v>651</v>
      </c>
      <c r="Z835" s="3" t="s">
        <v>651</v>
      </c>
      <c r="AA835" s="3" t="s">
        <v>6</v>
      </c>
      <c r="AB835" s="223">
        <v>45183</v>
      </c>
      <c r="AC835" s="3" t="s">
        <v>6</v>
      </c>
      <c r="AD835" s="3" t="s">
        <v>10</v>
      </c>
      <c r="AE835" s="95" t="s">
        <v>2265</v>
      </c>
    </row>
    <row r="836" spans="1:31" x14ac:dyDescent="0.35">
      <c r="A836" s="3" t="s">
        <v>1676</v>
      </c>
      <c r="B836" s="3" t="s">
        <v>393</v>
      </c>
      <c r="C836" s="3">
        <v>3</v>
      </c>
      <c r="D836" s="95" t="s">
        <v>1677</v>
      </c>
      <c r="E836" s="95" t="s">
        <v>2599</v>
      </c>
      <c r="F836" s="95" t="s">
        <v>3061</v>
      </c>
      <c r="G836" s="223">
        <v>44927</v>
      </c>
      <c r="H836" s="223">
        <v>44927</v>
      </c>
      <c r="I836" s="223">
        <v>46752</v>
      </c>
      <c r="J836" s="3">
        <v>87</v>
      </c>
      <c r="K836" s="3" t="s">
        <v>10</v>
      </c>
      <c r="L836" s="3" t="s">
        <v>10</v>
      </c>
      <c r="M836" s="95" t="s">
        <v>737</v>
      </c>
      <c r="N836" s="3" t="s">
        <v>28</v>
      </c>
      <c r="O836" s="3" t="s">
        <v>651</v>
      </c>
      <c r="P836" s="3" t="s">
        <v>6</v>
      </c>
      <c r="Q836" s="3" t="s">
        <v>6</v>
      </c>
      <c r="R836" s="95" t="s">
        <v>652</v>
      </c>
      <c r="S836" s="223" t="s">
        <v>5</v>
      </c>
      <c r="T836" s="223" t="s">
        <v>5</v>
      </c>
      <c r="U836" s="223" t="s">
        <v>5</v>
      </c>
      <c r="V836" s="223" t="s">
        <v>5</v>
      </c>
      <c r="W836" s="223" t="s">
        <v>5</v>
      </c>
      <c r="X836" s="3" t="s">
        <v>5</v>
      </c>
      <c r="Y836" s="3" t="s">
        <v>651</v>
      </c>
      <c r="Z836" s="3" t="s">
        <v>651</v>
      </c>
      <c r="AA836" s="3" t="s">
        <v>6</v>
      </c>
      <c r="AB836" s="223">
        <v>45169</v>
      </c>
      <c r="AC836" s="3" t="s">
        <v>6</v>
      </c>
      <c r="AD836" s="3" t="s">
        <v>10</v>
      </c>
      <c r="AE836" s="95" t="s">
        <v>2265</v>
      </c>
    </row>
    <row r="837" spans="1:31" x14ac:dyDescent="0.35">
      <c r="A837" s="3" t="s">
        <v>1678</v>
      </c>
      <c r="B837" s="3" t="s">
        <v>393</v>
      </c>
      <c r="C837" s="3">
        <v>3</v>
      </c>
      <c r="D837" s="95" t="s">
        <v>1679</v>
      </c>
      <c r="E837" s="95" t="s">
        <v>2600</v>
      </c>
      <c r="F837" s="95" t="s">
        <v>3061</v>
      </c>
      <c r="G837" s="223">
        <v>44986</v>
      </c>
      <c r="H837" s="223">
        <v>44986</v>
      </c>
      <c r="I837" s="223">
        <v>46812</v>
      </c>
      <c r="J837" s="3">
        <v>33</v>
      </c>
      <c r="K837" s="3" t="s">
        <v>10</v>
      </c>
      <c r="L837" s="3" t="s">
        <v>10</v>
      </c>
      <c r="M837" s="95" t="s">
        <v>1680</v>
      </c>
      <c r="N837" s="3" t="s">
        <v>68</v>
      </c>
      <c r="O837" s="3" t="s">
        <v>651</v>
      </c>
      <c r="P837" s="3" t="s">
        <v>6</v>
      </c>
      <c r="Q837" s="3" t="s">
        <v>6</v>
      </c>
      <c r="R837" s="95" t="s">
        <v>652</v>
      </c>
      <c r="S837" s="223" t="s">
        <v>5</v>
      </c>
      <c r="T837" s="223" t="s">
        <v>5</v>
      </c>
      <c r="U837" s="223" t="s">
        <v>5</v>
      </c>
      <c r="V837" s="223" t="s">
        <v>5</v>
      </c>
      <c r="W837" s="223" t="s">
        <v>5</v>
      </c>
      <c r="X837" s="3" t="s">
        <v>5</v>
      </c>
      <c r="Y837" s="3" t="s">
        <v>651</v>
      </c>
      <c r="Z837" s="3" t="s">
        <v>651</v>
      </c>
      <c r="AA837" s="3" t="s">
        <v>6</v>
      </c>
      <c r="AB837" s="223">
        <v>45169</v>
      </c>
      <c r="AC837" s="3" t="s">
        <v>6</v>
      </c>
      <c r="AD837" s="3" t="s">
        <v>10</v>
      </c>
      <c r="AE837" s="95" t="s">
        <v>2265</v>
      </c>
    </row>
    <row r="838" spans="1:31" x14ac:dyDescent="0.35">
      <c r="A838" s="3" t="s">
        <v>1681</v>
      </c>
      <c r="B838" s="3" t="s">
        <v>393</v>
      </c>
      <c r="C838" s="3">
        <v>3</v>
      </c>
      <c r="D838" s="95" t="s">
        <v>1682</v>
      </c>
      <c r="E838" s="95" t="s">
        <v>2601</v>
      </c>
      <c r="F838" s="95" t="s">
        <v>3061</v>
      </c>
      <c r="G838" s="223">
        <v>45474</v>
      </c>
      <c r="H838" s="223">
        <v>45474</v>
      </c>
      <c r="I838" s="223">
        <v>47299</v>
      </c>
      <c r="J838" s="3">
        <v>182</v>
      </c>
      <c r="K838" s="3" t="s">
        <v>10</v>
      </c>
      <c r="L838" s="3" t="s">
        <v>10</v>
      </c>
      <c r="M838" s="95" t="s">
        <v>114</v>
      </c>
      <c r="N838" s="3" t="s">
        <v>115</v>
      </c>
      <c r="O838" s="3" t="s">
        <v>651</v>
      </c>
      <c r="P838" s="3" t="s">
        <v>6</v>
      </c>
      <c r="Q838" s="3" t="s">
        <v>6</v>
      </c>
      <c r="R838" s="95" t="s">
        <v>652</v>
      </c>
      <c r="S838" s="223" t="s">
        <v>5</v>
      </c>
      <c r="T838" s="223" t="s">
        <v>5</v>
      </c>
      <c r="U838" s="223" t="s">
        <v>5</v>
      </c>
      <c r="V838" s="223" t="s">
        <v>5</v>
      </c>
      <c r="W838" s="223" t="s">
        <v>5</v>
      </c>
      <c r="X838" s="3" t="s">
        <v>5</v>
      </c>
      <c r="Y838" s="3" t="s">
        <v>651</v>
      </c>
      <c r="Z838" s="3" t="s">
        <v>651</v>
      </c>
      <c r="AA838" s="3" t="s">
        <v>6</v>
      </c>
      <c r="AB838" s="223">
        <v>45169</v>
      </c>
      <c r="AC838" s="3" t="s">
        <v>6</v>
      </c>
      <c r="AD838" s="3" t="s">
        <v>10</v>
      </c>
      <c r="AE838" s="95" t="s">
        <v>2265</v>
      </c>
    </row>
    <row r="839" spans="1:31" x14ac:dyDescent="0.35">
      <c r="A839" s="3" t="s">
        <v>1683</v>
      </c>
      <c r="B839" s="3" t="s">
        <v>393</v>
      </c>
      <c r="C839" s="3">
        <v>3</v>
      </c>
      <c r="D839" s="95" t="s">
        <v>740</v>
      </c>
      <c r="E839" s="95" t="s">
        <v>2602</v>
      </c>
      <c r="F839" s="95" t="s">
        <v>651</v>
      </c>
      <c r="G839" s="223">
        <v>43525</v>
      </c>
      <c r="H839" s="223">
        <v>43525</v>
      </c>
      <c r="I839" s="223">
        <v>45351</v>
      </c>
      <c r="J839" s="3" t="s">
        <v>2266</v>
      </c>
      <c r="K839" s="3" t="s">
        <v>10</v>
      </c>
      <c r="L839" s="3" t="s">
        <v>10</v>
      </c>
      <c r="M839" s="95" t="s">
        <v>19</v>
      </c>
      <c r="N839" s="3" t="s">
        <v>20</v>
      </c>
      <c r="O839" s="3" t="s">
        <v>651</v>
      </c>
      <c r="P839" s="3" t="s">
        <v>10</v>
      </c>
      <c r="Q839" s="3" t="s">
        <v>6</v>
      </c>
      <c r="R839" s="95" t="s">
        <v>2267</v>
      </c>
      <c r="S839" s="223" t="s">
        <v>5</v>
      </c>
      <c r="T839" s="223" t="s">
        <v>5</v>
      </c>
      <c r="U839" s="223" t="s">
        <v>5</v>
      </c>
      <c r="V839" s="223" t="s">
        <v>5</v>
      </c>
      <c r="W839" s="223" t="s">
        <v>5</v>
      </c>
      <c r="X839" s="3" t="s">
        <v>5</v>
      </c>
      <c r="Y839" s="3" t="s">
        <v>651</v>
      </c>
      <c r="Z839" s="3" t="s">
        <v>651</v>
      </c>
      <c r="AA839" s="3" t="s">
        <v>651</v>
      </c>
      <c r="AB839" s="223" t="s">
        <v>5</v>
      </c>
      <c r="AC839" s="3" t="s">
        <v>651</v>
      </c>
      <c r="AD839" s="3" t="s">
        <v>651</v>
      </c>
      <c r="AE839" s="95" t="s">
        <v>651</v>
      </c>
    </row>
    <row r="840" spans="1:31" x14ac:dyDescent="0.35">
      <c r="A840" s="3" t="s">
        <v>1684</v>
      </c>
      <c r="B840" s="3" t="s">
        <v>393</v>
      </c>
      <c r="C840" s="3">
        <v>3</v>
      </c>
      <c r="D840" s="95" t="s">
        <v>3274</v>
      </c>
      <c r="E840" s="95" t="s">
        <v>2603</v>
      </c>
      <c r="F840" s="95" t="s">
        <v>3061</v>
      </c>
      <c r="G840" s="223">
        <v>44562</v>
      </c>
      <c r="H840" s="223">
        <v>44562</v>
      </c>
      <c r="I840" s="223">
        <v>46387</v>
      </c>
      <c r="J840" s="3">
        <v>142</v>
      </c>
      <c r="K840" s="3" t="s">
        <v>10</v>
      </c>
      <c r="L840" s="3" t="s">
        <v>10</v>
      </c>
      <c r="M840" s="95" t="s">
        <v>762</v>
      </c>
      <c r="N840" s="3" t="s">
        <v>62</v>
      </c>
      <c r="O840" s="3" t="s">
        <v>651</v>
      </c>
      <c r="P840" s="3" t="s">
        <v>6</v>
      </c>
      <c r="Q840" s="3" t="s">
        <v>6</v>
      </c>
      <c r="R840" s="95" t="s">
        <v>652</v>
      </c>
      <c r="S840" s="223" t="s">
        <v>5</v>
      </c>
      <c r="T840" s="223" t="s">
        <v>5</v>
      </c>
      <c r="U840" s="223" t="s">
        <v>5</v>
      </c>
      <c r="V840" s="223" t="s">
        <v>5</v>
      </c>
      <c r="W840" s="223" t="s">
        <v>5</v>
      </c>
      <c r="X840" s="3" t="s">
        <v>5</v>
      </c>
      <c r="Y840" s="3" t="s">
        <v>651</v>
      </c>
      <c r="Z840" s="3" t="s">
        <v>651</v>
      </c>
      <c r="AA840" s="3" t="s">
        <v>6</v>
      </c>
      <c r="AB840" s="223">
        <v>45302</v>
      </c>
      <c r="AC840" s="3" t="s">
        <v>6</v>
      </c>
      <c r="AD840" s="3" t="s">
        <v>10</v>
      </c>
      <c r="AE840" s="95" t="s">
        <v>2265</v>
      </c>
    </row>
    <row r="841" spans="1:31" x14ac:dyDescent="0.35">
      <c r="A841" s="3" t="s">
        <v>2235</v>
      </c>
      <c r="B841" s="3" t="s">
        <v>393</v>
      </c>
      <c r="C841" s="3">
        <v>3</v>
      </c>
      <c r="D841" s="95" t="s">
        <v>3132</v>
      </c>
      <c r="E841" s="95" t="s">
        <v>2272</v>
      </c>
      <c r="F841" s="95" t="s">
        <v>437</v>
      </c>
      <c r="G841" s="223">
        <v>44211</v>
      </c>
      <c r="H841" s="223">
        <v>44256</v>
      </c>
      <c r="I841" s="223">
        <v>46081</v>
      </c>
      <c r="J841" s="3">
        <v>0</v>
      </c>
      <c r="K841" s="3" t="s">
        <v>6</v>
      </c>
      <c r="L841" s="3" t="s">
        <v>6</v>
      </c>
      <c r="M841" s="95" t="s">
        <v>27</v>
      </c>
      <c r="N841" s="3" t="s">
        <v>28</v>
      </c>
      <c r="O841" s="3" t="s">
        <v>25</v>
      </c>
      <c r="P841" s="3" t="s">
        <v>6</v>
      </c>
      <c r="Q841" s="3" t="s">
        <v>6</v>
      </c>
      <c r="R841" s="95" t="s">
        <v>22</v>
      </c>
      <c r="S841" s="223">
        <v>43374</v>
      </c>
      <c r="T841" s="223">
        <v>43553</v>
      </c>
      <c r="U841" s="223">
        <v>43009</v>
      </c>
      <c r="V841" s="223">
        <v>43009</v>
      </c>
      <c r="W841" s="223" t="s">
        <v>6</v>
      </c>
      <c r="X841" s="3" t="s">
        <v>26</v>
      </c>
      <c r="Y841" s="3" t="s">
        <v>2100</v>
      </c>
      <c r="Z841" s="3" t="s">
        <v>28</v>
      </c>
      <c r="AA841" s="3" t="s">
        <v>6</v>
      </c>
      <c r="AB841" s="223">
        <v>42159</v>
      </c>
      <c r="AC841" s="3" t="s">
        <v>6</v>
      </c>
      <c r="AD841" s="3" t="s">
        <v>10</v>
      </c>
      <c r="AE841" s="95" t="s">
        <v>2263</v>
      </c>
    </row>
    <row r="842" spans="1:31" x14ac:dyDescent="0.35">
      <c r="A842" s="3" t="s">
        <v>392</v>
      </c>
      <c r="B842" s="3" t="s">
        <v>393</v>
      </c>
      <c r="C842" s="3">
        <v>3</v>
      </c>
      <c r="D842" s="95" t="s">
        <v>2030</v>
      </c>
      <c r="E842" s="95" t="s">
        <v>1912</v>
      </c>
      <c r="F842" s="95" t="s">
        <v>437</v>
      </c>
      <c r="G842" s="223">
        <v>44609</v>
      </c>
      <c r="H842" s="223">
        <v>44609</v>
      </c>
      <c r="I842" s="223">
        <v>46434</v>
      </c>
      <c r="J842" s="3">
        <v>1</v>
      </c>
      <c r="K842" s="3" t="s">
        <v>6</v>
      </c>
      <c r="L842" s="3" t="s">
        <v>6</v>
      </c>
      <c r="M842" s="95" t="s">
        <v>23</v>
      </c>
      <c r="N842" s="3" t="s">
        <v>24</v>
      </c>
      <c r="O842" s="3" t="s">
        <v>25</v>
      </c>
      <c r="P842" s="3" t="s">
        <v>6</v>
      </c>
      <c r="Q842" s="3" t="s">
        <v>6</v>
      </c>
      <c r="R842" s="95" t="s">
        <v>22</v>
      </c>
      <c r="S842" s="223">
        <v>43374</v>
      </c>
      <c r="T842" s="223">
        <v>43497</v>
      </c>
      <c r="U842" s="223">
        <v>42644</v>
      </c>
      <c r="V842" s="223">
        <v>42644</v>
      </c>
      <c r="W842" s="223" t="s">
        <v>6</v>
      </c>
      <c r="X842" s="3" t="s">
        <v>26</v>
      </c>
      <c r="Y842" s="3" t="s">
        <v>2093</v>
      </c>
      <c r="Z842" s="3" t="s">
        <v>24</v>
      </c>
      <c r="AA842" s="3" t="s">
        <v>6</v>
      </c>
      <c r="AB842" s="223">
        <v>42782</v>
      </c>
      <c r="AC842" s="3" t="s">
        <v>10</v>
      </c>
      <c r="AD842" s="3" t="s">
        <v>10</v>
      </c>
      <c r="AE842" s="95" t="s">
        <v>2263</v>
      </c>
    </row>
    <row r="843" spans="1:31" x14ac:dyDescent="0.35">
      <c r="A843" s="3" t="s">
        <v>1685</v>
      </c>
      <c r="B843" s="3" t="s">
        <v>393</v>
      </c>
      <c r="C843" s="3">
        <v>3</v>
      </c>
      <c r="D843" s="95" t="s">
        <v>1568</v>
      </c>
      <c r="E843" s="95" t="s">
        <v>2604</v>
      </c>
      <c r="F843" s="95" t="s">
        <v>3061</v>
      </c>
      <c r="G843" s="223">
        <v>45231</v>
      </c>
      <c r="H843" s="223">
        <v>45231</v>
      </c>
      <c r="I843" s="223">
        <v>47057</v>
      </c>
      <c r="J843" s="3">
        <v>100</v>
      </c>
      <c r="K843" s="3" t="s">
        <v>10</v>
      </c>
      <c r="L843" s="3" t="s">
        <v>10</v>
      </c>
      <c r="M843" s="95" t="s">
        <v>2555</v>
      </c>
      <c r="N843" s="3" t="s">
        <v>52</v>
      </c>
      <c r="O843" s="3" t="s">
        <v>651</v>
      </c>
      <c r="P843" s="3" t="s">
        <v>6</v>
      </c>
      <c r="Q843" s="3" t="s">
        <v>6</v>
      </c>
      <c r="R843" s="95" t="s">
        <v>652</v>
      </c>
      <c r="S843" s="223" t="s">
        <v>5</v>
      </c>
      <c r="T843" s="223" t="s">
        <v>5</v>
      </c>
      <c r="U843" s="223" t="s">
        <v>5</v>
      </c>
      <c r="V843" s="223" t="s">
        <v>5</v>
      </c>
      <c r="W843" s="223" t="s">
        <v>5</v>
      </c>
      <c r="X843" s="3" t="s">
        <v>5</v>
      </c>
      <c r="Y843" s="3" t="s">
        <v>651</v>
      </c>
      <c r="Z843" s="3" t="s">
        <v>651</v>
      </c>
      <c r="AA843" s="3" t="s">
        <v>6</v>
      </c>
      <c r="AB843" s="223">
        <v>45141</v>
      </c>
      <c r="AC843" s="3" t="s">
        <v>10</v>
      </c>
      <c r="AD843" s="3" t="s">
        <v>6</v>
      </c>
      <c r="AE843" s="95" t="s">
        <v>2265</v>
      </c>
    </row>
    <row r="844" spans="1:31" x14ac:dyDescent="0.35">
      <c r="A844" s="3" t="s">
        <v>1686</v>
      </c>
      <c r="B844" s="3" t="s">
        <v>393</v>
      </c>
      <c r="C844" s="3">
        <v>3</v>
      </c>
      <c r="D844" s="95" t="s">
        <v>1687</v>
      </c>
      <c r="E844" s="95" t="s">
        <v>2605</v>
      </c>
      <c r="F844" s="95" t="s">
        <v>3061</v>
      </c>
      <c r="G844" s="223">
        <v>45474</v>
      </c>
      <c r="H844" s="223">
        <v>45474</v>
      </c>
      <c r="I844" s="223">
        <v>47299</v>
      </c>
      <c r="J844" s="3">
        <v>1236</v>
      </c>
      <c r="K844" s="3" t="s">
        <v>10</v>
      </c>
      <c r="L844" s="3" t="s">
        <v>10</v>
      </c>
      <c r="M844" s="95" t="s">
        <v>27</v>
      </c>
      <c r="N844" s="3" t="s">
        <v>28</v>
      </c>
      <c r="O844" s="3" t="s">
        <v>651</v>
      </c>
      <c r="P844" s="3" t="s">
        <v>6</v>
      </c>
      <c r="Q844" s="3" t="s">
        <v>6</v>
      </c>
      <c r="R844" s="95" t="s">
        <v>652</v>
      </c>
      <c r="S844" s="223" t="s">
        <v>5</v>
      </c>
      <c r="T844" s="223" t="s">
        <v>5</v>
      </c>
      <c r="U844" s="223" t="s">
        <v>5</v>
      </c>
      <c r="V844" s="223" t="s">
        <v>5</v>
      </c>
      <c r="W844" s="223" t="s">
        <v>5</v>
      </c>
      <c r="X844" s="3" t="s">
        <v>5</v>
      </c>
      <c r="Y844" s="3" t="s">
        <v>651</v>
      </c>
      <c r="Z844" s="3" t="s">
        <v>651</v>
      </c>
      <c r="AA844" s="3" t="s">
        <v>6</v>
      </c>
      <c r="AB844" s="223">
        <v>45232</v>
      </c>
      <c r="AC844" s="3" t="s">
        <v>6</v>
      </c>
      <c r="AD844" s="3" t="s">
        <v>10</v>
      </c>
      <c r="AE844" s="95" t="s">
        <v>2265</v>
      </c>
    </row>
    <row r="845" spans="1:31" x14ac:dyDescent="0.35">
      <c r="A845" s="3" t="s">
        <v>1688</v>
      </c>
      <c r="B845" s="3" t="s">
        <v>393</v>
      </c>
      <c r="C845" s="3">
        <v>3</v>
      </c>
      <c r="D845" s="95" t="s">
        <v>1689</v>
      </c>
      <c r="E845" s="95" t="s">
        <v>2606</v>
      </c>
      <c r="F845" s="95" t="s">
        <v>3061</v>
      </c>
      <c r="G845" s="223">
        <v>43647</v>
      </c>
      <c r="H845" s="223">
        <v>43647</v>
      </c>
      <c r="I845" s="223">
        <v>45473</v>
      </c>
      <c r="J845" s="3">
        <v>6204</v>
      </c>
      <c r="K845" s="3" t="s">
        <v>10</v>
      </c>
      <c r="L845" s="3" t="s">
        <v>10</v>
      </c>
      <c r="M845" s="95" t="s">
        <v>23</v>
      </c>
      <c r="N845" s="3" t="s">
        <v>24</v>
      </c>
      <c r="O845" s="3" t="s">
        <v>651</v>
      </c>
      <c r="P845" s="3" t="s">
        <v>6</v>
      </c>
      <c r="Q845" s="3" t="s">
        <v>6</v>
      </c>
      <c r="R845" s="95" t="s">
        <v>652</v>
      </c>
      <c r="S845" s="223" t="s">
        <v>5</v>
      </c>
      <c r="T845" s="223" t="s">
        <v>5</v>
      </c>
      <c r="U845" s="223" t="s">
        <v>5</v>
      </c>
      <c r="V845" s="223" t="s">
        <v>5</v>
      </c>
      <c r="W845" s="223" t="s">
        <v>5</v>
      </c>
      <c r="X845" s="3" t="s">
        <v>5</v>
      </c>
      <c r="Y845" s="3" t="s">
        <v>651</v>
      </c>
      <c r="Z845" s="3" t="s">
        <v>651</v>
      </c>
      <c r="AA845" s="3" t="s">
        <v>6</v>
      </c>
      <c r="AB845" s="223">
        <v>45166</v>
      </c>
      <c r="AC845" s="3" t="s">
        <v>10</v>
      </c>
      <c r="AD845" s="3" t="s">
        <v>10</v>
      </c>
      <c r="AE845" s="95" t="s">
        <v>2265</v>
      </c>
    </row>
    <row r="846" spans="1:31" x14ac:dyDescent="0.35">
      <c r="A846" s="3" t="s">
        <v>2955</v>
      </c>
      <c r="B846" s="3" t="s">
        <v>395</v>
      </c>
      <c r="C846" s="3">
        <v>2</v>
      </c>
      <c r="D846" s="95" t="s">
        <v>2956</v>
      </c>
      <c r="E846" s="95" t="s">
        <v>396</v>
      </c>
      <c r="F846" s="95" t="s">
        <v>4</v>
      </c>
      <c r="G846" s="223">
        <v>45446</v>
      </c>
      <c r="H846" s="223">
        <v>45446</v>
      </c>
      <c r="I846" s="223">
        <v>47271</v>
      </c>
      <c r="J846" s="3">
        <v>55</v>
      </c>
      <c r="K846" s="3" t="s">
        <v>10</v>
      </c>
      <c r="L846" s="3" t="s">
        <v>6</v>
      </c>
      <c r="M846" s="95" t="s">
        <v>2957</v>
      </c>
      <c r="N846" s="3" t="s">
        <v>48</v>
      </c>
      <c r="O846" s="3" t="s">
        <v>8</v>
      </c>
      <c r="P846" s="3" t="s">
        <v>6</v>
      </c>
      <c r="Q846" s="3" t="s">
        <v>6</v>
      </c>
      <c r="R846" s="95" t="s">
        <v>50</v>
      </c>
      <c r="S846" s="223">
        <v>43374</v>
      </c>
      <c r="T846" s="223">
        <v>43553</v>
      </c>
      <c r="U846" s="223">
        <v>43433</v>
      </c>
      <c r="V846" s="223">
        <v>43433</v>
      </c>
      <c r="W846" s="223" t="s">
        <v>6</v>
      </c>
      <c r="X846" s="3" t="s">
        <v>26</v>
      </c>
      <c r="Y846" s="3" t="s">
        <v>2948</v>
      </c>
      <c r="Z846" s="3" t="s">
        <v>2924</v>
      </c>
      <c r="AA846" s="3" t="s">
        <v>2254</v>
      </c>
      <c r="AB846" s="223" t="s">
        <v>5</v>
      </c>
      <c r="AC846" s="3" t="s">
        <v>6</v>
      </c>
      <c r="AD846" s="3" t="s">
        <v>10</v>
      </c>
      <c r="AE846" s="95" t="s">
        <v>2263</v>
      </c>
    </row>
    <row r="847" spans="1:31" x14ac:dyDescent="0.35">
      <c r="A847" s="3" t="s">
        <v>394</v>
      </c>
      <c r="B847" s="3" t="s">
        <v>395</v>
      </c>
      <c r="C847" s="3">
        <v>2</v>
      </c>
      <c r="D847" s="95" t="s">
        <v>2326</v>
      </c>
      <c r="E847" s="95" t="s">
        <v>396</v>
      </c>
      <c r="F847" s="95" t="s">
        <v>4</v>
      </c>
      <c r="G847" s="223">
        <v>41242</v>
      </c>
      <c r="H847" s="223" t="s">
        <v>5</v>
      </c>
      <c r="I847" s="223">
        <v>43069</v>
      </c>
      <c r="J847" s="3">
        <v>40</v>
      </c>
      <c r="K847" s="3" t="s">
        <v>10</v>
      </c>
      <c r="L847" s="3" t="s">
        <v>6</v>
      </c>
      <c r="M847" s="95" t="s">
        <v>23</v>
      </c>
      <c r="N847" s="3" t="s">
        <v>24</v>
      </c>
      <c r="O847" s="3" t="s">
        <v>25</v>
      </c>
      <c r="P847" s="3" t="s">
        <v>6</v>
      </c>
      <c r="Q847" s="3" t="s">
        <v>6</v>
      </c>
      <c r="R847" s="95" t="s">
        <v>50</v>
      </c>
      <c r="S847" s="223">
        <v>43374</v>
      </c>
      <c r="T847" s="223">
        <v>43497</v>
      </c>
      <c r="U847" s="223">
        <v>43433</v>
      </c>
      <c r="V847" s="223">
        <v>43433</v>
      </c>
      <c r="W847" s="223" t="s">
        <v>6</v>
      </c>
      <c r="X847" s="3" t="s">
        <v>26</v>
      </c>
      <c r="Y847" s="3" t="s">
        <v>2099</v>
      </c>
      <c r="Z847" s="3" t="s">
        <v>24</v>
      </c>
      <c r="AA847" s="3" t="s">
        <v>10</v>
      </c>
      <c r="AB847" s="223" t="s">
        <v>5</v>
      </c>
      <c r="AC847" s="3" t="s">
        <v>10</v>
      </c>
      <c r="AD847" s="3" t="s">
        <v>10</v>
      </c>
      <c r="AE847" s="95" t="s">
        <v>2263</v>
      </c>
    </row>
    <row r="848" spans="1:31" x14ac:dyDescent="0.35">
      <c r="A848" s="3" t="s">
        <v>397</v>
      </c>
      <c r="B848" s="3" t="s">
        <v>395</v>
      </c>
      <c r="C848" s="3">
        <v>2</v>
      </c>
      <c r="D848" s="95" t="s">
        <v>3069</v>
      </c>
      <c r="E848" s="95" t="s">
        <v>396</v>
      </c>
      <c r="F848" s="95" t="s">
        <v>4</v>
      </c>
      <c r="G848" s="223">
        <v>41197</v>
      </c>
      <c r="H848" s="223">
        <v>41214</v>
      </c>
      <c r="I848" s="223">
        <v>43039</v>
      </c>
      <c r="J848" s="3">
        <v>2</v>
      </c>
      <c r="K848" s="3" t="s">
        <v>10</v>
      </c>
      <c r="L848" s="3" t="s">
        <v>6</v>
      </c>
      <c r="M848" s="95" t="s">
        <v>19</v>
      </c>
      <c r="N848" s="3" t="s">
        <v>20</v>
      </c>
      <c r="O848" s="3" t="s">
        <v>21</v>
      </c>
      <c r="P848" s="3" t="s">
        <v>6</v>
      </c>
      <c r="Q848" s="3" t="s">
        <v>6</v>
      </c>
      <c r="R848" s="95" t="s">
        <v>50</v>
      </c>
      <c r="S848" s="223">
        <v>43675</v>
      </c>
      <c r="T848" s="223">
        <v>43756</v>
      </c>
      <c r="U848" s="223">
        <v>43647</v>
      </c>
      <c r="V848" s="223">
        <v>43647</v>
      </c>
      <c r="W848" s="223" t="s">
        <v>6</v>
      </c>
      <c r="X848" s="3" t="s">
        <v>26</v>
      </c>
      <c r="Y848" s="3" t="s">
        <v>2942</v>
      </c>
      <c r="Z848" s="3" t="s">
        <v>20</v>
      </c>
      <c r="AA848" s="3" t="s">
        <v>10</v>
      </c>
      <c r="AB848" s="223" t="s">
        <v>5</v>
      </c>
      <c r="AC848" s="3" t="s">
        <v>10</v>
      </c>
      <c r="AD848" s="3" t="s">
        <v>10</v>
      </c>
      <c r="AE848" s="95" t="s">
        <v>2263</v>
      </c>
    </row>
    <row r="849" spans="1:31" x14ac:dyDescent="0.35">
      <c r="A849" s="3" t="s">
        <v>399</v>
      </c>
      <c r="B849" s="3" t="s">
        <v>395</v>
      </c>
      <c r="C849" s="3">
        <v>2</v>
      </c>
      <c r="D849" s="95" t="s">
        <v>400</v>
      </c>
      <c r="E849" s="95" t="s">
        <v>396</v>
      </c>
      <c r="F849" s="95" t="s">
        <v>4</v>
      </c>
      <c r="G849" s="223">
        <v>42795</v>
      </c>
      <c r="H849" s="223">
        <v>42795</v>
      </c>
      <c r="I849" s="223">
        <v>44620</v>
      </c>
      <c r="J849" s="3">
        <v>50</v>
      </c>
      <c r="K849" s="3" t="s">
        <v>10</v>
      </c>
      <c r="L849" s="3" t="s">
        <v>6</v>
      </c>
      <c r="M849" s="95" t="s">
        <v>27</v>
      </c>
      <c r="N849" s="3" t="s">
        <v>28</v>
      </c>
      <c r="O849" s="3" t="s">
        <v>25</v>
      </c>
      <c r="P849" s="3" t="s">
        <v>6</v>
      </c>
      <c r="Q849" s="3" t="s">
        <v>6</v>
      </c>
      <c r="R849" s="95" t="s">
        <v>50</v>
      </c>
      <c r="S849" s="223">
        <v>43374</v>
      </c>
      <c r="T849" s="223">
        <v>43553</v>
      </c>
      <c r="U849" s="223">
        <v>43433</v>
      </c>
      <c r="V849" s="223">
        <v>43433</v>
      </c>
      <c r="W849" s="223" t="s">
        <v>6</v>
      </c>
      <c r="X849" s="3" t="s">
        <v>26</v>
      </c>
      <c r="Y849" s="3" t="s">
        <v>2939</v>
      </c>
      <c r="Z849" s="3" t="s">
        <v>28</v>
      </c>
      <c r="AA849" s="3" t="s">
        <v>2372</v>
      </c>
      <c r="AB849" s="223" t="s">
        <v>5</v>
      </c>
      <c r="AC849" s="3" t="s">
        <v>6</v>
      </c>
      <c r="AD849" s="3" t="s">
        <v>10</v>
      </c>
      <c r="AE849" s="95" t="s">
        <v>2263</v>
      </c>
    </row>
    <row r="850" spans="1:31" x14ac:dyDescent="0.35">
      <c r="A850" s="3" t="s">
        <v>401</v>
      </c>
      <c r="B850" s="3" t="s">
        <v>402</v>
      </c>
      <c r="C850" s="3">
        <v>1</v>
      </c>
      <c r="D850" s="95" t="s">
        <v>3172</v>
      </c>
      <c r="E850" s="95" t="s">
        <v>422</v>
      </c>
      <c r="F850" s="95" t="s">
        <v>437</v>
      </c>
      <c r="G850" s="223">
        <v>44455</v>
      </c>
      <c r="H850" s="223">
        <v>44500</v>
      </c>
      <c r="I850" s="223">
        <v>46326</v>
      </c>
      <c r="J850" s="3">
        <v>1</v>
      </c>
      <c r="K850" s="3" t="s">
        <v>6</v>
      </c>
      <c r="L850" s="3" t="s">
        <v>6</v>
      </c>
      <c r="M850" s="95" t="s">
        <v>19</v>
      </c>
      <c r="N850" s="3" t="s">
        <v>20</v>
      </c>
      <c r="O850" s="3" t="s">
        <v>21</v>
      </c>
      <c r="P850" s="3" t="s">
        <v>6</v>
      </c>
      <c r="Q850" s="3" t="s">
        <v>6</v>
      </c>
      <c r="R850" s="95" t="s">
        <v>22</v>
      </c>
      <c r="S850" s="223">
        <v>43675</v>
      </c>
      <c r="T850" s="223">
        <v>43756</v>
      </c>
      <c r="U850" s="223">
        <v>43647</v>
      </c>
      <c r="V850" s="223">
        <v>43647</v>
      </c>
      <c r="W850" s="223" t="s">
        <v>6</v>
      </c>
      <c r="X850" s="3" t="s">
        <v>26</v>
      </c>
      <c r="Y850" s="3" t="s">
        <v>2116</v>
      </c>
      <c r="Z850" s="3" t="s">
        <v>20</v>
      </c>
      <c r="AA850" s="3" t="s">
        <v>6</v>
      </c>
      <c r="AB850" s="223">
        <v>44442</v>
      </c>
      <c r="AC850" s="3" t="s">
        <v>10</v>
      </c>
      <c r="AD850" s="3" t="s">
        <v>10</v>
      </c>
      <c r="AE850" s="95" t="s">
        <v>2263</v>
      </c>
    </row>
    <row r="851" spans="1:31" x14ac:dyDescent="0.35">
      <c r="A851" s="3" t="s">
        <v>439</v>
      </c>
      <c r="B851" s="3" t="s">
        <v>402</v>
      </c>
      <c r="C851" s="3">
        <v>1</v>
      </c>
      <c r="D851" s="95" t="s">
        <v>440</v>
      </c>
      <c r="E851" s="95" t="s">
        <v>2414</v>
      </c>
      <c r="F851" s="95" t="s">
        <v>437</v>
      </c>
      <c r="G851" s="223">
        <v>44322</v>
      </c>
      <c r="H851" s="223">
        <v>44382</v>
      </c>
      <c r="I851" s="223">
        <v>46203</v>
      </c>
      <c r="J851" s="3">
        <v>2</v>
      </c>
      <c r="K851" s="3" t="s">
        <v>6</v>
      </c>
      <c r="L851" s="3" t="s">
        <v>6</v>
      </c>
      <c r="M851" s="95" t="s">
        <v>109</v>
      </c>
      <c r="N851" s="3" t="s">
        <v>110</v>
      </c>
      <c r="O851" s="3" t="s">
        <v>25</v>
      </c>
      <c r="P851" s="3" t="s">
        <v>6</v>
      </c>
      <c r="Q851" s="3" t="s">
        <v>6</v>
      </c>
      <c r="R851" s="95" t="s">
        <v>9</v>
      </c>
      <c r="S851" s="223">
        <v>43374</v>
      </c>
      <c r="T851" s="223">
        <v>43434</v>
      </c>
      <c r="U851" s="223">
        <v>43313</v>
      </c>
      <c r="V851" s="223">
        <v>43313</v>
      </c>
      <c r="W851" s="223" t="s">
        <v>6</v>
      </c>
      <c r="X851" s="3" t="s">
        <v>26</v>
      </c>
      <c r="Y851" s="3" t="s">
        <v>2109</v>
      </c>
      <c r="Z851" s="3" t="s">
        <v>3189</v>
      </c>
      <c r="AA851" s="3" t="s">
        <v>6</v>
      </c>
      <c r="AB851" s="223">
        <v>44379</v>
      </c>
      <c r="AC851" s="3" t="s">
        <v>6</v>
      </c>
      <c r="AD851" s="3" t="s">
        <v>10</v>
      </c>
      <c r="AE851" s="95" t="s">
        <v>2265</v>
      </c>
    </row>
    <row r="852" spans="1:31" x14ac:dyDescent="0.35">
      <c r="A852" s="3" t="s">
        <v>2911</v>
      </c>
      <c r="B852" s="3" t="s">
        <v>402</v>
      </c>
      <c r="C852" s="3">
        <v>1</v>
      </c>
      <c r="D852" s="95" t="s">
        <v>2912</v>
      </c>
      <c r="E852" s="95" t="s">
        <v>509</v>
      </c>
      <c r="F852" s="95" t="s">
        <v>437</v>
      </c>
      <c r="G852" s="223">
        <v>44775</v>
      </c>
      <c r="H852" s="223">
        <v>44775</v>
      </c>
      <c r="I852" s="223">
        <v>46600</v>
      </c>
      <c r="J852" s="3">
        <v>5</v>
      </c>
      <c r="K852" s="3" t="s">
        <v>6</v>
      </c>
      <c r="L852" s="3" t="s">
        <v>6</v>
      </c>
      <c r="M852" s="95" t="s">
        <v>184</v>
      </c>
      <c r="N852" s="3" t="s">
        <v>68</v>
      </c>
      <c r="O852" s="3" t="s">
        <v>49</v>
      </c>
      <c r="P852" s="3" t="s">
        <v>6</v>
      </c>
      <c r="Q852" s="3" t="s">
        <v>6</v>
      </c>
      <c r="R852" s="95" t="s">
        <v>9</v>
      </c>
      <c r="S852" s="223">
        <v>43528</v>
      </c>
      <c r="T852" s="223">
        <v>43588</v>
      </c>
      <c r="U852" s="223">
        <v>43221</v>
      </c>
      <c r="V852" s="223">
        <v>43221</v>
      </c>
      <c r="W852" s="223" t="s">
        <v>6</v>
      </c>
      <c r="X852" s="3" t="s">
        <v>26</v>
      </c>
      <c r="Y852" s="3" t="s">
        <v>2137</v>
      </c>
      <c r="Z852" s="3" t="s">
        <v>2249</v>
      </c>
      <c r="AA852" s="3" t="s">
        <v>6</v>
      </c>
      <c r="AB852" s="223">
        <v>44901</v>
      </c>
      <c r="AC852" s="3" t="s">
        <v>6</v>
      </c>
      <c r="AD852" s="3" t="s">
        <v>10</v>
      </c>
      <c r="AE852" s="95" t="s">
        <v>2263</v>
      </c>
    </row>
    <row r="853" spans="1:31" x14ac:dyDescent="0.35">
      <c r="A853" s="3" t="s">
        <v>1690</v>
      </c>
      <c r="B853" s="3" t="s">
        <v>402</v>
      </c>
      <c r="C853" s="3">
        <v>1</v>
      </c>
      <c r="D853" s="95" t="s">
        <v>3275</v>
      </c>
      <c r="E853" s="95" t="s">
        <v>3062</v>
      </c>
      <c r="F853" s="95" t="s">
        <v>4</v>
      </c>
      <c r="G853" s="223">
        <v>44834</v>
      </c>
      <c r="H853" s="223">
        <v>44835</v>
      </c>
      <c r="I853" s="223">
        <v>46660</v>
      </c>
      <c r="J853" s="3">
        <v>34</v>
      </c>
      <c r="K853" s="3" t="s">
        <v>10</v>
      </c>
      <c r="L853" s="3" t="s">
        <v>10</v>
      </c>
      <c r="M853" s="95" t="s">
        <v>201</v>
      </c>
      <c r="N853" s="3" t="s">
        <v>68</v>
      </c>
      <c r="O853" s="3" t="s">
        <v>651</v>
      </c>
      <c r="P853" s="3" t="s">
        <v>6</v>
      </c>
      <c r="Q853" s="3" t="s">
        <v>6</v>
      </c>
      <c r="R853" s="95" t="s">
        <v>652</v>
      </c>
      <c r="S853" s="223" t="s">
        <v>5</v>
      </c>
      <c r="T853" s="223" t="s">
        <v>5</v>
      </c>
      <c r="U853" s="223" t="s">
        <v>5</v>
      </c>
      <c r="V853" s="223" t="s">
        <v>5</v>
      </c>
      <c r="W853" s="223" t="s">
        <v>5</v>
      </c>
      <c r="X853" s="3" t="s">
        <v>5</v>
      </c>
      <c r="Y853" s="3" t="s">
        <v>651</v>
      </c>
      <c r="Z853" s="3" t="s">
        <v>651</v>
      </c>
      <c r="AA853" s="3" t="s">
        <v>10</v>
      </c>
      <c r="AB853" s="223" t="s">
        <v>5</v>
      </c>
      <c r="AC853" s="3" t="s">
        <v>10</v>
      </c>
      <c r="AD853" s="3" t="s">
        <v>10</v>
      </c>
      <c r="AE853" s="95" t="s">
        <v>2263</v>
      </c>
    </row>
    <row r="854" spans="1:31" x14ac:dyDescent="0.35">
      <c r="A854" s="3" t="s">
        <v>1691</v>
      </c>
      <c r="B854" s="3" t="s">
        <v>402</v>
      </c>
      <c r="C854" s="3">
        <v>1</v>
      </c>
      <c r="D854" s="95" t="s">
        <v>1692</v>
      </c>
      <c r="E854" s="95" t="s">
        <v>3063</v>
      </c>
      <c r="F854" s="95" t="s">
        <v>4</v>
      </c>
      <c r="G854" s="223">
        <v>44757</v>
      </c>
      <c r="H854" s="223">
        <v>44757</v>
      </c>
      <c r="I854" s="223">
        <v>46581</v>
      </c>
      <c r="J854" s="3">
        <v>6</v>
      </c>
      <c r="K854" s="3" t="s">
        <v>10</v>
      </c>
      <c r="L854" s="3" t="s">
        <v>10</v>
      </c>
      <c r="M854" s="95" t="s">
        <v>19</v>
      </c>
      <c r="N854" s="3" t="s">
        <v>20</v>
      </c>
      <c r="O854" s="3" t="s">
        <v>651</v>
      </c>
      <c r="P854" s="3" t="s">
        <v>6</v>
      </c>
      <c r="Q854" s="3" t="s">
        <v>6</v>
      </c>
      <c r="R854" s="95" t="s">
        <v>652</v>
      </c>
      <c r="S854" s="223" t="s">
        <v>5</v>
      </c>
      <c r="T854" s="223" t="s">
        <v>5</v>
      </c>
      <c r="U854" s="223" t="s">
        <v>5</v>
      </c>
      <c r="V854" s="223" t="s">
        <v>5</v>
      </c>
      <c r="W854" s="223" t="s">
        <v>5</v>
      </c>
      <c r="X854" s="3" t="s">
        <v>5</v>
      </c>
      <c r="Y854" s="3" t="s">
        <v>651</v>
      </c>
      <c r="Z854" s="3" t="s">
        <v>651</v>
      </c>
      <c r="AA854" s="3" t="s">
        <v>10</v>
      </c>
      <c r="AB854" s="223" t="s">
        <v>5</v>
      </c>
      <c r="AC854" s="3" t="s">
        <v>10</v>
      </c>
      <c r="AD854" s="3" t="s">
        <v>10</v>
      </c>
      <c r="AE854" s="95" t="s">
        <v>2263</v>
      </c>
    </row>
    <row r="855" spans="1:31" x14ac:dyDescent="0.35">
      <c r="A855" s="3" t="s">
        <v>2031</v>
      </c>
      <c r="B855" s="3" t="s">
        <v>402</v>
      </c>
      <c r="C855" s="3">
        <v>1</v>
      </c>
      <c r="D855" s="95" t="s">
        <v>404</v>
      </c>
      <c r="E855" s="95" t="s">
        <v>2272</v>
      </c>
      <c r="F855" s="95" t="s">
        <v>437</v>
      </c>
      <c r="G855" s="223">
        <v>44211</v>
      </c>
      <c r="H855" s="223">
        <v>44256</v>
      </c>
      <c r="I855" s="223">
        <v>46081</v>
      </c>
      <c r="J855" s="3">
        <v>2</v>
      </c>
      <c r="K855" s="3" t="s">
        <v>6</v>
      </c>
      <c r="L855" s="3" t="s">
        <v>6</v>
      </c>
      <c r="M855" s="95" t="s">
        <v>27</v>
      </c>
      <c r="N855" s="3" t="s">
        <v>28</v>
      </c>
      <c r="O855" s="3" t="s">
        <v>25</v>
      </c>
      <c r="P855" s="3" t="s">
        <v>6</v>
      </c>
      <c r="Q855" s="3" t="s">
        <v>6</v>
      </c>
      <c r="R855" s="95" t="s">
        <v>22</v>
      </c>
      <c r="S855" s="223">
        <v>43374</v>
      </c>
      <c r="T855" s="223">
        <v>43553</v>
      </c>
      <c r="U855" s="223">
        <v>43009</v>
      </c>
      <c r="V855" s="223">
        <v>43009</v>
      </c>
      <c r="W855" s="223" t="s">
        <v>6</v>
      </c>
      <c r="X855" s="3" t="s">
        <v>26</v>
      </c>
      <c r="Y855" s="3" t="s">
        <v>2100</v>
      </c>
      <c r="Z855" s="3" t="s">
        <v>28</v>
      </c>
      <c r="AA855" s="3" t="s">
        <v>6</v>
      </c>
      <c r="AB855" s="223">
        <v>42159</v>
      </c>
      <c r="AC855" s="3" t="s">
        <v>6</v>
      </c>
      <c r="AD855" s="3" t="s">
        <v>10</v>
      </c>
      <c r="AE855" s="95" t="s">
        <v>2263</v>
      </c>
    </row>
    <row r="856" spans="1:31" x14ac:dyDescent="0.35">
      <c r="A856" s="3" t="s">
        <v>403</v>
      </c>
      <c r="B856" s="3" t="s">
        <v>402</v>
      </c>
      <c r="C856" s="3">
        <v>1</v>
      </c>
      <c r="D856" s="95" t="s">
        <v>2032</v>
      </c>
      <c r="E856" s="95" t="s">
        <v>1912</v>
      </c>
      <c r="F856" s="95" t="s">
        <v>437</v>
      </c>
      <c r="G856" s="223">
        <v>44609</v>
      </c>
      <c r="H856" s="223">
        <v>44609</v>
      </c>
      <c r="I856" s="223">
        <v>46434</v>
      </c>
      <c r="J856" s="3">
        <v>5</v>
      </c>
      <c r="K856" s="3" t="s">
        <v>6</v>
      </c>
      <c r="L856" s="3" t="s">
        <v>6</v>
      </c>
      <c r="M856" s="95" t="s">
        <v>23</v>
      </c>
      <c r="N856" s="3" t="s">
        <v>24</v>
      </c>
      <c r="O856" s="3" t="s">
        <v>25</v>
      </c>
      <c r="P856" s="3" t="s">
        <v>6</v>
      </c>
      <c r="Q856" s="3" t="s">
        <v>6</v>
      </c>
      <c r="R856" s="95" t="s">
        <v>22</v>
      </c>
      <c r="S856" s="223">
        <v>43374</v>
      </c>
      <c r="T856" s="223">
        <v>43497</v>
      </c>
      <c r="U856" s="223">
        <v>42644</v>
      </c>
      <c r="V856" s="223">
        <v>42644</v>
      </c>
      <c r="W856" s="223" t="s">
        <v>6</v>
      </c>
      <c r="X856" s="3" t="s">
        <v>26</v>
      </c>
      <c r="Y856" s="3" t="s">
        <v>2093</v>
      </c>
      <c r="Z856" s="3" t="s">
        <v>24</v>
      </c>
      <c r="AA856" s="3" t="s">
        <v>6</v>
      </c>
      <c r="AB856" s="223">
        <v>42782</v>
      </c>
      <c r="AC856" s="3" t="s">
        <v>10</v>
      </c>
      <c r="AD856" s="3" t="s">
        <v>10</v>
      </c>
      <c r="AE856" s="95" t="s">
        <v>2263</v>
      </c>
    </row>
    <row r="857" spans="1:31" x14ac:dyDescent="0.35">
      <c r="A857" s="3" t="s">
        <v>1693</v>
      </c>
      <c r="B857" s="3" t="s">
        <v>402</v>
      </c>
      <c r="C857" s="3">
        <v>1</v>
      </c>
      <c r="D857" s="95" t="s">
        <v>3276</v>
      </c>
      <c r="E857" s="95" t="s">
        <v>3277</v>
      </c>
      <c r="F857" s="95" t="s">
        <v>4</v>
      </c>
      <c r="G857" s="223">
        <v>43308</v>
      </c>
      <c r="H857" s="223">
        <v>43308</v>
      </c>
      <c r="I857" s="223">
        <v>45133</v>
      </c>
      <c r="J857" s="3">
        <v>15</v>
      </c>
      <c r="K857" s="3" t="s">
        <v>10</v>
      </c>
      <c r="L857" s="3" t="s">
        <v>10</v>
      </c>
      <c r="M857" s="95" t="s">
        <v>2555</v>
      </c>
      <c r="N857" s="3" t="s">
        <v>52</v>
      </c>
      <c r="O857" s="3" t="s">
        <v>651</v>
      </c>
      <c r="P857" s="3" t="s">
        <v>6</v>
      </c>
      <c r="Q857" s="3" t="s">
        <v>6</v>
      </c>
      <c r="R857" s="95" t="s">
        <v>652</v>
      </c>
      <c r="S857" s="223" t="s">
        <v>5</v>
      </c>
      <c r="T857" s="223" t="s">
        <v>5</v>
      </c>
      <c r="U857" s="223" t="s">
        <v>5</v>
      </c>
      <c r="V857" s="223" t="s">
        <v>5</v>
      </c>
      <c r="W857" s="223" t="s">
        <v>5</v>
      </c>
      <c r="X857" s="3" t="s">
        <v>5</v>
      </c>
      <c r="Y857" s="3" t="s">
        <v>651</v>
      </c>
      <c r="Z857" s="3" t="s">
        <v>651</v>
      </c>
      <c r="AA857" s="3" t="s">
        <v>10</v>
      </c>
      <c r="AB857" s="223" t="s">
        <v>5</v>
      </c>
      <c r="AC857" s="3" t="s">
        <v>10</v>
      </c>
      <c r="AD857" s="3" t="s">
        <v>6</v>
      </c>
      <c r="AE857" s="95" t="s">
        <v>2265</v>
      </c>
    </row>
    <row r="858" spans="1:31" x14ac:dyDescent="0.35">
      <c r="A858" s="3" t="s">
        <v>1694</v>
      </c>
      <c r="B858" s="3" t="s">
        <v>402</v>
      </c>
      <c r="C858" s="3">
        <v>1</v>
      </c>
      <c r="D858" s="95" t="s">
        <v>3278</v>
      </c>
      <c r="E858" s="95" t="s">
        <v>2607</v>
      </c>
      <c r="F858" s="95" t="s">
        <v>4</v>
      </c>
      <c r="G858" s="223">
        <v>40759</v>
      </c>
      <c r="H858" s="223">
        <v>40759</v>
      </c>
      <c r="I858" s="223">
        <v>42586</v>
      </c>
      <c r="J858" s="3">
        <v>380</v>
      </c>
      <c r="K858" s="3" t="s">
        <v>10</v>
      </c>
      <c r="L858" s="3" t="s">
        <v>10</v>
      </c>
      <c r="M858" s="95" t="s">
        <v>27</v>
      </c>
      <c r="N858" s="3" t="s">
        <v>28</v>
      </c>
      <c r="O858" s="3" t="s">
        <v>651</v>
      </c>
      <c r="P858" s="3" t="s">
        <v>6</v>
      </c>
      <c r="Q858" s="3" t="s">
        <v>6</v>
      </c>
      <c r="R858" s="95" t="s">
        <v>652</v>
      </c>
      <c r="S858" s="223" t="s">
        <v>5</v>
      </c>
      <c r="T858" s="223" t="s">
        <v>5</v>
      </c>
      <c r="U858" s="223" t="s">
        <v>5</v>
      </c>
      <c r="V858" s="223" t="s">
        <v>5</v>
      </c>
      <c r="W858" s="223" t="s">
        <v>5</v>
      </c>
      <c r="X858" s="3" t="s">
        <v>5</v>
      </c>
      <c r="Y858" s="3" t="s">
        <v>651</v>
      </c>
      <c r="Z858" s="3" t="s">
        <v>651</v>
      </c>
      <c r="AA858" s="3" t="s">
        <v>10</v>
      </c>
      <c r="AB858" s="223" t="s">
        <v>5</v>
      </c>
      <c r="AC858" s="3" t="s">
        <v>6</v>
      </c>
      <c r="AD858" s="3" t="s">
        <v>10</v>
      </c>
      <c r="AE858" s="95" t="s">
        <v>2265</v>
      </c>
    </row>
    <row r="859" spans="1:31" x14ac:dyDescent="0.35">
      <c r="A859" s="3" t="s">
        <v>2608</v>
      </c>
      <c r="B859" s="3" t="s">
        <v>402</v>
      </c>
      <c r="C859" s="3">
        <v>1</v>
      </c>
      <c r="D859" s="95" t="s">
        <v>962</v>
      </c>
      <c r="E859" s="95" t="s">
        <v>3006</v>
      </c>
      <c r="F859" s="95" t="s">
        <v>3007</v>
      </c>
      <c r="G859" s="223">
        <v>43880</v>
      </c>
      <c r="H859" s="223">
        <v>43970</v>
      </c>
      <c r="I859" s="223">
        <v>45797</v>
      </c>
      <c r="J859" s="3">
        <v>596</v>
      </c>
      <c r="K859" s="3" t="s">
        <v>10</v>
      </c>
      <c r="L859" s="3" t="s">
        <v>10</v>
      </c>
      <c r="M859" s="95" t="s">
        <v>23</v>
      </c>
      <c r="N859" s="3" t="s">
        <v>24</v>
      </c>
      <c r="O859" s="3" t="s">
        <v>651</v>
      </c>
      <c r="P859" s="3" t="s">
        <v>6</v>
      </c>
      <c r="Q859" s="3" t="s">
        <v>6</v>
      </c>
      <c r="R859" s="95" t="s">
        <v>652</v>
      </c>
      <c r="S859" s="223" t="s">
        <v>5</v>
      </c>
      <c r="T859" s="223" t="s">
        <v>5</v>
      </c>
      <c r="U859" s="223" t="s">
        <v>5</v>
      </c>
      <c r="V859" s="223" t="s">
        <v>5</v>
      </c>
      <c r="W859" s="223" t="s">
        <v>5</v>
      </c>
      <c r="X859" s="3" t="s">
        <v>5</v>
      </c>
      <c r="Y859" s="3" t="s">
        <v>651</v>
      </c>
      <c r="Z859" s="3" t="s">
        <v>651</v>
      </c>
      <c r="AA859" s="3" t="s">
        <v>6</v>
      </c>
      <c r="AB859" s="223">
        <v>43970</v>
      </c>
      <c r="AC859" s="3" t="s">
        <v>10</v>
      </c>
      <c r="AD859" s="3" t="s">
        <v>10</v>
      </c>
      <c r="AE859" s="95" t="s">
        <v>2263</v>
      </c>
    </row>
    <row r="860" spans="1:31" x14ac:dyDescent="0.35">
      <c r="A860" s="3" t="s">
        <v>2609</v>
      </c>
      <c r="B860" s="3" t="s">
        <v>406</v>
      </c>
      <c r="C860" s="3">
        <v>10</v>
      </c>
      <c r="D860" s="95" t="s">
        <v>2610</v>
      </c>
      <c r="E860" s="95" t="s">
        <v>2611</v>
      </c>
      <c r="F860" s="95" t="s">
        <v>2612</v>
      </c>
      <c r="G860" s="223">
        <v>45441</v>
      </c>
      <c r="H860" s="223">
        <v>45474</v>
      </c>
      <c r="I860" s="223">
        <v>47299</v>
      </c>
      <c r="J860" s="3">
        <v>20</v>
      </c>
      <c r="K860" s="3" t="s">
        <v>10</v>
      </c>
      <c r="L860" s="3" t="s">
        <v>10</v>
      </c>
      <c r="M860" s="95" t="s">
        <v>27</v>
      </c>
      <c r="N860" s="3" t="s">
        <v>28</v>
      </c>
      <c r="O860" s="3" t="s">
        <v>651</v>
      </c>
      <c r="P860" s="3" t="s">
        <v>6</v>
      </c>
      <c r="Q860" s="3" t="s">
        <v>6</v>
      </c>
      <c r="R860" s="95" t="s">
        <v>652</v>
      </c>
      <c r="S860" s="223" t="s">
        <v>5</v>
      </c>
      <c r="T860" s="223" t="s">
        <v>5</v>
      </c>
      <c r="U860" s="223" t="s">
        <v>5</v>
      </c>
      <c r="V860" s="223" t="s">
        <v>5</v>
      </c>
      <c r="W860" s="223" t="s">
        <v>5</v>
      </c>
      <c r="X860" s="3" t="s">
        <v>5</v>
      </c>
      <c r="Y860" s="3" t="s">
        <v>651</v>
      </c>
      <c r="Z860" s="3" t="s">
        <v>651</v>
      </c>
      <c r="AA860" s="3" t="s">
        <v>6</v>
      </c>
      <c r="AB860" s="223">
        <v>43252</v>
      </c>
      <c r="AC860" s="3" t="s">
        <v>6</v>
      </c>
      <c r="AD860" s="3" t="s">
        <v>10</v>
      </c>
      <c r="AE860" s="95" t="s">
        <v>2263</v>
      </c>
    </row>
    <row r="861" spans="1:31" x14ac:dyDescent="0.35">
      <c r="A861" s="3" t="s">
        <v>2613</v>
      </c>
      <c r="B861" s="3" t="s">
        <v>406</v>
      </c>
      <c r="C861" s="3">
        <v>10</v>
      </c>
      <c r="D861" s="95" t="s">
        <v>3279</v>
      </c>
      <c r="E861" s="95" t="s">
        <v>3280</v>
      </c>
      <c r="F861" s="95" t="s">
        <v>2612</v>
      </c>
      <c r="G861" s="223">
        <v>45105</v>
      </c>
      <c r="H861" s="223">
        <v>45135</v>
      </c>
      <c r="I861" s="223">
        <v>46961</v>
      </c>
      <c r="J861" s="3">
        <v>2</v>
      </c>
      <c r="K861" s="3" t="s">
        <v>10</v>
      </c>
      <c r="L861" s="3" t="s">
        <v>10</v>
      </c>
      <c r="M861" s="95" t="s">
        <v>19</v>
      </c>
      <c r="N861" s="3" t="s">
        <v>20</v>
      </c>
      <c r="O861" s="3" t="s">
        <v>651</v>
      </c>
      <c r="P861" s="3" t="s">
        <v>6</v>
      </c>
      <c r="Q861" s="3" t="s">
        <v>6</v>
      </c>
      <c r="R861" s="95" t="s">
        <v>652</v>
      </c>
      <c r="S861" s="223" t="s">
        <v>5</v>
      </c>
      <c r="T861" s="223" t="s">
        <v>5</v>
      </c>
      <c r="U861" s="223" t="s">
        <v>5</v>
      </c>
      <c r="V861" s="223" t="s">
        <v>5</v>
      </c>
      <c r="W861" s="223" t="s">
        <v>5</v>
      </c>
      <c r="X861" s="3" t="s">
        <v>5</v>
      </c>
      <c r="Y861" s="3" t="s">
        <v>651</v>
      </c>
      <c r="Z861" s="3" t="s">
        <v>651</v>
      </c>
      <c r="AA861" s="3" t="s">
        <v>6</v>
      </c>
      <c r="AB861" s="223">
        <v>45105</v>
      </c>
      <c r="AC861" s="3" t="s">
        <v>10</v>
      </c>
      <c r="AD861" s="3" t="s">
        <v>10</v>
      </c>
      <c r="AE861" s="95" t="s">
        <v>2263</v>
      </c>
    </row>
    <row r="862" spans="1:31" x14ac:dyDescent="0.35">
      <c r="A862" s="3" t="s">
        <v>2614</v>
      </c>
      <c r="B862" s="3" t="s">
        <v>406</v>
      </c>
      <c r="C862" s="3">
        <v>10</v>
      </c>
      <c r="D862" s="95" t="s">
        <v>3281</v>
      </c>
      <c r="E862" s="95" t="s">
        <v>2615</v>
      </c>
      <c r="F862" s="95" t="s">
        <v>2612</v>
      </c>
      <c r="G862" s="223">
        <v>44741</v>
      </c>
      <c r="H862" s="223">
        <v>44774</v>
      </c>
      <c r="I862" s="223">
        <v>46599</v>
      </c>
      <c r="J862" s="3">
        <v>9</v>
      </c>
      <c r="K862" s="3" t="s">
        <v>10</v>
      </c>
      <c r="L862" s="3" t="s">
        <v>10</v>
      </c>
      <c r="M862" s="95" t="s">
        <v>60</v>
      </c>
      <c r="N862" s="3" t="s">
        <v>62</v>
      </c>
      <c r="O862" s="3" t="s">
        <v>651</v>
      </c>
      <c r="P862" s="3" t="s">
        <v>6</v>
      </c>
      <c r="Q862" s="3" t="s">
        <v>6</v>
      </c>
      <c r="R862" s="95" t="s">
        <v>652</v>
      </c>
      <c r="S862" s="223" t="s">
        <v>5</v>
      </c>
      <c r="T862" s="223" t="s">
        <v>5</v>
      </c>
      <c r="U862" s="223" t="s">
        <v>5</v>
      </c>
      <c r="V862" s="223" t="s">
        <v>5</v>
      </c>
      <c r="W862" s="223" t="s">
        <v>5</v>
      </c>
      <c r="X862" s="3" t="s">
        <v>5</v>
      </c>
      <c r="Y862" s="3" t="s">
        <v>651</v>
      </c>
      <c r="Z862" s="3" t="s">
        <v>651</v>
      </c>
      <c r="AA862" s="3" t="s">
        <v>6</v>
      </c>
      <c r="AB862" s="223">
        <v>44589</v>
      </c>
      <c r="AC862" s="3" t="s">
        <v>6</v>
      </c>
      <c r="AD862" s="3" t="s">
        <v>6</v>
      </c>
      <c r="AE862" s="95" t="s">
        <v>2263</v>
      </c>
    </row>
    <row r="863" spans="1:31" x14ac:dyDescent="0.35">
      <c r="A863" s="3" t="s">
        <v>1695</v>
      </c>
      <c r="B863" s="3" t="s">
        <v>406</v>
      </c>
      <c r="C863" s="3">
        <v>10</v>
      </c>
      <c r="D863" s="95" t="s">
        <v>3282</v>
      </c>
      <c r="E863" s="95" t="s">
        <v>2616</v>
      </c>
      <c r="F863" s="95" t="s">
        <v>2612</v>
      </c>
      <c r="G863" s="223">
        <v>45399</v>
      </c>
      <c r="H863" s="223">
        <v>45505</v>
      </c>
      <c r="I863" s="223">
        <v>47269</v>
      </c>
      <c r="J863" s="3">
        <v>2</v>
      </c>
      <c r="K863" s="3" t="s">
        <v>10</v>
      </c>
      <c r="L863" s="3" t="s">
        <v>10</v>
      </c>
      <c r="M863" s="95" t="s">
        <v>204</v>
      </c>
      <c r="N863" s="3" t="s">
        <v>521</v>
      </c>
      <c r="O863" s="3" t="s">
        <v>651</v>
      </c>
      <c r="P863" s="3" t="s">
        <v>6</v>
      </c>
      <c r="Q863" s="3" t="s">
        <v>6</v>
      </c>
      <c r="R863" s="95" t="s">
        <v>652</v>
      </c>
      <c r="S863" s="223" t="s">
        <v>5</v>
      </c>
      <c r="T863" s="223" t="s">
        <v>5</v>
      </c>
      <c r="U863" s="223" t="s">
        <v>5</v>
      </c>
      <c r="V863" s="223" t="s">
        <v>5</v>
      </c>
      <c r="W863" s="223" t="s">
        <v>5</v>
      </c>
      <c r="X863" s="3" t="s">
        <v>5</v>
      </c>
      <c r="Y863" s="3" t="s">
        <v>651</v>
      </c>
      <c r="Z863" s="3" t="s">
        <v>651</v>
      </c>
      <c r="AA863" s="3" t="s">
        <v>6</v>
      </c>
      <c r="AB863" s="223">
        <v>45394</v>
      </c>
      <c r="AC863" s="3" t="s">
        <v>6</v>
      </c>
      <c r="AD863" s="3" t="s">
        <v>6</v>
      </c>
      <c r="AE863" s="95" t="s">
        <v>2263</v>
      </c>
    </row>
    <row r="864" spans="1:31" x14ac:dyDescent="0.35">
      <c r="A864" s="3" t="s">
        <v>3283</v>
      </c>
      <c r="B864" s="3" t="s">
        <v>406</v>
      </c>
      <c r="C864" s="3">
        <v>10</v>
      </c>
      <c r="D864" s="95" t="s">
        <v>1696</v>
      </c>
      <c r="E864" s="95" t="s">
        <v>2618</v>
      </c>
      <c r="F864" s="95" t="s">
        <v>2612</v>
      </c>
      <c r="G864" s="223">
        <v>44762</v>
      </c>
      <c r="H864" s="223">
        <v>44805</v>
      </c>
      <c r="I864" s="223">
        <v>46630</v>
      </c>
      <c r="J864" s="3">
        <v>67</v>
      </c>
      <c r="K864" s="3" t="s">
        <v>10</v>
      </c>
      <c r="L864" s="3" t="s">
        <v>10</v>
      </c>
      <c r="M864" s="95" t="s">
        <v>204</v>
      </c>
      <c r="N864" s="3" t="s">
        <v>521</v>
      </c>
      <c r="O864" s="3" t="s">
        <v>651</v>
      </c>
      <c r="P864" s="3" t="s">
        <v>6</v>
      </c>
      <c r="Q864" s="3" t="s">
        <v>6</v>
      </c>
      <c r="R864" s="95" t="s">
        <v>652</v>
      </c>
      <c r="S864" s="223" t="s">
        <v>5</v>
      </c>
      <c r="T864" s="223" t="s">
        <v>5</v>
      </c>
      <c r="U864" s="223" t="s">
        <v>5</v>
      </c>
      <c r="V864" s="223" t="s">
        <v>5</v>
      </c>
      <c r="W864" s="223" t="s">
        <v>5</v>
      </c>
      <c r="X864" s="3" t="s">
        <v>5</v>
      </c>
      <c r="Y864" s="3" t="s">
        <v>651</v>
      </c>
      <c r="Z864" s="3" t="s">
        <v>651</v>
      </c>
      <c r="AA864" s="3" t="s">
        <v>6</v>
      </c>
      <c r="AB864" s="223">
        <v>42650</v>
      </c>
      <c r="AC864" s="3" t="s">
        <v>6</v>
      </c>
      <c r="AD864" s="3" t="s">
        <v>10</v>
      </c>
      <c r="AE864" s="95" t="s">
        <v>2265</v>
      </c>
    </row>
    <row r="865" spans="1:31" x14ac:dyDescent="0.35">
      <c r="A865" s="3" t="s">
        <v>405</v>
      </c>
      <c r="B865" s="3" t="s">
        <v>406</v>
      </c>
      <c r="C865" s="3">
        <v>10</v>
      </c>
      <c r="D865" s="95" t="s">
        <v>3173</v>
      </c>
      <c r="E865" s="95" t="s">
        <v>422</v>
      </c>
      <c r="F865" s="95" t="s">
        <v>437</v>
      </c>
      <c r="G865" s="223">
        <v>44455</v>
      </c>
      <c r="H865" s="223">
        <v>44500</v>
      </c>
      <c r="I865" s="223">
        <v>46326</v>
      </c>
      <c r="J865" s="3">
        <v>29</v>
      </c>
      <c r="K865" s="3" t="s">
        <v>6</v>
      </c>
      <c r="L865" s="3" t="s">
        <v>6</v>
      </c>
      <c r="M865" s="95" t="s">
        <v>19</v>
      </c>
      <c r="N865" s="3" t="s">
        <v>20</v>
      </c>
      <c r="O865" s="3" t="s">
        <v>21</v>
      </c>
      <c r="P865" s="3" t="s">
        <v>6</v>
      </c>
      <c r="Q865" s="3" t="s">
        <v>6</v>
      </c>
      <c r="R865" s="95" t="s">
        <v>22</v>
      </c>
      <c r="S865" s="223">
        <v>43675</v>
      </c>
      <c r="T865" s="223">
        <v>43756</v>
      </c>
      <c r="U865" s="223">
        <v>43647</v>
      </c>
      <c r="V865" s="223">
        <v>43647</v>
      </c>
      <c r="W865" s="223" t="s">
        <v>6</v>
      </c>
      <c r="X865" s="3" t="s">
        <v>26</v>
      </c>
      <c r="Y865" s="3" t="s">
        <v>2116</v>
      </c>
      <c r="Z865" s="3" t="s">
        <v>20</v>
      </c>
      <c r="AA865" s="3" t="s">
        <v>6</v>
      </c>
      <c r="AB865" s="223">
        <v>44442</v>
      </c>
      <c r="AC865" s="3" t="s">
        <v>10</v>
      </c>
      <c r="AD865" s="3" t="s">
        <v>10</v>
      </c>
      <c r="AE865" s="95" t="s">
        <v>2263</v>
      </c>
    </row>
    <row r="866" spans="1:31" x14ac:dyDescent="0.35">
      <c r="A866" s="3" t="s">
        <v>1697</v>
      </c>
      <c r="B866" s="3" t="s">
        <v>406</v>
      </c>
      <c r="C866" s="3">
        <v>10</v>
      </c>
      <c r="D866" s="95" t="s">
        <v>3284</v>
      </c>
      <c r="E866" s="95" t="s">
        <v>2619</v>
      </c>
      <c r="F866" s="95" t="s">
        <v>2612</v>
      </c>
      <c r="G866" s="223">
        <v>45427</v>
      </c>
      <c r="H866" s="223">
        <v>45463</v>
      </c>
      <c r="I866" s="223">
        <v>47282</v>
      </c>
      <c r="J866" s="3">
        <v>47</v>
      </c>
      <c r="K866" s="3" t="s">
        <v>10</v>
      </c>
      <c r="L866" s="3" t="s">
        <v>10</v>
      </c>
      <c r="M866" s="95" t="s">
        <v>19</v>
      </c>
      <c r="N866" s="3" t="s">
        <v>20</v>
      </c>
      <c r="O866" s="3" t="s">
        <v>651</v>
      </c>
      <c r="P866" s="3" t="s">
        <v>6</v>
      </c>
      <c r="Q866" s="3" t="s">
        <v>6</v>
      </c>
      <c r="R866" s="95" t="s">
        <v>652</v>
      </c>
      <c r="S866" s="223" t="s">
        <v>5</v>
      </c>
      <c r="T866" s="223" t="s">
        <v>5</v>
      </c>
      <c r="U866" s="223" t="s">
        <v>5</v>
      </c>
      <c r="V866" s="223" t="s">
        <v>5</v>
      </c>
      <c r="W866" s="223" t="s">
        <v>5</v>
      </c>
      <c r="X866" s="3" t="s">
        <v>5</v>
      </c>
      <c r="Y866" s="3" t="s">
        <v>651</v>
      </c>
      <c r="Z866" s="3" t="s">
        <v>651</v>
      </c>
      <c r="AA866" s="3" t="s">
        <v>6</v>
      </c>
      <c r="AB866" s="223">
        <v>45264</v>
      </c>
      <c r="AC866" s="3" t="s">
        <v>10</v>
      </c>
      <c r="AD866" s="3" t="s">
        <v>6</v>
      </c>
      <c r="AE866" s="95" t="s">
        <v>2263</v>
      </c>
    </row>
    <row r="867" spans="1:31" x14ac:dyDescent="0.35">
      <c r="A867" s="3" t="s">
        <v>407</v>
      </c>
      <c r="B867" s="3" t="s">
        <v>406</v>
      </c>
      <c r="C867" s="3">
        <v>10</v>
      </c>
      <c r="D867" s="95" t="s">
        <v>408</v>
      </c>
      <c r="E867" s="95" t="s">
        <v>409</v>
      </c>
      <c r="F867" s="95" t="s">
        <v>437</v>
      </c>
      <c r="G867" s="223">
        <v>45299</v>
      </c>
      <c r="H867" s="223">
        <v>45352</v>
      </c>
      <c r="I867" s="223">
        <v>47177</v>
      </c>
      <c r="J867" s="3">
        <v>25</v>
      </c>
      <c r="K867" s="3" t="s">
        <v>6</v>
      </c>
      <c r="L867" s="3" t="s">
        <v>6</v>
      </c>
      <c r="M867" s="95" t="s">
        <v>109</v>
      </c>
      <c r="N867" s="3" t="s">
        <v>110</v>
      </c>
      <c r="O867" s="3" t="s">
        <v>25</v>
      </c>
      <c r="P867" s="3" t="s">
        <v>6</v>
      </c>
      <c r="Q867" s="3" t="s">
        <v>6</v>
      </c>
      <c r="R867" s="95" t="s">
        <v>9</v>
      </c>
      <c r="S867" s="223">
        <v>43374</v>
      </c>
      <c r="T867" s="223">
        <v>43434</v>
      </c>
      <c r="U867" s="223">
        <v>43313</v>
      </c>
      <c r="V867" s="223">
        <v>43313</v>
      </c>
      <c r="W867" s="223" t="s">
        <v>6</v>
      </c>
      <c r="X867" s="3" t="s">
        <v>26</v>
      </c>
      <c r="Y867" s="3" t="s">
        <v>2108</v>
      </c>
      <c r="Z867" s="3" t="s">
        <v>3189</v>
      </c>
      <c r="AA867" s="3" t="s">
        <v>6</v>
      </c>
      <c r="AB867" s="223">
        <v>44043</v>
      </c>
      <c r="AC867" s="3" t="s">
        <v>6</v>
      </c>
      <c r="AD867" s="3" t="s">
        <v>10</v>
      </c>
      <c r="AE867" s="95" t="s">
        <v>2265</v>
      </c>
    </row>
    <row r="868" spans="1:31" x14ac:dyDescent="0.35">
      <c r="A868" s="3" t="s">
        <v>410</v>
      </c>
      <c r="B868" s="3" t="s">
        <v>406</v>
      </c>
      <c r="C868" s="3">
        <v>10</v>
      </c>
      <c r="D868" s="95" t="s">
        <v>3133</v>
      </c>
      <c r="E868" s="95" t="s">
        <v>409</v>
      </c>
      <c r="F868" s="95" t="s">
        <v>437</v>
      </c>
      <c r="G868" s="223">
        <v>44671</v>
      </c>
      <c r="H868" s="223">
        <v>44701</v>
      </c>
      <c r="I868" s="223">
        <v>46526</v>
      </c>
      <c r="J868" s="3">
        <v>3</v>
      </c>
      <c r="K868" s="3" t="s">
        <v>6</v>
      </c>
      <c r="L868" s="3" t="s">
        <v>6</v>
      </c>
      <c r="M868" s="95" t="s">
        <v>109</v>
      </c>
      <c r="N868" s="3" t="s">
        <v>110</v>
      </c>
      <c r="O868" s="3" t="s">
        <v>25</v>
      </c>
      <c r="P868" s="3" t="s">
        <v>6</v>
      </c>
      <c r="Q868" s="3" t="s">
        <v>6</v>
      </c>
      <c r="R868" s="95" t="s">
        <v>9</v>
      </c>
      <c r="S868" s="223">
        <v>43374</v>
      </c>
      <c r="T868" s="223">
        <v>43434</v>
      </c>
      <c r="U868" s="223">
        <v>43313</v>
      </c>
      <c r="V868" s="223">
        <v>43313</v>
      </c>
      <c r="W868" s="223" t="s">
        <v>6</v>
      </c>
      <c r="X868" s="3" t="s">
        <v>26</v>
      </c>
      <c r="Y868" s="3" t="s">
        <v>2107</v>
      </c>
      <c r="Z868" s="3" t="s">
        <v>3189</v>
      </c>
      <c r="AA868" s="3" t="s">
        <v>6</v>
      </c>
      <c r="AB868" s="223">
        <v>43854</v>
      </c>
      <c r="AC868" s="3" t="s">
        <v>10</v>
      </c>
      <c r="AD868" s="3" t="s">
        <v>10</v>
      </c>
      <c r="AE868" s="95" t="s">
        <v>2265</v>
      </c>
    </row>
    <row r="869" spans="1:31" x14ac:dyDescent="0.35">
      <c r="A869" s="3" t="s">
        <v>1698</v>
      </c>
      <c r="B869" s="3" t="s">
        <v>406</v>
      </c>
      <c r="C869" s="3">
        <v>10</v>
      </c>
      <c r="D869" s="95" t="s">
        <v>3285</v>
      </c>
      <c r="E869" s="95" t="s">
        <v>2620</v>
      </c>
      <c r="F869" s="95" t="s">
        <v>2612</v>
      </c>
      <c r="G869" s="223">
        <v>44426</v>
      </c>
      <c r="H869" s="223">
        <v>44470</v>
      </c>
      <c r="I869" s="223">
        <v>46295</v>
      </c>
      <c r="J869" s="3">
        <v>87</v>
      </c>
      <c r="K869" s="3" t="s">
        <v>10</v>
      </c>
      <c r="L869" s="3" t="s">
        <v>10</v>
      </c>
      <c r="M869" s="95" t="s">
        <v>109</v>
      </c>
      <c r="N869" s="3" t="s">
        <v>110</v>
      </c>
      <c r="O869" s="3" t="s">
        <v>651</v>
      </c>
      <c r="P869" s="3" t="s">
        <v>6</v>
      </c>
      <c r="Q869" s="3" t="s">
        <v>6</v>
      </c>
      <c r="R869" s="95" t="s">
        <v>652</v>
      </c>
      <c r="S869" s="223" t="s">
        <v>5</v>
      </c>
      <c r="T869" s="223" t="s">
        <v>5</v>
      </c>
      <c r="U869" s="223" t="s">
        <v>5</v>
      </c>
      <c r="V869" s="223" t="s">
        <v>5</v>
      </c>
      <c r="W869" s="223" t="s">
        <v>5</v>
      </c>
      <c r="X869" s="3" t="s">
        <v>5</v>
      </c>
      <c r="Y869" s="3" t="s">
        <v>651</v>
      </c>
      <c r="Z869" s="3" t="s">
        <v>651</v>
      </c>
      <c r="AA869" s="3" t="s">
        <v>6</v>
      </c>
      <c r="AB869" s="223">
        <v>42668</v>
      </c>
      <c r="AC869" s="3" t="s">
        <v>6</v>
      </c>
      <c r="AD869" s="3" t="s">
        <v>6</v>
      </c>
      <c r="AE869" s="95" t="s">
        <v>2265</v>
      </c>
    </row>
    <row r="870" spans="1:31" x14ac:dyDescent="0.35">
      <c r="A870" s="3" t="s">
        <v>1699</v>
      </c>
      <c r="B870" s="3" t="s">
        <v>406</v>
      </c>
      <c r="C870" s="3">
        <v>10</v>
      </c>
      <c r="D870" s="95" t="s">
        <v>1700</v>
      </c>
      <c r="E870" s="95" t="s">
        <v>2621</v>
      </c>
      <c r="F870" s="95" t="s">
        <v>2612</v>
      </c>
      <c r="G870" s="223">
        <v>44517</v>
      </c>
      <c r="H870" s="223">
        <v>44562</v>
      </c>
      <c r="I870" s="223">
        <v>46387</v>
      </c>
      <c r="J870" s="3">
        <v>158</v>
      </c>
      <c r="K870" s="3" t="s">
        <v>10</v>
      </c>
      <c r="L870" s="3" t="s">
        <v>10</v>
      </c>
      <c r="M870" s="95" t="s">
        <v>60</v>
      </c>
      <c r="N870" s="3" t="s">
        <v>28</v>
      </c>
      <c r="O870" s="3" t="s">
        <v>651</v>
      </c>
      <c r="P870" s="3" t="s">
        <v>6</v>
      </c>
      <c r="Q870" s="3" t="s">
        <v>6</v>
      </c>
      <c r="R870" s="95" t="s">
        <v>652</v>
      </c>
      <c r="S870" s="223" t="s">
        <v>5</v>
      </c>
      <c r="T870" s="223" t="s">
        <v>5</v>
      </c>
      <c r="U870" s="223" t="s">
        <v>5</v>
      </c>
      <c r="V870" s="223" t="s">
        <v>5</v>
      </c>
      <c r="W870" s="223" t="s">
        <v>5</v>
      </c>
      <c r="X870" s="3" t="s">
        <v>5</v>
      </c>
      <c r="Y870" s="3" t="s">
        <v>651</v>
      </c>
      <c r="Z870" s="3" t="s">
        <v>651</v>
      </c>
      <c r="AA870" s="3" t="s">
        <v>10</v>
      </c>
      <c r="AB870" s="223" t="s">
        <v>5</v>
      </c>
      <c r="AC870" s="3" t="s">
        <v>6</v>
      </c>
      <c r="AD870" s="3" t="s">
        <v>10</v>
      </c>
      <c r="AE870" s="95" t="s">
        <v>2265</v>
      </c>
    </row>
    <row r="871" spans="1:31" x14ac:dyDescent="0.35">
      <c r="A871" s="3" t="s">
        <v>3286</v>
      </c>
      <c r="B871" s="3" t="s">
        <v>406</v>
      </c>
      <c r="C871" s="3">
        <v>10</v>
      </c>
      <c r="D871" s="95" t="s">
        <v>3287</v>
      </c>
      <c r="E871" s="95" t="s">
        <v>2617</v>
      </c>
      <c r="F871" s="95" t="s">
        <v>2612</v>
      </c>
      <c r="G871" s="223">
        <v>44902</v>
      </c>
      <c r="H871" s="223">
        <v>44932</v>
      </c>
      <c r="I871" s="223">
        <v>46757</v>
      </c>
      <c r="J871" s="3">
        <v>20</v>
      </c>
      <c r="K871" s="3" t="s">
        <v>10</v>
      </c>
      <c r="L871" s="3" t="s">
        <v>10</v>
      </c>
      <c r="M871" s="95" t="s">
        <v>105</v>
      </c>
      <c r="N871" s="3" t="s">
        <v>106</v>
      </c>
      <c r="O871" s="3" t="s">
        <v>651</v>
      </c>
      <c r="P871" s="3" t="s">
        <v>6</v>
      </c>
      <c r="Q871" s="3" t="s">
        <v>6</v>
      </c>
      <c r="R871" s="95" t="s">
        <v>652</v>
      </c>
      <c r="S871" s="223" t="s">
        <v>5</v>
      </c>
      <c r="T871" s="223" t="s">
        <v>5</v>
      </c>
      <c r="U871" s="223" t="s">
        <v>5</v>
      </c>
      <c r="V871" s="223" t="s">
        <v>5</v>
      </c>
      <c r="W871" s="223" t="s">
        <v>5</v>
      </c>
      <c r="X871" s="3" t="s">
        <v>5</v>
      </c>
      <c r="Y871" s="3" t="s">
        <v>651</v>
      </c>
      <c r="Z871" s="3" t="s">
        <v>651</v>
      </c>
      <c r="AA871" s="3" t="s">
        <v>6</v>
      </c>
      <c r="AB871" s="223">
        <v>44405</v>
      </c>
      <c r="AC871" s="3" t="s">
        <v>10</v>
      </c>
      <c r="AD871" s="3" t="s">
        <v>6</v>
      </c>
      <c r="AE871" s="95" t="s">
        <v>2263</v>
      </c>
    </row>
    <row r="872" spans="1:31" x14ac:dyDescent="0.35">
      <c r="A872" s="3" t="s">
        <v>3288</v>
      </c>
      <c r="B872" s="3" t="s">
        <v>406</v>
      </c>
      <c r="C872" s="3">
        <v>10</v>
      </c>
      <c r="D872" s="95" t="s">
        <v>3289</v>
      </c>
      <c r="E872" s="95" t="s">
        <v>2617</v>
      </c>
      <c r="F872" s="95" t="s">
        <v>2612</v>
      </c>
      <c r="G872" s="223">
        <v>44902</v>
      </c>
      <c r="H872" s="223">
        <v>44932</v>
      </c>
      <c r="I872" s="223">
        <v>46757</v>
      </c>
      <c r="J872" s="3">
        <v>3</v>
      </c>
      <c r="K872" s="3" t="s">
        <v>10</v>
      </c>
      <c r="L872" s="3" t="s">
        <v>10</v>
      </c>
      <c r="M872" s="95" t="s">
        <v>105</v>
      </c>
      <c r="N872" s="3" t="s">
        <v>106</v>
      </c>
      <c r="O872" s="3" t="s">
        <v>651</v>
      </c>
      <c r="P872" s="3" t="s">
        <v>6</v>
      </c>
      <c r="Q872" s="3" t="s">
        <v>6</v>
      </c>
      <c r="R872" s="95" t="s">
        <v>652</v>
      </c>
      <c r="S872" s="223" t="s">
        <v>5</v>
      </c>
      <c r="T872" s="223" t="s">
        <v>5</v>
      </c>
      <c r="U872" s="223" t="s">
        <v>5</v>
      </c>
      <c r="V872" s="223" t="s">
        <v>5</v>
      </c>
      <c r="W872" s="223" t="s">
        <v>5</v>
      </c>
      <c r="X872" s="3" t="s">
        <v>5</v>
      </c>
      <c r="Y872" s="3" t="s">
        <v>651</v>
      </c>
      <c r="Z872" s="3" t="s">
        <v>651</v>
      </c>
      <c r="AA872" s="3" t="s">
        <v>6</v>
      </c>
      <c r="AB872" s="223">
        <v>44441</v>
      </c>
      <c r="AC872" s="3" t="s">
        <v>10</v>
      </c>
      <c r="AD872" s="3" t="s">
        <v>6</v>
      </c>
      <c r="AE872" s="95" t="s">
        <v>2263</v>
      </c>
    </row>
    <row r="873" spans="1:31" x14ac:dyDescent="0.35">
      <c r="A873" s="3" t="s">
        <v>1701</v>
      </c>
      <c r="B873" s="3" t="s">
        <v>406</v>
      </c>
      <c r="C873" s="3">
        <v>10</v>
      </c>
      <c r="D873" s="95" t="s">
        <v>1075</v>
      </c>
      <c r="E873" s="95" t="s">
        <v>2622</v>
      </c>
      <c r="F873" s="95" t="s">
        <v>2612</v>
      </c>
      <c r="G873" s="223">
        <v>44244</v>
      </c>
      <c r="H873" s="223">
        <v>44287</v>
      </c>
      <c r="I873" s="223">
        <v>46112</v>
      </c>
      <c r="J873" s="3">
        <v>866</v>
      </c>
      <c r="K873" s="3" t="s">
        <v>10</v>
      </c>
      <c r="L873" s="3" t="s">
        <v>10</v>
      </c>
      <c r="M873" s="95" t="s">
        <v>1702</v>
      </c>
      <c r="N873" s="3" t="s">
        <v>115</v>
      </c>
      <c r="O873" s="3" t="s">
        <v>651</v>
      </c>
      <c r="P873" s="3" t="s">
        <v>6</v>
      </c>
      <c r="Q873" s="3" t="s">
        <v>6</v>
      </c>
      <c r="R873" s="95" t="s">
        <v>652</v>
      </c>
      <c r="S873" s="223" t="s">
        <v>5</v>
      </c>
      <c r="T873" s="223" t="s">
        <v>5</v>
      </c>
      <c r="U873" s="223" t="s">
        <v>5</v>
      </c>
      <c r="V873" s="223" t="s">
        <v>5</v>
      </c>
      <c r="W873" s="223" t="s">
        <v>5</v>
      </c>
      <c r="X873" s="3" t="s">
        <v>5</v>
      </c>
      <c r="Y873" s="3" t="s">
        <v>651</v>
      </c>
      <c r="Z873" s="3" t="s">
        <v>651</v>
      </c>
      <c r="AA873" s="3" t="s">
        <v>6</v>
      </c>
      <c r="AB873" s="223">
        <v>42039</v>
      </c>
      <c r="AC873" s="3" t="s">
        <v>6</v>
      </c>
      <c r="AD873" s="3" t="s">
        <v>10</v>
      </c>
      <c r="AE873" s="95" t="s">
        <v>2263</v>
      </c>
    </row>
    <row r="874" spans="1:31" x14ac:dyDescent="0.35">
      <c r="A874" s="3" t="s">
        <v>441</v>
      </c>
      <c r="B874" s="3" t="s">
        <v>406</v>
      </c>
      <c r="C874" s="3">
        <v>10</v>
      </c>
      <c r="D874" s="95" t="s">
        <v>442</v>
      </c>
      <c r="E874" s="95" t="s">
        <v>488</v>
      </c>
      <c r="F874" s="95" t="s">
        <v>4</v>
      </c>
      <c r="G874" s="223">
        <v>43525</v>
      </c>
      <c r="H874" s="223">
        <v>43586</v>
      </c>
      <c r="I874" s="223">
        <v>45412</v>
      </c>
      <c r="J874" s="3">
        <v>15</v>
      </c>
      <c r="K874" s="3" t="s">
        <v>6</v>
      </c>
      <c r="L874" s="3" t="s">
        <v>6</v>
      </c>
      <c r="M874" s="95" t="s">
        <v>15</v>
      </c>
      <c r="N874" s="3" t="s">
        <v>16</v>
      </c>
      <c r="O874" s="3" t="s">
        <v>17</v>
      </c>
      <c r="P874" s="3" t="s">
        <v>6</v>
      </c>
      <c r="Q874" s="3" t="s">
        <v>6</v>
      </c>
      <c r="R874" s="95" t="s">
        <v>9</v>
      </c>
      <c r="S874" s="223">
        <v>43605</v>
      </c>
      <c r="T874" s="223">
        <v>43665</v>
      </c>
      <c r="U874" s="223">
        <v>43626</v>
      </c>
      <c r="V874" s="223">
        <v>43626</v>
      </c>
      <c r="W874" s="223" t="s">
        <v>6</v>
      </c>
      <c r="X874" s="3" t="s">
        <v>26</v>
      </c>
      <c r="Y874" s="3" t="s">
        <v>3190</v>
      </c>
      <c r="Z874" s="3" t="s">
        <v>3189</v>
      </c>
      <c r="AA874" s="3" t="s">
        <v>2254</v>
      </c>
      <c r="AB874" s="223" t="s">
        <v>5</v>
      </c>
      <c r="AC874" s="3" t="s">
        <v>6</v>
      </c>
      <c r="AD874" s="3" t="s">
        <v>10</v>
      </c>
      <c r="AE874" s="95" t="s">
        <v>2265</v>
      </c>
    </row>
    <row r="875" spans="1:31" x14ac:dyDescent="0.35">
      <c r="A875" s="3" t="s">
        <v>1703</v>
      </c>
      <c r="B875" s="3" t="s">
        <v>406</v>
      </c>
      <c r="C875" s="3">
        <v>10</v>
      </c>
      <c r="D875" s="95" t="s">
        <v>720</v>
      </c>
      <c r="E875" s="95" t="s">
        <v>2623</v>
      </c>
      <c r="F875" s="95" t="s">
        <v>2612</v>
      </c>
      <c r="G875" s="223">
        <v>45504</v>
      </c>
      <c r="H875" s="223">
        <v>45536</v>
      </c>
      <c r="I875" s="223">
        <v>47361</v>
      </c>
      <c r="J875" s="3">
        <v>30</v>
      </c>
      <c r="K875" s="3" t="s">
        <v>10</v>
      </c>
      <c r="L875" s="3" t="s">
        <v>10</v>
      </c>
      <c r="M875" s="95" t="s">
        <v>116</v>
      </c>
      <c r="N875" s="3" t="s">
        <v>117</v>
      </c>
      <c r="O875" s="3" t="s">
        <v>651</v>
      </c>
      <c r="P875" s="3" t="s">
        <v>6</v>
      </c>
      <c r="Q875" s="3" t="s">
        <v>6</v>
      </c>
      <c r="R875" s="95" t="s">
        <v>652</v>
      </c>
      <c r="S875" s="223" t="s">
        <v>5</v>
      </c>
      <c r="T875" s="223" t="s">
        <v>5</v>
      </c>
      <c r="U875" s="223" t="s">
        <v>5</v>
      </c>
      <c r="V875" s="223" t="s">
        <v>5</v>
      </c>
      <c r="W875" s="223" t="s">
        <v>5</v>
      </c>
      <c r="X875" s="3" t="s">
        <v>5</v>
      </c>
      <c r="Y875" s="3" t="s">
        <v>651</v>
      </c>
      <c r="Z875" s="3" t="s">
        <v>651</v>
      </c>
      <c r="AA875" s="3" t="s">
        <v>6</v>
      </c>
      <c r="AB875" s="223">
        <v>41592</v>
      </c>
      <c r="AC875" s="3" t="s">
        <v>6</v>
      </c>
      <c r="AD875" s="3" t="s">
        <v>10</v>
      </c>
      <c r="AE875" s="95" t="s">
        <v>2265</v>
      </c>
    </row>
    <row r="876" spans="1:31" x14ac:dyDescent="0.35">
      <c r="A876" s="3" t="s">
        <v>1704</v>
      </c>
      <c r="B876" s="3" t="s">
        <v>406</v>
      </c>
      <c r="C876" s="3">
        <v>10</v>
      </c>
      <c r="D876" s="95" t="s">
        <v>1705</v>
      </c>
      <c r="E876" s="95" t="s">
        <v>2624</v>
      </c>
      <c r="F876" s="95" t="s">
        <v>2612</v>
      </c>
      <c r="G876" s="223">
        <v>45161</v>
      </c>
      <c r="H876" s="223">
        <v>45201</v>
      </c>
      <c r="I876" s="223">
        <v>47027</v>
      </c>
      <c r="J876" s="3">
        <v>19</v>
      </c>
      <c r="K876" s="3" t="s">
        <v>10</v>
      </c>
      <c r="L876" s="3" t="s">
        <v>10</v>
      </c>
      <c r="M876" s="95" t="s">
        <v>19</v>
      </c>
      <c r="N876" s="3" t="s">
        <v>20</v>
      </c>
      <c r="O876" s="3" t="s">
        <v>651</v>
      </c>
      <c r="P876" s="3" t="s">
        <v>6</v>
      </c>
      <c r="Q876" s="3" t="s">
        <v>6</v>
      </c>
      <c r="R876" s="95" t="s">
        <v>652</v>
      </c>
      <c r="S876" s="223" t="s">
        <v>5</v>
      </c>
      <c r="T876" s="223" t="s">
        <v>5</v>
      </c>
      <c r="U876" s="223" t="s">
        <v>5</v>
      </c>
      <c r="V876" s="223" t="s">
        <v>5</v>
      </c>
      <c r="W876" s="223" t="s">
        <v>5</v>
      </c>
      <c r="X876" s="3" t="s">
        <v>5</v>
      </c>
      <c r="Y876" s="3" t="s">
        <v>651</v>
      </c>
      <c r="Z876" s="3" t="s">
        <v>651</v>
      </c>
      <c r="AA876" s="3" t="s">
        <v>6</v>
      </c>
      <c r="AB876" s="223">
        <v>45201</v>
      </c>
      <c r="AC876" s="3" t="s">
        <v>6</v>
      </c>
      <c r="AD876" s="3" t="s">
        <v>6</v>
      </c>
      <c r="AE876" s="95" t="s">
        <v>2265</v>
      </c>
    </row>
    <row r="877" spans="1:31" x14ac:dyDescent="0.35">
      <c r="A877" s="3" t="s">
        <v>3290</v>
      </c>
      <c r="B877" s="3" t="s">
        <v>406</v>
      </c>
      <c r="C877" s="3">
        <v>10</v>
      </c>
      <c r="D877" s="95" t="s">
        <v>3291</v>
      </c>
      <c r="E877" s="95" t="s">
        <v>2625</v>
      </c>
      <c r="F877" s="95" t="s">
        <v>2612</v>
      </c>
      <c r="G877" s="223">
        <v>42725</v>
      </c>
      <c r="H877" s="223">
        <v>42769</v>
      </c>
      <c r="I877" s="223">
        <v>44594</v>
      </c>
      <c r="J877" s="3">
        <v>1</v>
      </c>
      <c r="K877" s="3" t="s">
        <v>10</v>
      </c>
      <c r="L877" s="3" t="s">
        <v>10</v>
      </c>
      <c r="M877" s="95" t="s">
        <v>19</v>
      </c>
      <c r="N877" s="3" t="s">
        <v>20</v>
      </c>
      <c r="O877" s="3" t="s">
        <v>651</v>
      </c>
      <c r="P877" s="3" t="s">
        <v>6</v>
      </c>
      <c r="Q877" s="3" t="s">
        <v>6</v>
      </c>
      <c r="R877" s="95" t="s">
        <v>652</v>
      </c>
      <c r="S877" s="223" t="s">
        <v>5</v>
      </c>
      <c r="T877" s="223" t="s">
        <v>5</v>
      </c>
      <c r="U877" s="223" t="s">
        <v>5</v>
      </c>
      <c r="V877" s="223" t="s">
        <v>5</v>
      </c>
      <c r="W877" s="223" t="s">
        <v>5</v>
      </c>
      <c r="X877" s="3" t="s">
        <v>5</v>
      </c>
      <c r="Y877" s="3" t="s">
        <v>651</v>
      </c>
      <c r="Z877" s="3" t="s">
        <v>651</v>
      </c>
      <c r="AA877" s="3" t="s">
        <v>10</v>
      </c>
      <c r="AB877" s="223" t="s">
        <v>5</v>
      </c>
      <c r="AC877" s="3" t="s">
        <v>10</v>
      </c>
      <c r="AD877" s="3" t="s">
        <v>10</v>
      </c>
      <c r="AE877" s="95" t="s">
        <v>2263</v>
      </c>
    </row>
    <row r="878" spans="1:31" x14ac:dyDescent="0.35">
      <c r="A878" s="3" t="s">
        <v>3292</v>
      </c>
      <c r="B878" s="3" t="s">
        <v>406</v>
      </c>
      <c r="C878" s="3">
        <v>10</v>
      </c>
      <c r="D878" s="95" t="s">
        <v>1706</v>
      </c>
      <c r="E878" s="95" t="s">
        <v>2626</v>
      </c>
      <c r="F878" s="95" t="s">
        <v>2612</v>
      </c>
      <c r="G878" s="223">
        <v>44272</v>
      </c>
      <c r="H878" s="223">
        <v>44307</v>
      </c>
      <c r="I878" s="223">
        <v>46102</v>
      </c>
      <c r="J878" s="3">
        <v>194</v>
      </c>
      <c r="K878" s="3" t="s">
        <v>10</v>
      </c>
      <c r="L878" s="3" t="s">
        <v>10</v>
      </c>
      <c r="M878" s="95" t="s">
        <v>19</v>
      </c>
      <c r="N878" s="3" t="s">
        <v>20</v>
      </c>
      <c r="O878" s="3" t="s">
        <v>651</v>
      </c>
      <c r="P878" s="3" t="s">
        <v>6</v>
      </c>
      <c r="Q878" s="3" t="s">
        <v>6</v>
      </c>
      <c r="R878" s="95" t="s">
        <v>652</v>
      </c>
      <c r="S878" s="223" t="s">
        <v>5</v>
      </c>
      <c r="T878" s="223" t="s">
        <v>5</v>
      </c>
      <c r="U878" s="223" t="s">
        <v>5</v>
      </c>
      <c r="V878" s="223" t="s">
        <v>5</v>
      </c>
      <c r="W878" s="223" t="s">
        <v>5</v>
      </c>
      <c r="X878" s="3" t="s">
        <v>5</v>
      </c>
      <c r="Y878" s="3" t="s">
        <v>651</v>
      </c>
      <c r="Z878" s="3" t="s">
        <v>651</v>
      </c>
      <c r="AA878" s="3" t="s">
        <v>6</v>
      </c>
      <c r="AB878" s="223">
        <v>45604</v>
      </c>
      <c r="AC878" s="3" t="s">
        <v>10</v>
      </c>
      <c r="AD878" s="3" t="s">
        <v>6</v>
      </c>
      <c r="AE878" s="95" t="s">
        <v>2263</v>
      </c>
    </row>
    <row r="879" spans="1:31" x14ac:dyDescent="0.35">
      <c r="A879" s="3" t="s">
        <v>2627</v>
      </c>
      <c r="B879" s="3" t="s">
        <v>406</v>
      </c>
      <c r="C879" s="3">
        <v>10</v>
      </c>
      <c r="D879" s="95" t="s">
        <v>2628</v>
      </c>
      <c r="E879" s="95" t="s">
        <v>2629</v>
      </c>
      <c r="F879" s="95" t="s">
        <v>2612</v>
      </c>
      <c r="G879" s="223">
        <v>45706</v>
      </c>
      <c r="H879" s="223">
        <v>45737</v>
      </c>
      <c r="I879" s="223">
        <v>47533</v>
      </c>
      <c r="J879" s="3">
        <v>9</v>
      </c>
      <c r="K879" s="3" t="s">
        <v>10</v>
      </c>
      <c r="L879" s="3" t="s">
        <v>10</v>
      </c>
      <c r="M879" s="95" t="s">
        <v>19</v>
      </c>
      <c r="N879" s="3" t="s">
        <v>20</v>
      </c>
      <c r="O879" s="3" t="s">
        <v>651</v>
      </c>
      <c r="P879" s="3" t="s">
        <v>6</v>
      </c>
      <c r="Q879" s="3" t="s">
        <v>6</v>
      </c>
      <c r="R879" s="95" t="s">
        <v>652</v>
      </c>
      <c r="S879" s="223" t="s">
        <v>5</v>
      </c>
      <c r="T879" s="223" t="s">
        <v>5</v>
      </c>
      <c r="U879" s="223" t="s">
        <v>5</v>
      </c>
      <c r="V879" s="223" t="s">
        <v>5</v>
      </c>
      <c r="W879" s="223" t="s">
        <v>5</v>
      </c>
      <c r="X879" s="3" t="s">
        <v>5</v>
      </c>
      <c r="Y879" s="3" t="s">
        <v>651</v>
      </c>
      <c r="Z879" s="3" t="s">
        <v>651</v>
      </c>
      <c r="AA879" s="3" t="s">
        <v>6</v>
      </c>
      <c r="AB879" s="223">
        <v>45527</v>
      </c>
      <c r="AC879" s="3" t="s">
        <v>10</v>
      </c>
      <c r="AD879" s="3" t="s">
        <v>6</v>
      </c>
      <c r="AE879" s="95" t="s">
        <v>2263</v>
      </c>
    </row>
    <row r="880" spans="1:31" x14ac:dyDescent="0.35">
      <c r="A880" s="3" t="s">
        <v>2913</v>
      </c>
      <c r="B880" s="3" t="s">
        <v>406</v>
      </c>
      <c r="C880" s="3">
        <v>10</v>
      </c>
      <c r="D880" s="95" t="s">
        <v>2914</v>
      </c>
      <c r="E880" s="95" t="s">
        <v>3293</v>
      </c>
      <c r="F880" s="95" t="s">
        <v>2612</v>
      </c>
      <c r="G880" s="223">
        <v>44531</v>
      </c>
      <c r="H880" s="223">
        <v>44562</v>
      </c>
      <c r="I880" s="223">
        <v>46387</v>
      </c>
      <c r="J880" s="3">
        <v>58</v>
      </c>
      <c r="K880" s="3" t="s">
        <v>10</v>
      </c>
      <c r="L880" s="3" t="s">
        <v>10</v>
      </c>
      <c r="M880" s="95" t="s">
        <v>60</v>
      </c>
      <c r="N880" s="3" t="s">
        <v>62</v>
      </c>
      <c r="O880" s="3" t="s">
        <v>651</v>
      </c>
      <c r="P880" s="3" t="s">
        <v>6</v>
      </c>
      <c r="Q880" s="3" t="s">
        <v>6</v>
      </c>
      <c r="R880" s="95" t="s">
        <v>652</v>
      </c>
      <c r="S880" s="223" t="s">
        <v>5</v>
      </c>
      <c r="T880" s="223" t="s">
        <v>5</v>
      </c>
      <c r="U880" s="223" t="s">
        <v>5</v>
      </c>
      <c r="V880" s="223" t="s">
        <v>5</v>
      </c>
      <c r="W880" s="223" t="s">
        <v>5</v>
      </c>
      <c r="X880" s="3" t="s">
        <v>5</v>
      </c>
      <c r="Y880" s="3" t="s">
        <v>651</v>
      </c>
      <c r="Z880" s="3" t="s">
        <v>651</v>
      </c>
      <c r="AA880" s="3" t="s">
        <v>6</v>
      </c>
      <c r="AB880" s="223">
        <v>44531</v>
      </c>
      <c r="AC880" s="3" t="s">
        <v>6</v>
      </c>
      <c r="AD880" s="3" t="s">
        <v>10</v>
      </c>
      <c r="AE880" s="95" t="s">
        <v>2263</v>
      </c>
    </row>
    <row r="881" spans="1:31" x14ac:dyDescent="0.35">
      <c r="A881" s="3" t="s">
        <v>2033</v>
      </c>
      <c r="B881" s="3" t="s">
        <v>406</v>
      </c>
      <c r="C881" s="3">
        <v>10</v>
      </c>
      <c r="D881" s="95" t="s">
        <v>2034</v>
      </c>
      <c r="E881" s="95" t="s">
        <v>2272</v>
      </c>
      <c r="F881" s="95" t="s">
        <v>437</v>
      </c>
      <c r="G881" s="223">
        <v>44211</v>
      </c>
      <c r="H881" s="223">
        <v>44256</v>
      </c>
      <c r="I881" s="223">
        <v>46081</v>
      </c>
      <c r="J881" s="3">
        <v>10</v>
      </c>
      <c r="K881" s="3" t="s">
        <v>6</v>
      </c>
      <c r="L881" s="3" t="s">
        <v>6</v>
      </c>
      <c r="M881" s="95" t="s">
        <v>27</v>
      </c>
      <c r="N881" s="3" t="s">
        <v>28</v>
      </c>
      <c r="O881" s="3" t="s">
        <v>25</v>
      </c>
      <c r="P881" s="3" t="s">
        <v>6</v>
      </c>
      <c r="Q881" s="3" t="s">
        <v>6</v>
      </c>
      <c r="R881" s="95" t="s">
        <v>22</v>
      </c>
      <c r="S881" s="223">
        <v>43374</v>
      </c>
      <c r="T881" s="223">
        <v>43553</v>
      </c>
      <c r="U881" s="223">
        <v>43009</v>
      </c>
      <c r="V881" s="223">
        <v>43009</v>
      </c>
      <c r="W881" s="223" t="s">
        <v>6</v>
      </c>
      <c r="X881" s="3" t="s">
        <v>26</v>
      </c>
      <c r="Y881" s="3" t="s">
        <v>2100</v>
      </c>
      <c r="Z881" s="3" t="s">
        <v>28</v>
      </c>
      <c r="AA881" s="3" t="s">
        <v>6</v>
      </c>
      <c r="AB881" s="223">
        <v>42159</v>
      </c>
      <c r="AC881" s="3" t="s">
        <v>6</v>
      </c>
      <c r="AD881" s="3" t="s">
        <v>10</v>
      </c>
      <c r="AE881" s="95" t="s">
        <v>2263</v>
      </c>
    </row>
    <row r="882" spans="1:31" x14ac:dyDescent="0.35">
      <c r="A882" s="3" t="s">
        <v>2035</v>
      </c>
      <c r="B882" s="3" t="s">
        <v>406</v>
      </c>
      <c r="C882" s="3">
        <v>10</v>
      </c>
      <c r="D882" s="95" t="s">
        <v>2036</v>
      </c>
      <c r="E882" s="95" t="s">
        <v>2272</v>
      </c>
      <c r="F882" s="95" t="s">
        <v>437</v>
      </c>
      <c r="G882" s="223">
        <v>44211</v>
      </c>
      <c r="H882" s="223">
        <v>44256</v>
      </c>
      <c r="I882" s="223">
        <v>46081</v>
      </c>
      <c r="J882" s="3">
        <v>3</v>
      </c>
      <c r="K882" s="3" t="s">
        <v>6</v>
      </c>
      <c r="L882" s="3" t="s">
        <v>6</v>
      </c>
      <c r="M882" s="95" t="s">
        <v>27</v>
      </c>
      <c r="N882" s="3" t="s">
        <v>28</v>
      </c>
      <c r="O882" s="3" t="s">
        <v>25</v>
      </c>
      <c r="P882" s="3" t="s">
        <v>6</v>
      </c>
      <c r="Q882" s="3" t="s">
        <v>6</v>
      </c>
      <c r="R882" s="95" t="s">
        <v>22</v>
      </c>
      <c r="S882" s="223">
        <v>43374</v>
      </c>
      <c r="T882" s="223">
        <v>43553</v>
      </c>
      <c r="U882" s="223">
        <v>43009</v>
      </c>
      <c r="V882" s="223">
        <v>43009</v>
      </c>
      <c r="W882" s="223" t="s">
        <v>6</v>
      </c>
      <c r="X882" s="3" t="s">
        <v>26</v>
      </c>
      <c r="Y882" s="3" t="s">
        <v>2100</v>
      </c>
      <c r="Z882" s="3" t="s">
        <v>28</v>
      </c>
      <c r="AA882" s="3" t="s">
        <v>6</v>
      </c>
      <c r="AB882" s="223">
        <v>42159</v>
      </c>
      <c r="AC882" s="3" t="s">
        <v>6</v>
      </c>
      <c r="AD882" s="3" t="s">
        <v>10</v>
      </c>
      <c r="AE882" s="95" t="s">
        <v>2263</v>
      </c>
    </row>
    <row r="883" spans="1:31" x14ac:dyDescent="0.35">
      <c r="A883" s="3" t="s">
        <v>2037</v>
      </c>
      <c r="B883" s="3" t="s">
        <v>406</v>
      </c>
      <c r="C883" s="3">
        <v>10</v>
      </c>
      <c r="D883" s="95" t="s">
        <v>2038</v>
      </c>
      <c r="E883" s="95" t="s">
        <v>1912</v>
      </c>
      <c r="F883" s="95" t="s">
        <v>437</v>
      </c>
      <c r="G883" s="223">
        <v>44609</v>
      </c>
      <c r="H883" s="223">
        <v>44609</v>
      </c>
      <c r="I883" s="223">
        <v>46434</v>
      </c>
      <c r="J883" s="3">
        <v>85</v>
      </c>
      <c r="K883" s="3" t="s">
        <v>6</v>
      </c>
      <c r="L883" s="3" t="s">
        <v>6</v>
      </c>
      <c r="M883" s="95" t="s">
        <v>23</v>
      </c>
      <c r="N883" s="3" t="s">
        <v>24</v>
      </c>
      <c r="O883" s="3" t="s">
        <v>25</v>
      </c>
      <c r="P883" s="3" t="s">
        <v>6</v>
      </c>
      <c r="Q883" s="3" t="s">
        <v>6</v>
      </c>
      <c r="R883" s="95" t="s">
        <v>22</v>
      </c>
      <c r="S883" s="223">
        <v>43374</v>
      </c>
      <c r="T883" s="223">
        <v>43497</v>
      </c>
      <c r="U883" s="223">
        <v>42644</v>
      </c>
      <c r="V883" s="223">
        <v>42644</v>
      </c>
      <c r="W883" s="223" t="s">
        <v>6</v>
      </c>
      <c r="X883" s="3" t="s">
        <v>26</v>
      </c>
      <c r="Y883" s="3" t="s">
        <v>2093</v>
      </c>
      <c r="Z883" s="3" t="s">
        <v>24</v>
      </c>
      <c r="AA883" s="3" t="s">
        <v>6</v>
      </c>
      <c r="AB883" s="223">
        <v>42782</v>
      </c>
      <c r="AC883" s="3" t="s">
        <v>10</v>
      </c>
      <c r="AD883" s="3" t="s">
        <v>10</v>
      </c>
      <c r="AE883" s="95" t="s">
        <v>2263</v>
      </c>
    </row>
    <row r="884" spans="1:31" x14ac:dyDescent="0.35">
      <c r="A884" s="3" t="s">
        <v>2039</v>
      </c>
      <c r="B884" s="3" t="s">
        <v>406</v>
      </c>
      <c r="C884" s="3">
        <v>10</v>
      </c>
      <c r="D884" s="95" t="s">
        <v>2040</v>
      </c>
      <c r="E884" s="95" t="s">
        <v>1912</v>
      </c>
      <c r="F884" s="95" t="s">
        <v>437</v>
      </c>
      <c r="G884" s="223">
        <v>44609</v>
      </c>
      <c r="H884" s="223">
        <v>44609</v>
      </c>
      <c r="I884" s="223">
        <v>46434</v>
      </c>
      <c r="J884" s="3">
        <v>41</v>
      </c>
      <c r="K884" s="3" t="s">
        <v>6</v>
      </c>
      <c r="L884" s="3" t="s">
        <v>6</v>
      </c>
      <c r="M884" s="95" t="s">
        <v>23</v>
      </c>
      <c r="N884" s="3" t="s">
        <v>24</v>
      </c>
      <c r="O884" s="3" t="s">
        <v>25</v>
      </c>
      <c r="P884" s="3" t="s">
        <v>6</v>
      </c>
      <c r="Q884" s="3" t="s">
        <v>6</v>
      </c>
      <c r="R884" s="95" t="s">
        <v>22</v>
      </c>
      <c r="S884" s="223">
        <v>43374</v>
      </c>
      <c r="T884" s="223">
        <v>43497</v>
      </c>
      <c r="U884" s="223">
        <v>42644</v>
      </c>
      <c r="V884" s="223">
        <v>42644</v>
      </c>
      <c r="W884" s="223" t="s">
        <v>6</v>
      </c>
      <c r="X884" s="3" t="s">
        <v>26</v>
      </c>
      <c r="Y884" s="3" t="s">
        <v>2093</v>
      </c>
      <c r="Z884" s="3" t="s">
        <v>24</v>
      </c>
      <c r="AA884" s="3" t="s">
        <v>6</v>
      </c>
      <c r="AB884" s="223">
        <v>42782</v>
      </c>
      <c r="AC884" s="3" t="s">
        <v>10</v>
      </c>
      <c r="AD884" s="3" t="s">
        <v>10</v>
      </c>
      <c r="AE884" s="95" t="s">
        <v>2263</v>
      </c>
    </row>
    <row r="885" spans="1:31" x14ac:dyDescent="0.35">
      <c r="A885" s="3" t="s">
        <v>3294</v>
      </c>
      <c r="B885" s="3" t="s">
        <v>406</v>
      </c>
      <c r="C885" s="3">
        <v>10</v>
      </c>
      <c r="D885" s="95" t="s">
        <v>3134</v>
      </c>
      <c r="E885" s="95" t="s">
        <v>2630</v>
      </c>
      <c r="F885" s="95" t="s">
        <v>2612</v>
      </c>
      <c r="G885" s="223">
        <v>43530</v>
      </c>
      <c r="H885" s="223">
        <v>43560</v>
      </c>
      <c r="I885" s="223">
        <v>45387</v>
      </c>
      <c r="J885" s="3">
        <v>1</v>
      </c>
      <c r="K885" s="3" t="s">
        <v>10</v>
      </c>
      <c r="L885" s="3" t="s">
        <v>10</v>
      </c>
      <c r="M885" s="95" t="s">
        <v>2555</v>
      </c>
      <c r="N885" s="3" t="s">
        <v>52</v>
      </c>
      <c r="O885" s="3" t="s">
        <v>651</v>
      </c>
      <c r="P885" s="3" t="s">
        <v>6</v>
      </c>
      <c r="Q885" s="3" t="s">
        <v>6</v>
      </c>
      <c r="R885" s="95" t="s">
        <v>652</v>
      </c>
      <c r="S885" s="223" t="s">
        <v>5</v>
      </c>
      <c r="T885" s="223" t="s">
        <v>5</v>
      </c>
      <c r="U885" s="223" t="s">
        <v>5</v>
      </c>
      <c r="V885" s="223" t="s">
        <v>5</v>
      </c>
      <c r="W885" s="223" t="s">
        <v>5</v>
      </c>
      <c r="X885" s="3" t="s">
        <v>5</v>
      </c>
      <c r="Y885" s="3" t="s">
        <v>651</v>
      </c>
      <c r="Z885" s="3" t="s">
        <v>651</v>
      </c>
      <c r="AA885" s="3" t="s">
        <v>10</v>
      </c>
      <c r="AB885" s="223" t="s">
        <v>5</v>
      </c>
      <c r="AC885" s="3" t="s">
        <v>10</v>
      </c>
      <c r="AD885" s="3" t="s">
        <v>6</v>
      </c>
      <c r="AE885" s="95" t="s">
        <v>2265</v>
      </c>
    </row>
    <row r="886" spans="1:31" x14ac:dyDescent="0.35">
      <c r="A886" s="3" t="s">
        <v>2631</v>
      </c>
      <c r="B886" s="3" t="s">
        <v>406</v>
      </c>
      <c r="C886" s="3">
        <v>10</v>
      </c>
      <c r="D886" s="95" t="s">
        <v>3295</v>
      </c>
      <c r="E886" s="95" t="s">
        <v>2632</v>
      </c>
      <c r="F886" s="95" t="s">
        <v>2612</v>
      </c>
      <c r="G886" s="223">
        <v>45474</v>
      </c>
      <c r="H886" s="223">
        <v>45505</v>
      </c>
      <c r="I886" s="223">
        <v>47330</v>
      </c>
      <c r="J886" s="3">
        <v>13</v>
      </c>
      <c r="K886" s="3" t="s">
        <v>10</v>
      </c>
      <c r="L886" s="3" t="s">
        <v>10</v>
      </c>
      <c r="M886" s="95" t="s">
        <v>2555</v>
      </c>
      <c r="N886" s="3" t="s">
        <v>52</v>
      </c>
      <c r="O886" s="3" t="s">
        <v>651</v>
      </c>
      <c r="P886" s="3" t="s">
        <v>6</v>
      </c>
      <c r="Q886" s="3" t="s">
        <v>6</v>
      </c>
      <c r="R886" s="95" t="s">
        <v>652</v>
      </c>
      <c r="S886" s="223" t="s">
        <v>5</v>
      </c>
      <c r="T886" s="223" t="s">
        <v>5</v>
      </c>
      <c r="U886" s="223" t="s">
        <v>5</v>
      </c>
      <c r="V886" s="223" t="s">
        <v>5</v>
      </c>
      <c r="W886" s="223" t="s">
        <v>5</v>
      </c>
      <c r="X886" s="3" t="s">
        <v>5</v>
      </c>
      <c r="Y886" s="3" t="s">
        <v>651</v>
      </c>
      <c r="Z886" s="3" t="s">
        <v>651</v>
      </c>
      <c r="AA886" s="3" t="s">
        <v>6</v>
      </c>
      <c r="AB886" s="223">
        <v>43640</v>
      </c>
      <c r="AC886" s="3" t="s">
        <v>10</v>
      </c>
      <c r="AD886" s="3" t="s">
        <v>6</v>
      </c>
      <c r="AE886" s="95" t="s">
        <v>2265</v>
      </c>
    </row>
    <row r="887" spans="1:31" x14ac:dyDescent="0.35">
      <c r="A887" s="3" t="s">
        <v>2633</v>
      </c>
      <c r="B887" s="3" t="s">
        <v>406</v>
      </c>
      <c r="C887" s="3">
        <v>10</v>
      </c>
      <c r="D887" s="95" t="s">
        <v>3296</v>
      </c>
      <c r="E887" s="95" t="s">
        <v>2634</v>
      </c>
      <c r="F887" s="95" t="s">
        <v>2612</v>
      </c>
      <c r="G887" s="223">
        <v>45474</v>
      </c>
      <c r="H887" s="223">
        <v>45505</v>
      </c>
      <c r="I887" s="223">
        <v>47330</v>
      </c>
      <c r="J887" s="3">
        <v>117</v>
      </c>
      <c r="K887" s="3" t="s">
        <v>10</v>
      </c>
      <c r="L887" s="3" t="s">
        <v>10</v>
      </c>
      <c r="M887" s="95" t="s">
        <v>2555</v>
      </c>
      <c r="N887" s="3" t="s">
        <v>52</v>
      </c>
      <c r="O887" s="3" t="s">
        <v>651</v>
      </c>
      <c r="P887" s="3" t="s">
        <v>6</v>
      </c>
      <c r="Q887" s="3" t="s">
        <v>6</v>
      </c>
      <c r="R887" s="95" t="s">
        <v>652</v>
      </c>
      <c r="S887" s="223" t="s">
        <v>5</v>
      </c>
      <c r="T887" s="223" t="s">
        <v>5</v>
      </c>
      <c r="U887" s="223" t="s">
        <v>5</v>
      </c>
      <c r="V887" s="223" t="s">
        <v>5</v>
      </c>
      <c r="W887" s="223" t="s">
        <v>5</v>
      </c>
      <c r="X887" s="3" t="s">
        <v>5</v>
      </c>
      <c r="Y887" s="3" t="s">
        <v>651</v>
      </c>
      <c r="Z887" s="3" t="s">
        <v>651</v>
      </c>
      <c r="AA887" s="3" t="s">
        <v>6</v>
      </c>
      <c r="AB887" s="223">
        <v>43453</v>
      </c>
      <c r="AC887" s="3" t="s">
        <v>10</v>
      </c>
      <c r="AD887" s="3" t="s">
        <v>6</v>
      </c>
      <c r="AE887" s="95" t="s">
        <v>2265</v>
      </c>
    </row>
    <row r="888" spans="1:31" x14ac:dyDescent="0.35">
      <c r="A888" s="3" t="s">
        <v>2635</v>
      </c>
      <c r="B888" s="3" t="s">
        <v>406</v>
      </c>
      <c r="C888" s="3">
        <v>10</v>
      </c>
      <c r="D888" s="95" t="s">
        <v>3297</v>
      </c>
      <c r="E888" s="95" t="s">
        <v>3298</v>
      </c>
      <c r="F888" s="95" t="s">
        <v>2612</v>
      </c>
      <c r="G888" s="223">
        <v>45474</v>
      </c>
      <c r="H888" s="223">
        <v>45505</v>
      </c>
      <c r="I888" s="223">
        <v>47330</v>
      </c>
      <c r="J888" s="3">
        <v>35</v>
      </c>
      <c r="K888" s="3" t="s">
        <v>10</v>
      </c>
      <c r="L888" s="3" t="s">
        <v>10</v>
      </c>
      <c r="M888" s="95" t="s">
        <v>2555</v>
      </c>
      <c r="N888" s="3" t="s">
        <v>52</v>
      </c>
      <c r="O888" s="3" t="s">
        <v>651</v>
      </c>
      <c r="P888" s="3" t="s">
        <v>6</v>
      </c>
      <c r="Q888" s="3" t="s">
        <v>6</v>
      </c>
      <c r="R888" s="95" t="s">
        <v>652</v>
      </c>
      <c r="S888" s="223" t="s">
        <v>5</v>
      </c>
      <c r="T888" s="223" t="s">
        <v>5</v>
      </c>
      <c r="U888" s="223" t="s">
        <v>5</v>
      </c>
      <c r="V888" s="223" t="s">
        <v>5</v>
      </c>
      <c r="W888" s="223" t="s">
        <v>5</v>
      </c>
      <c r="X888" s="3" t="s">
        <v>5</v>
      </c>
      <c r="Y888" s="3" t="s">
        <v>651</v>
      </c>
      <c r="Z888" s="3" t="s">
        <v>651</v>
      </c>
      <c r="AA888" s="3" t="s">
        <v>6</v>
      </c>
      <c r="AB888" s="223">
        <v>43318</v>
      </c>
      <c r="AC888" s="3" t="s">
        <v>10</v>
      </c>
      <c r="AD888" s="3" t="s">
        <v>6</v>
      </c>
      <c r="AE888" s="95" t="s">
        <v>2265</v>
      </c>
    </row>
    <row r="889" spans="1:31" x14ac:dyDescent="0.35">
      <c r="A889" s="3" t="s">
        <v>1707</v>
      </c>
      <c r="B889" s="3" t="s">
        <v>406</v>
      </c>
      <c r="C889" s="3">
        <v>10</v>
      </c>
      <c r="D889" s="95" t="s">
        <v>3299</v>
      </c>
      <c r="E889" s="95" t="s">
        <v>2636</v>
      </c>
      <c r="F889" s="95" t="s">
        <v>2612</v>
      </c>
      <c r="G889" s="223">
        <v>44153</v>
      </c>
      <c r="H889" s="223">
        <v>44197</v>
      </c>
      <c r="I889" s="223">
        <v>46022</v>
      </c>
      <c r="J889" s="3">
        <v>2735</v>
      </c>
      <c r="K889" s="3" t="s">
        <v>10</v>
      </c>
      <c r="L889" s="3" t="s">
        <v>10</v>
      </c>
      <c r="M889" s="95" t="s">
        <v>23</v>
      </c>
      <c r="N889" s="3" t="s">
        <v>24</v>
      </c>
      <c r="O889" s="3" t="s">
        <v>651</v>
      </c>
      <c r="P889" s="3" t="s">
        <v>6</v>
      </c>
      <c r="Q889" s="3" t="s">
        <v>6</v>
      </c>
      <c r="R889" s="95" t="s">
        <v>652</v>
      </c>
      <c r="S889" s="223" t="s">
        <v>5</v>
      </c>
      <c r="T889" s="223" t="s">
        <v>5</v>
      </c>
      <c r="U889" s="223" t="s">
        <v>5</v>
      </c>
      <c r="V889" s="223" t="s">
        <v>5</v>
      </c>
      <c r="W889" s="223" t="s">
        <v>5</v>
      </c>
      <c r="X889" s="3" t="s">
        <v>5</v>
      </c>
      <c r="Y889" s="3" t="s">
        <v>651</v>
      </c>
      <c r="Z889" s="3" t="s">
        <v>651</v>
      </c>
      <c r="AA889" s="3" t="s">
        <v>6</v>
      </c>
      <c r="AB889" s="223">
        <v>41086</v>
      </c>
      <c r="AC889" s="3" t="s">
        <v>6</v>
      </c>
      <c r="AD889" s="3" t="s">
        <v>10</v>
      </c>
      <c r="AE889" s="95" t="s">
        <v>2263</v>
      </c>
    </row>
    <row r="890" spans="1:31" x14ac:dyDescent="0.35">
      <c r="A890" s="3" t="s">
        <v>1708</v>
      </c>
      <c r="B890" s="3" t="s">
        <v>406</v>
      </c>
      <c r="C890" s="3">
        <v>10</v>
      </c>
      <c r="D890" s="95" t="s">
        <v>3300</v>
      </c>
      <c r="E890" s="95" t="s">
        <v>2637</v>
      </c>
      <c r="F890" s="95" t="s">
        <v>2612</v>
      </c>
      <c r="G890" s="223">
        <v>43789</v>
      </c>
      <c r="H890" s="223">
        <v>43831</v>
      </c>
      <c r="I890" s="223">
        <v>45657</v>
      </c>
      <c r="J890" s="3">
        <v>1429</v>
      </c>
      <c r="K890" s="3" t="s">
        <v>10</v>
      </c>
      <c r="L890" s="3" t="s">
        <v>10</v>
      </c>
      <c r="M890" s="95" t="s">
        <v>27</v>
      </c>
      <c r="N890" s="3" t="s">
        <v>28</v>
      </c>
      <c r="O890" s="3" t="s">
        <v>651</v>
      </c>
      <c r="P890" s="3" t="s">
        <v>6</v>
      </c>
      <c r="Q890" s="3" t="s">
        <v>6</v>
      </c>
      <c r="R890" s="95" t="s">
        <v>652</v>
      </c>
      <c r="S890" s="223" t="s">
        <v>5</v>
      </c>
      <c r="T890" s="223" t="s">
        <v>5</v>
      </c>
      <c r="U890" s="223" t="s">
        <v>5</v>
      </c>
      <c r="V890" s="223" t="s">
        <v>5</v>
      </c>
      <c r="W890" s="223" t="s">
        <v>5</v>
      </c>
      <c r="X890" s="3" t="s">
        <v>5</v>
      </c>
      <c r="Y890" s="3" t="s">
        <v>651</v>
      </c>
      <c r="Z890" s="3" t="s">
        <v>651</v>
      </c>
      <c r="AA890" s="3" t="s">
        <v>6</v>
      </c>
      <c r="AB890" s="223">
        <v>41757</v>
      </c>
      <c r="AC890" s="3" t="s">
        <v>6</v>
      </c>
      <c r="AD890" s="3" t="s">
        <v>6</v>
      </c>
      <c r="AE890" s="95" t="s">
        <v>2263</v>
      </c>
    </row>
    <row r="891" spans="1:31" x14ac:dyDescent="0.35">
      <c r="A891" s="3" t="s">
        <v>1709</v>
      </c>
      <c r="B891" s="3" t="s">
        <v>412</v>
      </c>
      <c r="C891" s="3">
        <v>5</v>
      </c>
      <c r="D891" s="95" t="s">
        <v>2638</v>
      </c>
      <c r="E891" s="95" t="s">
        <v>2639</v>
      </c>
      <c r="F891" s="95" t="s">
        <v>2640</v>
      </c>
      <c r="G891" s="223">
        <v>42943</v>
      </c>
      <c r="H891" s="223">
        <v>43009</v>
      </c>
      <c r="I891" s="223">
        <v>44834</v>
      </c>
      <c r="J891" s="3">
        <v>328</v>
      </c>
      <c r="K891" s="3" t="s">
        <v>10</v>
      </c>
      <c r="L891" s="3" t="s">
        <v>10</v>
      </c>
      <c r="M891" s="95" t="s">
        <v>173</v>
      </c>
      <c r="N891" s="3" t="s">
        <v>174</v>
      </c>
      <c r="O891" s="3" t="s">
        <v>651</v>
      </c>
      <c r="P891" s="3" t="s">
        <v>6</v>
      </c>
      <c r="Q891" s="3" t="s">
        <v>6</v>
      </c>
      <c r="R891" s="95" t="s">
        <v>652</v>
      </c>
      <c r="S891" s="223" t="s">
        <v>5</v>
      </c>
      <c r="T891" s="223" t="s">
        <v>5</v>
      </c>
      <c r="U891" s="223" t="s">
        <v>5</v>
      </c>
      <c r="V891" s="223" t="s">
        <v>5</v>
      </c>
      <c r="W891" s="223" t="s">
        <v>5</v>
      </c>
      <c r="X891" s="3" t="s">
        <v>5</v>
      </c>
      <c r="Y891" s="3" t="s">
        <v>651</v>
      </c>
      <c r="Z891" s="3" t="s">
        <v>651</v>
      </c>
      <c r="AA891" s="3" t="s">
        <v>6</v>
      </c>
      <c r="AB891" s="223">
        <v>44109</v>
      </c>
      <c r="AC891" s="3" t="s">
        <v>6</v>
      </c>
      <c r="AD891" s="3" t="s">
        <v>10</v>
      </c>
      <c r="AE891" s="95" t="s">
        <v>2263</v>
      </c>
    </row>
    <row r="892" spans="1:31" x14ac:dyDescent="0.35">
      <c r="A892" s="3" t="s">
        <v>1710</v>
      </c>
      <c r="B892" s="3" t="s">
        <v>412</v>
      </c>
      <c r="C892" s="3">
        <v>5</v>
      </c>
      <c r="D892" s="95" t="s">
        <v>1711</v>
      </c>
      <c r="E892" s="95" t="s">
        <v>2641</v>
      </c>
      <c r="F892" s="95" t="s">
        <v>5</v>
      </c>
      <c r="G892" s="223">
        <v>42591</v>
      </c>
      <c r="H892" s="223">
        <v>42614</v>
      </c>
      <c r="I892" s="223">
        <v>44439</v>
      </c>
      <c r="J892" s="3">
        <v>181</v>
      </c>
      <c r="K892" s="3" t="s">
        <v>10</v>
      </c>
      <c r="L892" s="3" t="s">
        <v>10</v>
      </c>
      <c r="M892" s="95" t="s">
        <v>230</v>
      </c>
      <c r="N892" s="3" t="s">
        <v>62</v>
      </c>
      <c r="O892" s="3" t="s">
        <v>651</v>
      </c>
      <c r="P892" s="3" t="s">
        <v>6</v>
      </c>
      <c r="Q892" s="3" t="s">
        <v>6</v>
      </c>
      <c r="R892" s="95" t="s">
        <v>652</v>
      </c>
      <c r="S892" s="223" t="s">
        <v>5</v>
      </c>
      <c r="T892" s="223" t="s">
        <v>5</v>
      </c>
      <c r="U892" s="223" t="s">
        <v>5</v>
      </c>
      <c r="V892" s="223" t="s">
        <v>5</v>
      </c>
      <c r="W892" s="223" t="s">
        <v>5</v>
      </c>
      <c r="X892" s="3" t="s">
        <v>5</v>
      </c>
      <c r="Y892" s="3" t="s">
        <v>651</v>
      </c>
      <c r="Z892" s="3" t="s">
        <v>651</v>
      </c>
      <c r="AA892" s="3" t="s">
        <v>10</v>
      </c>
      <c r="AB892" s="223" t="s">
        <v>5</v>
      </c>
      <c r="AC892" s="3" t="s">
        <v>6</v>
      </c>
      <c r="AD892" s="3" t="s">
        <v>10</v>
      </c>
      <c r="AE892" s="95" t="s">
        <v>2263</v>
      </c>
    </row>
    <row r="893" spans="1:31" x14ac:dyDescent="0.35">
      <c r="A893" s="3" t="s">
        <v>1712</v>
      </c>
      <c r="B893" s="3" t="s">
        <v>412</v>
      </c>
      <c r="C893" s="3">
        <v>5</v>
      </c>
      <c r="D893" s="95" t="s">
        <v>1713</v>
      </c>
      <c r="E893" s="95" t="s">
        <v>2642</v>
      </c>
      <c r="F893" s="95" t="s">
        <v>5</v>
      </c>
      <c r="G893" s="223">
        <v>39903</v>
      </c>
      <c r="H893" s="223">
        <v>39904</v>
      </c>
      <c r="I893" s="223">
        <v>41729</v>
      </c>
      <c r="J893" s="3">
        <v>208</v>
      </c>
      <c r="K893" s="3" t="s">
        <v>10</v>
      </c>
      <c r="L893" s="3" t="s">
        <v>10</v>
      </c>
      <c r="M893" s="95" t="s">
        <v>196</v>
      </c>
      <c r="N893" s="3" t="s">
        <v>61</v>
      </c>
      <c r="O893" s="3" t="s">
        <v>651</v>
      </c>
      <c r="P893" s="3" t="s">
        <v>6</v>
      </c>
      <c r="Q893" s="3" t="s">
        <v>6</v>
      </c>
      <c r="R893" s="95" t="s">
        <v>652</v>
      </c>
      <c r="S893" s="223" t="s">
        <v>5</v>
      </c>
      <c r="T893" s="223" t="s">
        <v>5</v>
      </c>
      <c r="U893" s="223" t="s">
        <v>5</v>
      </c>
      <c r="V893" s="223" t="s">
        <v>5</v>
      </c>
      <c r="W893" s="223" t="s">
        <v>5</v>
      </c>
      <c r="X893" s="3" t="s">
        <v>5</v>
      </c>
      <c r="Y893" s="3" t="s">
        <v>651</v>
      </c>
      <c r="Z893" s="3" t="s">
        <v>651</v>
      </c>
      <c r="AA893" s="3" t="s">
        <v>10</v>
      </c>
      <c r="AB893" s="223" t="s">
        <v>5</v>
      </c>
      <c r="AC893" s="3" t="s">
        <v>6</v>
      </c>
      <c r="AD893" s="3" t="s">
        <v>10</v>
      </c>
      <c r="AE893" s="95" t="s">
        <v>2263</v>
      </c>
    </row>
    <row r="894" spans="1:31" x14ac:dyDescent="0.35">
      <c r="A894" s="3" t="s">
        <v>1714</v>
      </c>
      <c r="B894" s="3" t="s">
        <v>412</v>
      </c>
      <c r="C894" s="3">
        <v>5</v>
      </c>
      <c r="D894" s="95" t="s">
        <v>1715</v>
      </c>
      <c r="E894" s="95" t="s">
        <v>2643</v>
      </c>
      <c r="F894" s="95" t="s">
        <v>2640</v>
      </c>
      <c r="G894" s="223">
        <v>43446</v>
      </c>
      <c r="H894" s="223">
        <v>43252</v>
      </c>
      <c r="I894" s="223">
        <v>45077</v>
      </c>
      <c r="J894" s="3">
        <v>83</v>
      </c>
      <c r="K894" s="3" t="s">
        <v>10</v>
      </c>
      <c r="L894" s="3" t="s">
        <v>10</v>
      </c>
      <c r="M894" s="95" t="s">
        <v>1716</v>
      </c>
      <c r="N894" s="3" t="s">
        <v>28</v>
      </c>
      <c r="O894" s="3" t="s">
        <v>651</v>
      </c>
      <c r="P894" s="3" t="s">
        <v>6</v>
      </c>
      <c r="Q894" s="3" t="s">
        <v>6</v>
      </c>
      <c r="R894" s="95" t="s">
        <v>652</v>
      </c>
      <c r="S894" s="223" t="s">
        <v>5</v>
      </c>
      <c r="T894" s="223" t="s">
        <v>5</v>
      </c>
      <c r="U894" s="223" t="s">
        <v>5</v>
      </c>
      <c r="V894" s="223" t="s">
        <v>5</v>
      </c>
      <c r="W894" s="223" t="s">
        <v>5</v>
      </c>
      <c r="X894" s="3" t="s">
        <v>5</v>
      </c>
      <c r="Y894" s="3" t="s">
        <v>651</v>
      </c>
      <c r="Z894" s="3" t="s">
        <v>651</v>
      </c>
      <c r="AA894" s="3" t="s">
        <v>6</v>
      </c>
      <c r="AB894" s="223">
        <v>44109</v>
      </c>
      <c r="AC894" s="3" t="s">
        <v>6</v>
      </c>
      <c r="AD894" s="3" t="s">
        <v>10</v>
      </c>
      <c r="AE894" s="95" t="s">
        <v>2263</v>
      </c>
    </row>
    <row r="895" spans="1:31" x14ac:dyDescent="0.35">
      <c r="A895" s="3" t="s">
        <v>1717</v>
      </c>
      <c r="B895" s="3" t="s">
        <v>412</v>
      </c>
      <c r="C895" s="3">
        <v>5</v>
      </c>
      <c r="D895" s="95" t="s">
        <v>2644</v>
      </c>
      <c r="E895" s="95" t="s">
        <v>2645</v>
      </c>
      <c r="F895" s="95" t="s">
        <v>2640</v>
      </c>
      <c r="G895" s="223">
        <v>43731</v>
      </c>
      <c r="H895" s="223">
        <v>43831</v>
      </c>
      <c r="I895" s="223">
        <v>45657</v>
      </c>
      <c r="J895" s="3">
        <v>58</v>
      </c>
      <c r="K895" s="3" t="s">
        <v>10</v>
      </c>
      <c r="L895" s="3" t="s">
        <v>10</v>
      </c>
      <c r="M895" s="95" t="s">
        <v>116</v>
      </c>
      <c r="N895" s="3" t="s">
        <v>117</v>
      </c>
      <c r="O895" s="3" t="s">
        <v>651</v>
      </c>
      <c r="P895" s="3" t="s">
        <v>6</v>
      </c>
      <c r="Q895" s="3" t="s">
        <v>6</v>
      </c>
      <c r="R895" s="95" t="s">
        <v>652</v>
      </c>
      <c r="S895" s="223" t="s">
        <v>5</v>
      </c>
      <c r="T895" s="223" t="s">
        <v>5</v>
      </c>
      <c r="U895" s="223" t="s">
        <v>5</v>
      </c>
      <c r="V895" s="223" t="s">
        <v>5</v>
      </c>
      <c r="W895" s="223" t="s">
        <v>5</v>
      </c>
      <c r="X895" s="3" t="s">
        <v>5</v>
      </c>
      <c r="Y895" s="3" t="s">
        <v>651</v>
      </c>
      <c r="Z895" s="3" t="s">
        <v>651</v>
      </c>
      <c r="AA895" s="3" t="s">
        <v>6</v>
      </c>
      <c r="AB895" s="223">
        <v>44109</v>
      </c>
      <c r="AC895" s="3" t="s">
        <v>6</v>
      </c>
      <c r="AD895" s="3" t="s">
        <v>10</v>
      </c>
      <c r="AE895" s="95" t="s">
        <v>2263</v>
      </c>
    </row>
    <row r="896" spans="1:31" x14ac:dyDescent="0.35">
      <c r="A896" s="3" t="s">
        <v>1718</v>
      </c>
      <c r="B896" s="3" t="s">
        <v>412</v>
      </c>
      <c r="C896" s="3">
        <v>5</v>
      </c>
      <c r="D896" s="95" t="s">
        <v>2646</v>
      </c>
      <c r="E896" s="95" t="s">
        <v>2647</v>
      </c>
      <c r="F896" s="95" t="s">
        <v>2640</v>
      </c>
      <c r="G896" s="223">
        <v>43280</v>
      </c>
      <c r="H896" s="223">
        <v>43282</v>
      </c>
      <c r="I896" s="223">
        <v>45107</v>
      </c>
      <c r="J896" s="3">
        <v>29</v>
      </c>
      <c r="K896" s="3" t="s">
        <v>10</v>
      </c>
      <c r="L896" s="3" t="s">
        <v>10</v>
      </c>
      <c r="M896" s="95" t="s">
        <v>1242</v>
      </c>
      <c r="N896" s="3" t="s">
        <v>62</v>
      </c>
      <c r="O896" s="3" t="s">
        <v>651</v>
      </c>
      <c r="P896" s="3" t="s">
        <v>6</v>
      </c>
      <c r="Q896" s="3" t="s">
        <v>6</v>
      </c>
      <c r="R896" s="95" t="s">
        <v>652</v>
      </c>
      <c r="S896" s="223" t="s">
        <v>5</v>
      </c>
      <c r="T896" s="223" t="s">
        <v>5</v>
      </c>
      <c r="U896" s="223" t="s">
        <v>5</v>
      </c>
      <c r="V896" s="223" t="s">
        <v>5</v>
      </c>
      <c r="W896" s="223" t="s">
        <v>5</v>
      </c>
      <c r="X896" s="3" t="s">
        <v>5</v>
      </c>
      <c r="Y896" s="3" t="s">
        <v>651</v>
      </c>
      <c r="Z896" s="3" t="s">
        <v>651</v>
      </c>
      <c r="AA896" s="3" t="s">
        <v>6</v>
      </c>
      <c r="AB896" s="223">
        <v>44109</v>
      </c>
      <c r="AC896" s="3" t="s">
        <v>6</v>
      </c>
      <c r="AD896" s="3" t="s">
        <v>10</v>
      </c>
      <c r="AE896" s="95" t="s">
        <v>2263</v>
      </c>
    </row>
    <row r="897" spans="1:31" x14ac:dyDescent="0.35">
      <c r="A897" s="3" t="s">
        <v>1719</v>
      </c>
      <c r="B897" s="3" t="s">
        <v>412</v>
      </c>
      <c r="C897" s="3">
        <v>5</v>
      </c>
      <c r="D897" s="95" t="s">
        <v>2648</v>
      </c>
      <c r="E897" s="95" t="s">
        <v>2649</v>
      </c>
      <c r="F897" s="95" t="s">
        <v>2640</v>
      </c>
      <c r="G897" s="223">
        <v>43280</v>
      </c>
      <c r="H897" s="223">
        <v>43282</v>
      </c>
      <c r="I897" s="223">
        <v>45107</v>
      </c>
      <c r="J897" s="3">
        <v>103</v>
      </c>
      <c r="K897" s="3" t="s">
        <v>10</v>
      </c>
      <c r="L897" s="3" t="s">
        <v>10</v>
      </c>
      <c r="M897" s="95" t="s">
        <v>67</v>
      </c>
      <c r="N897" s="3" t="s">
        <v>68</v>
      </c>
      <c r="O897" s="3" t="s">
        <v>651</v>
      </c>
      <c r="P897" s="3" t="s">
        <v>6</v>
      </c>
      <c r="Q897" s="3" t="s">
        <v>6</v>
      </c>
      <c r="R897" s="95" t="s">
        <v>652</v>
      </c>
      <c r="S897" s="223" t="s">
        <v>5</v>
      </c>
      <c r="T897" s="223" t="s">
        <v>5</v>
      </c>
      <c r="U897" s="223" t="s">
        <v>5</v>
      </c>
      <c r="V897" s="223" t="s">
        <v>5</v>
      </c>
      <c r="W897" s="223" t="s">
        <v>5</v>
      </c>
      <c r="X897" s="3" t="s">
        <v>5</v>
      </c>
      <c r="Y897" s="3" t="s">
        <v>651</v>
      </c>
      <c r="Z897" s="3" t="s">
        <v>651</v>
      </c>
      <c r="AA897" s="3" t="s">
        <v>6</v>
      </c>
      <c r="AB897" s="223">
        <v>44109</v>
      </c>
      <c r="AC897" s="3" t="s">
        <v>6</v>
      </c>
      <c r="AD897" s="3" t="s">
        <v>10</v>
      </c>
      <c r="AE897" s="95" t="s">
        <v>2263</v>
      </c>
    </row>
    <row r="898" spans="1:31" x14ac:dyDescent="0.35">
      <c r="A898" s="3" t="s">
        <v>1720</v>
      </c>
      <c r="B898" s="3" t="s">
        <v>412</v>
      </c>
      <c r="C898" s="3">
        <v>5</v>
      </c>
      <c r="D898" s="95" t="s">
        <v>2650</v>
      </c>
      <c r="E898" s="95" t="s">
        <v>2651</v>
      </c>
      <c r="F898" s="95" t="s">
        <v>5</v>
      </c>
      <c r="G898" s="223">
        <v>44136</v>
      </c>
      <c r="H898" s="223">
        <v>44136</v>
      </c>
      <c r="I898" s="223">
        <v>45961</v>
      </c>
      <c r="J898" s="3">
        <v>260</v>
      </c>
      <c r="K898" s="3" t="s">
        <v>10</v>
      </c>
      <c r="L898" s="3" t="s">
        <v>10</v>
      </c>
      <c r="M898" s="95" t="s">
        <v>145</v>
      </c>
      <c r="N898" s="3" t="s">
        <v>146</v>
      </c>
      <c r="O898" s="3" t="s">
        <v>651</v>
      </c>
      <c r="P898" s="3" t="s">
        <v>6</v>
      </c>
      <c r="Q898" s="3" t="s">
        <v>6</v>
      </c>
      <c r="R898" s="95" t="s">
        <v>652</v>
      </c>
      <c r="S898" s="223" t="s">
        <v>5</v>
      </c>
      <c r="T898" s="223" t="s">
        <v>5</v>
      </c>
      <c r="U898" s="223" t="s">
        <v>5</v>
      </c>
      <c r="V898" s="223" t="s">
        <v>5</v>
      </c>
      <c r="W898" s="223" t="s">
        <v>5</v>
      </c>
      <c r="X898" s="3" t="s">
        <v>5</v>
      </c>
      <c r="Y898" s="3" t="s">
        <v>651</v>
      </c>
      <c r="Z898" s="3" t="s">
        <v>651</v>
      </c>
      <c r="AA898" s="3" t="s">
        <v>10</v>
      </c>
      <c r="AB898" s="223" t="s">
        <v>5</v>
      </c>
      <c r="AC898" s="3" t="s">
        <v>6</v>
      </c>
      <c r="AD898" s="3" t="s">
        <v>6</v>
      </c>
      <c r="AE898" s="95" t="s">
        <v>2265</v>
      </c>
    </row>
    <row r="899" spans="1:31" x14ac:dyDescent="0.35">
      <c r="A899" s="3" t="s">
        <v>1721</v>
      </c>
      <c r="B899" s="3" t="s">
        <v>412</v>
      </c>
      <c r="C899" s="3">
        <v>5</v>
      </c>
      <c r="D899" s="95" t="s">
        <v>2652</v>
      </c>
      <c r="E899" s="95" t="s">
        <v>2653</v>
      </c>
      <c r="F899" s="95" t="s">
        <v>2640</v>
      </c>
      <c r="G899" s="223">
        <v>43280</v>
      </c>
      <c r="H899" s="223">
        <v>43344</v>
      </c>
      <c r="I899" s="223">
        <v>45169</v>
      </c>
      <c r="J899" s="3">
        <v>203</v>
      </c>
      <c r="K899" s="3" t="s">
        <v>10</v>
      </c>
      <c r="L899" s="3" t="s">
        <v>10</v>
      </c>
      <c r="M899" s="95" t="s">
        <v>169</v>
      </c>
      <c r="N899" s="3" t="s">
        <v>170</v>
      </c>
      <c r="O899" s="3" t="s">
        <v>651</v>
      </c>
      <c r="P899" s="3" t="s">
        <v>6</v>
      </c>
      <c r="Q899" s="3" t="s">
        <v>6</v>
      </c>
      <c r="R899" s="95" t="s">
        <v>652</v>
      </c>
      <c r="S899" s="223" t="s">
        <v>5</v>
      </c>
      <c r="T899" s="223" t="s">
        <v>5</v>
      </c>
      <c r="U899" s="223" t="s">
        <v>5</v>
      </c>
      <c r="V899" s="223" t="s">
        <v>5</v>
      </c>
      <c r="W899" s="223" t="s">
        <v>5</v>
      </c>
      <c r="X899" s="3" t="s">
        <v>5</v>
      </c>
      <c r="Y899" s="3" t="s">
        <v>651</v>
      </c>
      <c r="Z899" s="3" t="s">
        <v>651</v>
      </c>
      <c r="AA899" s="3" t="s">
        <v>6</v>
      </c>
      <c r="AB899" s="223">
        <v>44109</v>
      </c>
      <c r="AC899" s="3" t="s">
        <v>10</v>
      </c>
      <c r="AD899" s="3" t="s">
        <v>10</v>
      </c>
      <c r="AE899" s="95" t="s">
        <v>2263</v>
      </c>
    </row>
    <row r="900" spans="1:31" x14ac:dyDescent="0.35">
      <c r="A900" s="3" t="s">
        <v>1722</v>
      </c>
      <c r="B900" s="3" t="s">
        <v>412</v>
      </c>
      <c r="C900" s="3">
        <v>5</v>
      </c>
      <c r="D900" s="95" t="s">
        <v>2654</v>
      </c>
      <c r="E900" s="95" t="s">
        <v>2655</v>
      </c>
      <c r="F900" s="95" t="s">
        <v>5</v>
      </c>
      <c r="G900" s="223">
        <v>39262</v>
      </c>
      <c r="H900" s="223">
        <v>39264</v>
      </c>
      <c r="I900" s="223">
        <v>41090</v>
      </c>
      <c r="J900" s="3">
        <v>417</v>
      </c>
      <c r="K900" s="3" t="s">
        <v>10</v>
      </c>
      <c r="L900" s="3" t="s">
        <v>10</v>
      </c>
      <c r="M900" s="95" t="s">
        <v>136</v>
      </c>
      <c r="N900" s="3" t="s">
        <v>138</v>
      </c>
      <c r="O900" s="3" t="s">
        <v>651</v>
      </c>
      <c r="P900" s="3" t="s">
        <v>6</v>
      </c>
      <c r="Q900" s="3" t="s">
        <v>6</v>
      </c>
      <c r="R900" s="95" t="s">
        <v>652</v>
      </c>
      <c r="S900" s="223" t="s">
        <v>5</v>
      </c>
      <c r="T900" s="223" t="s">
        <v>5</v>
      </c>
      <c r="U900" s="223" t="s">
        <v>5</v>
      </c>
      <c r="V900" s="223" t="s">
        <v>5</v>
      </c>
      <c r="W900" s="223" t="s">
        <v>5</v>
      </c>
      <c r="X900" s="3" t="s">
        <v>5</v>
      </c>
      <c r="Y900" s="3" t="s">
        <v>651</v>
      </c>
      <c r="Z900" s="3" t="s">
        <v>651</v>
      </c>
      <c r="AA900" s="3" t="s">
        <v>10</v>
      </c>
      <c r="AB900" s="223" t="s">
        <v>5</v>
      </c>
      <c r="AC900" s="3" t="s">
        <v>6</v>
      </c>
      <c r="AD900" s="3" t="s">
        <v>10</v>
      </c>
      <c r="AE900" s="95" t="s">
        <v>2263</v>
      </c>
    </row>
    <row r="901" spans="1:31" x14ac:dyDescent="0.35">
      <c r="A901" s="3" t="s">
        <v>1723</v>
      </c>
      <c r="B901" s="3" t="s">
        <v>412</v>
      </c>
      <c r="C901" s="3">
        <v>5</v>
      </c>
      <c r="D901" s="95" t="s">
        <v>1724</v>
      </c>
      <c r="E901" s="95" t="s">
        <v>2656</v>
      </c>
      <c r="F901" s="95" t="s">
        <v>2640</v>
      </c>
      <c r="G901" s="223">
        <v>40637</v>
      </c>
      <c r="H901" s="223">
        <v>41214</v>
      </c>
      <c r="I901" s="223">
        <v>42460</v>
      </c>
      <c r="J901" s="3">
        <v>14</v>
      </c>
      <c r="K901" s="3" t="s">
        <v>10</v>
      </c>
      <c r="L901" s="3" t="s">
        <v>10</v>
      </c>
      <c r="M901" s="95" t="s">
        <v>105</v>
      </c>
      <c r="N901" s="3" t="s">
        <v>106</v>
      </c>
      <c r="O901" s="3" t="s">
        <v>651</v>
      </c>
      <c r="P901" s="3" t="s">
        <v>6</v>
      </c>
      <c r="Q901" s="3" t="s">
        <v>6</v>
      </c>
      <c r="R901" s="95" t="s">
        <v>652</v>
      </c>
      <c r="S901" s="223" t="s">
        <v>5</v>
      </c>
      <c r="T901" s="223" t="s">
        <v>5</v>
      </c>
      <c r="U901" s="223" t="s">
        <v>5</v>
      </c>
      <c r="V901" s="223" t="s">
        <v>5</v>
      </c>
      <c r="W901" s="223" t="s">
        <v>5</v>
      </c>
      <c r="X901" s="3" t="s">
        <v>5</v>
      </c>
      <c r="Y901" s="3" t="s">
        <v>651</v>
      </c>
      <c r="Z901" s="3" t="s">
        <v>651</v>
      </c>
      <c r="AA901" s="3" t="s">
        <v>6</v>
      </c>
      <c r="AB901" s="223">
        <v>42370</v>
      </c>
      <c r="AC901" s="3" t="s">
        <v>6</v>
      </c>
      <c r="AD901" s="3" t="s">
        <v>6</v>
      </c>
      <c r="AE901" s="95" t="s">
        <v>2265</v>
      </c>
    </row>
    <row r="902" spans="1:31" x14ac:dyDescent="0.35">
      <c r="A902" s="3" t="s">
        <v>1725</v>
      </c>
      <c r="B902" s="3" t="s">
        <v>412</v>
      </c>
      <c r="C902" s="3">
        <v>5</v>
      </c>
      <c r="D902" s="95" t="s">
        <v>1726</v>
      </c>
      <c r="E902" s="95" t="s">
        <v>2657</v>
      </c>
      <c r="F902" s="95" t="s">
        <v>2640</v>
      </c>
      <c r="G902" s="223">
        <v>43922</v>
      </c>
      <c r="H902" s="223">
        <v>43922</v>
      </c>
      <c r="I902" s="223">
        <v>45747</v>
      </c>
      <c r="J902" s="3">
        <v>73</v>
      </c>
      <c r="K902" s="3" t="s">
        <v>10</v>
      </c>
      <c r="L902" s="3" t="s">
        <v>10</v>
      </c>
      <c r="M902" s="95" t="s">
        <v>204</v>
      </c>
      <c r="N902" s="3" t="s">
        <v>521</v>
      </c>
      <c r="O902" s="3" t="s">
        <v>651</v>
      </c>
      <c r="P902" s="3" t="s">
        <v>6</v>
      </c>
      <c r="Q902" s="3" t="s">
        <v>6</v>
      </c>
      <c r="R902" s="95" t="s">
        <v>2658</v>
      </c>
      <c r="S902" s="223" t="s">
        <v>5</v>
      </c>
      <c r="T902" s="223" t="s">
        <v>5</v>
      </c>
      <c r="U902" s="223" t="s">
        <v>5</v>
      </c>
      <c r="V902" s="223" t="s">
        <v>5</v>
      </c>
      <c r="W902" s="223" t="s">
        <v>5</v>
      </c>
      <c r="X902" s="3" t="s">
        <v>5</v>
      </c>
      <c r="Y902" s="3" t="s">
        <v>651</v>
      </c>
      <c r="Z902" s="3" t="s">
        <v>651</v>
      </c>
      <c r="AA902" s="3" t="s">
        <v>6</v>
      </c>
      <c r="AB902" s="223">
        <v>42095</v>
      </c>
      <c r="AC902" s="3" t="s">
        <v>6</v>
      </c>
      <c r="AD902" s="3" t="s">
        <v>10</v>
      </c>
      <c r="AE902" s="95" t="s">
        <v>2265</v>
      </c>
    </row>
    <row r="903" spans="1:31" x14ac:dyDescent="0.35">
      <c r="A903" s="3" t="s">
        <v>1727</v>
      </c>
      <c r="B903" s="3" t="s">
        <v>412</v>
      </c>
      <c r="C903" s="3">
        <v>5</v>
      </c>
      <c r="D903" s="95" t="s">
        <v>2659</v>
      </c>
      <c r="E903" s="95" t="s">
        <v>2660</v>
      </c>
      <c r="F903" s="95" t="s">
        <v>2640</v>
      </c>
      <c r="G903" s="223">
        <v>43320</v>
      </c>
      <c r="H903" s="223">
        <v>43191</v>
      </c>
      <c r="I903" s="223">
        <v>45016</v>
      </c>
      <c r="J903" s="3">
        <v>191</v>
      </c>
      <c r="K903" s="3" t="s">
        <v>10</v>
      </c>
      <c r="L903" s="3" t="s">
        <v>10</v>
      </c>
      <c r="M903" s="95" t="s">
        <v>19</v>
      </c>
      <c r="N903" s="3" t="s">
        <v>20</v>
      </c>
      <c r="O903" s="3" t="s">
        <v>651</v>
      </c>
      <c r="P903" s="3" t="s">
        <v>6</v>
      </c>
      <c r="Q903" s="3" t="s">
        <v>6</v>
      </c>
      <c r="R903" s="95" t="s">
        <v>652</v>
      </c>
      <c r="S903" s="223" t="s">
        <v>5</v>
      </c>
      <c r="T903" s="223" t="s">
        <v>5</v>
      </c>
      <c r="U903" s="223" t="s">
        <v>5</v>
      </c>
      <c r="V903" s="223" t="s">
        <v>5</v>
      </c>
      <c r="W903" s="223" t="s">
        <v>5</v>
      </c>
      <c r="X903" s="3" t="s">
        <v>5</v>
      </c>
      <c r="Y903" s="3" t="s">
        <v>651</v>
      </c>
      <c r="Z903" s="3" t="s">
        <v>651</v>
      </c>
      <c r="AA903" s="3" t="s">
        <v>6</v>
      </c>
      <c r="AB903" s="223">
        <v>44109</v>
      </c>
      <c r="AC903" s="3" t="s">
        <v>10</v>
      </c>
      <c r="AD903" s="3" t="s">
        <v>10</v>
      </c>
      <c r="AE903" s="95" t="s">
        <v>2265</v>
      </c>
    </row>
    <row r="904" spans="1:31" x14ac:dyDescent="0.35">
      <c r="A904" s="3" t="s">
        <v>1728</v>
      </c>
      <c r="B904" s="3" t="s">
        <v>412</v>
      </c>
      <c r="C904" s="3">
        <v>5</v>
      </c>
      <c r="D904" s="95" t="s">
        <v>2661</v>
      </c>
      <c r="E904" s="95" t="s">
        <v>2662</v>
      </c>
      <c r="F904" s="95" t="s">
        <v>2640</v>
      </c>
      <c r="G904" s="223">
        <v>43189</v>
      </c>
      <c r="H904" s="223">
        <v>43191</v>
      </c>
      <c r="I904" s="223">
        <v>45016</v>
      </c>
      <c r="J904" s="3">
        <v>9</v>
      </c>
      <c r="K904" s="3" t="s">
        <v>10</v>
      </c>
      <c r="L904" s="3" t="s">
        <v>10</v>
      </c>
      <c r="M904" s="95" t="s">
        <v>19</v>
      </c>
      <c r="N904" s="3" t="s">
        <v>20</v>
      </c>
      <c r="O904" s="3" t="s">
        <v>651</v>
      </c>
      <c r="P904" s="3" t="s">
        <v>6</v>
      </c>
      <c r="Q904" s="3" t="s">
        <v>6</v>
      </c>
      <c r="R904" s="95" t="s">
        <v>652</v>
      </c>
      <c r="S904" s="223" t="s">
        <v>5</v>
      </c>
      <c r="T904" s="223" t="s">
        <v>5</v>
      </c>
      <c r="U904" s="223" t="s">
        <v>5</v>
      </c>
      <c r="V904" s="223" t="s">
        <v>5</v>
      </c>
      <c r="W904" s="223" t="s">
        <v>5</v>
      </c>
      <c r="X904" s="3" t="s">
        <v>5</v>
      </c>
      <c r="Y904" s="3" t="s">
        <v>651</v>
      </c>
      <c r="Z904" s="3" t="s">
        <v>651</v>
      </c>
      <c r="AA904" s="3" t="s">
        <v>6</v>
      </c>
      <c r="AB904" s="223">
        <v>44109</v>
      </c>
      <c r="AC904" s="3" t="s">
        <v>10</v>
      </c>
      <c r="AD904" s="3" t="s">
        <v>10</v>
      </c>
      <c r="AE904" s="95" t="s">
        <v>2265</v>
      </c>
    </row>
    <row r="905" spans="1:31" x14ac:dyDescent="0.35">
      <c r="A905" s="3" t="s">
        <v>2663</v>
      </c>
      <c r="B905" s="3" t="s">
        <v>412</v>
      </c>
      <c r="C905" s="3">
        <v>5</v>
      </c>
      <c r="D905" s="95" t="s">
        <v>2664</v>
      </c>
      <c r="E905" s="95" t="s">
        <v>2665</v>
      </c>
      <c r="F905" s="95" t="s">
        <v>2640</v>
      </c>
      <c r="G905" s="223">
        <v>43189</v>
      </c>
      <c r="H905" s="223">
        <v>43191</v>
      </c>
      <c r="I905" s="223">
        <v>45016</v>
      </c>
      <c r="J905" s="3">
        <v>2</v>
      </c>
      <c r="K905" s="3" t="s">
        <v>10</v>
      </c>
      <c r="L905" s="3" t="s">
        <v>10</v>
      </c>
      <c r="M905" s="95" t="s">
        <v>19</v>
      </c>
      <c r="N905" s="3" t="s">
        <v>20</v>
      </c>
      <c r="O905" s="3" t="s">
        <v>651</v>
      </c>
      <c r="P905" s="3" t="s">
        <v>6</v>
      </c>
      <c r="Q905" s="3" t="s">
        <v>6</v>
      </c>
      <c r="R905" s="95" t="s">
        <v>652</v>
      </c>
      <c r="S905" s="223" t="s">
        <v>5</v>
      </c>
      <c r="T905" s="223" t="s">
        <v>5</v>
      </c>
      <c r="U905" s="223" t="s">
        <v>5</v>
      </c>
      <c r="V905" s="223" t="s">
        <v>5</v>
      </c>
      <c r="W905" s="223" t="s">
        <v>5</v>
      </c>
      <c r="X905" s="3" t="s">
        <v>5</v>
      </c>
      <c r="Y905" s="3" t="s">
        <v>651</v>
      </c>
      <c r="Z905" s="3" t="s">
        <v>651</v>
      </c>
      <c r="AA905" s="3" t="s">
        <v>6</v>
      </c>
      <c r="AB905" s="223">
        <v>44109</v>
      </c>
      <c r="AC905" s="3" t="s">
        <v>10</v>
      </c>
      <c r="AD905" s="3" t="s">
        <v>10</v>
      </c>
      <c r="AE905" s="95" t="s">
        <v>2265</v>
      </c>
    </row>
    <row r="906" spans="1:31" x14ac:dyDescent="0.35">
      <c r="A906" s="3" t="s">
        <v>1729</v>
      </c>
      <c r="B906" s="3" t="s">
        <v>412</v>
      </c>
      <c r="C906" s="3">
        <v>5</v>
      </c>
      <c r="D906" s="95" t="s">
        <v>2666</v>
      </c>
      <c r="E906" s="95" t="s">
        <v>2667</v>
      </c>
      <c r="F906" s="95" t="s">
        <v>2640</v>
      </c>
      <c r="G906" s="223">
        <v>43189</v>
      </c>
      <c r="H906" s="223">
        <v>43191</v>
      </c>
      <c r="I906" s="223">
        <v>45016</v>
      </c>
      <c r="J906" s="3">
        <v>22</v>
      </c>
      <c r="K906" s="3" t="s">
        <v>10</v>
      </c>
      <c r="L906" s="3" t="s">
        <v>10</v>
      </c>
      <c r="M906" s="95" t="s">
        <v>19</v>
      </c>
      <c r="N906" s="3" t="s">
        <v>20</v>
      </c>
      <c r="O906" s="3" t="s">
        <v>651</v>
      </c>
      <c r="P906" s="3" t="s">
        <v>6</v>
      </c>
      <c r="Q906" s="3" t="s">
        <v>6</v>
      </c>
      <c r="R906" s="95" t="s">
        <v>652</v>
      </c>
      <c r="S906" s="223" t="s">
        <v>5</v>
      </c>
      <c r="T906" s="223" t="s">
        <v>5</v>
      </c>
      <c r="U906" s="223" t="s">
        <v>5</v>
      </c>
      <c r="V906" s="223" t="s">
        <v>5</v>
      </c>
      <c r="W906" s="223" t="s">
        <v>5</v>
      </c>
      <c r="X906" s="3" t="s">
        <v>5</v>
      </c>
      <c r="Y906" s="3" t="s">
        <v>651</v>
      </c>
      <c r="Z906" s="3" t="s">
        <v>651</v>
      </c>
      <c r="AA906" s="3" t="s">
        <v>6</v>
      </c>
      <c r="AB906" s="223">
        <v>44109</v>
      </c>
      <c r="AC906" s="3" t="s">
        <v>10</v>
      </c>
      <c r="AD906" s="3" t="s">
        <v>10</v>
      </c>
      <c r="AE906" s="95" t="s">
        <v>2265</v>
      </c>
    </row>
    <row r="907" spans="1:31" x14ac:dyDescent="0.35">
      <c r="A907" s="3" t="s">
        <v>2668</v>
      </c>
      <c r="B907" s="3" t="s">
        <v>412</v>
      </c>
      <c r="C907" s="3">
        <v>5</v>
      </c>
      <c r="D907" s="95" t="s">
        <v>2669</v>
      </c>
      <c r="E907" s="95" t="s">
        <v>2670</v>
      </c>
      <c r="F907" s="95" t="s">
        <v>5</v>
      </c>
      <c r="G907" s="223">
        <v>43889</v>
      </c>
      <c r="H907" s="223">
        <v>43891</v>
      </c>
      <c r="I907" s="223">
        <v>45716</v>
      </c>
      <c r="J907" s="3">
        <v>92</v>
      </c>
      <c r="K907" s="3" t="s">
        <v>10</v>
      </c>
      <c r="L907" s="3" t="s">
        <v>10</v>
      </c>
      <c r="M907" s="95" t="s">
        <v>350</v>
      </c>
      <c r="N907" s="3" t="s">
        <v>351</v>
      </c>
      <c r="O907" s="3" t="s">
        <v>651</v>
      </c>
      <c r="P907" s="3" t="s">
        <v>6</v>
      </c>
      <c r="Q907" s="3" t="s">
        <v>6</v>
      </c>
      <c r="R907" s="95" t="s">
        <v>652</v>
      </c>
      <c r="S907" s="223" t="s">
        <v>5</v>
      </c>
      <c r="T907" s="223" t="s">
        <v>5</v>
      </c>
      <c r="U907" s="223" t="s">
        <v>5</v>
      </c>
      <c r="V907" s="223" t="s">
        <v>5</v>
      </c>
      <c r="W907" s="223" t="s">
        <v>5</v>
      </c>
      <c r="X907" s="3" t="s">
        <v>5</v>
      </c>
      <c r="Y907" s="3" t="s">
        <v>651</v>
      </c>
      <c r="Z907" s="3" t="s">
        <v>651</v>
      </c>
      <c r="AA907" s="3" t="s">
        <v>10</v>
      </c>
      <c r="AB907" s="223" t="s">
        <v>5</v>
      </c>
      <c r="AC907" s="3" t="s">
        <v>10</v>
      </c>
      <c r="AD907" s="3" t="s">
        <v>10</v>
      </c>
      <c r="AE907" s="95" t="s">
        <v>2263</v>
      </c>
    </row>
    <row r="908" spans="1:31" x14ac:dyDescent="0.35">
      <c r="A908" s="3" t="s">
        <v>1730</v>
      </c>
      <c r="B908" s="3" t="s">
        <v>412</v>
      </c>
      <c r="C908" s="3">
        <v>5</v>
      </c>
      <c r="D908" s="95" t="s">
        <v>1731</v>
      </c>
      <c r="E908" s="95" t="s">
        <v>1732</v>
      </c>
      <c r="F908" s="95" t="s">
        <v>2640</v>
      </c>
      <c r="G908" s="223">
        <v>42580</v>
      </c>
      <c r="H908" s="223">
        <v>42583</v>
      </c>
      <c r="I908" s="223">
        <v>44408</v>
      </c>
      <c r="J908" s="3">
        <v>2700</v>
      </c>
      <c r="K908" s="3" t="s">
        <v>10</v>
      </c>
      <c r="L908" s="3" t="s">
        <v>10</v>
      </c>
      <c r="M908" s="95" t="s">
        <v>114</v>
      </c>
      <c r="N908" s="3" t="s">
        <v>115</v>
      </c>
      <c r="O908" s="3" t="s">
        <v>651</v>
      </c>
      <c r="P908" s="3" t="s">
        <v>6</v>
      </c>
      <c r="Q908" s="3" t="s">
        <v>6</v>
      </c>
      <c r="R908" s="95" t="s">
        <v>652</v>
      </c>
      <c r="S908" s="223" t="s">
        <v>5</v>
      </c>
      <c r="T908" s="223" t="s">
        <v>5</v>
      </c>
      <c r="U908" s="223" t="s">
        <v>5</v>
      </c>
      <c r="V908" s="223" t="s">
        <v>5</v>
      </c>
      <c r="W908" s="223" t="s">
        <v>5</v>
      </c>
      <c r="X908" s="3" t="s">
        <v>5</v>
      </c>
      <c r="Y908" s="3" t="s">
        <v>651</v>
      </c>
      <c r="Z908" s="3" t="s">
        <v>651</v>
      </c>
      <c r="AA908" s="3" t="s">
        <v>6</v>
      </c>
      <c r="AB908" s="223">
        <v>43952</v>
      </c>
      <c r="AC908" s="3" t="s">
        <v>6</v>
      </c>
      <c r="AD908" s="3" t="s">
        <v>10</v>
      </c>
      <c r="AE908" s="95" t="s">
        <v>2263</v>
      </c>
    </row>
    <row r="909" spans="1:31" x14ac:dyDescent="0.35">
      <c r="A909" s="3" t="s">
        <v>1733</v>
      </c>
      <c r="B909" s="3" t="s">
        <v>412</v>
      </c>
      <c r="C909" s="3">
        <v>5</v>
      </c>
      <c r="D909" s="95" t="s">
        <v>1734</v>
      </c>
      <c r="E909" s="95" t="s">
        <v>1735</v>
      </c>
      <c r="F909" s="95" t="s">
        <v>2640</v>
      </c>
      <c r="G909" s="223">
        <v>42580</v>
      </c>
      <c r="H909" s="223">
        <v>42583</v>
      </c>
      <c r="I909" s="223">
        <v>44408</v>
      </c>
      <c r="J909" s="3">
        <v>90</v>
      </c>
      <c r="K909" s="3" t="s">
        <v>10</v>
      </c>
      <c r="L909" s="3" t="s">
        <v>10</v>
      </c>
      <c r="M909" s="95" t="s">
        <v>114</v>
      </c>
      <c r="N909" s="3" t="s">
        <v>115</v>
      </c>
      <c r="O909" s="3" t="s">
        <v>651</v>
      </c>
      <c r="P909" s="3" t="s">
        <v>6</v>
      </c>
      <c r="Q909" s="3" t="s">
        <v>6</v>
      </c>
      <c r="R909" s="95" t="s">
        <v>652</v>
      </c>
      <c r="S909" s="223" t="s">
        <v>5</v>
      </c>
      <c r="T909" s="223" t="s">
        <v>5</v>
      </c>
      <c r="U909" s="223" t="s">
        <v>5</v>
      </c>
      <c r="V909" s="223" t="s">
        <v>5</v>
      </c>
      <c r="W909" s="223" t="s">
        <v>5</v>
      </c>
      <c r="X909" s="3" t="s">
        <v>5</v>
      </c>
      <c r="Y909" s="3" t="s">
        <v>651</v>
      </c>
      <c r="Z909" s="3" t="s">
        <v>651</v>
      </c>
      <c r="AA909" s="3" t="s">
        <v>6</v>
      </c>
      <c r="AB909" s="223">
        <v>43952</v>
      </c>
      <c r="AC909" s="3" t="s">
        <v>6</v>
      </c>
      <c r="AD909" s="3" t="s">
        <v>10</v>
      </c>
      <c r="AE909" s="95" t="s">
        <v>2263</v>
      </c>
    </row>
    <row r="910" spans="1:31" x14ac:dyDescent="0.35">
      <c r="A910" s="3" t="s">
        <v>411</v>
      </c>
      <c r="B910" s="3" t="s">
        <v>412</v>
      </c>
      <c r="C910" s="3">
        <v>5</v>
      </c>
      <c r="D910" s="95" t="s">
        <v>3174</v>
      </c>
      <c r="E910" s="95" t="s">
        <v>422</v>
      </c>
      <c r="F910" s="95" t="s">
        <v>437</v>
      </c>
      <c r="G910" s="223">
        <v>44455</v>
      </c>
      <c r="H910" s="223">
        <v>44500</v>
      </c>
      <c r="I910" s="223">
        <v>46326</v>
      </c>
      <c r="J910" s="3">
        <v>4</v>
      </c>
      <c r="K910" s="3" t="s">
        <v>6</v>
      </c>
      <c r="L910" s="3" t="s">
        <v>6</v>
      </c>
      <c r="M910" s="95" t="s">
        <v>19</v>
      </c>
      <c r="N910" s="3" t="s">
        <v>20</v>
      </c>
      <c r="O910" s="3" t="s">
        <v>21</v>
      </c>
      <c r="P910" s="3" t="s">
        <v>6</v>
      </c>
      <c r="Q910" s="3" t="s">
        <v>6</v>
      </c>
      <c r="R910" s="95" t="s">
        <v>22</v>
      </c>
      <c r="S910" s="223">
        <v>43675</v>
      </c>
      <c r="T910" s="223">
        <v>43756</v>
      </c>
      <c r="U910" s="223">
        <v>43647</v>
      </c>
      <c r="V910" s="223">
        <v>43647</v>
      </c>
      <c r="W910" s="223" t="s">
        <v>6</v>
      </c>
      <c r="X910" s="3" t="s">
        <v>26</v>
      </c>
      <c r="Y910" s="3" t="s">
        <v>2116</v>
      </c>
      <c r="Z910" s="3" t="s">
        <v>20</v>
      </c>
      <c r="AA910" s="3" t="s">
        <v>6</v>
      </c>
      <c r="AB910" s="223">
        <v>44442</v>
      </c>
      <c r="AC910" s="3" t="s">
        <v>10</v>
      </c>
      <c r="AD910" s="3" t="s">
        <v>10</v>
      </c>
      <c r="AE910" s="95" t="s">
        <v>2263</v>
      </c>
    </row>
    <row r="911" spans="1:31" x14ac:dyDescent="0.35">
      <c r="A911" s="3" t="s">
        <v>2041</v>
      </c>
      <c r="B911" s="3" t="s">
        <v>412</v>
      </c>
      <c r="C911" s="3">
        <v>5</v>
      </c>
      <c r="D911" s="95" t="s">
        <v>2042</v>
      </c>
      <c r="E911" s="95" t="s">
        <v>2272</v>
      </c>
      <c r="F911" s="95" t="s">
        <v>437</v>
      </c>
      <c r="G911" s="223">
        <v>44211</v>
      </c>
      <c r="H911" s="223">
        <v>44256</v>
      </c>
      <c r="I911" s="223">
        <v>46081</v>
      </c>
      <c r="J911" s="3">
        <v>1</v>
      </c>
      <c r="K911" s="3" t="s">
        <v>6</v>
      </c>
      <c r="L911" s="3" t="s">
        <v>6</v>
      </c>
      <c r="M911" s="95" t="s">
        <v>27</v>
      </c>
      <c r="N911" s="3" t="s">
        <v>28</v>
      </c>
      <c r="O911" s="3" t="s">
        <v>25</v>
      </c>
      <c r="P911" s="3" t="s">
        <v>6</v>
      </c>
      <c r="Q911" s="3" t="s">
        <v>6</v>
      </c>
      <c r="R911" s="95" t="s">
        <v>22</v>
      </c>
      <c r="S911" s="223">
        <v>43374</v>
      </c>
      <c r="T911" s="223">
        <v>43553</v>
      </c>
      <c r="U911" s="223">
        <v>43009</v>
      </c>
      <c r="V911" s="223">
        <v>43009</v>
      </c>
      <c r="W911" s="223" t="s">
        <v>6</v>
      </c>
      <c r="X911" s="3" t="s">
        <v>26</v>
      </c>
      <c r="Y911" s="3" t="s">
        <v>2100</v>
      </c>
      <c r="Z911" s="3" t="s">
        <v>28</v>
      </c>
      <c r="AA911" s="3" t="s">
        <v>6</v>
      </c>
      <c r="AB911" s="223">
        <v>42159</v>
      </c>
      <c r="AC911" s="3" t="s">
        <v>6</v>
      </c>
      <c r="AD911" s="3" t="s">
        <v>10</v>
      </c>
      <c r="AE911" s="95" t="s">
        <v>2263</v>
      </c>
    </row>
    <row r="912" spans="1:31" x14ac:dyDescent="0.35">
      <c r="A912" s="3" t="s">
        <v>413</v>
      </c>
      <c r="B912" s="3" t="s">
        <v>412</v>
      </c>
      <c r="C912" s="3">
        <v>5</v>
      </c>
      <c r="D912" s="95" t="s">
        <v>2043</v>
      </c>
      <c r="E912" s="95" t="s">
        <v>1912</v>
      </c>
      <c r="F912" s="95" t="s">
        <v>437</v>
      </c>
      <c r="G912" s="223">
        <v>44609</v>
      </c>
      <c r="H912" s="223">
        <v>44609</v>
      </c>
      <c r="I912" s="223">
        <v>46434</v>
      </c>
      <c r="J912" s="3">
        <v>49</v>
      </c>
      <c r="K912" s="3" t="s">
        <v>6</v>
      </c>
      <c r="L912" s="3" t="s">
        <v>6</v>
      </c>
      <c r="M912" s="95" t="s">
        <v>23</v>
      </c>
      <c r="N912" s="3" t="s">
        <v>24</v>
      </c>
      <c r="O912" s="3" t="s">
        <v>25</v>
      </c>
      <c r="P912" s="3" t="s">
        <v>6</v>
      </c>
      <c r="Q912" s="3" t="s">
        <v>6</v>
      </c>
      <c r="R912" s="95" t="s">
        <v>22</v>
      </c>
      <c r="S912" s="223">
        <v>43374</v>
      </c>
      <c r="T912" s="223">
        <v>43497</v>
      </c>
      <c r="U912" s="223">
        <v>42644</v>
      </c>
      <c r="V912" s="223">
        <v>42644</v>
      </c>
      <c r="W912" s="223" t="s">
        <v>6</v>
      </c>
      <c r="X912" s="3" t="s">
        <v>26</v>
      </c>
      <c r="Y912" s="3" t="s">
        <v>2093</v>
      </c>
      <c r="Z912" s="3" t="s">
        <v>24</v>
      </c>
      <c r="AA912" s="3" t="s">
        <v>6</v>
      </c>
      <c r="AB912" s="223">
        <v>42782</v>
      </c>
      <c r="AC912" s="3" t="s">
        <v>10</v>
      </c>
      <c r="AD912" s="3" t="s">
        <v>10</v>
      </c>
      <c r="AE912" s="95" t="s">
        <v>2263</v>
      </c>
    </row>
    <row r="913" spans="1:31" x14ac:dyDescent="0.35">
      <c r="A913" s="3" t="s">
        <v>1736</v>
      </c>
      <c r="B913" s="3" t="s">
        <v>412</v>
      </c>
      <c r="C913" s="3">
        <v>5</v>
      </c>
      <c r="D913" s="95" t="s">
        <v>1737</v>
      </c>
      <c r="E913" s="95" t="s">
        <v>2671</v>
      </c>
      <c r="F913" s="95" t="s">
        <v>2640</v>
      </c>
      <c r="G913" s="223">
        <v>43586</v>
      </c>
      <c r="H913" s="223">
        <v>43586</v>
      </c>
      <c r="I913" s="223">
        <v>45412</v>
      </c>
      <c r="J913" s="3">
        <v>174</v>
      </c>
      <c r="K913" s="3" t="s">
        <v>10</v>
      </c>
      <c r="L913" s="3" t="s">
        <v>10</v>
      </c>
      <c r="M913" s="95" t="s">
        <v>2555</v>
      </c>
      <c r="N913" s="3" t="s">
        <v>52</v>
      </c>
      <c r="O913" s="3" t="s">
        <v>651</v>
      </c>
      <c r="P913" s="3" t="s">
        <v>6</v>
      </c>
      <c r="Q913" s="3" t="s">
        <v>6</v>
      </c>
      <c r="R913" s="95" t="s">
        <v>652</v>
      </c>
      <c r="S913" s="223" t="s">
        <v>5</v>
      </c>
      <c r="T913" s="223" t="s">
        <v>5</v>
      </c>
      <c r="U913" s="223" t="s">
        <v>5</v>
      </c>
      <c r="V913" s="223" t="s">
        <v>5</v>
      </c>
      <c r="W913" s="223" t="s">
        <v>5</v>
      </c>
      <c r="X913" s="3" t="s">
        <v>5</v>
      </c>
      <c r="Y913" s="3" t="s">
        <v>651</v>
      </c>
      <c r="Z913" s="3" t="s">
        <v>651</v>
      </c>
      <c r="AA913" s="3" t="s">
        <v>6</v>
      </c>
      <c r="AB913" s="223">
        <v>43101</v>
      </c>
      <c r="AC913" s="3" t="s">
        <v>10</v>
      </c>
      <c r="AD913" s="3" t="s">
        <v>6</v>
      </c>
      <c r="AE913" s="95" t="s">
        <v>2265</v>
      </c>
    </row>
    <row r="914" spans="1:31" x14ac:dyDescent="0.35">
      <c r="A914" s="3" t="s">
        <v>1738</v>
      </c>
      <c r="B914" s="3" t="s">
        <v>412</v>
      </c>
      <c r="C914" s="3">
        <v>5</v>
      </c>
      <c r="D914" s="95" t="s">
        <v>1739</v>
      </c>
      <c r="E914" s="95" t="s">
        <v>5</v>
      </c>
      <c r="F914" s="95" t="s">
        <v>2640</v>
      </c>
      <c r="G914" s="223">
        <v>44317</v>
      </c>
      <c r="H914" s="223">
        <v>44317</v>
      </c>
      <c r="I914" s="223">
        <v>46142</v>
      </c>
      <c r="J914" s="3">
        <v>160</v>
      </c>
      <c r="K914" s="3" t="s">
        <v>10</v>
      </c>
      <c r="L914" s="3" t="s">
        <v>10</v>
      </c>
      <c r="M914" s="95" t="s">
        <v>27</v>
      </c>
      <c r="N914" s="3" t="s">
        <v>28</v>
      </c>
      <c r="O914" s="3" t="s">
        <v>651</v>
      </c>
      <c r="P914" s="3" t="s">
        <v>6</v>
      </c>
      <c r="Q914" s="3" t="s">
        <v>6</v>
      </c>
      <c r="R914" s="95" t="s">
        <v>652</v>
      </c>
      <c r="S914" s="223" t="s">
        <v>5</v>
      </c>
      <c r="T914" s="223" t="s">
        <v>5</v>
      </c>
      <c r="U914" s="223" t="s">
        <v>5</v>
      </c>
      <c r="V914" s="223" t="s">
        <v>5</v>
      </c>
      <c r="W914" s="223" t="s">
        <v>5</v>
      </c>
      <c r="X914" s="3" t="s">
        <v>5</v>
      </c>
      <c r="Y914" s="3" t="s">
        <v>651</v>
      </c>
      <c r="Z914" s="3" t="s">
        <v>651</v>
      </c>
      <c r="AA914" s="3" t="s">
        <v>6</v>
      </c>
      <c r="AB914" s="223">
        <v>43952</v>
      </c>
      <c r="AC914" s="3" t="s">
        <v>10</v>
      </c>
      <c r="AD914" s="3" t="s">
        <v>10</v>
      </c>
      <c r="AE914" s="95" t="s">
        <v>2263</v>
      </c>
    </row>
    <row r="915" spans="1:31" x14ac:dyDescent="0.35">
      <c r="A915" s="3" t="s">
        <v>1740</v>
      </c>
      <c r="B915" s="3" t="s">
        <v>412</v>
      </c>
      <c r="C915" s="3">
        <v>5</v>
      </c>
      <c r="D915" s="95" t="s">
        <v>1741</v>
      </c>
      <c r="E915" s="95" t="s">
        <v>5</v>
      </c>
      <c r="F915" s="95" t="s">
        <v>2640</v>
      </c>
      <c r="G915" s="223">
        <v>44317</v>
      </c>
      <c r="H915" s="223">
        <v>44317</v>
      </c>
      <c r="I915" s="223">
        <v>46142</v>
      </c>
      <c r="J915" s="3">
        <v>230</v>
      </c>
      <c r="K915" s="3" t="s">
        <v>10</v>
      </c>
      <c r="L915" s="3" t="s">
        <v>10</v>
      </c>
      <c r="M915" s="95" t="s">
        <v>27</v>
      </c>
      <c r="N915" s="3" t="s">
        <v>28</v>
      </c>
      <c r="O915" s="3" t="s">
        <v>651</v>
      </c>
      <c r="P915" s="3" t="s">
        <v>6</v>
      </c>
      <c r="Q915" s="3" t="s">
        <v>6</v>
      </c>
      <c r="R915" s="95" t="s">
        <v>652</v>
      </c>
      <c r="S915" s="223" t="s">
        <v>5</v>
      </c>
      <c r="T915" s="223" t="s">
        <v>5</v>
      </c>
      <c r="U915" s="223" t="s">
        <v>5</v>
      </c>
      <c r="V915" s="223" t="s">
        <v>5</v>
      </c>
      <c r="W915" s="223" t="s">
        <v>5</v>
      </c>
      <c r="X915" s="3" t="s">
        <v>5</v>
      </c>
      <c r="Y915" s="3" t="s">
        <v>651</v>
      </c>
      <c r="Z915" s="3" t="s">
        <v>651</v>
      </c>
      <c r="AA915" s="3" t="s">
        <v>6</v>
      </c>
      <c r="AB915" s="223">
        <v>43952</v>
      </c>
      <c r="AC915" s="3" t="s">
        <v>10</v>
      </c>
      <c r="AD915" s="3" t="s">
        <v>10</v>
      </c>
      <c r="AE915" s="95" t="s">
        <v>2263</v>
      </c>
    </row>
    <row r="916" spans="1:31" x14ac:dyDescent="0.35">
      <c r="A916" s="3" t="s">
        <v>2672</v>
      </c>
      <c r="B916" s="3" t="s">
        <v>412</v>
      </c>
      <c r="C916" s="3">
        <v>5</v>
      </c>
      <c r="D916" s="95" t="s">
        <v>2673</v>
      </c>
      <c r="E916" s="95" t="s">
        <v>2674</v>
      </c>
      <c r="F916" s="95" t="s">
        <v>2640</v>
      </c>
      <c r="G916" s="223">
        <v>43192</v>
      </c>
      <c r="H916" s="223">
        <v>43192</v>
      </c>
      <c r="I916" s="223">
        <v>45016</v>
      </c>
      <c r="J916" s="3">
        <v>400</v>
      </c>
      <c r="K916" s="3" t="s">
        <v>10</v>
      </c>
      <c r="L916" s="3" t="s">
        <v>10</v>
      </c>
      <c r="M916" s="95" t="s">
        <v>23</v>
      </c>
      <c r="N916" s="3" t="s">
        <v>24</v>
      </c>
      <c r="O916" s="3" t="s">
        <v>651</v>
      </c>
      <c r="P916" s="3" t="s">
        <v>6</v>
      </c>
      <c r="Q916" s="3" t="s">
        <v>6</v>
      </c>
      <c r="R916" s="95" t="s">
        <v>652</v>
      </c>
      <c r="S916" s="223" t="s">
        <v>5</v>
      </c>
      <c r="T916" s="223" t="s">
        <v>5</v>
      </c>
      <c r="U916" s="223" t="s">
        <v>5</v>
      </c>
      <c r="V916" s="223" t="s">
        <v>5</v>
      </c>
      <c r="W916" s="223" t="s">
        <v>5</v>
      </c>
      <c r="X916" s="3" t="s">
        <v>5</v>
      </c>
      <c r="Y916" s="3" t="s">
        <v>651</v>
      </c>
      <c r="Z916" s="3" t="s">
        <v>651</v>
      </c>
      <c r="AA916" s="3" t="s">
        <v>10</v>
      </c>
      <c r="AB916" s="223" t="s">
        <v>5</v>
      </c>
      <c r="AC916" s="3" t="s">
        <v>10</v>
      </c>
      <c r="AD916" s="3" t="s">
        <v>10</v>
      </c>
      <c r="AE916" s="95" t="s">
        <v>2263</v>
      </c>
    </row>
    <row r="917" spans="1:31" x14ac:dyDescent="0.35">
      <c r="A917" s="3" t="s">
        <v>2675</v>
      </c>
      <c r="B917" s="3" t="s">
        <v>412</v>
      </c>
      <c r="C917" s="3">
        <v>5</v>
      </c>
      <c r="D917" s="95" t="s">
        <v>2676</v>
      </c>
      <c r="E917" s="95" t="s">
        <v>2677</v>
      </c>
      <c r="F917" s="95" t="s">
        <v>4</v>
      </c>
      <c r="G917" s="223">
        <v>43281</v>
      </c>
      <c r="H917" s="223">
        <v>43281</v>
      </c>
      <c r="I917" s="223">
        <v>45077</v>
      </c>
      <c r="J917" s="3">
        <v>1</v>
      </c>
      <c r="K917" s="3" t="s">
        <v>10</v>
      </c>
      <c r="L917" s="3" t="s">
        <v>10</v>
      </c>
      <c r="M917" s="95" t="s">
        <v>2555</v>
      </c>
      <c r="N917" s="3" t="s">
        <v>52</v>
      </c>
      <c r="O917" s="3" t="s">
        <v>651</v>
      </c>
      <c r="P917" s="3" t="s">
        <v>6</v>
      </c>
      <c r="Q917" s="3" t="s">
        <v>6</v>
      </c>
      <c r="R917" s="95" t="s">
        <v>652</v>
      </c>
      <c r="S917" s="223" t="s">
        <v>5</v>
      </c>
      <c r="T917" s="223" t="s">
        <v>5</v>
      </c>
      <c r="U917" s="223" t="s">
        <v>5</v>
      </c>
      <c r="V917" s="223" t="s">
        <v>5</v>
      </c>
      <c r="W917" s="223" t="s">
        <v>5</v>
      </c>
      <c r="X917" s="3" t="s">
        <v>5</v>
      </c>
      <c r="Y917" s="3" t="s">
        <v>651</v>
      </c>
      <c r="Z917" s="3" t="s">
        <v>651</v>
      </c>
      <c r="AA917" s="3" t="s">
        <v>10</v>
      </c>
      <c r="AB917" s="223" t="s">
        <v>5</v>
      </c>
      <c r="AC917" s="3" t="s">
        <v>10</v>
      </c>
      <c r="AD917" s="3" t="s">
        <v>6</v>
      </c>
      <c r="AE917" s="95" t="s">
        <v>2265</v>
      </c>
    </row>
    <row r="918" spans="1:31" x14ac:dyDescent="0.35">
      <c r="A918" s="3" t="s">
        <v>1742</v>
      </c>
      <c r="B918" s="3" t="s">
        <v>412</v>
      </c>
      <c r="C918" s="3">
        <v>5</v>
      </c>
      <c r="D918" s="95" t="s">
        <v>1743</v>
      </c>
      <c r="E918" s="95" t="s">
        <v>2678</v>
      </c>
      <c r="F918" s="95" t="s">
        <v>2640</v>
      </c>
      <c r="G918" s="223">
        <v>44470</v>
      </c>
      <c r="H918" s="223">
        <v>44470</v>
      </c>
      <c r="I918" s="223">
        <v>46295</v>
      </c>
      <c r="J918" s="3">
        <v>6000</v>
      </c>
      <c r="K918" s="3" t="s">
        <v>10</v>
      </c>
      <c r="L918" s="3" t="s">
        <v>10</v>
      </c>
      <c r="M918" s="95" t="s">
        <v>23</v>
      </c>
      <c r="N918" s="3" t="s">
        <v>24</v>
      </c>
      <c r="O918" s="3" t="s">
        <v>651</v>
      </c>
      <c r="P918" s="3" t="s">
        <v>6</v>
      </c>
      <c r="Q918" s="3" t="s">
        <v>6</v>
      </c>
      <c r="R918" s="95" t="s">
        <v>652</v>
      </c>
      <c r="S918" s="223" t="s">
        <v>5</v>
      </c>
      <c r="T918" s="223" t="s">
        <v>5</v>
      </c>
      <c r="U918" s="223" t="s">
        <v>5</v>
      </c>
      <c r="V918" s="223" t="s">
        <v>5</v>
      </c>
      <c r="W918" s="223" t="s">
        <v>5</v>
      </c>
      <c r="X918" s="3" t="s">
        <v>5</v>
      </c>
      <c r="Y918" s="3" t="s">
        <v>651</v>
      </c>
      <c r="Z918" s="3" t="s">
        <v>651</v>
      </c>
      <c r="AA918" s="3" t="s">
        <v>6</v>
      </c>
      <c r="AB918" s="223">
        <v>42261</v>
      </c>
      <c r="AC918" s="3" t="s">
        <v>10</v>
      </c>
      <c r="AD918" s="3" t="s">
        <v>10</v>
      </c>
      <c r="AE918" s="95" t="s">
        <v>2263</v>
      </c>
    </row>
    <row r="919" spans="1:31" x14ac:dyDescent="0.35">
      <c r="A919" s="3" t="s">
        <v>1744</v>
      </c>
      <c r="B919" s="3" t="s">
        <v>412</v>
      </c>
      <c r="C919" s="3">
        <v>5</v>
      </c>
      <c r="D919" s="95" t="s">
        <v>1745</v>
      </c>
      <c r="E919" s="95" t="s">
        <v>2679</v>
      </c>
      <c r="F919" s="95" t="s">
        <v>2640</v>
      </c>
      <c r="G919" s="223">
        <v>44347</v>
      </c>
      <c r="H919" s="223">
        <v>44347</v>
      </c>
      <c r="I919" s="223">
        <v>45810</v>
      </c>
      <c r="J919" s="3">
        <v>450</v>
      </c>
      <c r="K919" s="3" t="s">
        <v>10</v>
      </c>
      <c r="L919" s="3" t="s">
        <v>10</v>
      </c>
      <c r="M919" s="95" t="s">
        <v>27</v>
      </c>
      <c r="N919" s="3" t="s">
        <v>28</v>
      </c>
      <c r="O919" s="3" t="s">
        <v>651</v>
      </c>
      <c r="P919" s="3" t="s">
        <v>6</v>
      </c>
      <c r="Q919" s="3" t="s">
        <v>6</v>
      </c>
      <c r="R919" s="95" t="s">
        <v>652</v>
      </c>
      <c r="S919" s="223" t="s">
        <v>5</v>
      </c>
      <c r="T919" s="223" t="s">
        <v>5</v>
      </c>
      <c r="U919" s="223" t="s">
        <v>5</v>
      </c>
      <c r="V919" s="223" t="s">
        <v>5</v>
      </c>
      <c r="W919" s="223" t="s">
        <v>5</v>
      </c>
      <c r="X919" s="3" t="s">
        <v>5</v>
      </c>
      <c r="Y919" s="3" t="s">
        <v>651</v>
      </c>
      <c r="Z919" s="3" t="s">
        <v>651</v>
      </c>
      <c r="AA919" s="3" t="s">
        <v>6</v>
      </c>
      <c r="AB919" s="223">
        <v>43952</v>
      </c>
      <c r="AC919" s="3" t="s">
        <v>10</v>
      </c>
      <c r="AD919" s="3" t="s">
        <v>10</v>
      </c>
      <c r="AE919" s="95" t="s">
        <v>2263</v>
      </c>
    </row>
    <row r="920" spans="1:31" x14ac:dyDescent="0.35">
      <c r="A920" s="3" t="s">
        <v>1746</v>
      </c>
      <c r="B920" s="3" t="s">
        <v>412</v>
      </c>
      <c r="C920" s="3">
        <v>5</v>
      </c>
      <c r="D920" s="95" t="s">
        <v>1747</v>
      </c>
      <c r="E920" s="95" t="s">
        <v>2680</v>
      </c>
      <c r="F920" s="95" t="s">
        <v>2640</v>
      </c>
      <c r="G920" s="223">
        <v>44347</v>
      </c>
      <c r="H920" s="223">
        <v>44347</v>
      </c>
      <c r="I920" s="223">
        <v>45810</v>
      </c>
      <c r="J920" s="3">
        <v>2400</v>
      </c>
      <c r="K920" s="3" t="s">
        <v>10</v>
      </c>
      <c r="L920" s="3" t="s">
        <v>10</v>
      </c>
      <c r="M920" s="95" t="s">
        <v>27</v>
      </c>
      <c r="N920" s="3" t="s">
        <v>28</v>
      </c>
      <c r="O920" s="3" t="s">
        <v>651</v>
      </c>
      <c r="P920" s="3" t="s">
        <v>6</v>
      </c>
      <c r="Q920" s="3" t="s">
        <v>6</v>
      </c>
      <c r="R920" s="95" t="s">
        <v>652</v>
      </c>
      <c r="S920" s="223" t="s">
        <v>5</v>
      </c>
      <c r="T920" s="223" t="s">
        <v>5</v>
      </c>
      <c r="U920" s="223" t="s">
        <v>5</v>
      </c>
      <c r="V920" s="223" t="s">
        <v>5</v>
      </c>
      <c r="W920" s="223" t="s">
        <v>5</v>
      </c>
      <c r="X920" s="3" t="s">
        <v>5</v>
      </c>
      <c r="Y920" s="3" t="s">
        <v>651</v>
      </c>
      <c r="Z920" s="3" t="s">
        <v>651</v>
      </c>
      <c r="AA920" s="3" t="s">
        <v>6</v>
      </c>
      <c r="AB920" s="223">
        <v>43952</v>
      </c>
      <c r="AC920" s="3" t="s">
        <v>10</v>
      </c>
      <c r="AD920" s="3" t="s">
        <v>10</v>
      </c>
      <c r="AE920" s="95" t="s">
        <v>2263</v>
      </c>
    </row>
    <row r="921" spans="1:31" x14ac:dyDescent="0.35">
      <c r="A921" s="3" t="s">
        <v>1748</v>
      </c>
      <c r="B921" s="3" t="s">
        <v>611</v>
      </c>
      <c r="C921" s="3">
        <v>3</v>
      </c>
      <c r="D921" s="95" t="s">
        <v>1749</v>
      </c>
      <c r="E921" s="95" t="s">
        <v>1750</v>
      </c>
      <c r="F921" s="95" t="s">
        <v>2681</v>
      </c>
      <c r="G921" s="223">
        <v>44725</v>
      </c>
      <c r="H921" s="223">
        <v>44755</v>
      </c>
      <c r="I921" s="223">
        <v>46550</v>
      </c>
      <c r="J921" s="3">
        <v>83</v>
      </c>
      <c r="K921" s="3" t="s">
        <v>10</v>
      </c>
      <c r="L921" s="3" t="s">
        <v>10</v>
      </c>
      <c r="M921" s="95" t="s">
        <v>737</v>
      </c>
      <c r="N921" s="3" t="s">
        <v>28</v>
      </c>
      <c r="O921" s="3" t="s">
        <v>651</v>
      </c>
      <c r="P921" s="3" t="s">
        <v>6</v>
      </c>
      <c r="Q921" s="3" t="s">
        <v>6</v>
      </c>
      <c r="R921" s="95" t="s">
        <v>652</v>
      </c>
      <c r="S921" s="223" t="s">
        <v>5</v>
      </c>
      <c r="T921" s="223" t="s">
        <v>5</v>
      </c>
      <c r="U921" s="223" t="s">
        <v>5</v>
      </c>
      <c r="V921" s="223" t="s">
        <v>5</v>
      </c>
      <c r="W921" s="223" t="s">
        <v>5</v>
      </c>
      <c r="X921" s="3" t="s">
        <v>5</v>
      </c>
      <c r="Y921" s="3" t="s">
        <v>651</v>
      </c>
      <c r="Z921" s="3" t="s">
        <v>651</v>
      </c>
      <c r="AA921" s="3" t="s">
        <v>6</v>
      </c>
      <c r="AB921" s="223">
        <v>40725</v>
      </c>
      <c r="AC921" s="3" t="s">
        <v>6</v>
      </c>
      <c r="AD921" s="3" t="s">
        <v>10</v>
      </c>
      <c r="AE921" s="95" t="s">
        <v>2263</v>
      </c>
    </row>
    <row r="922" spans="1:31" x14ac:dyDescent="0.35">
      <c r="A922" s="3" t="s">
        <v>1751</v>
      </c>
      <c r="B922" s="3" t="s">
        <v>611</v>
      </c>
      <c r="C922" s="3">
        <v>3</v>
      </c>
      <c r="D922" s="95" t="s">
        <v>1752</v>
      </c>
      <c r="E922" s="95" t="s">
        <v>1753</v>
      </c>
      <c r="F922" s="95" t="s">
        <v>2681</v>
      </c>
      <c r="G922" s="223">
        <v>44105</v>
      </c>
      <c r="H922" s="223">
        <v>44105</v>
      </c>
      <c r="I922" s="223">
        <v>45930</v>
      </c>
      <c r="J922" s="3">
        <v>769</v>
      </c>
      <c r="K922" s="3" t="s">
        <v>10</v>
      </c>
      <c r="L922" s="3" t="s">
        <v>10</v>
      </c>
      <c r="M922" s="95" t="s">
        <v>47</v>
      </c>
      <c r="N922" s="3" t="s">
        <v>48</v>
      </c>
      <c r="O922" s="3" t="s">
        <v>651</v>
      </c>
      <c r="P922" s="3" t="s">
        <v>6</v>
      </c>
      <c r="Q922" s="3" t="s">
        <v>6</v>
      </c>
      <c r="R922" s="95" t="s">
        <v>652</v>
      </c>
      <c r="S922" s="223" t="s">
        <v>5</v>
      </c>
      <c r="T922" s="223" t="s">
        <v>5</v>
      </c>
      <c r="U922" s="223" t="s">
        <v>5</v>
      </c>
      <c r="V922" s="223" t="s">
        <v>5</v>
      </c>
      <c r="W922" s="223" t="s">
        <v>5</v>
      </c>
      <c r="X922" s="3" t="s">
        <v>5</v>
      </c>
      <c r="Y922" s="3" t="s">
        <v>651</v>
      </c>
      <c r="Z922" s="3" t="s">
        <v>651</v>
      </c>
      <c r="AA922" s="3" t="s">
        <v>6</v>
      </c>
      <c r="AB922" s="223">
        <v>40726</v>
      </c>
      <c r="AC922" s="3" t="s">
        <v>6</v>
      </c>
      <c r="AD922" s="3" t="s">
        <v>10</v>
      </c>
      <c r="AE922" s="95" t="s">
        <v>2265</v>
      </c>
    </row>
    <row r="923" spans="1:31" x14ac:dyDescent="0.35">
      <c r="A923" s="3" t="s">
        <v>1754</v>
      </c>
      <c r="B923" s="3" t="s">
        <v>611</v>
      </c>
      <c r="C923" s="3">
        <v>3</v>
      </c>
      <c r="D923" s="95" t="s">
        <v>1755</v>
      </c>
      <c r="E923" s="95" t="s">
        <v>1756</v>
      </c>
      <c r="F923" s="95" t="s">
        <v>2681</v>
      </c>
      <c r="G923" s="223">
        <v>45474</v>
      </c>
      <c r="H923" s="223">
        <v>45505</v>
      </c>
      <c r="I923" s="223">
        <v>47299</v>
      </c>
      <c r="J923" s="3">
        <v>5511</v>
      </c>
      <c r="K923" s="3" t="s">
        <v>10</v>
      </c>
      <c r="L923" s="3" t="s">
        <v>10</v>
      </c>
      <c r="M923" s="95" t="s">
        <v>131</v>
      </c>
      <c r="N923" s="3" t="s">
        <v>268</v>
      </c>
      <c r="O923" s="3" t="s">
        <v>651</v>
      </c>
      <c r="P923" s="3" t="s">
        <v>6</v>
      </c>
      <c r="Q923" s="3" t="s">
        <v>6</v>
      </c>
      <c r="R923" s="95" t="s">
        <v>652</v>
      </c>
      <c r="S923" s="223" t="s">
        <v>5</v>
      </c>
      <c r="T923" s="223" t="s">
        <v>5</v>
      </c>
      <c r="U923" s="223" t="s">
        <v>5</v>
      </c>
      <c r="V923" s="223" t="s">
        <v>5</v>
      </c>
      <c r="W923" s="223" t="s">
        <v>5</v>
      </c>
      <c r="X923" s="3" t="s">
        <v>5</v>
      </c>
      <c r="Y923" s="3" t="s">
        <v>651</v>
      </c>
      <c r="Z923" s="3" t="s">
        <v>651</v>
      </c>
      <c r="AA923" s="3" t="s">
        <v>6</v>
      </c>
      <c r="AB923" s="223">
        <v>40727</v>
      </c>
      <c r="AC923" s="3" t="s">
        <v>6</v>
      </c>
      <c r="AD923" s="3" t="s">
        <v>10</v>
      </c>
      <c r="AE923" s="95" t="s">
        <v>2265</v>
      </c>
    </row>
    <row r="924" spans="1:31" x14ac:dyDescent="0.35">
      <c r="A924" s="3" t="s">
        <v>1757</v>
      </c>
      <c r="B924" s="3" t="s">
        <v>611</v>
      </c>
      <c r="C924" s="3">
        <v>3</v>
      </c>
      <c r="D924" s="95" t="s">
        <v>1758</v>
      </c>
      <c r="E924" s="95" t="s">
        <v>2682</v>
      </c>
      <c r="F924" s="95" t="s">
        <v>2681</v>
      </c>
      <c r="G924" s="223">
        <v>43720</v>
      </c>
      <c r="H924" s="223">
        <v>43750</v>
      </c>
      <c r="I924" s="223">
        <v>45547</v>
      </c>
      <c r="J924" s="3">
        <v>1077</v>
      </c>
      <c r="K924" s="3" t="s">
        <v>10</v>
      </c>
      <c r="L924" s="3" t="s">
        <v>10</v>
      </c>
      <c r="M924" s="95" t="s">
        <v>27</v>
      </c>
      <c r="N924" s="3" t="s">
        <v>28</v>
      </c>
      <c r="O924" s="3" t="s">
        <v>651</v>
      </c>
      <c r="P924" s="3" t="s">
        <v>6</v>
      </c>
      <c r="Q924" s="3" t="s">
        <v>6</v>
      </c>
      <c r="R924" s="95" t="s">
        <v>652</v>
      </c>
      <c r="S924" s="223" t="s">
        <v>5</v>
      </c>
      <c r="T924" s="223" t="s">
        <v>5</v>
      </c>
      <c r="U924" s="223" t="s">
        <v>5</v>
      </c>
      <c r="V924" s="223" t="s">
        <v>5</v>
      </c>
      <c r="W924" s="223" t="s">
        <v>5</v>
      </c>
      <c r="X924" s="3" t="s">
        <v>5</v>
      </c>
      <c r="Y924" s="3" t="s">
        <v>651</v>
      </c>
      <c r="Z924" s="3" t="s">
        <v>651</v>
      </c>
      <c r="AA924" s="3" t="s">
        <v>6</v>
      </c>
      <c r="AB924" s="223">
        <v>40728</v>
      </c>
      <c r="AC924" s="3" t="s">
        <v>6</v>
      </c>
      <c r="AD924" s="3" t="s">
        <v>10</v>
      </c>
      <c r="AE924" s="95" t="s">
        <v>2263</v>
      </c>
    </row>
    <row r="925" spans="1:31" x14ac:dyDescent="0.35">
      <c r="A925" s="3" t="s">
        <v>1759</v>
      </c>
      <c r="B925" s="3" t="s">
        <v>611</v>
      </c>
      <c r="C925" s="3">
        <v>3</v>
      </c>
      <c r="D925" s="95" t="s">
        <v>136</v>
      </c>
      <c r="E925" s="95" t="s">
        <v>1760</v>
      </c>
      <c r="F925" s="95" t="s">
        <v>2681</v>
      </c>
      <c r="G925" s="223">
        <v>44693</v>
      </c>
      <c r="H925" s="223">
        <v>44723</v>
      </c>
      <c r="I925" s="223">
        <v>46518</v>
      </c>
      <c r="J925" s="3">
        <v>131</v>
      </c>
      <c r="K925" s="3" t="s">
        <v>10</v>
      </c>
      <c r="L925" s="3" t="s">
        <v>10</v>
      </c>
      <c r="M925" s="95" t="s">
        <v>136</v>
      </c>
      <c r="N925" s="3" t="s">
        <v>138</v>
      </c>
      <c r="O925" s="3" t="s">
        <v>651</v>
      </c>
      <c r="P925" s="3" t="s">
        <v>6</v>
      </c>
      <c r="Q925" s="3" t="s">
        <v>6</v>
      </c>
      <c r="R925" s="95" t="s">
        <v>652</v>
      </c>
      <c r="S925" s="223" t="s">
        <v>5</v>
      </c>
      <c r="T925" s="223" t="s">
        <v>5</v>
      </c>
      <c r="U925" s="223" t="s">
        <v>5</v>
      </c>
      <c r="V925" s="223" t="s">
        <v>5</v>
      </c>
      <c r="W925" s="223" t="s">
        <v>5</v>
      </c>
      <c r="X925" s="3" t="s">
        <v>5</v>
      </c>
      <c r="Y925" s="3" t="s">
        <v>651</v>
      </c>
      <c r="Z925" s="3" t="s">
        <v>651</v>
      </c>
      <c r="AA925" s="3" t="s">
        <v>6</v>
      </c>
      <c r="AB925" s="223">
        <v>40729</v>
      </c>
      <c r="AC925" s="3" t="s">
        <v>6</v>
      </c>
      <c r="AD925" s="3" t="s">
        <v>10</v>
      </c>
      <c r="AE925" s="95" t="s">
        <v>2263</v>
      </c>
    </row>
    <row r="926" spans="1:31" x14ac:dyDescent="0.35">
      <c r="A926" s="3" t="s">
        <v>1761</v>
      </c>
      <c r="B926" s="3" t="s">
        <v>611</v>
      </c>
      <c r="C926" s="3">
        <v>3</v>
      </c>
      <c r="D926" s="95" t="s">
        <v>1762</v>
      </c>
      <c r="E926" s="95" t="s">
        <v>2683</v>
      </c>
      <c r="F926" s="95" t="s">
        <v>2681</v>
      </c>
      <c r="G926" s="223">
        <v>45047</v>
      </c>
      <c r="H926" s="223">
        <v>45077</v>
      </c>
      <c r="I926" s="223">
        <v>46873</v>
      </c>
      <c r="J926" s="3">
        <v>18</v>
      </c>
      <c r="K926" s="3" t="s">
        <v>10</v>
      </c>
      <c r="L926" s="3" t="s">
        <v>10</v>
      </c>
      <c r="M926" s="95" t="s">
        <v>201</v>
      </c>
      <c r="N926" s="3" t="s">
        <v>68</v>
      </c>
      <c r="O926" s="3" t="s">
        <v>651</v>
      </c>
      <c r="P926" s="3" t="s">
        <v>6</v>
      </c>
      <c r="Q926" s="3" t="s">
        <v>6</v>
      </c>
      <c r="R926" s="95" t="s">
        <v>652</v>
      </c>
      <c r="S926" s="223" t="s">
        <v>5</v>
      </c>
      <c r="T926" s="223" t="s">
        <v>5</v>
      </c>
      <c r="U926" s="223" t="s">
        <v>5</v>
      </c>
      <c r="V926" s="223" t="s">
        <v>5</v>
      </c>
      <c r="W926" s="223" t="s">
        <v>5</v>
      </c>
      <c r="X926" s="3" t="s">
        <v>5</v>
      </c>
      <c r="Y926" s="3" t="s">
        <v>651</v>
      </c>
      <c r="Z926" s="3" t="s">
        <v>651</v>
      </c>
      <c r="AA926" s="3" t="s">
        <v>6</v>
      </c>
      <c r="AB926" s="223">
        <v>40730</v>
      </c>
      <c r="AC926" s="3" t="s">
        <v>6</v>
      </c>
      <c r="AD926" s="3" t="s">
        <v>10</v>
      </c>
      <c r="AE926" s="95" t="s">
        <v>2263</v>
      </c>
    </row>
    <row r="927" spans="1:31" x14ac:dyDescent="0.35">
      <c r="A927" s="3" t="s">
        <v>1763</v>
      </c>
      <c r="B927" s="3" t="s">
        <v>611</v>
      </c>
      <c r="C927" s="3">
        <v>3</v>
      </c>
      <c r="D927" s="95" t="s">
        <v>720</v>
      </c>
      <c r="E927" s="95" t="s">
        <v>1764</v>
      </c>
      <c r="F927" s="95" t="s">
        <v>2681</v>
      </c>
      <c r="G927" s="223">
        <v>45126</v>
      </c>
      <c r="H927" s="223">
        <v>45156</v>
      </c>
      <c r="I927" s="223">
        <v>46952</v>
      </c>
      <c r="J927" s="3">
        <v>129</v>
      </c>
      <c r="K927" s="3" t="s">
        <v>10</v>
      </c>
      <c r="L927" s="3" t="s">
        <v>10</v>
      </c>
      <c r="M927" s="95" t="s">
        <v>1765</v>
      </c>
      <c r="N927" s="3" t="s">
        <v>117</v>
      </c>
      <c r="O927" s="3" t="s">
        <v>651</v>
      </c>
      <c r="P927" s="3" t="s">
        <v>6</v>
      </c>
      <c r="Q927" s="3" t="s">
        <v>6</v>
      </c>
      <c r="R927" s="95" t="s">
        <v>652</v>
      </c>
      <c r="S927" s="223" t="s">
        <v>5</v>
      </c>
      <c r="T927" s="223" t="s">
        <v>5</v>
      </c>
      <c r="U927" s="223" t="s">
        <v>5</v>
      </c>
      <c r="V927" s="223" t="s">
        <v>5</v>
      </c>
      <c r="W927" s="223" t="s">
        <v>5</v>
      </c>
      <c r="X927" s="3" t="s">
        <v>5</v>
      </c>
      <c r="Y927" s="3" t="s">
        <v>651</v>
      </c>
      <c r="Z927" s="3" t="s">
        <v>651</v>
      </c>
      <c r="AA927" s="3" t="s">
        <v>6</v>
      </c>
      <c r="AB927" s="223">
        <v>40731</v>
      </c>
      <c r="AC927" s="3" t="s">
        <v>6</v>
      </c>
      <c r="AD927" s="3" t="s">
        <v>10</v>
      </c>
      <c r="AE927" s="95" t="s">
        <v>2265</v>
      </c>
    </row>
    <row r="928" spans="1:31" x14ac:dyDescent="0.35">
      <c r="A928" s="3" t="s">
        <v>1766</v>
      </c>
      <c r="B928" s="3" t="s">
        <v>611</v>
      </c>
      <c r="C928" s="3">
        <v>3</v>
      </c>
      <c r="D928" s="95" t="s">
        <v>1625</v>
      </c>
      <c r="E928" s="95" t="s">
        <v>1767</v>
      </c>
      <c r="F928" s="95" t="s">
        <v>2681</v>
      </c>
      <c r="G928" s="223">
        <v>45357</v>
      </c>
      <c r="H928" s="223">
        <v>45388</v>
      </c>
      <c r="I928" s="223">
        <v>47213</v>
      </c>
      <c r="J928" s="3">
        <v>1567</v>
      </c>
      <c r="K928" s="3" t="s">
        <v>10</v>
      </c>
      <c r="L928" s="3" t="s">
        <v>10</v>
      </c>
      <c r="M928" s="95" t="s">
        <v>23</v>
      </c>
      <c r="N928" s="3" t="s">
        <v>24</v>
      </c>
      <c r="O928" s="3" t="s">
        <v>651</v>
      </c>
      <c r="P928" s="3" t="s">
        <v>6</v>
      </c>
      <c r="Q928" s="3" t="s">
        <v>6</v>
      </c>
      <c r="R928" s="95" t="s">
        <v>652</v>
      </c>
      <c r="S928" s="223" t="s">
        <v>5</v>
      </c>
      <c r="T928" s="223" t="s">
        <v>5</v>
      </c>
      <c r="U928" s="223" t="s">
        <v>5</v>
      </c>
      <c r="V928" s="223" t="s">
        <v>5</v>
      </c>
      <c r="W928" s="223" t="s">
        <v>5</v>
      </c>
      <c r="X928" s="3" t="s">
        <v>5</v>
      </c>
      <c r="Y928" s="3" t="s">
        <v>651</v>
      </c>
      <c r="Z928" s="3" t="s">
        <v>651</v>
      </c>
      <c r="AA928" s="3" t="s">
        <v>6</v>
      </c>
      <c r="AB928" s="223">
        <v>40732</v>
      </c>
      <c r="AC928" s="3" t="s">
        <v>6</v>
      </c>
      <c r="AD928" s="3" t="s">
        <v>10</v>
      </c>
      <c r="AE928" s="95" t="s">
        <v>2263</v>
      </c>
    </row>
    <row r="929" spans="1:31" x14ac:dyDescent="0.35">
      <c r="A929" s="3" t="s">
        <v>1768</v>
      </c>
      <c r="B929" s="3" t="s">
        <v>611</v>
      </c>
      <c r="C929" s="3">
        <v>3</v>
      </c>
      <c r="D929" s="95" t="s">
        <v>155</v>
      </c>
      <c r="E929" s="95" t="s">
        <v>1769</v>
      </c>
      <c r="F929" s="95" t="s">
        <v>2681</v>
      </c>
      <c r="G929" s="223">
        <v>41824</v>
      </c>
      <c r="H929" s="223">
        <v>41862</v>
      </c>
      <c r="I929" s="223">
        <v>43687</v>
      </c>
      <c r="J929" s="3">
        <v>51</v>
      </c>
      <c r="K929" s="3" t="s">
        <v>10</v>
      </c>
      <c r="L929" s="3" t="s">
        <v>10</v>
      </c>
      <c r="M929" s="95" t="s">
        <v>2555</v>
      </c>
      <c r="N929" s="3" t="s">
        <v>52</v>
      </c>
      <c r="O929" s="3" t="s">
        <v>651</v>
      </c>
      <c r="P929" s="3" t="s">
        <v>6</v>
      </c>
      <c r="Q929" s="3" t="s">
        <v>6</v>
      </c>
      <c r="R929" s="95" t="s">
        <v>652</v>
      </c>
      <c r="S929" s="223" t="s">
        <v>5</v>
      </c>
      <c r="T929" s="223" t="s">
        <v>5</v>
      </c>
      <c r="U929" s="223" t="s">
        <v>5</v>
      </c>
      <c r="V929" s="223" t="s">
        <v>5</v>
      </c>
      <c r="W929" s="223" t="s">
        <v>5</v>
      </c>
      <c r="X929" s="3" t="s">
        <v>5</v>
      </c>
      <c r="Y929" s="3" t="s">
        <v>651</v>
      </c>
      <c r="Z929" s="3" t="s">
        <v>651</v>
      </c>
      <c r="AA929" s="3" t="s">
        <v>6</v>
      </c>
      <c r="AB929" s="223">
        <v>40733</v>
      </c>
      <c r="AC929" s="3" t="s">
        <v>6</v>
      </c>
      <c r="AD929" s="3" t="s">
        <v>6</v>
      </c>
      <c r="AE929" s="95" t="s">
        <v>2265</v>
      </c>
    </row>
    <row r="930" spans="1:31" x14ac:dyDescent="0.35">
      <c r="A930" s="3" t="s">
        <v>1770</v>
      </c>
      <c r="B930" s="3" t="s">
        <v>611</v>
      </c>
      <c r="C930" s="3">
        <v>3</v>
      </c>
      <c r="D930" s="95" t="s">
        <v>1771</v>
      </c>
      <c r="E930" s="95" t="s">
        <v>1772</v>
      </c>
      <c r="F930" s="95" t="s">
        <v>2681</v>
      </c>
      <c r="G930" s="223">
        <v>44652</v>
      </c>
      <c r="H930" s="223">
        <v>44682</v>
      </c>
      <c r="I930" s="223">
        <v>46477</v>
      </c>
      <c r="J930" s="3">
        <v>2</v>
      </c>
      <c r="K930" s="3" t="s">
        <v>10</v>
      </c>
      <c r="L930" s="3" t="s">
        <v>10</v>
      </c>
      <c r="M930" s="95" t="s">
        <v>1773</v>
      </c>
      <c r="N930" s="3" t="s">
        <v>48</v>
      </c>
      <c r="O930" s="3" t="s">
        <v>651</v>
      </c>
      <c r="P930" s="3" t="s">
        <v>6</v>
      </c>
      <c r="Q930" s="3" t="s">
        <v>6</v>
      </c>
      <c r="R930" s="95" t="s">
        <v>652</v>
      </c>
      <c r="S930" s="223" t="s">
        <v>5</v>
      </c>
      <c r="T930" s="223" t="s">
        <v>5</v>
      </c>
      <c r="U930" s="223" t="s">
        <v>5</v>
      </c>
      <c r="V930" s="223" t="s">
        <v>5</v>
      </c>
      <c r="W930" s="223" t="s">
        <v>5</v>
      </c>
      <c r="X930" s="3" t="s">
        <v>5</v>
      </c>
      <c r="Y930" s="3" t="s">
        <v>651</v>
      </c>
      <c r="Z930" s="3" t="s">
        <v>651</v>
      </c>
      <c r="AA930" s="3" t="s">
        <v>6</v>
      </c>
      <c r="AB930" s="223">
        <v>40734</v>
      </c>
      <c r="AC930" s="3" t="s">
        <v>6</v>
      </c>
      <c r="AD930" s="3" t="s">
        <v>10</v>
      </c>
      <c r="AE930" s="95" t="s">
        <v>2265</v>
      </c>
    </row>
    <row r="931" spans="1:31" x14ac:dyDescent="0.35">
      <c r="A931" s="3" t="s">
        <v>1774</v>
      </c>
      <c r="B931" s="3" t="s">
        <v>611</v>
      </c>
      <c r="C931" s="3">
        <v>3</v>
      </c>
      <c r="D931" s="95" t="s">
        <v>740</v>
      </c>
      <c r="E931" s="95" t="s">
        <v>2684</v>
      </c>
      <c r="F931" s="95" t="s">
        <v>2681</v>
      </c>
      <c r="G931" s="223">
        <v>43073</v>
      </c>
      <c r="H931" s="223">
        <v>43104</v>
      </c>
      <c r="I931" s="223">
        <v>44899</v>
      </c>
      <c r="J931" s="3">
        <v>1</v>
      </c>
      <c r="K931" s="3" t="s">
        <v>10</v>
      </c>
      <c r="L931" s="3" t="s">
        <v>10</v>
      </c>
      <c r="M931" s="95" t="s">
        <v>19</v>
      </c>
      <c r="N931" s="3" t="s">
        <v>20</v>
      </c>
      <c r="O931" s="3" t="s">
        <v>651</v>
      </c>
      <c r="P931" s="3" t="s">
        <v>6</v>
      </c>
      <c r="Q931" s="3" t="s">
        <v>6</v>
      </c>
      <c r="R931" s="95" t="s">
        <v>652</v>
      </c>
      <c r="S931" s="223" t="s">
        <v>5</v>
      </c>
      <c r="T931" s="223" t="s">
        <v>5</v>
      </c>
      <c r="U931" s="223" t="s">
        <v>5</v>
      </c>
      <c r="V931" s="223" t="s">
        <v>5</v>
      </c>
      <c r="W931" s="223" t="s">
        <v>5</v>
      </c>
      <c r="X931" s="3" t="s">
        <v>5</v>
      </c>
      <c r="Y931" s="3" t="s">
        <v>651</v>
      </c>
      <c r="Z931" s="3" t="s">
        <v>651</v>
      </c>
      <c r="AA931" s="3" t="s">
        <v>6</v>
      </c>
      <c r="AB931" s="223">
        <v>40735</v>
      </c>
      <c r="AC931" s="3" t="s">
        <v>6</v>
      </c>
      <c r="AD931" s="3" t="s">
        <v>10</v>
      </c>
      <c r="AE931" s="95" t="s">
        <v>2263</v>
      </c>
    </row>
    <row r="932" spans="1:31" x14ac:dyDescent="0.35">
      <c r="A932" s="3" t="s">
        <v>1775</v>
      </c>
      <c r="B932" s="3" t="s">
        <v>611</v>
      </c>
      <c r="C932" s="3">
        <v>3</v>
      </c>
      <c r="D932" s="95" t="s">
        <v>1776</v>
      </c>
      <c r="E932" s="95" t="s">
        <v>1777</v>
      </c>
      <c r="F932" s="95" t="s">
        <v>2681</v>
      </c>
      <c r="G932" s="223">
        <v>43495</v>
      </c>
      <c r="H932" s="223">
        <v>43526</v>
      </c>
      <c r="I932" s="223">
        <v>45352</v>
      </c>
      <c r="J932" s="3">
        <v>528</v>
      </c>
      <c r="K932" s="3" t="s">
        <v>10</v>
      </c>
      <c r="L932" s="3" t="s">
        <v>10</v>
      </c>
      <c r="M932" s="95" t="s">
        <v>1778</v>
      </c>
      <c r="N932" s="3" t="s">
        <v>24</v>
      </c>
      <c r="O932" s="3" t="s">
        <v>651</v>
      </c>
      <c r="P932" s="3" t="s">
        <v>6</v>
      </c>
      <c r="Q932" s="3" t="s">
        <v>6</v>
      </c>
      <c r="R932" s="95" t="s">
        <v>652</v>
      </c>
      <c r="S932" s="223" t="s">
        <v>5</v>
      </c>
      <c r="T932" s="223" t="s">
        <v>5</v>
      </c>
      <c r="U932" s="223" t="s">
        <v>5</v>
      </c>
      <c r="V932" s="223" t="s">
        <v>5</v>
      </c>
      <c r="W932" s="223" t="s">
        <v>5</v>
      </c>
      <c r="X932" s="3" t="s">
        <v>5</v>
      </c>
      <c r="Y932" s="3" t="s">
        <v>651</v>
      </c>
      <c r="Z932" s="3" t="s">
        <v>651</v>
      </c>
      <c r="AA932" s="3" t="s">
        <v>6</v>
      </c>
      <c r="AB932" s="223">
        <v>40736</v>
      </c>
      <c r="AC932" s="3" t="s">
        <v>6</v>
      </c>
      <c r="AD932" s="3" t="s">
        <v>10</v>
      </c>
      <c r="AE932" s="95" t="s">
        <v>2263</v>
      </c>
    </row>
    <row r="933" spans="1:31" x14ac:dyDescent="0.35">
      <c r="A933" s="3" t="s">
        <v>1779</v>
      </c>
      <c r="B933" s="3" t="s">
        <v>611</v>
      </c>
      <c r="C933" s="3">
        <v>3</v>
      </c>
      <c r="D933" s="95" t="s">
        <v>1780</v>
      </c>
      <c r="E933" s="95" t="s">
        <v>1781</v>
      </c>
      <c r="F933" s="95" t="s">
        <v>2681</v>
      </c>
      <c r="G933" s="223">
        <v>44136</v>
      </c>
      <c r="H933" s="223">
        <v>44136</v>
      </c>
      <c r="I933" s="223">
        <v>45961</v>
      </c>
      <c r="J933" s="3">
        <v>32</v>
      </c>
      <c r="K933" s="3" t="s">
        <v>10</v>
      </c>
      <c r="L933" s="3" t="s">
        <v>10</v>
      </c>
      <c r="M933" s="95" t="s">
        <v>1782</v>
      </c>
      <c r="N933" s="3" t="s">
        <v>48</v>
      </c>
      <c r="O933" s="3" t="s">
        <v>651</v>
      </c>
      <c r="P933" s="3" t="s">
        <v>6</v>
      </c>
      <c r="Q933" s="3" t="s">
        <v>6</v>
      </c>
      <c r="R933" s="95" t="s">
        <v>652</v>
      </c>
      <c r="S933" s="223" t="s">
        <v>5</v>
      </c>
      <c r="T933" s="223" t="s">
        <v>5</v>
      </c>
      <c r="U933" s="223" t="s">
        <v>5</v>
      </c>
      <c r="V933" s="223" t="s">
        <v>5</v>
      </c>
      <c r="W933" s="223" t="s">
        <v>5</v>
      </c>
      <c r="X933" s="3" t="s">
        <v>5</v>
      </c>
      <c r="Y933" s="3" t="s">
        <v>651</v>
      </c>
      <c r="Z933" s="3" t="s">
        <v>651</v>
      </c>
      <c r="AA933" s="3" t="s">
        <v>6</v>
      </c>
      <c r="AB933" s="223">
        <v>40737</v>
      </c>
      <c r="AC933" s="3" t="s">
        <v>6</v>
      </c>
      <c r="AD933" s="3" t="s">
        <v>10</v>
      </c>
      <c r="AE933" s="95" t="s">
        <v>2263</v>
      </c>
    </row>
    <row r="934" spans="1:31" x14ac:dyDescent="0.35">
      <c r="A934" s="3" t="s">
        <v>1783</v>
      </c>
      <c r="B934" s="3" t="s">
        <v>611</v>
      </c>
      <c r="C934" s="3">
        <v>3</v>
      </c>
      <c r="D934" s="95" t="s">
        <v>1784</v>
      </c>
      <c r="E934" s="95" t="s">
        <v>1785</v>
      </c>
      <c r="F934" s="95" t="s">
        <v>2681</v>
      </c>
      <c r="G934" s="223">
        <v>44136</v>
      </c>
      <c r="H934" s="223">
        <v>44136</v>
      </c>
      <c r="I934" s="223">
        <v>45961</v>
      </c>
      <c r="J934" s="3">
        <v>97</v>
      </c>
      <c r="K934" s="3" t="s">
        <v>10</v>
      </c>
      <c r="L934" s="3" t="s">
        <v>10</v>
      </c>
      <c r="M934" s="95" t="s">
        <v>1782</v>
      </c>
      <c r="N934" s="3" t="s">
        <v>48</v>
      </c>
      <c r="O934" s="3" t="s">
        <v>651</v>
      </c>
      <c r="P934" s="3" t="s">
        <v>6</v>
      </c>
      <c r="Q934" s="3" t="s">
        <v>6</v>
      </c>
      <c r="R934" s="95" t="s">
        <v>652</v>
      </c>
      <c r="S934" s="223" t="s">
        <v>5</v>
      </c>
      <c r="T934" s="223" t="s">
        <v>5</v>
      </c>
      <c r="U934" s="223" t="s">
        <v>5</v>
      </c>
      <c r="V934" s="223" t="s">
        <v>5</v>
      </c>
      <c r="W934" s="223" t="s">
        <v>5</v>
      </c>
      <c r="X934" s="3" t="s">
        <v>5</v>
      </c>
      <c r="Y934" s="3" t="s">
        <v>651</v>
      </c>
      <c r="Z934" s="3" t="s">
        <v>651</v>
      </c>
      <c r="AA934" s="3" t="s">
        <v>6</v>
      </c>
      <c r="AB934" s="223">
        <v>40738</v>
      </c>
      <c r="AC934" s="3" t="s">
        <v>6</v>
      </c>
      <c r="AD934" s="3" t="s">
        <v>10</v>
      </c>
      <c r="AE934" s="95" t="s">
        <v>2265</v>
      </c>
    </row>
    <row r="935" spans="1:31" x14ac:dyDescent="0.35">
      <c r="A935" s="3" t="s">
        <v>517</v>
      </c>
      <c r="B935" s="3" t="s">
        <v>415</v>
      </c>
      <c r="C935" s="3">
        <v>8</v>
      </c>
      <c r="D935" s="95" t="s">
        <v>3180</v>
      </c>
      <c r="E935" s="95" t="s">
        <v>505</v>
      </c>
      <c r="F935" s="95" t="s">
        <v>4</v>
      </c>
      <c r="G935" s="223">
        <v>43666</v>
      </c>
      <c r="H935" s="223">
        <v>43666</v>
      </c>
      <c r="I935" s="223">
        <v>45473</v>
      </c>
      <c r="J935" s="3">
        <v>1</v>
      </c>
      <c r="K935" s="3" t="s">
        <v>6</v>
      </c>
      <c r="L935" s="3" t="s">
        <v>6</v>
      </c>
      <c r="M935" s="95" t="s">
        <v>116</v>
      </c>
      <c r="N935" s="3" t="s">
        <v>117</v>
      </c>
      <c r="O935" s="3" t="s">
        <v>17</v>
      </c>
      <c r="P935" s="3" t="s">
        <v>6</v>
      </c>
      <c r="Q935" s="3" t="s">
        <v>6</v>
      </c>
      <c r="R935" s="95" t="s">
        <v>9</v>
      </c>
      <c r="S935" s="223">
        <v>43591</v>
      </c>
      <c r="T935" s="223">
        <v>43651</v>
      </c>
      <c r="U935" s="223">
        <v>43616</v>
      </c>
      <c r="V935" s="223">
        <v>43616</v>
      </c>
      <c r="W935" s="223" t="s">
        <v>6</v>
      </c>
      <c r="X935" s="3" t="s">
        <v>26</v>
      </c>
      <c r="Y935" s="3" t="s">
        <v>2932</v>
      </c>
      <c r="Z935" s="3" t="s">
        <v>2924</v>
      </c>
      <c r="AA935" s="3" t="s">
        <v>2254</v>
      </c>
      <c r="AB935" s="223" t="s">
        <v>5</v>
      </c>
      <c r="AC935" s="3" t="s">
        <v>6</v>
      </c>
      <c r="AD935" s="3" t="s">
        <v>10</v>
      </c>
      <c r="AE935" s="95" t="s">
        <v>2265</v>
      </c>
    </row>
    <row r="936" spans="1:31" x14ac:dyDescent="0.35">
      <c r="A936" s="3" t="s">
        <v>414</v>
      </c>
      <c r="B936" s="3" t="s">
        <v>415</v>
      </c>
      <c r="C936" s="3">
        <v>8</v>
      </c>
      <c r="D936" s="95" t="s">
        <v>3175</v>
      </c>
      <c r="E936" s="95" t="s">
        <v>422</v>
      </c>
      <c r="F936" s="95" t="s">
        <v>437</v>
      </c>
      <c r="G936" s="223">
        <v>44455</v>
      </c>
      <c r="H936" s="223">
        <v>44500</v>
      </c>
      <c r="I936" s="223">
        <v>46326</v>
      </c>
      <c r="J936" s="3">
        <v>1</v>
      </c>
      <c r="K936" s="3" t="s">
        <v>6</v>
      </c>
      <c r="L936" s="3" t="s">
        <v>6</v>
      </c>
      <c r="M936" s="95" t="s">
        <v>19</v>
      </c>
      <c r="N936" s="3" t="s">
        <v>20</v>
      </c>
      <c r="O936" s="3" t="s">
        <v>21</v>
      </c>
      <c r="P936" s="3" t="s">
        <v>6</v>
      </c>
      <c r="Q936" s="3" t="s">
        <v>6</v>
      </c>
      <c r="R936" s="95" t="s">
        <v>22</v>
      </c>
      <c r="S936" s="223">
        <v>43675</v>
      </c>
      <c r="T936" s="223">
        <v>43756</v>
      </c>
      <c r="U936" s="223">
        <v>43647</v>
      </c>
      <c r="V936" s="223">
        <v>43647</v>
      </c>
      <c r="W936" s="223" t="s">
        <v>6</v>
      </c>
      <c r="X936" s="3" t="s">
        <v>26</v>
      </c>
      <c r="Y936" s="3" t="s">
        <v>2116</v>
      </c>
      <c r="Z936" s="3" t="s">
        <v>20</v>
      </c>
      <c r="AA936" s="3" t="s">
        <v>6</v>
      </c>
      <c r="AB936" s="223">
        <v>44442</v>
      </c>
      <c r="AC936" s="3" t="s">
        <v>10</v>
      </c>
      <c r="AD936" s="3" t="s">
        <v>10</v>
      </c>
      <c r="AE936" s="95" t="s">
        <v>2263</v>
      </c>
    </row>
    <row r="937" spans="1:31" x14ac:dyDescent="0.35">
      <c r="A937" s="3" t="s">
        <v>1786</v>
      </c>
      <c r="B937" s="3" t="s">
        <v>415</v>
      </c>
      <c r="C937" s="3">
        <v>8</v>
      </c>
      <c r="D937" s="95" t="s">
        <v>1787</v>
      </c>
      <c r="E937" s="95" t="s">
        <v>2685</v>
      </c>
      <c r="F937" s="95" t="s">
        <v>651</v>
      </c>
      <c r="G937" s="223">
        <v>42401</v>
      </c>
      <c r="H937" s="223">
        <v>42401</v>
      </c>
      <c r="I937" s="223">
        <v>44196</v>
      </c>
      <c r="J937" s="3" t="s">
        <v>2266</v>
      </c>
      <c r="K937" s="3" t="s">
        <v>10</v>
      </c>
      <c r="L937" s="3" t="s">
        <v>10</v>
      </c>
      <c r="M937" s="95" t="s">
        <v>19</v>
      </c>
      <c r="N937" s="3" t="s">
        <v>20</v>
      </c>
      <c r="O937" s="3" t="s">
        <v>651</v>
      </c>
      <c r="P937" s="3" t="s">
        <v>10</v>
      </c>
      <c r="Q937" s="3" t="s">
        <v>6</v>
      </c>
      <c r="R937" s="95" t="s">
        <v>2267</v>
      </c>
      <c r="S937" s="223" t="s">
        <v>5</v>
      </c>
      <c r="T937" s="223" t="s">
        <v>5</v>
      </c>
      <c r="U937" s="223" t="s">
        <v>5</v>
      </c>
      <c r="V937" s="223" t="s">
        <v>5</v>
      </c>
      <c r="W937" s="223" t="s">
        <v>5</v>
      </c>
      <c r="X937" s="3" t="s">
        <v>5</v>
      </c>
      <c r="Y937" s="3" t="s">
        <v>651</v>
      </c>
      <c r="Z937" s="3" t="s">
        <v>651</v>
      </c>
      <c r="AA937" s="3" t="s">
        <v>651</v>
      </c>
      <c r="AB937" s="223" t="s">
        <v>5</v>
      </c>
      <c r="AC937" s="3" t="s">
        <v>651</v>
      </c>
      <c r="AD937" s="3" t="s">
        <v>651</v>
      </c>
      <c r="AE937" s="95" t="s">
        <v>651</v>
      </c>
    </row>
    <row r="938" spans="1:31" x14ac:dyDescent="0.35">
      <c r="A938" s="3" t="s">
        <v>1788</v>
      </c>
      <c r="B938" s="3" t="s">
        <v>415</v>
      </c>
      <c r="C938" s="3">
        <v>8</v>
      </c>
      <c r="D938" s="95" t="s">
        <v>1789</v>
      </c>
      <c r="E938" s="95" t="s">
        <v>1790</v>
      </c>
      <c r="F938" s="95" t="s">
        <v>651</v>
      </c>
      <c r="G938" s="223">
        <v>38971</v>
      </c>
      <c r="H938" s="223">
        <v>39773</v>
      </c>
      <c r="I938" s="223">
        <v>40796</v>
      </c>
      <c r="J938" s="3" t="s">
        <v>2266</v>
      </c>
      <c r="K938" s="3" t="s">
        <v>10</v>
      </c>
      <c r="L938" s="3" t="s">
        <v>10</v>
      </c>
      <c r="M938" s="95" t="s">
        <v>762</v>
      </c>
      <c r="N938" s="3" t="s">
        <v>7</v>
      </c>
      <c r="O938" s="3" t="s">
        <v>651</v>
      </c>
      <c r="P938" s="3" t="s">
        <v>10</v>
      </c>
      <c r="Q938" s="3" t="s">
        <v>10</v>
      </c>
      <c r="R938" s="95" t="s">
        <v>2267</v>
      </c>
      <c r="S938" s="223" t="s">
        <v>5</v>
      </c>
      <c r="T938" s="223" t="s">
        <v>5</v>
      </c>
      <c r="U938" s="223" t="s">
        <v>5</v>
      </c>
      <c r="V938" s="223" t="s">
        <v>5</v>
      </c>
      <c r="W938" s="223" t="s">
        <v>5</v>
      </c>
      <c r="X938" s="3" t="s">
        <v>5</v>
      </c>
      <c r="Y938" s="3" t="s">
        <v>651</v>
      </c>
      <c r="Z938" s="3" t="s">
        <v>651</v>
      </c>
      <c r="AA938" s="3" t="s">
        <v>651</v>
      </c>
      <c r="AB938" s="223" t="s">
        <v>5</v>
      </c>
      <c r="AC938" s="3" t="s">
        <v>651</v>
      </c>
      <c r="AD938" s="3" t="s">
        <v>651</v>
      </c>
      <c r="AE938" s="95" t="s">
        <v>651</v>
      </c>
    </row>
    <row r="939" spans="1:31" x14ac:dyDescent="0.35">
      <c r="A939" s="3" t="s">
        <v>1791</v>
      </c>
      <c r="B939" s="3" t="s">
        <v>415</v>
      </c>
      <c r="C939" s="3">
        <v>8</v>
      </c>
      <c r="D939" s="95" t="s">
        <v>1792</v>
      </c>
      <c r="E939" s="95" t="s">
        <v>4</v>
      </c>
      <c r="F939" s="95" t="s">
        <v>651</v>
      </c>
      <c r="G939" s="223">
        <v>40672</v>
      </c>
      <c r="H939" s="223">
        <v>39876</v>
      </c>
      <c r="I939" s="223">
        <v>42444</v>
      </c>
      <c r="J939" s="3" t="s">
        <v>2266</v>
      </c>
      <c r="K939" s="3" t="s">
        <v>10</v>
      </c>
      <c r="L939" s="3" t="s">
        <v>10</v>
      </c>
      <c r="M939" s="95" t="s">
        <v>762</v>
      </c>
      <c r="N939" s="3" t="s">
        <v>7</v>
      </c>
      <c r="O939" s="3" t="s">
        <v>651</v>
      </c>
      <c r="P939" s="3" t="s">
        <v>10</v>
      </c>
      <c r="Q939" s="3" t="s">
        <v>10</v>
      </c>
      <c r="R939" s="95" t="s">
        <v>2267</v>
      </c>
      <c r="S939" s="223" t="s">
        <v>5</v>
      </c>
      <c r="T939" s="223" t="s">
        <v>5</v>
      </c>
      <c r="U939" s="223" t="s">
        <v>5</v>
      </c>
      <c r="V939" s="223" t="s">
        <v>5</v>
      </c>
      <c r="W939" s="223" t="s">
        <v>5</v>
      </c>
      <c r="X939" s="3" t="s">
        <v>5</v>
      </c>
      <c r="Y939" s="3" t="s">
        <v>651</v>
      </c>
      <c r="Z939" s="3" t="s">
        <v>651</v>
      </c>
      <c r="AA939" s="3" t="s">
        <v>651</v>
      </c>
      <c r="AB939" s="223" t="s">
        <v>5</v>
      </c>
      <c r="AC939" s="3" t="s">
        <v>651</v>
      </c>
      <c r="AD939" s="3" t="s">
        <v>651</v>
      </c>
      <c r="AE939" s="95" t="s">
        <v>651</v>
      </c>
    </row>
    <row r="940" spans="1:31" x14ac:dyDescent="0.35">
      <c r="A940" s="3" t="s">
        <v>1793</v>
      </c>
      <c r="B940" s="3" t="s">
        <v>415</v>
      </c>
      <c r="C940" s="3">
        <v>8</v>
      </c>
      <c r="D940" s="95" t="s">
        <v>1794</v>
      </c>
      <c r="E940" s="95" t="s">
        <v>4</v>
      </c>
      <c r="F940" s="95" t="s">
        <v>651</v>
      </c>
      <c r="G940" s="223">
        <v>41156</v>
      </c>
      <c r="H940" s="223">
        <v>41156</v>
      </c>
      <c r="I940" s="223">
        <v>42981</v>
      </c>
      <c r="J940" s="3" t="s">
        <v>2266</v>
      </c>
      <c r="K940" s="3" t="s">
        <v>10</v>
      </c>
      <c r="L940" s="3" t="s">
        <v>10</v>
      </c>
      <c r="M940" s="95" t="s">
        <v>1795</v>
      </c>
      <c r="N940" s="3" t="s">
        <v>7</v>
      </c>
      <c r="O940" s="3" t="s">
        <v>651</v>
      </c>
      <c r="P940" s="3" t="s">
        <v>10</v>
      </c>
      <c r="Q940" s="3" t="s">
        <v>6</v>
      </c>
      <c r="R940" s="95" t="s">
        <v>2267</v>
      </c>
      <c r="S940" s="223" t="s">
        <v>5</v>
      </c>
      <c r="T940" s="223" t="s">
        <v>5</v>
      </c>
      <c r="U940" s="223" t="s">
        <v>5</v>
      </c>
      <c r="V940" s="223" t="s">
        <v>5</v>
      </c>
      <c r="W940" s="223" t="s">
        <v>5</v>
      </c>
      <c r="X940" s="3" t="s">
        <v>5</v>
      </c>
      <c r="Y940" s="3" t="s">
        <v>651</v>
      </c>
      <c r="Z940" s="3" t="s">
        <v>651</v>
      </c>
      <c r="AA940" s="3" t="s">
        <v>651</v>
      </c>
      <c r="AB940" s="223" t="s">
        <v>5</v>
      </c>
      <c r="AC940" s="3" t="s">
        <v>651</v>
      </c>
      <c r="AD940" s="3" t="s">
        <v>651</v>
      </c>
      <c r="AE940" s="95" t="s">
        <v>651</v>
      </c>
    </row>
    <row r="941" spans="1:31" x14ac:dyDescent="0.35">
      <c r="A941" s="3" t="s">
        <v>1796</v>
      </c>
      <c r="B941" s="3" t="s">
        <v>415</v>
      </c>
      <c r="C941" s="3">
        <v>8</v>
      </c>
      <c r="D941" s="95" t="s">
        <v>1797</v>
      </c>
      <c r="E941" s="95" t="s">
        <v>1798</v>
      </c>
      <c r="F941" s="95" t="s">
        <v>651</v>
      </c>
      <c r="G941" s="223">
        <v>41156</v>
      </c>
      <c r="H941" s="223">
        <v>41156</v>
      </c>
      <c r="I941" s="223">
        <v>42981</v>
      </c>
      <c r="J941" s="3" t="s">
        <v>2266</v>
      </c>
      <c r="K941" s="3" t="s">
        <v>10</v>
      </c>
      <c r="L941" s="3" t="s">
        <v>10</v>
      </c>
      <c r="M941" s="95" t="s">
        <v>11</v>
      </c>
      <c r="N941" s="3" t="s">
        <v>7</v>
      </c>
      <c r="O941" s="3" t="s">
        <v>651</v>
      </c>
      <c r="P941" s="3" t="s">
        <v>10</v>
      </c>
      <c r="Q941" s="3" t="s">
        <v>10</v>
      </c>
      <c r="R941" s="95" t="s">
        <v>2267</v>
      </c>
      <c r="S941" s="223" t="s">
        <v>5</v>
      </c>
      <c r="T941" s="223" t="s">
        <v>5</v>
      </c>
      <c r="U941" s="223" t="s">
        <v>5</v>
      </c>
      <c r="V941" s="223" t="s">
        <v>5</v>
      </c>
      <c r="W941" s="223" t="s">
        <v>5</v>
      </c>
      <c r="X941" s="3" t="s">
        <v>5</v>
      </c>
      <c r="Y941" s="3" t="s">
        <v>651</v>
      </c>
      <c r="Z941" s="3" t="s">
        <v>651</v>
      </c>
      <c r="AA941" s="3" t="s">
        <v>651</v>
      </c>
      <c r="AB941" s="223" t="s">
        <v>5</v>
      </c>
      <c r="AC941" s="3" t="s">
        <v>651</v>
      </c>
      <c r="AD941" s="3" t="s">
        <v>651</v>
      </c>
      <c r="AE941" s="95" t="s">
        <v>651</v>
      </c>
    </row>
    <row r="942" spans="1:31" x14ac:dyDescent="0.35">
      <c r="A942" s="3" t="s">
        <v>1799</v>
      </c>
      <c r="B942" s="3" t="s">
        <v>415</v>
      </c>
      <c r="C942" s="3">
        <v>8</v>
      </c>
      <c r="D942" s="95" t="s">
        <v>1800</v>
      </c>
      <c r="E942" s="95" t="s">
        <v>1801</v>
      </c>
      <c r="F942" s="95" t="s">
        <v>4</v>
      </c>
      <c r="G942" s="223">
        <v>44085</v>
      </c>
      <c r="H942" s="223">
        <v>44085</v>
      </c>
      <c r="I942" s="223">
        <v>46022</v>
      </c>
      <c r="J942" s="3">
        <v>28</v>
      </c>
      <c r="K942" s="3" t="s">
        <v>10</v>
      </c>
      <c r="L942" s="3" t="s">
        <v>10</v>
      </c>
      <c r="M942" s="95" t="s">
        <v>19</v>
      </c>
      <c r="N942" s="3" t="s">
        <v>20</v>
      </c>
      <c r="O942" s="3" t="s">
        <v>651</v>
      </c>
      <c r="P942" s="3" t="s">
        <v>6</v>
      </c>
      <c r="Q942" s="3" t="s">
        <v>6</v>
      </c>
      <c r="R942" s="95" t="s">
        <v>652</v>
      </c>
      <c r="S942" s="223" t="s">
        <v>5</v>
      </c>
      <c r="T942" s="223" t="s">
        <v>5</v>
      </c>
      <c r="U942" s="223" t="s">
        <v>5</v>
      </c>
      <c r="V942" s="223" t="s">
        <v>5</v>
      </c>
      <c r="W942" s="223" t="s">
        <v>5</v>
      </c>
      <c r="X942" s="3" t="s">
        <v>5</v>
      </c>
      <c r="Y942" s="3" t="s">
        <v>651</v>
      </c>
      <c r="Z942" s="3" t="s">
        <v>651</v>
      </c>
      <c r="AA942" s="3" t="s">
        <v>10</v>
      </c>
      <c r="AB942" s="223" t="s">
        <v>5</v>
      </c>
      <c r="AC942" s="3" t="s">
        <v>10</v>
      </c>
      <c r="AD942" s="3" t="s">
        <v>10</v>
      </c>
      <c r="AE942" s="95" t="s">
        <v>2263</v>
      </c>
    </row>
    <row r="943" spans="1:31" x14ac:dyDescent="0.35">
      <c r="A943" s="3" t="s">
        <v>416</v>
      </c>
      <c r="B943" s="3" t="s">
        <v>415</v>
      </c>
      <c r="C943" s="3">
        <v>8</v>
      </c>
      <c r="D943" s="95" t="s">
        <v>2686</v>
      </c>
      <c r="E943" s="95" t="s">
        <v>2292</v>
      </c>
      <c r="F943" s="95" t="s">
        <v>4</v>
      </c>
      <c r="G943" s="223">
        <v>44628</v>
      </c>
      <c r="H943" s="223">
        <v>44652</v>
      </c>
      <c r="I943" s="223">
        <v>46477</v>
      </c>
      <c r="J943" s="3">
        <v>7</v>
      </c>
      <c r="K943" s="3" t="s">
        <v>6</v>
      </c>
      <c r="L943" s="3" t="s">
        <v>6</v>
      </c>
      <c r="M943" s="95" t="s">
        <v>47</v>
      </c>
      <c r="N943" s="3" t="s">
        <v>48</v>
      </c>
      <c r="O943" s="3" t="s">
        <v>49</v>
      </c>
      <c r="P943" s="3" t="s">
        <v>6</v>
      </c>
      <c r="Q943" s="3" t="s">
        <v>6</v>
      </c>
      <c r="R943" s="95" t="s">
        <v>9</v>
      </c>
      <c r="S943" s="223">
        <v>43437</v>
      </c>
      <c r="T943" s="223">
        <v>43747</v>
      </c>
      <c r="U943" s="223">
        <v>43405</v>
      </c>
      <c r="V943" s="223">
        <v>43405</v>
      </c>
      <c r="W943" s="223" t="s">
        <v>6</v>
      </c>
      <c r="X943" s="3" t="s">
        <v>26</v>
      </c>
      <c r="Y943" s="3" t="s">
        <v>2928</v>
      </c>
      <c r="Z943" s="3" t="s">
        <v>2924</v>
      </c>
      <c r="AA943" s="3" t="s">
        <v>10</v>
      </c>
      <c r="AB943" s="223" t="s">
        <v>5</v>
      </c>
      <c r="AC943" s="3" t="s">
        <v>6</v>
      </c>
      <c r="AD943" s="3" t="s">
        <v>6</v>
      </c>
      <c r="AE943" s="95" t="s">
        <v>2265</v>
      </c>
    </row>
    <row r="944" spans="1:31" x14ac:dyDescent="0.35">
      <c r="A944" s="3" t="s">
        <v>1802</v>
      </c>
      <c r="B944" s="3" t="s">
        <v>415</v>
      </c>
      <c r="C944" s="3">
        <v>8</v>
      </c>
      <c r="D944" s="95" t="s">
        <v>1803</v>
      </c>
      <c r="E944" s="95" t="s">
        <v>4</v>
      </c>
      <c r="F944" s="95" t="s">
        <v>651</v>
      </c>
      <c r="G944" s="223">
        <v>39345</v>
      </c>
      <c r="H944" s="223">
        <v>39345</v>
      </c>
      <c r="I944" s="223">
        <v>41152</v>
      </c>
      <c r="J944" s="3" t="s">
        <v>2266</v>
      </c>
      <c r="K944" s="3" t="s">
        <v>10</v>
      </c>
      <c r="L944" s="3" t="s">
        <v>10</v>
      </c>
      <c r="M944" s="95" t="s">
        <v>136</v>
      </c>
      <c r="N944" s="3" t="s">
        <v>138</v>
      </c>
      <c r="O944" s="3" t="s">
        <v>651</v>
      </c>
      <c r="P944" s="3" t="s">
        <v>10</v>
      </c>
      <c r="Q944" s="3" t="s">
        <v>6</v>
      </c>
      <c r="R944" s="95" t="s">
        <v>2267</v>
      </c>
      <c r="S944" s="223" t="s">
        <v>5</v>
      </c>
      <c r="T944" s="223" t="s">
        <v>5</v>
      </c>
      <c r="U944" s="223" t="s">
        <v>5</v>
      </c>
      <c r="V944" s="223" t="s">
        <v>5</v>
      </c>
      <c r="W944" s="223" t="s">
        <v>5</v>
      </c>
      <c r="X944" s="3" t="s">
        <v>5</v>
      </c>
      <c r="Y944" s="3" t="s">
        <v>651</v>
      </c>
      <c r="Z944" s="3" t="s">
        <v>651</v>
      </c>
      <c r="AA944" s="3" t="s">
        <v>651</v>
      </c>
      <c r="AB944" s="223" t="s">
        <v>5</v>
      </c>
      <c r="AC944" s="3" t="s">
        <v>651</v>
      </c>
      <c r="AD944" s="3" t="s">
        <v>651</v>
      </c>
      <c r="AE944" s="95" t="s">
        <v>651</v>
      </c>
    </row>
    <row r="945" spans="1:31" x14ac:dyDescent="0.35">
      <c r="A945" s="3" t="s">
        <v>1804</v>
      </c>
      <c r="B945" s="3" t="s">
        <v>415</v>
      </c>
      <c r="C945" s="3">
        <v>8</v>
      </c>
      <c r="D945" s="95" t="s">
        <v>1805</v>
      </c>
      <c r="E945" s="95" t="s">
        <v>4</v>
      </c>
      <c r="F945" s="95" t="s">
        <v>651</v>
      </c>
      <c r="G945" s="223">
        <v>39345</v>
      </c>
      <c r="H945" s="223">
        <v>39345</v>
      </c>
      <c r="I945" s="223">
        <v>41152</v>
      </c>
      <c r="J945" s="3" t="s">
        <v>2266</v>
      </c>
      <c r="K945" s="3" t="s">
        <v>10</v>
      </c>
      <c r="L945" s="3" t="s">
        <v>10</v>
      </c>
      <c r="M945" s="95" t="s">
        <v>116</v>
      </c>
      <c r="N945" s="3" t="s">
        <v>61</v>
      </c>
      <c r="O945" s="3" t="s">
        <v>651</v>
      </c>
      <c r="P945" s="3" t="s">
        <v>10</v>
      </c>
      <c r="Q945" s="3" t="s">
        <v>6</v>
      </c>
      <c r="R945" s="95" t="s">
        <v>2267</v>
      </c>
      <c r="S945" s="223" t="s">
        <v>5</v>
      </c>
      <c r="T945" s="223" t="s">
        <v>5</v>
      </c>
      <c r="U945" s="223" t="s">
        <v>5</v>
      </c>
      <c r="V945" s="223" t="s">
        <v>5</v>
      </c>
      <c r="W945" s="223" t="s">
        <v>5</v>
      </c>
      <c r="X945" s="3" t="s">
        <v>5</v>
      </c>
      <c r="Y945" s="3" t="s">
        <v>651</v>
      </c>
      <c r="Z945" s="3" t="s">
        <v>651</v>
      </c>
      <c r="AA945" s="3" t="s">
        <v>651</v>
      </c>
      <c r="AB945" s="223" t="s">
        <v>5</v>
      </c>
      <c r="AC945" s="3" t="s">
        <v>651</v>
      </c>
      <c r="AD945" s="3" t="s">
        <v>651</v>
      </c>
      <c r="AE945" s="95" t="s">
        <v>651</v>
      </c>
    </row>
    <row r="946" spans="1:31" x14ac:dyDescent="0.35">
      <c r="A946" s="3" t="s">
        <v>1806</v>
      </c>
      <c r="B946" s="3" t="s">
        <v>415</v>
      </c>
      <c r="C946" s="3">
        <v>8</v>
      </c>
      <c r="D946" s="95" t="s">
        <v>1807</v>
      </c>
      <c r="E946" s="95" t="s">
        <v>2687</v>
      </c>
      <c r="F946" s="95" t="s">
        <v>4</v>
      </c>
      <c r="G946" s="223">
        <v>44805</v>
      </c>
      <c r="H946" s="223">
        <v>44805</v>
      </c>
      <c r="I946" s="223">
        <v>46630</v>
      </c>
      <c r="J946" s="3">
        <v>5</v>
      </c>
      <c r="K946" s="3" t="s">
        <v>10</v>
      </c>
      <c r="L946" s="3" t="s">
        <v>10</v>
      </c>
      <c r="M946" s="95" t="s">
        <v>1808</v>
      </c>
      <c r="N946" s="3" t="s">
        <v>55</v>
      </c>
      <c r="O946" s="3" t="s">
        <v>651</v>
      </c>
      <c r="P946" s="3" t="s">
        <v>6</v>
      </c>
      <c r="Q946" s="3" t="s">
        <v>6</v>
      </c>
      <c r="R946" s="95" t="s">
        <v>652</v>
      </c>
      <c r="S946" s="223" t="s">
        <v>5</v>
      </c>
      <c r="T946" s="223" t="s">
        <v>5</v>
      </c>
      <c r="U946" s="223" t="s">
        <v>5</v>
      </c>
      <c r="V946" s="223" t="s">
        <v>5</v>
      </c>
      <c r="W946" s="223" t="s">
        <v>5</v>
      </c>
      <c r="X946" s="3" t="s">
        <v>5</v>
      </c>
      <c r="Y946" s="3" t="s">
        <v>651</v>
      </c>
      <c r="Z946" s="3" t="s">
        <v>651</v>
      </c>
      <c r="AA946" s="3" t="s">
        <v>10</v>
      </c>
      <c r="AB946" s="223" t="s">
        <v>5</v>
      </c>
      <c r="AC946" s="3" t="s">
        <v>6</v>
      </c>
      <c r="AD946" s="3" t="s">
        <v>10</v>
      </c>
      <c r="AE946" s="95" t="s">
        <v>2263</v>
      </c>
    </row>
    <row r="947" spans="1:31" x14ac:dyDescent="0.35">
      <c r="A947" s="3" t="s">
        <v>1809</v>
      </c>
      <c r="B947" s="3" t="s">
        <v>415</v>
      </c>
      <c r="C947" s="3">
        <v>8</v>
      </c>
      <c r="D947" s="95" t="s">
        <v>1810</v>
      </c>
      <c r="E947" s="95" t="s">
        <v>2688</v>
      </c>
      <c r="F947" s="95" t="s">
        <v>4</v>
      </c>
      <c r="G947" s="223">
        <v>44805</v>
      </c>
      <c r="H947" s="223">
        <v>44805</v>
      </c>
      <c r="I947" s="223">
        <v>46630</v>
      </c>
      <c r="J947" s="3">
        <v>21</v>
      </c>
      <c r="K947" s="3" t="s">
        <v>10</v>
      </c>
      <c r="L947" s="3" t="s">
        <v>10</v>
      </c>
      <c r="M947" s="95" t="s">
        <v>1811</v>
      </c>
      <c r="N947" s="3" t="s">
        <v>170</v>
      </c>
      <c r="O947" s="3" t="s">
        <v>651</v>
      </c>
      <c r="P947" s="3" t="s">
        <v>6</v>
      </c>
      <c r="Q947" s="3" t="s">
        <v>6</v>
      </c>
      <c r="R947" s="95" t="s">
        <v>652</v>
      </c>
      <c r="S947" s="223" t="s">
        <v>5</v>
      </c>
      <c r="T947" s="223" t="s">
        <v>5</v>
      </c>
      <c r="U947" s="223" t="s">
        <v>5</v>
      </c>
      <c r="V947" s="223" t="s">
        <v>5</v>
      </c>
      <c r="W947" s="223" t="s">
        <v>5</v>
      </c>
      <c r="X947" s="3" t="s">
        <v>5</v>
      </c>
      <c r="Y947" s="3" t="s">
        <v>651</v>
      </c>
      <c r="Z947" s="3" t="s">
        <v>651</v>
      </c>
      <c r="AA947" s="3" t="s">
        <v>10</v>
      </c>
      <c r="AB947" s="223" t="s">
        <v>5</v>
      </c>
      <c r="AC947" s="3" t="s">
        <v>6</v>
      </c>
      <c r="AD947" s="3" t="s">
        <v>10</v>
      </c>
      <c r="AE947" s="95" t="s">
        <v>2263</v>
      </c>
    </row>
    <row r="948" spans="1:31" x14ac:dyDescent="0.35">
      <c r="A948" s="3" t="s">
        <v>1812</v>
      </c>
      <c r="B948" s="3" t="s">
        <v>415</v>
      </c>
      <c r="C948" s="3">
        <v>8</v>
      </c>
      <c r="D948" s="95" t="s">
        <v>1813</v>
      </c>
      <c r="E948" s="95" t="s">
        <v>4</v>
      </c>
      <c r="F948" s="95" t="s">
        <v>651</v>
      </c>
      <c r="G948" s="223">
        <v>39345</v>
      </c>
      <c r="H948" s="223">
        <v>39345</v>
      </c>
      <c r="I948" s="223">
        <v>41152</v>
      </c>
      <c r="J948" s="3" t="s">
        <v>2266</v>
      </c>
      <c r="K948" s="3" t="s">
        <v>10</v>
      </c>
      <c r="L948" s="3" t="s">
        <v>10</v>
      </c>
      <c r="M948" s="95" t="s">
        <v>54</v>
      </c>
      <c r="N948" s="3" t="s">
        <v>61</v>
      </c>
      <c r="O948" s="3" t="s">
        <v>651</v>
      </c>
      <c r="P948" s="3" t="s">
        <v>10</v>
      </c>
      <c r="Q948" s="3" t="s">
        <v>6</v>
      </c>
      <c r="R948" s="95" t="s">
        <v>2267</v>
      </c>
      <c r="S948" s="223" t="s">
        <v>5</v>
      </c>
      <c r="T948" s="223" t="s">
        <v>5</v>
      </c>
      <c r="U948" s="223" t="s">
        <v>5</v>
      </c>
      <c r="V948" s="223" t="s">
        <v>5</v>
      </c>
      <c r="W948" s="223" t="s">
        <v>5</v>
      </c>
      <c r="X948" s="3" t="s">
        <v>5</v>
      </c>
      <c r="Y948" s="3" t="s">
        <v>651</v>
      </c>
      <c r="Z948" s="3" t="s">
        <v>651</v>
      </c>
      <c r="AA948" s="3" t="s">
        <v>651</v>
      </c>
      <c r="AB948" s="223" t="s">
        <v>5</v>
      </c>
      <c r="AC948" s="3" t="s">
        <v>651</v>
      </c>
      <c r="AD948" s="3" t="s">
        <v>651</v>
      </c>
      <c r="AE948" s="95" t="s">
        <v>651</v>
      </c>
    </row>
    <row r="949" spans="1:31" x14ac:dyDescent="0.35">
      <c r="A949" s="3" t="s">
        <v>1814</v>
      </c>
      <c r="B949" s="3" t="s">
        <v>415</v>
      </c>
      <c r="C949" s="3">
        <v>8</v>
      </c>
      <c r="D949" s="95" t="s">
        <v>1815</v>
      </c>
      <c r="E949" s="95" t="s">
        <v>2689</v>
      </c>
      <c r="F949" s="95" t="s">
        <v>4</v>
      </c>
      <c r="G949" s="223">
        <v>44805</v>
      </c>
      <c r="H949" s="223">
        <v>44805</v>
      </c>
      <c r="I949" s="223">
        <v>46630</v>
      </c>
      <c r="J949" s="3">
        <v>6</v>
      </c>
      <c r="K949" s="3" t="s">
        <v>10</v>
      </c>
      <c r="L949" s="3" t="s">
        <v>10</v>
      </c>
      <c r="M949" s="95" t="s">
        <v>1816</v>
      </c>
      <c r="N949" s="3" t="s">
        <v>68</v>
      </c>
      <c r="O949" s="3" t="s">
        <v>651</v>
      </c>
      <c r="P949" s="3" t="s">
        <v>6</v>
      </c>
      <c r="Q949" s="3" t="s">
        <v>6</v>
      </c>
      <c r="R949" s="95" t="s">
        <v>652</v>
      </c>
      <c r="S949" s="223" t="s">
        <v>5</v>
      </c>
      <c r="T949" s="223" t="s">
        <v>5</v>
      </c>
      <c r="U949" s="223" t="s">
        <v>5</v>
      </c>
      <c r="V949" s="223" t="s">
        <v>5</v>
      </c>
      <c r="W949" s="223" t="s">
        <v>5</v>
      </c>
      <c r="X949" s="3" t="s">
        <v>5</v>
      </c>
      <c r="Y949" s="3" t="s">
        <v>651</v>
      </c>
      <c r="Z949" s="3" t="s">
        <v>651</v>
      </c>
      <c r="AA949" s="3" t="s">
        <v>10</v>
      </c>
      <c r="AB949" s="223" t="s">
        <v>5</v>
      </c>
      <c r="AC949" s="3" t="s">
        <v>6</v>
      </c>
      <c r="AD949" s="3" t="s">
        <v>10</v>
      </c>
      <c r="AE949" s="95" t="s">
        <v>2263</v>
      </c>
    </row>
    <row r="950" spans="1:31" x14ac:dyDescent="0.35">
      <c r="A950" s="3" t="s">
        <v>1817</v>
      </c>
      <c r="B950" s="3" t="s">
        <v>415</v>
      </c>
      <c r="C950" s="3">
        <v>8</v>
      </c>
      <c r="D950" s="95" t="s">
        <v>1818</v>
      </c>
      <c r="E950" s="95" t="s">
        <v>1819</v>
      </c>
      <c r="F950" s="95" t="s">
        <v>4</v>
      </c>
      <c r="G950" s="223">
        <v>45078</v>
      </c>
      <c r="H950" s="223">
        <v>45078</v>
      </c>
      <c r="I950" s="223">
        <v>46904</v>
      </c>
      <c r="J950" s="3">
        <v>350</v>
      </c>
      <c r="K950" s="3" t="s">
        <v>10</v>
      </c>
      <c r="L950" s="3" t="s">
        <v>10</v>
      </c>
      <c r="M950" s="95" t="s">
        <v>27</v>
      </c>
      <c r="N950" s="3" t="s">
        <v>28</v>
      </c>
      <c r="O950" s="3" t="s">
        <v>651</v>
      </c>
      <c r="P950" s="3" t="s">
        <v>6</v>
      </c>
      <c r="Q950" s="3" t="s">
        <v>6</v>
      </c>
      <c r="R950" s="95" t="s">
        <v>652</v>
      </c>
      <c r="S950" s="223" t="s">
        <v>5</v>
      </c>
      <c r="T950" s="223" t="s">
        <v>5</v>
      </c>
      <c r="U950" s="223" t="s">
        <v>5</v>
      </c>
      <c r="V950" s="223" t="s">
        <v>5</v>
      </c>
      <c r="W950" s="223" t="s">
        <v>5</v>
      </c>
      <c r="X950" s="3" t="s">
        <v>5</v>
      </c>
      <c r="Y950" s="3" t="s">
        <v>651</v>
      </c>
      <c r="Z950" s="3" t="s">
        <v>651</v>
      </c>
      <c r="AA950" s="3" t="s">
        <v>10</v>
      </c>
      <c r="AB950" s="223" t="s">
        <v>5</v>
      </c>
      <c r="AC950" s="3" t="s">
        <v>10</v>
      </c>
      <c r="AD950" s="3" t="s">
        <v>10</v>
      </c>
      <c r="AE950" s="95" t="s">
        <v>2263</v>
      </c>
    </row>
    <row r="951" spans="1:31" x14ac:dyDescent="0.35">
      <c r="A951" s="3" t="s">
        <v>417</v>
      </c>
      <c r="B951" s="3" t="s">
        <v>415</v>
      </c>
      <c r="C951" s="3">
        <v>8</v>
      </c>
      <c r="D951" s="95" t="s">
        <v>2044</v>
      </c>
      <c r="E951" s="95" t="s">
        <v>2272</v>
      </c>
      <c r="F951" s="95" t="s">
        <v>437</v>
      </c>
      <c r="G951" s="223">
        <v>44211</v>
      </c>
      <c r="H951" s="223">
        <v>44256</v>
      </c>
      <c r="I951" s="223">
        <v>46081</v>
      </c>
      <c r="J951" s="3">
        <v>1</v>
      </c>
      <c r="K951" s="3" t="s">
        <v>6</v>
      </c>
      <c r="L951" s="3" t="s">
        <v>6</v>
      </c>
      <c r="M951" s="95" t="s">
        <v>27</v>
      </c>
      <c r="N951" s="3" t="s">
        <v>28</v>
      </c>
      <c r="O951" s="3" t="s">
        <v>25</v>
      </c>
      <c r="P951" s="3" t="s">
        <v>6</v>
      </c>
      <c r="Q951" s="3" t="s">
        <v>6</v>
      </c>
      <c r="R951" s="95" t="s">
        <v>22</v>
      </c>
      <c r="S951" s="223">
        <v>43374</v>
      </c>
      <c r="T951" s="223">
        <v>43553</v>
      </c>
      <c r="U951" s="223">
        <v>43009</v>
      </c>
      <c r="V951" s="223">
        <v>43009</v>
      </c>
      <c r="W951" s="223" t="s">
        <v>6</v>
      </c>
      <c r="X951" s="3" t="s">
        <v>26</v>
      </c>
      <c r="Y951" s="3" t="s">
        <v>2100</v>
      </c>
      <c r="Z951" s="3" t="s">
        <v>28</v>
      </c>
      <c r="AA951" s="3" t="s">
        <v>6</v>
      </c>
      <c r="AB951" s="223">
        <v>42159</v>
      </c>
      <c r="AC951" s="3" t="s">
        <v>6</v>
      </c>
      <c r="AD951" s="3" t="s">
        <v>10</v>
      </c>
      <c r="AE951" s="95" t="s">
        <v>2263</v>
      </c>
    </row>
    <row r="952" spans="1:31" x14ac:dyDescent="0.35">
      <c r="A952" s="3" t="s">
        <v>1821</v>
      </c>
      <c r="B952" s="3" t="s">
        <v>415</v>
      </c>
      <c r="C952" s="3">
        <v>8</v>
      </c>
      <c r="D952" s="95" t="s">
        <v>1822</v>
      </c>
      <c r="E952" s="95" t="s">
        <v>1823</v>
      </c>
      <c r="F952" s="95" t="s">
        <v>651</v>
      </c>
      <c r="G952" s="223">
        <v>39508</v>
      </c>
      <c r="H952" s="223" t="s">
        <v>5</v>
      </c>
      <c r="I952" s="223">
        <v>39508</v>
      </c>
      <c r="J952" s="3" t="s">
        <v>2266</v>
      </c>
      <c r="K952" s="3" t="s">
        <v>10</v>
      </c>
      <c r="L952" s="3" t="s">
        <v>10</v>
      </c>
      <c r="M952" s="95" t="s">
        <v>23</v>
      </c>
      <c r="N952" s="3" t="s">
        <v>24</v>
      </c>
      <c r="O952" s="3" t="s">
        <v>651</v>
      </c>
      <c r="P952" s="3" t="s">
        <v>10</v>
      </c>
      <c r="Q952" s="3" t="s">
        <v>6</v>
      </c>
      <c r="R952" s="95" t="s">
        <v>2267</v>
      </c>
      <c r="S952" s="223" t="s">
        <v>5</v>
      </c>
      <c r="T952" s="223" t="s">
        <v>5</v>
      </c>
      <c r="U952" s="223" t="s">
        <v>5</v>
      </c>
      <c r="V952" s="223" t="s">
        <v>5</v>
      </c>
      <c r="W952" s="223" t="s">
        <v>5</v>
      </c>
      <c r="X952" s="3" t="s">
        <v>5</v>
      </c>
      <c r="Y952" s="3" t="s">
        <v>651</v>
      </c>
      <c r="Z952" s="3" t="s">
        <v>651</v>
      </c>
      <c r="AA952" s="3" t="s">
        <v>651</v>
      </c>
      <c r="AB952" s="223" t="s">
        <v>5</v>
      </c>
      <c r="AC952" s="3" t="s">
        <v>651</v>
      </c>
      <c r="AD952" s="3" t="s">
        <v>651</v>
      </c>
      <c r="AE952" s="95" t="s">
        <v>651</v>
      </c>
    </row>
    <row r="953" spans="1:31" x14ac:dyDescent="0.35">
      <c r="A953" s="3" t="s">
        <v>418</v>
      </c>
      <c r="B953" s="3" t="s">
        <v>415</v>
      </c>
      <c r="C953" s="3">
        <v>8</v>
      </c>
      <c r="D953" s="95" t="s">
        <v>2045</v>
      </c>
      <c r="E953" s="95" t="s">
        <v>1912</v>
      </c>
      <c r="F953" s="95" t="s">
        <v>437</v>
      </c>
      <c r="G953" s="223">
        <v>44609</v>
      </c>
      <c r="H953" s="223">
        <v>44609</v>
      </c>
      <c r="I953" s="223">
        <v>46434</v>
      </c>
      <c r="J953" s="3">
        <v>3</v>
      </c>
      <c r="K953" s="3" t="s">
        <v>6</v>
      </c>
      <c r="L953" s="3" t="s">
        <v>6</v>
      </c>
      <c r="M953" s="95" t="s">
        <v>23</v>
      </c>
      <c r="N953" s="3" t="s">
        <v>24</v>
      </c>
      <c r="O953" s="3" t="s">
        <v>25</v>
      </c>
      <c r="P953" s="3" t="s">
        <v>6</v>
      </c>
      <c r="Q953" s="3" t="s">
        <v>6</v>
      </c>
      <c r="R953" s="95" t="s">
        <v>22</v>
      </c>
      <c r="S953" s="223">
        <v>43374</v>
      </c>
      <c r="T953" s="223">
        <v>43497</v>
      </c>
      <c r="U953" s="223">
        <v>42644</v>
      </c>
      <c r="V953" s="223">
        <v>42644</v>
      </c>
      <c r="W953" s="223" t="s">
        <v>6</v>
      </c>
      <c r="X953" s="3" t="s">
        <v>26</v>
      </c>
      <c r="Y953" s="3" t="s">
        <v>2093</v>
      </c>
      <c r="Z953" s="3" t="s">
        <v>24</v>
      </c>
      <c r="AA953" s="3" t="s">
        <v>6</v>
      </c>
      <c r="AB953" s="223">
        <v>42782</v>
      </c>
      <c r="AC953" s="3" t="s">
        <v>10</v>
      </c>
      <c r="AD953" s="3" t="s">
        <v>10</v>
      </c>
      <c r="AE953" s="95" t="s">
        <v>2263</v>
      </c>
    </row>
    <row r="954" spans="1:31" x14ac:dyDescent="0.35">
      <c r="A954" s="3" t="s">
        <v>2690</v>
      </c>
      <c r="B954" s="3" t="s">
        <v>415</v>
      </c>
      <c r="C954" s="3">
        <v>8</v>
      </c>
      <c r="D954" s="95" t="s">
        <v>366</v>
      </c>
      <c r="E954" s="95" t="s">
        <v>1820</v>
      </c>
      <c r="F954" s="95" t="s">
        <v>4</v>
      </c>
      <c r="G954" s="223">
        <v>39783</v>
      </c>
      <c r="H954" s="223">
        <v>39783</v>
      </c>
      <c r="I954" s="223">
        <v>41547</v>
      </c>
      <c r="J954" s="3">
        <v>2</v>
      </c>
      <c r="K954" s="3" t="s">
        <v>10</v>
      </c>
      <c r="L954" s="3" t="s">
        <v>10</v>
      </c>
      <c r="M954" s="95" t="s">
        <v>2555</v>
      </c>
      <c r="N954" s="3" t="s">
        <v>52</v>
      </c>
      <c r="O954" s="3" t="s">
        <v>651</v>
      </c>
      <c r="P954" s="3" t="s">
        <v>6</v>
      </c>
      <c r="Q954" s="3" t="s">
        <v>6</v>
      </c>
      <c r="R954" s="95" t="s">
        <v>652</v>
      </c>
      <c r="S954" s="223" t="s">
        <v>5</v>
      </c>
      <c r="T954" s="223" t="s">
        <v>5</v>
      </c>
      <c r="U954" s="223" t="s">
        <v>5</v>
      </c>
      <c r="V954" s="223" t="s">
        <v>5</v>
      </c>
      <c r="W954" s="223" t="s">
        <v>5</v>
      </c>
      <c r="X954" s="3" t="s">
        <v>5</v>
      </c>
      <c r="Y954" s="3" t="s">
        <v>651</v>
      </c>
      <c r="Z954" s="3" t="s">
        <v>651</v>
      </c>
      <c r="AA954" s="3" t="s">
        <v>10</v>
      </c>
      <c r="AB954" s="223" t="s">
        <v>5</v>
      </c>
      <c r="AC954" s="3" t="s">
        <v>10</v>
      </c>
      <c r="AD954" s="3" t="s">
        <v>6</v>
      </c>
      <c r="AE954" s="95" t="s">
        <v>2265</v>
      </c>
    </row>
    <row r="955" spans="1:31" x14ac:dyDescent="0.35">
      <c r="A955" s="3" t="s">
        <v>1824</v>
      </c>
      <c r="B955" s="3" t="s">
        <v>415</v>
      </c>
      <c r="C955" s="3">
        <v>8</v>
      </c>
      <c r="D955" s="95" t="s">
        <v>247</v>
      </c>
      <c r="E955" s="95" t="s">
        <v>1823</v>
      </c>
      <c r="F955" s="95" t="s">
        <v>4</v>
      </c>
      <c r="G955" s="223">
        <v>44085</v>
      </c>
      <c r="H955" s="223">
        <v>44085</v>
      </c>
      <c r="I955" s="223">
        <v>45870</v>
      </c>
      <c r="J955" s="3">
        <v>429</v>
      </c>
      <c r="K955" s="3" t="s">
        <v>10</v>
      </c>
      <c r="L955" s="3" t="s">
        <v>10</v>
      </c>
      <c r="M955" s="95" t="s">
        <v>23</v>
      </c>
      <c r="N955" s="3" t="s">
        <v>24</v>
      </c>
      <c r="O955" s="3" t="s">
        <v>651</v>
      </c>
      <c r="P955" s="3" t="s">
        <v>6</v>
      </c>
      <c r="Q955" s="3" t="s">
        <v>6</v>
      </c>
      <c r="R955" s="95" t="s">
        <v>652</v>
      </c>
      <c r="S955" s="223" t="s">
        <v>5</v>
      </c>
      <c r="T955" s="223" t="s">
        <v>5</v>
      </c>
      <c r="U955" s="223" t="s">
        <v>5</v>
      </c>
      <c r="V955" s="223" t="s">
        <v>5</v>
      </c>
      <c r="W955" s="223" t="s">
        <v>5</v>
      </c>
      <c r="X955" s="3" t="s">
        <v>5</v>
      </c>
      <c r="Y955" s="3" t="s">
        <v>651</v>
      </c>
      <c r="Z955" s="3" t="s">
        <v>651</v>
      </c>
      <c r="AA955" s="3" t="s">
        <v>10</v>
      </c>
      <c r="AB955" s="223" t="s">
        <v>5</v>
      </c>
      <c r="AC955" s="3" t="s">
        <v>6</v>
      </c>
      <c r="AD955" s="3" t="s">
        <v>10</v>
      </c>
      <c r="AE955" s="95" t="s">
        <v>2263</v>
      </c>
    </row>
    <row r="956" spans="1:31" x14ac:dyDescent="0.35">
      <c r="A956" s="3" t="s">
        <v>1825</v>
      </c>
      <c r="B956" s="3" t="s">
        <v>415</v>
      </c>
      <c r="C956" s="3">
        <v>8</v>
      </c>
      <c r="D956" s="95" t="s">
        <v>1826</v>
      </c>
      <c r="E956" s="95" t="s">
        <v>2691</v>
      </c>
      <c r="F956" s="95" t="s">
        <v>4</v>
      </c>
      <c r="G956" s="223">
        <v>45636</v>
      </c>
      <c r="H956" s="223">
        <v>45658</v>
      </c>
      <c r="I956" s="223">
        <v>47483</v>
      </c>
      <c r="J956" s="3">
        <v>437</v>
      </c>
      <c r="K956" s="3" t="s">
        <v>10</v>
      </c>
      <c r="L956" s="3" t="s">
        <v>10</v>
      </c>
      <c r="M956" s="95" t="s">
        <v>27</v>
      </c>
      <c r="N956" s="3" t="s">
        <v>115</v>
      </c>
      <c r="O956" s="3" t="s">
        <v>651</v>
      </c>
      <c r="P956" s="3" t="s">
        <v>6</v>
      </c>
      <c r="Q956" s="3" t="s">
        <v>6</v>
      </c>
      <c r="R956" s="95" t="s">
        <v>652</v>
      </c>
      <c r="S956" s="223" t="s">
        <v>5</v>
      </c>
      <c r="T956" s="223" t="s">
        <v>5</v>
      </c>
      <c r="U956" s="223" t="s">
        <v>5</v>
      </c>
      <c r="V956" s="223" t="s">
        <v>5</v>
      </c>
      <c r="W956" s="223" t="s">
        <v>5</v>
      </c>
      <c r="X956" s="3" t="s">
        <v>5</v>
      </c>
      <c r="Y956" s="3" t="s">
        <v>651</v>
      </c>
      <c r="Z956" s="3" t="s">
        <v>651</v>
      </c>
      <c r="AA956" s="3" t="s">
        <v>10</v>
      </c>
      <c r="AB956" s="223" t="s">
        <v>5</v>
      </c>
      <c r="AC956" s="3" t="s">
        <v>10</v>
      </c>
      <c r="AD956" s="3" t="s">
        <v>10</v>
      </c>
      <c r="AE956" s="95" t="s">
        <v>2263</v>
      </c>
    </row>
    <row r="958" spans="1:31" x14ac:dyDescent="0.35">
      <c r="F958" s="224"/>
      <c r="R958" s="224"/>
      <c r="W958" s="3"/>
      <c r="AE958" s="3"/>
    </row>
    <row r="959" spans="1:31" x14ac:dyDescent="0.35">
      <c r="L959" s="95"/>
      <c r="M959" s="3"/>
      <c r="Q959" s="95"/>
      <c r="R959" s="223"/>
      <c r="W959" s="3"/>
      <c r="AA959" s="223"/>
      <c r="AB959" s="3"/>
      <c r="AD959" s="95"/>
      <c r="AE959" s="3"/>
    </row>
  </sheetData>
  <sortState xmlns:xlrd2="http://schemas.microsoft.com/office/spreadsheetml/2017/richdata2" ref="A2:AE956">
    <sortCondition ref="A2:A956"/>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EB298-8096-403C-9062-1EFC2E30A2E8}">
  <dimension ref="A1:O414"/>
  <sheetViews>
    <sheetView zoomScale="70" zoomScaleNormal="70" workbookViewId="0"/>
  </sheetViews>
  <sheetFormatPr defaultRowHeight="14.5" x14ac:dyDescent="0.35"/>
  <cols>
    <col min="1" max="1" width="11.1796875" style="3" bestFit="1" customWidth="1"/>
    <col min="2" max="2" width="23.7265625" style="3" bestFit="1" customWidth="1"/>
    <col min="3" max="3" width="10.1796875" style="3" bestFit="1" customWidth="1"/>
    <col min="4" max="4" width="44.7265625" style="95" bestFit="1" customWidth="1"/>
    <col min="5" max="5" width="24" style="3" bestFit="1" customWidth="1"/>
    <col min="6" max="6" width="15.6328125" style="3" bestFit="1" customWidth="1"/>
    <col min="7" max="7" width="16.36328125" style="3" bestFit="1" customWidth="1"/>
    <col min="8" max="8" width="19.7265625" style="3" bestFit="1" customWidth="1"/>
    <col min="9" max="9" width="66.36328125" style="95" bestFit="1" customWidth="1"/>
    <col min="10" max="10" width="21.26953125" style="3" bestFit="1" customWidth="1"/>
    <col min="11" max="11" width="33.6328125" style="230" bestFit="1" customWidth="1"/>
    <col min="12" max="12" width="30.90625" style="3" bestFit="1" customWidth="1"/>
    <col min="13" max="13" width="21.7265625" style="3" bestFit="1" customWidth="1"/>
    <col min="14" max="14" width="17.1796875" style="3" bestFit="1" customWidth="1"/>
    <col min="15" max="15" width="28.36328125" style="225" bestFit="1" customWidth="1"/>
  </cols>
  <sheetData>
    <row r="1" spans="1:15" s="213" customFormat="1" ht="45" customHeight="1" x14ac:dyDescent="0.35">
      <c r="A1" s="212" t="s">
        <v>2698</v>
      </c>
      <c r="B1" s="212" t="s">
        <v>2699</v>
      </c>
      <c r="C1" s="212" t="s">
        <v>0</v>
      </c>
      <c r="D1" s="212" t="s">
        <v>530</v>
      </c>
      <c r="E1" s="212" t="s">
        <v>2700</v>
      </c>
      <c r="F1" s="212" t="s">
        <v>531</v>
      </c>
      <c r="G1" s="212" t="s">
        <v>2695</v>
      </c>
      <c r="H1" s="212" t="s">
        <v>2701</v>
      </c>
      <c r="I1" s="212" t="s">
        <v>2696</v>
      </c>
      <c r="J1" s="212" t="s">
        <v>2915</v>
      </c>
      <c r="K1" s="229" t="s">
        <v>2697</v>
      </c>
      <c r="L1" s="212" t="s">
        <v>1</v>
      </c>
      <c r="M1" s="212" t="s">
        <v>2916</v>
      </c>
      <c r="N1" s="212" t="s">
        <v>2917</v>
      </c>
      <c r="O1" s="222" t="s">
        <v>2918</v>
      </c>
    </row>
    <row r="2" spans="1:15" x14ac:dyDescent="0.35">
      <c r="A2" s="3" t="s">
        <v>3</v>
      </c>
      <c r="B2" s="3" t="s">
        <v>560</v>
      </c>
      <c r="C2" s="3">
        <v>10</v>
      </c>
      <c r="D2" s="95" t="s">
        <v>541</v>
      </c>
      <c r="E2" s="3" t="s">
        <v>10</v>
      </c>
      <c r="F2" s="3" t="s">
        <v>10</v>
      </c>
      <c r="G2" s="3" t="s">
        <v>6</v>
      </c>
      <c r="H2" s="3">
        <v>4</v>
      </c>
      <c r="I2" s="95" t="s">
        <v>5</v>
      </c>
      <c r="J2" s="3" t="s">
        <v>10</v>
      </c>
      <c r="K2" s="230" t="s">
        <v>5</v>
      </c>
      <c r="L2" s="3" t="s">
        <v>174</v>
      </c>
      <c r="M2" s="3" t="s">
        <v>651</v>
      </c>
      <c r="N2" s="3" t="s">
        <v>651</v>
      </c>
      <c r="O2" s="225" t="s">
        <v>651</v>
      </c>
    </row>
    <row r="3" spans="1:15" x14ac:dyDescent="0.35">
      <c r="A3" s="3" t="s">
        <v>3</v>
      </c>
      <c r="B3" s="3" t="s">
        <v>560</v>
      </c>
      <c r="C3" s="3">
        <v>10</v>
      </c>
      <c r="D3" s="95" t="s">
        <v>548</v>
      </c>
      <c r="E3" s="3" t="s">
        <v>6</v>
      </c>
      <c r="F3" s="3" t="s">
        <v>6</v>
      </c>
      <c r="G3" s="3" t="s">
        <v>10</v>
      </c>
      <c r="H3" s="3">
        <v>3</v>
      </c>
      <c r="I3" s="95" t="s">
        <v>437</v>
      </c>
      <c r="J3" s="3" t="s">
        <v>6</v>
      </c>
      <c r="K3" s="230">
        <v>42734</v>
      </c>
      <c r="L3" s="3" t="s">
        <v>2737</v>
      </c>
      <c r="M3" s="3" t="s">
        <v>49</v>
      </c>
      <c r="N3" s="3" t="s">
        <v>6</v>
      </c>
      <c r="O3" s="225" t="s">
        <v>26</v>
      </c>
    </row>
    <row r="4" spans="1:15" x14ac:dyDescent="0.35">
      <c r="A4" s="3" t="s">
        <v>3</v>
      </c>
      <c r="B4" s="3" t="s">
        <v>560</v>
      </c>
      <c r="C4" s="3">
        <v>10</v>
      </c>
      <c r="D4" s="95" t="s">
        <v>533</v>
      </c>
      <c r="E4" s="3" t="s">
        <v>10</v>
      </c>
      <c r="F4" s="3" t="s">
        <v>10</v>
      </c>
      <c r="G4" s="3" t="s">
        <v>6</v>
      </c>
      <c r="H4" s="3">
        <v>0</v>
      </c>
      <c r="I4" s="95" t="s">
        <v>651</v>
      </c>
      <c r="J4" s="3" t="s">
        <v>651</v>
      </c>
      <c r="K4" s="230" t="s">
        <v>5</v>
      </c>
      <c r="L4" s="3" t="s">
        <v>315</v>
      </c>
      <c r="M4" s="3" t="s">
        <v>651</v>
      </c>
      <c r="N4" s="3" t="s">
        <v>651</v>
      </c>
      <c r="O4" s="225" t="s">
        <v>651</v>
      </c>
    </row>
    <row r="5" spans="1:15" x14ac:dyDescent="0.35">
      <c r="A5" s="3" t="s">
        <v>3</v>
      </c>
      <c r="B5" s="3" t="s">
        <v>560</v>
      </c>
      <c r="C5" s="3">
        <v>10</v>
      </c>
      <c r="D5" s="95" t="s">
        <v>534</v>
      </c>
      <c r="E5" s="3" t="s">
        <v>10</v>
      </c>
      <c r="F5" s="3" t="s">
        <v>10</v>
      </c>
      <c r="G5" s="3" t="s">
        <v>6</v>
      </c>
      <c r="H5" s="3">
        <v>7</v>
      </c>
      <c r="I5" s="95" t="s">
        <v>2747</v>
      </c>
      <c r="J5" s="3" t="s">
        <v>6</v>
      </c>
      <c r="K5" s="230">
        <v>45108</v>
      </c>
      <c r="L5" s="3" t="s">
        <v>52</v>
      </c>
      <c r="M5" s="3" t="s">
        <v>651</v>
      </c>
      <c r="N5" s="3" t="s">
        <v>651</v>
      </c>
      <c r="O5" s="225" t="s">
        <v>651</v>
      </c>
    </row>
    <row r="6" spans="1:15" x14ac:dyDescent="0.35">
      <c r="A6" s="3" t="s">
        <v>3</v>
      </c>
      <c r="B6" s="3" t="s">
        <v>560</v>
      </c>
      <c r="C6" s="3">
        <v>10</v>
      </c>
      <c r="D6" s="95" t="s">
        <v>542</v>
      </c>
      <c r="E6" s="3" t="s">
        <v>10</v>
      </c>
      <c r="F6" s="3" t="s">
        <v>10</v>
      </c>
      <c r="G6" s="3" t="s">
        <v>6</v>
      </c>
      <c r="H6" s="3">
        <v>2</v>
      </c>
      <c r="I6" s="95" t="s">
        <v>5</v>
      </c>
      <c r="J6" s="3" t="s">
        <v>10</v>
      </c>
      <c r="K6" s="230" t="s">
        <v>5</v>
      </c>
      <c r="L6" s="3" t="s">
        <v>2737</v>
      </c>
      <c r="M6" s="3" t="s">
        <v>651</v>
      </c>
      <c r="N6" s="3" t="s">
        <v>651</v>
      </c>
      <c r="O6" s="225" t="s">
        <v>651</v>
      </c>
    </row>
    <row r="7" spans="1:15" x14ac:dyDescent="0.35">
      <c r="A7" s="3" t="s">
        <v>3</v>
      </c>
      <c r="B7" s="3" t="s">
        <v>560</v>
      </c>
      <c r="C7" s="3">
        <v>10</v>
      </c>
      <c r="D7" s="95" t="s">
        <v>537</v>
      </c>
      <c r="E7" s="3" t="s">
        <v>10</v>
      </c>
      <c r="F7" s="3" t="s">
        <v>10</v>
      </c>
      <c r="G7" s="3" t="s">
        <v>6</v>
      </c>
      <c r="H7" s="3">
        <v>140</v>
      </c>
      <c r="I7" s="95" t="s">
        <v>2747</v>
      </c>
      <c r="J7" s="3" t="s">
        <v>6</v>
      </c>
      <c r="K7" s="230">
        <v>45536</v>
      </c>
      <c r="L7" s="3" t="s">
        <v>2737</v>
      </c>
      <c r="M7" s="3" t="s">
        <v>651</v>
      </c>
      <c r="N7" s="3" t="s">
        <v>651</v>
      </c>
      <c r="O7" s="225" t="s">
        <v>651</v>
      </c>
    </row>
    <row r="8" spans="1:15" x14ac:dyDescent="0.35">
      <c r="A8" s="3" t="s">
        <v>3</v>
      </c>
      <c r="B8" s="3" t="s">
        <v>560</v>
      </c>
      <c r="C8" s="3">
        <v>10</v>
      </c>
      <c r="D8" s="95" t="s">
        <v>535</v>
      </c>
      <c r="E8" s="3" t="s">
        <v>10</v>
      </c>
      <c r="F8" s="3" t="s">
        <v>10</v>
      </c>
      <c r="G8" s="3" t="s">
        <v>6</v>
      </c>
      <c r="H8" s="3">
        <v>5</v>
      </c>
      <c r="I8" s="95" t="s">
        <v>651</v>
      </c>
      <c r="J8" s="3" t="s">
        <v>651</v>
      </c>
      <c r="K8" s="230" t="s">
        <v>5</v>
      </c>
      <c r="L8" s="3" t="s">
        <v>2737</v>
      </c>
      <c r="M8" s="3" t="s">
        <v>651</v>
      </c>
      <c r="N8" s="3" t="s">
        <v>651</v>
      </c>
      <c r="O8" s="225" t="s">
        <v>651</v>
      </c>
    </row>
    <row r="9" spans="1:15" x14ac:dyDescent="0.35">
      <c r="A9" s="3" t="s">
        <v>30</v>
      </c>
      <c r="B9" s="3" t="s">
        <v>561</v>
      </c>
      <c r="C9" s="3">
        <v>4</v>
      </c>
      <c r="D9" s="95" t="s">
        <v>541</v>
      </c>
      <c r="E9" s="3" t="s">
        <v>10</v>
      </c>
      <c r="F9" s="3" t="s">
        <v>10</v>
      </c>
      <c r="G9" s="3" t="s">
        <v>6</v>
      </c>
      <c r="H9" s="3">
        <v>20</v>
      </c>
      <c r="I9" s="95" t="s">
        <v>5</v>
      </c>
      <c r="J9" s="3" t="s">
        <v>10</v>
      </c>
      <c r="K9" s="230" t="s">
        <v>5</v>
      </c>
      <c r="L9" s="3" t="s">
        <v>174</v>
      </c>
      <c r="M9" s="3" t="s">
        <v>651</v>
      </c>
      <c r="N9" s="3" t="s">
        <v>651</v>
      </c>
      <c r="O9" s="225" t="s">
        <v>651</v>
      </c>
    </row>
    <row r="10" spans="1:15" x14ac:dyDescent="0.35">
      <c r="A10" s="3" t="s">
        <v>30</v>
      </c>
      <c r="B10" s="3" t="s">
        <v>561</v>
      </c>
      <c r="C10" s="3">
        <v>4</v>
      </c>
      <c r="D10" s="95" t="s">
        <v>548</v>
      </c>
      <c r="E10" s="3" t="s">
        <v>6</v>
      </c>
      <c r="F10" s="3" t="s">
        <v>6</v>
      </c>
      <c r="G10" s="3" t="s">
        <v>10</v>
      </c>
      <c r="H10" s="3">
        <v>56</v>
      </c>
      <c r="I10" s="95" t="s">
        <v>437</v>
      </c>
      <c r="J10" s="3" t="s">
        <v>6</v>
      </c>
      <c r="K10" s="230">
        <v>42734</v>
      </c>
      <c r="L10" s="3" t="s">
        <v>2737</v>
      </c>
      <c r="M10" s="3" t="s">
        <v>49</v>
      </c>
      <c r="N10" s="3" t="s">
        <v>6</v>
      </c>
      <c r="O10" s="225" t="s">
        <v>26</v>
      </c>
    </row>
    <row r="11" spans="1:15" x14ac:dyDescent="0.35">
      <c r="A11" s="3" t="s">
        <v>30</v>
      </c>
      <c r="B11" s="3" t="s">
        <v>561</v>
      </c>
      <c r="C11" s="3">
        <v>4</v>
      </c>
      <c r="D11" s="95" t="s">
        <v>533</v>
      </c>
      <c r="E11" s="3" t="s">
        <v>10</v>
      </c>
      <c r="F11" s="3" t="s">
        <v>10</v>
      </c>
      <c r="G11" s="3" t="s">
        <v>6</v>
      </c>
      <c r="H11" s="3">
        <v>5</v>
      </c>
      <c r="I11" s="95" t="s">
        <v>5</v>
      </c>
      <c r="J11" s="3" t="s">
        <v>10</v>
      </c>
      <c r="K11" s="230" t="s">
        <v>5</v>
      </c>
      <c r="L11" s="3" t="s">
        <v>315</v>
      </c>
      <c r="M11" s="3" t="s">
        <v>651</v>
      </c>
      <c r="N11" s="3" t="s">
        <v>651</v>
      </c>
      <c r="O11" s="225" t="s">
        <v>651</v>
      </c>
    </row>
    <row r="12" spans="1:15" x14ac:dyDescent="0.35">
      <c r="A12" s="3" t="s">
        <v>30</v>
      </c>
      <c r="B12" s="3" t="s">
        <v>561</v>
      </c>
      <c r="C12" s="3">
        <v>4</v>
      </c>
      <c r="D12" s="95" t="s">
        <v>534</v>
      </c>
      <c r="E12" s="3" t="s">
        <v>10</v>
      </c>
      <c r="F12" s="3" t="s">
        <v>10</v>
      </c>
      <c r="G12" s="3" t="s">
        <v>6</v>
      </c>
      <c r="H12" s="3">
        <v>81</v>
      </c>
      <c r="I12" s="95" t="s">
        <v>5</v>
      </c>
      <c r="J12" s="3" t="s">
        <v>10</v>
      </c>
      <c r="K12" s="230" t="s">
        <v>5</v>
      </c>
      <c r="L12" s="3" t="s">
        <v>52</v>
      </c>
      <c r="M12" s="3" t="s">
        <v>651</v>
      </c>
      <c r="N12" s="3" t="s">
        <v>651</v>
      </c>
      <c r="O12" s="225" t="s">
        <v>651</v>
      </c>
    </row>
    <row r="13" spans="1:15" x14ac:dyDescent="0.35">
      <c r="A13" s="3" t="s">
        <v>30</v>
      </c>
      <c r="B13" s="3" t="s">
        <v>561</v>
      </c>
      <c r="C13" s="3">
        <v>4</v>
      </c>
      <c r="D13" s="95" t="s">
        <v>542</v>
      </c>
      <c r="E13" s="3" t="s">
        <v>10</v>
      </c>
      <c r="F13" s="3" t="s">
        <v>10</v>
      </c>
      <c r="G13" s="3" t="s">
        <v>6</v>
      </c>
      <c r="H13" s="3">
        <v>0</v>
      </c>
      <c r="I13" s="95" t="s">
        <v>651</v>
      </c>
      <c r="J13" s="3" t="s">
        <v>651</v>
      </c>
      <c r="K13" s="230" t="s">
        <v>5</v>
      </c>
      <c r="L13" s="3" t="s">
        <v>2737</v>
      </c>
      <c r="M13" s="3" t="s">
        <v>651</v>
      </c>
      <c r="N13" s="3" t="s">
        <v>651</v>
      </c>
      <c r="O13" s="225" t="s">
        <v>651</v>
      </c>
    </row>
    <row r="14" spans="1:15" x14ac:dyDescent="0.35">
      <c r="A14" s="3" t="s">
        <v>30</v>
      </c>
      <c r="B14" s="3" t="s">
        <v>561</v>
      </c>
      <c r="C14" s="3">
        <v>4</v>
      </c>
      <c r="D14" s="95" t="s">
        <v>537</v>
      </c>
      <c r="E14" s="3" t="s">
        <v>10</v>
      </c>
      <c r="F14" s="3" t="s">
        <v>10</v>
      </c>
      <c r="G14" s="3" t="s">
        <v>6</v>
      </c>
      <c r="H14" s="3">
        <v>388</v>
      </c>
      <c r="I14" s="95" t="s">
        <v>3301</v>
      </c>
      <c r="J14" s="3" t="s">
        <v>6</v>
      </c>
      <c r="K14" s="230">
        <v>41821</v>
      </c>
      <c r="L14" s="3" t="s">
        <v>2737</v>
      </c>
      <c r="M14" s="3" t="s">
        <v>651</v>
      </c>
      <c r="N14" s="3" t="s">
        <v>651</v>
      </c>
      <c r="O14" s="225" t="s">
        <v>651</v>
      </c>
    </row>
    <row r="15" spans="1:15" x14ac:dyDescent="0.35">
      <c r="A15" s="3" t="s">
        <v>30</v>
      </c>
      <c r="B15" s="3" t="s">
        <v>561</v>
      </c>
      <c r="C15" s="3">
        <v>4</v>
      </c>
      <c r="D15" s="95" t="s">
        <v>535</v>
      </c>
      <c r="E15" s="3" t="s">
        <v>10</v>
      </c>
      <c r="F15" s="3" t="s">
        <v>10</v>
      </c>
      <c r="G15" s="3" t="s">
        <v>6</v>
      </c>
      <c r="H15" s="3">
        <v>323</v>
      </c>
      <c r="I15" s="95" t="s">
        <v>2960</v>
      </c>
      <c r="J15" s="3" t="s">
        <v>6</v>
      </c>
      <c r="K15" s="230">
        <v>44515</v>
      </c>
      <c r="L15" s="3" t="s">
        <v>2737</v>
      </c>
      <c r="M15" s="3" t="s">
        <v>651</v>
      </c>
      <c r="N15" s="3" t="s">
        <v>651</v>
      </c>
      <c r="O15" s="225" t="s">
        <v>651</v>
      </c>
    </row>
    <row r="16" spans="1:15" x14ac:dyDescent="0.35">
      <c r="A16" s="3" t="s">
        <v>562</v>
      </c>
      <c r="B16" s="3" t="s">
        <v>563</v>
      </c>
      <c r="C16" s="3">
        <v>6</v>
      </c>
      <c r="D16" s="95" t="s">
        <v>541</v>
      </c>
      <c r="E16" s="3" t="s">
        <v>10</v>
      </c>
      <c r="F16" s="3" t="s">
        <v>10</v>
      </c>
      <c r="G16" s="3" t="s">
        <v>6</v>
      </c>
      <c r="H16" s="3">
        <v>11</v>
      </c>
      <c r="I16" s="95" t="s">
        <v>5</v>
      </c>
      <c r="J16" s="3" t="s">
        <v>10</v>
      </c>
      <c r="K16" s="230" t="s">
        <v>5</v>
      </c>
      <c r="L16" s="3" t="s">
        <v>174</v>
      </c>
      <c r="M16" s="3" t="s">
        <v>651</v>
      </c>
      <c r="N16" s="3" t="s">
        <v>651</v>
      </c>
      <c r="O16" s="225" t="s">
        <v>651</v>
      </c>
    </row>
    <row r="17" spans="1:15" x14ac:dyDescent="0.35">
      <c r="A17" s="3" t="s">
        <v>562</v>
      </c>
      <c r="B17" s="3" t="s">
        <v>563</v>
      </c>
      <c r="C17" s="3">
        <v>6</v>
      </c>
      <c r="D17" s="95" t="s">
        <v>548</v>
      </c>
      <c r="E17" s="3" t="s">
        <v>6</v>
      </c>
      <c r="F17" s="3" t="s">
        <v>6</v>
      </c>
      <c r="G17" s="3" t="s">
        <v>10</v>
      </c>
      <c r="H17" s="3">
        <v>35</v>
      </c>
      <c r="I17" s="95" t="s">
        <v>437</v>
      </c>
      <c r="J17" s="3" t="s">
        <v>6</v>
      </c>
      <c r="K17" s="230">
        <v>42734</v>
      </c>
      <c r="L17" s="3" t="s">
        <v>2737</v>
      </c>
      <c r="M17" s="3" t="s">
        <v>49</v>
      </c>
      <c r="N17" s="3" t="s">
        <v>6</v>
      </c>
      <c r="O17" s="225" t="s">
        <v>26</v>
      </c>
    </row>
    <row r="18" spans="1:15" x14ac:dyDescent="0.35">
      <c r="A18" s="3" t="s">
        <v>562</v>
      </c>
      <c r="B18" s="3" t="s">
        <v>563</v>
      </c>
      <c r="C18" s="3">
        <v>6</v>
      </c>
      <c r="D18" s="95" t="s">
        <v>533</v>
      </c>
      <c r="E18" s="3" t="s">
        <v>10</v>
      </c>
      <c r="F18" s="3" t="s">
        <v>10</v>
      </c>
      <c r="G18" s="3" t="s">
        <v>6</v>
      </c>
      <c r="H18" s="3">
        <v>0</v>
      </c>
      <c r="I18" s="95" t="s">
        <v>651</v>
      </c>
      <c r="J18" s="3" t="s">
        <v>651</v>
      </c>
      <c r="K18" s="230" t="s">
        <v>5</v>
      </c>
      <c r="L18" s="3" t="s">
        <v>315</v>
      </c>
      <c r="M18" s="3" t="s">
        <v>651</v>
      </c>
      <c r="N18" s="3" t="s">
        <v>651</v>
      </c>
      <c r="O18" s="225" t="s">
        <v>651</v>
      </c>
    </row>
    <row r="19" spans="1:15" x14ac:dyDescent="0.35">
      <c r="A19" s="3" t="s">
        <v>562</v>
      </c>
      <c r="B19" s="3" t="s">
        <v>563</v>
      </c>
      <c r="C19" s="3">
        <v>6</v>
      </c>
      <c r="D19" s="95" t="s">
        <v>534</v>
      </c>
      <c r="E19" s="3" t="s">
        <v>10</v>
      </c>
      <c r="F19" s="3" t="s">
        <v>10</v>
      </c>
      <c r="G19" s="3" t="s">
        <v>6</v>
      </c>
      <c r="H19" s="3">
        <v>63</v>
      </c>
      <c r="I19" s="95" t="s">
        <v>5</v>
      </c>
      <c r="J19" s="3" t="s">
        <v>10</v>
      </c>
      <c r="K19" s="230" t="s">
        <v>5</v>
      </c>
      <c r="L19" s="3" t="s">
        <v>52</v>
      </c>
      <c r="M19" s="3" t="s">
        <v>651</v>
      </c>
      <c r="N19" s="3" t="s">
        <v>651</v>
      </c>
      <c r="O19" s="225" t="s">
        <v>651</v>
      </c>
    </row>
    <row r="20" spans="1:15" x14ac:dyDescent="0.35">
      <c r="A20" s="3" t="s">
        <v>562</v>
      </c>
      <c r="B20" s="3" t="s">
        <v>563</v>
      </c>
      <c r="C20" s="3">
        <v>6</v>
      </c>
      <c r="D20" s="95" t="s">
        <v>542</v>
      </c>
      <c r="E20" s="3" t="s">
        <v>10</v>
      </c>
      <c r="F20" s="3" t="s">
        <v>10</v>
      </c>
      <c r="G20" s="3" t="s">
        <v>6</v>
      </c>
      <c r="H20" s="3">
        <v>23</v>
      </c>
      <c r="I20" s="95" t="s">
        <v>5</v>
      </c>
      <c r="J20" s="3" t="s">
        <v>10</v>
      </c>
      <c r="K20" s="230" t="s">
        <v>5</v>
      </c>
      <c r="L20" s="3" t="s">
        <v>2737</v>
      </c>
      <c r="M20" s="3" t="s">
        <v>651</v>
      </c>
      <c r="N20" s="3" t="s">
        <v>651</v>
      </c>
      <c r="O20" s="225" t="s">
        <v>651</v>
      </c>
    </row>
    <row r="21" spans="1:15" x14ac:dyDescent="0.35">
      <c r="A21" s="3" t="s">
        <v>562</v>
      </c>
      <c r="B21" s="3" t="s">
        <v>563</v>
      </c>
      <c r="C21" s="3">
        <v>6</v>
      </c>
      <c r="D21" s="95" t="s">
        <v>537</v>
      </c>
      <c r="E21" s="3" t="s">
        <v>10</v>
      </c>
      <c r="F21" s="3" t="s">
        <v>10</v>
      </c>
      <c r="G21" s="3" t="s">
        <v>6</v>
      </c>
      <c r="H21" s="3">
        <v>383</v>
      </c>
      <c r="I21" s="95" t="s">
        <v>5</v>
      </c>
      <c r="J21" s="3" t="s">
        <v>10</v>
      </c>
      <c r="K21" s="230" t="s">
        <v>5</v>
      </c>
      <c r="L21" s="3" t="s">
        <v>2737</v>
      </c>
      <c r="M21" s="3" t="s">
        <v>651</v>
      </c>
      <c r="N21" s="3" t="s">
        <v>651</v>
      </c>
      <c r="O21" s="225" t="s">
        <v>651</v>
      </c>
    </row>
    <row r="22" spans="1:15" x14ac:dyDescent="0.35">
      <c r="A22" s="3" t="s">
        <v>562</v>
      </c>
      <c r="B22" s="3" t="s">
        <v>563</v>
      </c>
      <c r="C22" s="3">
        <v>6</v>
      </c>
      <c r="D22" s="95" t="s">
        <v>535</v>
      </c>
      <c r="E22" s="3" t="s">
        <v>10</v>
      </c>
      <c r="F22" s="3" t="s">
        <v>10</v>
      </c>
      <c r="G22" s="3" t="s">
        <v>6</v>
      </c>
      <c r="H22" s="3">
        <v>20</v>
      </c>
      <c r="I22" s="95" t="s">
        <v>5</v>
      </c>
      <c r="J22" s="3" t="s">
        <v>10</v>
      </c>
      <c r="K22" s="230" t="s">
        <v>5</v>
      </c>
      <c r="L22" s="3" t="s">
        <v>2737</v>
      </c>
      <c r="M22" s="3" t="s">
        <v>651</v>
      </c>
      <c r="N22" s="3" t="s">
        <v>651</v>
      </c>
      <c r="O22" s="225" t="s">
        <v>651</v>
      </c>
    </row>
    <row r="23" spans="1:15" x14ac:dyDescent="0.35">
      <c r="A23" s="3" t="s">
        <v>33</v>
      </c>
      <c r="B23" s="3" t="s">
        <v>564</v>
      </c>
      <c r="C23" s="3">
        <v>9</v>
      </c>
      <c r="D23" s="95" t="s">
        <v>541</v>
      </c>
      <c r="E23" s="3" t="s">
        <v>6</v>
      </c>
      <c r="F23" s="3" t="s">
        <v>10</v>
      </c>
      <c r="G23" s="3" t="s">
        <v>10</v>
      </c>
      <c r="H23" s="3">
        <v>0</v>
      </c>
      <c r="I23" s="95" t="s">
        <v>651</v>
      </c>
      <c r="J23" s="3" t="s">
        <v>651</v>
      </c>
      <c r="K23" s="230" t="s">
        <v>5</v>
      </c>
      <c r="L23" s="3" t="s">
        <v>174</v>
      </c>
      <c r="M23" s="3" t="s">
        <v>651</v>
      </c>
      <c r="N23" s="3" t="s">
        <v>651</v>
      </c>
      <c r="O23" s="225" t="s">
        <v>651</v>
      </c>
    </row>
    <row r="24" spans="1:15" x14ac:dyDescent="0.35">
      <c r="A24" s="3" t="s">
        <v>33</v>
      </c>
      <c r="B24" s="3" t="s">
        <v>564</v>
      </c>
      <c r="C24" s="3">
        <v>9</v>
      </c>
      <c r="D24" s="95" t="s">
        <v>548</v>
      </c>
      <c r="E24" s="3" t="s">
        <v>6</v>
      </c>
      <c r="F24" s="3" t="s">
        <v>6</v>
      </c>
      <c r="G24" s="3" t="s">
        <v>10</v>
      </c>
      <c r="H24" s="3">
        <v>2</v>
      </c>
      <c r="I24" s="95" t="s">
        <v>437</v>
      </c>
      <c r="J24" s="3" t="s">
        <v>6</v>
      </c>
      <c r="K24" s="230">
        <v>42734</v>
      </c>
      <c r="L24" s="3" t="s">
        <v>2737</v>
      </c>
      <c r="M24" s="3" t="s">
        <v>49</v>
      </c>
      <c r="N24" s="3" t="s">
        <v>6</v>
      </c>
      <c r="O24" s="225" t="s">
        <v>26</v>
      </c>
    </row>
    <row r="25" spans="1:15" x14ac:dyDescent="0.35">
      <c r="A25" s="3" t="s">
        <v>33</v>
      </c>
      <c r="B25" s="3" t="s">
        <v>564</v>
      </c>
      <c r="C25" s="3">
        <v>9</v>
      </c>
      <c r="D25" s="95" t="s">
        <v>533</v>
      </c>
      <c r="E25" s="3" t="s">
        <v>6</v>
      </c>
      <c r="F25" s="3" t="s">
        <v>10</v>
      </c>
      <c r="G25" s="3" t="s">
        <v>10</v>
      </c>
      <c r="H25" s="3">
        <v>0</v>
      </c>
      <c r="I25" s="95" t="s">
        <v>651</v>
      </c>
      <c r="J25" s="3" t="s">
        <v>651</v>
      </c>
      <c r="K25" s="230" t="s">
        <v>5</v>
      </c>
      <c r="L25" s="3" t="s">
        <v>315</v>
      </c>
      <c r="M25" s="3" t="s">
        <v>651</v>
      </c>
      <c r="N25" s="3" t="s">
        <v>651</v>
      </c>
      <c r="O25" s="225" t="s">
        <v>651</v>
      </c>
    </row>
    <row r="26" spans="1:15" x14ac:dyDescent="0.35">
      <c r="A26" s="3" t="s">
        <v>33</v>
      </c>
      <c r="B26" s="3" t="s">
        <v>564</v>
      </c>
      <c r="C26" s="3">
        <v>9</v>
      </c>
      <c r="D26" s="95" t="s">
        <v>534</v>
      </c>
      <c r="E26" s="3" t="s">
        <v>6</v>
      </c>
      <c r="F26" s="3" t="s">
        <v>10</v>
      </c>
      <c r="G26" s="3" t="s">
        <v>10</v>
      </c>
      <c r="H26" s="3">
        <v>0</v>
      </c>
      <c r="I26" s="95" t="s">
        <v>651</v>
      </c>
      <c r="J26" s="3" t="s">
        <v>651</v>
      </c>
      <c r="K26" s="230" t="s">
        <v>5</v>
      </c>
      <c r="L26" s="3" t="s">
        <v>52</v>
      </c>
      <c r="M26" s="3" t="s">
        <v>651</v>
      </c>
      <c r="N26" s="3" t="s">
        <v>651</v>
      </c>
      <c r="O26" s="225" t="s">
        <v>651</v>
      </c>
    </row>
    <row r="27" spans="1:15" x14ac:dyDescent="0.35">
      <c r="A27" s="3" t="s">
        <v>33</v>
      </c>
      <c r="B27" s="3" t="s">
        <v>564</v>
      </c>
      <c r="C27" s="3">
        <v>9</v>
      </c>
      <c r="D27" s="95" t="s">
        <v>542</v>
      </c>
      <c r="E27" s="3" t="s">
        <v>6</v>
      </c>
      <c r="F27" s="3" t="s">
        <v>10</v>
      </c>
      <c r="G27" s="3" t="s">
        <v>10</v>
      </c>
      <c r="H27" s="3">
        <v>0</v>
      </c>
      <c r="I27" s="95" t="s">
        <v>651</v>
      </c>
      <c r="J27" s="3" t="s">
        <v>651</v>
      </c>
      <c r="K27" s="230" t="s">
        <v>5</v>
      </c>
      <c r="L27" s="3" t="s">
        <v>2737</v>
      </c>
      <c r="M27" s="3" t="s">
        <v>651</v>
      </c>
      <c r="N27" s="3" t="s">
        <v>651</v>
      </c>
      <c r="O27" s="225" t="s">
        <v>651</v>
      </c>
    </row>
    <row r="28" spans="1:15" x14ac:dyDescent="0.35">
      <c r="A28" s="3" t="s">
        <v>33</v>
      </c>
      <c r="B28" s="3" t="s">
        <v>564</v>
      </c>
      <c r="C28" s="3">
        <v>9</v>
      </c>
      <c r="D28" s="95" t="s">
        <v>537</v>
      </c>
      <c r="E28" s="3" t="s">
        <v>6</v>
      </c>
      <c r="F28" s="3" t="s">
        <v>6</v>
      </c>
      <c r="G28" s="3" t="s">
        <v>10</v>
      </c>
      <c r="H28" s="3">
        <v>2</v>
      </c>
      <c r="I28" s="95" t="s">
        <v>437</v>
      </c>
      <c r="J28" s="3" t="s">
        <v>6</v>
      </c>
      <c r="K28" s="230">
        <v>44875</v>
      </c>
      <c r="L28" s="3" t="s">
        <v>2737</v>
      </c>
      <c r="M28" s="3" t="s">
        <v>49</v>
      </c>
      <c r="N28" s="3" t="s">
        <v>6</v>
      </c>
      <c r="O28" s="225" t="s">
        <v>26</v>
      </c>
    </row>
    <row r="29" spans="1:15" x14ac:dyDescent="0.35">
      <c r="A29" s="3" t="s">
        <v>33</v>
      </c>
      <c r="B29" s="3" t="s">
        <v>564</v>
      </c>
      <c r="C29" s="3">
        <v>9</v>
      </c>
      <c r="D29" s="95" t="s">
        <v>535</v>
      </c>
      <c r="E29" s="3" t="s">
        <v>6</v>
      </c>
      <c r="F29" s="3" t="s">
        <v>10</v>
      </c>
      <c r="G29" s="3" t="s">
        <v>10</v>
      </c>
      <c r="H29" s="3">
        <v>0</v>
      </c>
      <c r="I29" s="95" t="s">
        <v>651</v>
      </c>
      <c r="J29" s="3" t="s">
        <v>651</v>
      </c>
      <c r="K29" s="230" t="s">
        <v>5</v>
      </c>
      <c r="L29" s="3" t="s">
        <v>2737</v>
      </c>
      <c r="M29" s="3" t="s">
        <v>651</v>
      </c>
      <c r="N29" s="3" t="s">
        <v>651</v>
      </c>
      <c r="O29" s="225" t="s">
        <v>651</v>
      </c>
    </row>
    <row r="30" spans="1:15" x14ac:dyDescent="0.35">
      <c r="A30" s="3" t="s">
        <v>38</v>
      </c>
      <c r="B30" s="3" t="s">
        <v>1827</v>
      </c>
      <c r="C30" s="3">
        <v>9</v>
      </c>
      <c r="D30" s="95" t="s">
        <v>541</v>
      </c>
      <c r="E30" s="3" t="s">
        <v>10</v>
      </c>
      <c r="F30" s="3" t="s">
        <v>10</v>
      </c>
      <c r="G30" s="3" t="s">
        <v>6</v>
      </c>
      <c r="H30" s="3">
        <v>0</v>
      </c>
      <c r="I30" s="95" t="s">
        <v>651</v>
      </c>
      <c r="J30" s="3" t="s">
        <v>651</v>
      </c>
      <c r="K30" s="230" t="s">
        <v>5</v>
      </c>
      <c r="L30" s="3" t="s">
        <v>174</v>
      </c>
      <c r="M30" s="3" t="s">
        <v>651</v>
      </c>
      <c r="N30" s="3" t="s">
        <v>651</v>
      </c>
      <c r="O30" s="225" t="s">
        <v>651</v>
      </c>
    </row>
    <row r="31" spans="1:15" x14ac:dyDescent="0.35">
      <c r="A31" s="3" t="s">
        <v>38</v>
      </c>
      <c r="B31" s="3" t="s">
        <v>1827</v>
      </c>
      <c r="C31" s="3">
        <v>9</v>
      </c>
      <c r="D31" s="95" t="s">
        <v>548</v>
      </c>
      <c r="E31" s="3" t="s">
        <v>10</v>
      </c>
      <c r="F31" s="3" t="s">
        <v>6</v>
      </c>
      <c r="G31" s="3" t="s">
        <v>6</v>
      </c>
      <c r="H31" s="3">
        <v>72</v>
      </c>
      <c r="I31" s="95" t="s">
        <v>437</v>
      </c>
      <c r="J31" s="3" t="s">
        <v>6</v>
      </c>
      <c r="K31" s="230">
        <v>45527</v>
      </c>
      <c r="L31" s="3" t="s">
        <v>2737</v>
      </c>
      <c r="M31" s="3" t="s">
        <v>49</v>
      </c>
      <c r="N31" s="3" t="s">
        <v>6</v>
      </c>
      <c r="O31" s="225" t="s">
        <v>26</v>
      </c>
    </row>
    <row r="32" spans="1:15" x14ac:dyDescent="0.35">
      <c r="A32" s="3" t="s">
        <v>38</v>
      </c>
      <c r="B32" s="3" t="s">
        <v>1827</v>
      </c>
      <c r="C32" s="3">
        <v>9</v>
      </c>
      <c r="D32" s="95" t="s">
        <v>533</v>
      </c>
      <c r="E32" s="3" t="s">
        <v>10</v>
      </c>
      <c r="F32" s="3" t="s">
        <v>10</v>
      </c>
      <c r="G32" s="3" t="s">
        <v>6</v>
      </c>
      <c r="H32" s="3">
        <v>1</v>
      </c>
      <c r="I32" s="95" t="s">
        <v>5</v>
      </c>
      <c r="J32" s="3" t="s">
        <v>10</v>
      </c>
      <c r="K32" s="230" t="s">
        <v>5</v>
      </c>
      <c r="L32" s="3" t="s">
        <v>315</v>
      </c>
      <c r="M32" s="3" t="s">
        <v>651</v>
      </c>
      <c r="N32" s="3" t="s">
        <v>651</v>
      </c>
      <c r="O32" s="225" t="s">
        <v>651</v>
      </c>
    </row>
    <row r="33" spans="1:15" x14ac:dyDescent="0.35">
      <c r="A33" s="3" t="s">
        <v>38</v>
      </c>
      <c r="B33" s="3" t="s">
        <v>1827</v>
      </c>
      <c r="C33" s="3">
        <v>9</v>
      </c>
      <c r="D33" s="95" t="s">
        <v>534</v>
      </c>
      <c r="E33" s="3" t="s">
        <v>10</v>
      </c>
      <c r="F33" s="3" t="s">
        <v>10</v>
      </c>
      <c r="G33" s="3" t="s">
        <v>6</v>
      </c>
      <c r="H33" s="3">
        <v>8</v>
      </c>
      <c r="I33" s="95" t="s">
        <v>3302</v>
      </c>
      <c r="J33" s="3" t="s">
        <v>6</v>
      </c>
      <c r="K33" s="230">
        <v>42641</v>
      </c>
      <c r="L33" s="3" t="s">
        <v>52</v>
      </c>
      <c r="M33" s="3" t="s">
        <v>651</v>
      </c>
      <c r="N33" s="3" t="s">
        <v>651</v>
      </c>
      <c r="O33" s="225" t="s">
        <v>651</v>
      </c>
    </row>
    <row r="34" spans="1:15" x14ac:dyDescent="0.35">
      <c r="A34" s="3" t="s">
        <v>38</v>
      </c>
      <c r="B34" s="3" t="s">
        <v>1827</v>
      </c>
      <c r="C34" s="3">
        <v>9</v>
      </c>
      <c r="D34" s="95" t="s">
        <v>542</v>
      </c>
      <c r="E34" s="3" t="s">
        <v>10</v>
      </c>
      <c r="F34" s="3" t="s">
        <v>10</v>
      </c>
      <c r="G34" s="3" t="s">
        <v>6</v>
      </c>
      <c r="H34" s="3">
        <v>18</v>
      </c>
      <c r="I34" s="95" t="s">
        <v>5</v>
      </c>
      <c r="J34" s="3" t="s">
        <v>10</v>
      </c>
      <c r="K34" s="230" t="s">
        <v>5</v>
      </c>
      <c r="L34" s="3" t="s">
        <v>2737</v>
      </c>
      <c r="M34" s="3" t="s">
        <v>651</v>
      </c>
      <c r="N34" s="3" t="s">
        <v>651</v>
      </c>
      <c r="O34" s="225" t="s">
        <v>651</v>
      </c>
    </row>
    <row r="35" spans="1:15" x14ac:dyDescent="0.35">
      <c r="A35" s="3" t="s">
        <v>38</v>
      </c>
      <c r="B35" s="3" t="s">
        <v>1827</v>
      </c>
      <c r="C35" s="3">
        <v>9</v>
      </c>
      <c r="D35" s="95" t="s">
        <v>537</v>
      </c>
      <c r="E35" s="3" t="s">
        <v>10</v>
      </c>
      <c r="F35" s="3" t="s">
        <v>10</v>
      </c>
      <c r="G35" s="3" t="s">
        <v>6</v>
      </c>
      <c r="H35" s="3">
        <v>72</v>
      </c>
      <c r="I35" s="95" t="s">
        <v>3302</v>
      </c>
      <c r="J35" s="3" t="s">
        <v>6</v>
      </c>
      <c r="K35" s="230">
        <v>43831</v>
      </c>
      <c r="L35" s="3" t="s">
        <v>2737</v>
      </c>
      <c r="M35" s="3" t="s">
        <v>651</v>
      </c>
      <c r="N35" s="3" t="s">
        <v>651</v>
      </c>
      <c r="O35" s="225" t="s">
        <v>651</v>
      </c>
    </row>
    <row r="36" spans="1:15" x14ac:dyDescent="0.35">
      <c r="A36" s="3" t="s">
        <v>38</v>
      </c>
      <c r="B36" s="3" t="s">
        <v>1827</v>
      </c>
      <c r="C36" s="3">
        <v>9</v>
      </c>
      <c r="D36" s="95" t="s">
        <v>535</v>
      </c>
      <c r="E36" s="3" t="s">
        <v>10</v>
      </c>
      <c r="F36" s="3" t="s">
        <v>10</v>
      </c>
      <c r="G36" s="3" t="s">
        <v>6</v>
      </c>
      <c r="H36" s="3">
        <v>2</v>
      </c>
      <c r="I36" s="95" t="s">
        <v>5</v>
      </c>
      <c r="J36" s="3" t="s">
        <v>10</v>
      </c>
      <c r="K36" s="230" t="s">
        <v>5</v>
      </c>
      <c r="L36" s="3" t="s">
        <v>2737</v>
      </c>
      <c r="M36" s="3" t="s">
        <v>651</v>
      </c>
      <c r="N36" s="3" t="s">
        <v>651</v>
      </c>
      <c r="O36" s="225" t="s">
        <v>651</v>
      </c>
    </row>
    <row r="37" spans="1:15" x14ac:dyDescent="0.35">
      <c r="A37" s="3" t="s">
        <v>41</v>
      </c>
      <c r="B37" s="3" t="s">
        <v>565</v>
      </c>
      <c r="C37" s="3">
        <v>9</v>
      </c>
      <c r="D37" s="95" t="s">
        <v>541</v>
      </c>
      <c r="E37" s="3" t="s">
        <v>10</v>
      </c>
      <c r="F37" s="3" t="s">
        <v>10</v>
      </c>
      <c r="G37" s="3" t="s">
        <v>6</v>
      </c>
      <c r="H37" s="3">
        <v>0</v>
      </c>
      <c r="I37" s="95" t="s">
        <v>651</v>
      </c>
      <c r="J37" s="3" t="s">
        <v>651</v>
      </c>
      <c r="K37" s="230" t="s">
        <v>5</v>
      </c>
      <c r="L37" s="3" t="s">
        <v>174</v>
      </c>
      <c r="M37" s="3" t="s">
        <v>651</v>
      </c>
      <c r="N37" s="3" t="s">
        <v>651</v>
      </c>
      <c r="O37" s="225" t="s">
        <v>651</v>
      </c>
    </row>
    <row r="38" spans="1:15" x14ac:dyDescent="0.35">
      <c r="A38" s="3" t="s">
        <v>41</v>
      </c>
      <c r="B38" s="3" t="s">
        <v>565</v>
      </c>
      <c r="C38" s="3">
        <v>9</v>
      </c>
      <c r="D38" s="95" t="s">
        <v>548</v>
      </c>
      <c r="E38" s="3" t="s">
        <v>6</v>
      </c>
      <c r="F38" s="3" t="s">
        <v>6</v>
      </c>
      <c r="G38" s="3" t="s">
        <v>10</v>
      </c>
      <c r="H38" s="3">
        <v>201</v>
      </c>
      <c r="I38" s="95" t="s">
        <v>437</v>
      </c>
      <c r="J38" s="3" t="s">
        <v>6</v>
      </c>
      <c r="K38" s="230">
        <v>42734</v>
      </c>
      <c r="L38" s="3" t="s">
        <v>2737</v>
      </c>
      <c r="M38" s="3" t="s">
        <v>49</v>
      </c>
      <c r="N38" s="3" t="s">
        <v>6</v>
      </c>
      <c r="O38" s="225" t="s">
        <v>26</v>
      </c>
    </row>
    <row r="39" spans="1:15" x14ac:dyDescent="0.35">
      <c r="A39" s="3" t="s">
        <v>41</v>
      </c>
      <c r="B39" s="3" t="s">
        <v>565</v>
      </c>
      <c r="C39" s="3">
        <v>9</v>
      </c>
      <c r="D39" s="95" t="s">
        <v>533</v>
      </c>
      <c r="E39" s="3" t="s">
        <v>10</v>
      </c>
      <c r="F39" s="3" t="s">
        <v>10</v>
      </c>
      <c r="G39" s="3" t="s">
        <v>6</v>
      </c>
      <c r="H39" s="3">
        <v>13</v>
      </c>
      <c r="I39" s="95" t="s">
        <v>5</v>
      </c>
      <c r="J39" s="3" t="s">
        <v>10</v>
      </c>
      <c r="K39" s="230" t="s">
        <v>5</v>
      </c>
      <c r="L39" s="3" t="s">
        <v>315</v>
      </c>
      <c r="M39" s="3" t="s">
        <v>651</v>
      </c>
      <c r="N39" s="3" t="s">
        <v>651</v>
      </c>
      <c r="O39" s="225" t="s">
        <v>651</v>
      </c>
    </row>
    <row r="40" spans="1:15" x14ac:dyDescent="0.35">
      <c r="A40" s="3" t="s">
        <v>41</v>
      </c>
      <c r="B40" s="3" t="s">
        <v>565</v>
      </c>
      <c r="C40" s="3">
        <v>9</v>
      </c>
      <c r="D40" s="95" t="s">
        <v>534</v>
      </c>
      <c r="E40" s="3" t="s">
        <v>10</v>
      </c>
      <c r="F40" s="3" t="s">
        <v>10</v>
      </c>
      <c r="G40" s="3" t="s">
        <v>6</v>
      </c>
      <c r="H40" s="3">
        <v>604</v>
      </c>
      <c r="I40" s="95" t="s">
        <v>5</v>
      </c>
      <c r="J40" s="3" t="s">
        <v>10</v>
      </c>
      <c r="K40" s="230" t="s">
        <v>5</v>
      </c>
      <c r="L40" s="3" t="s">
        <v>52</v>
      </c>
      <c r="M40" s="3" t="s">
        <v>651</v>
      </c>
      <c r="N40" s="3" t="s">
        <v>651</v>
      </c>
      <c r="O40" s="225" t="s">
        <v>651</v>
      </c>
    </row>
    <row r="41" spans="1:15" x14ac:dyDescent="0.35">
      <c r="A41" s="3" t="s">
        <v>41</v>
      </c>
      <c r="B41" s="3" t="s">
        <v>565</v>
      </c>
      <c r="C41" s="3">
        <v>9</v>
      </c>
      <c r="D41" s="95" t="s">
        <v>542</v>
      </c>
      <c r="E41" s="3" t="s">
        <v>10</v>
      </c>
      <c r="F41" s="3" t="s">
        <v>10</v>
      </c>
      <c r="G41" s="3" t="s">
        <v>6</v>
      </c>
      <c r="H41" s="3">
        <v>100</v>
      </c>
      <c r="I41" s="95" t="s">
        <v>5</v>
      </c>
      <c r="J41" s="3" t="s">
        <v>10</v>
      </c>
      <c r="K41" s="230" t="s">
        <v>5</v>
      </c>
      <c r="L41" s="3" t="s">
        <v>2737</v>
      </c>
      <c r="M41" s="3" t="s">
        <v>651</v>
      </c>
      <c r="N41" s="3" t="s">
        <v>651</v>
      </c>
      <c r="O41" s="225" t="s">
        <v>651</v>
      </c>
    </row>
    <row r="42" spans="1:15" x14ac:dyDescent="0.35">
      <c r="A42" s="3" t="s">
        <v>41</v>
      </c>
      <c r="B42" s="3" t="s">
        <v>565</v>
      </c>
      <c r="C42" s="3">
        <v>9</v>
      </c>
      <c r="D42" s="95" t="s">
        <v>537</v>
      </c>
      <c r="E42" s="3" t="s">
        <v>10</v>
      </c>
      <c r="F42" s="3" t="s">
        <v>10</v>
      </c>
      <c r="G42" s="3" t="s">
        <v>6</v>
      </c>
      <c r="H42" s="3">
        <v>240</v>
      </c>
      <c r="I42" s="95" t="s">
        <v>5</v>
      </c>
      <c r="J42" s="3" t="s">
        <v>10</v>
      </c>
      <c r="K42" s="230" t="s">
        <v>5</v>
      </c>
      <c r="L42" s="3" t="s">
        <v>2737</v>
      </c>
      <c r="M42" s="3" t="s">
        <v>651</v>
      </c>
      <c r="N42" s="3" t="s">
        <v>651</v>
      </c>
      <c r="O42" s="225" t="s">
        <v>651</v>
      </c>
    </row>
    <row r="43" spans="1:15" x14ac:dyDescent="0.35">
      <c r="A43" s="3" t="s">
        <v>41</v>
      </c>
      <c r="B43" s="3" t="s">
        <v>565</v>
      </c>
      <c r="C43" s="3">
        <v>9</v>
      </c>
      <c r="D43" s="95" t="s">
        <v>535</v>
      </c>
      <c r="E43" s="3" t="s">
        <v>10</v>
      </c>
      <c r="F43" s="3" t="s">
        <v>10</v>
      </c>
      <c r="G43" s="3" t="s">
        <v>6</v>
      </c>
      <c r="H43" s="3">
        <v>40</v>
      </c>
      <c r="I43" s="95" t="s">
        <v>5</v>
      </c>
      <c r="J43" s="3" t="s">
        <v>10</v>
      </c>
      <c r="K43" s="230" t="s">
        <v>5</v>
      </c>
      <c r="L43" s="3" t="s">
        <v>2737</v>
      </c>
      <c r="M43" s="3" t="s">
        <v>651</v>
      </c>
      <c r="N43" s="3" t="s">
        <v>651</v>
      </c>
      <c r="O43" s="225" t="s">
        <v>651</v>
      </c>
    </row>
    <row r="44" spans="1:15" x14ac:dyDescent="0.35">
      <c r="A44" s="3" t="s">
        <v>46</v>
      </c>
      <c r="B44" s="3" t="s">
        <v>566</v>
      </c>
      <c r="C44" s="3">
        <v>8</v>
      </c>
      <c r="D44" s="95" t="s">
        <v>541</v>
      </c>
      <c r="E44" s="3" t="s">
        <v>10</v>
      </c>
      <c r="F44" s="3" t="s">
        <v>10</v>
      </c>
      <c r="G44" s="3" t="s">
        <v>6</v>
      </c>
      <c r="H44" s="3">
        <v>0</v>
      </c>
      <c r="I44" s="95" t="s">
        <v>651</v>
      </c>
      <c r="J44" s="3" t="s">
        <v>651</v>
      </c>
      <c r="K44" s="230" t="s">
        <v>5</v>
      </c>
      <c r="L44" s="3" t="s">
        <v>174</v>
      </c>
      <c r="M44" s="3" t="s">
        <v>651</v>
      </c>
      <c r="N44" s="3" t="s">
        <v>651</v>
      </c>
      <c r="O44" s="225" t="s">
        <v>651</v>
      </c>
    </row>
    <row r="45" spans="1:15" x14ac:dyDescent="0.35">
      <c r="A45" s="3" t="s">
        <v>46</v>
      </c>
      <c r="B45" s="3" t="s">
        <v>566</v>
      </c>
      <c r="C45" s="3">
        <v>8</v>
      </c>
      <c r="D45" s="95" t="s">
        <v>548</v>
      </c>
      <c r="E45" s="3" t="s">
        <v>6</v>
      </c>
      <c r="F45" s="3" t="s">
        <v>6</v>
      </c>
      <c r="G45" s="3" t="s">
        <v>10</v>
      </c>
      <c r="H45" s="3">
        <v>77</v>
      </c>
      <c r="I45" s="95" t="s">
        <v>437</v>
      </c>
      <c r="J45" s="3" t="s">
        <v>6</v>
      </c>
      <c r="K45" s="230">
        <v>42734</v>
      </c>
      <c r="L45" s="3" t="s">
        <v>2737</v>
      </c>
      <c r="M45" s="3" t="s">
        <v>49</v>
      </c>
      <c r="N45" s="3" t="s">
        <v>6</v>
      </c>
      <c r="O45" s="225" t="s">
        <v>26</v>
      </c>
    </row>
    <row r="46" spans="1:15" x14ac:dyDescent="0.35">
      <c r="A46" s="3" t="s">
        <v>46</v>
      </c>
      <c r="B46" s="3" t="s">
        <v>566</v>
      </c>
      <c r="C46" s="3">
        <v>8</v>
      </c>
      <c r="D46" s="95" t="s">
        <v>533</v>
      </c>
      <c r="E46" s="3" t="s">
        <v>10</v>
      </c>
      <c r="F46" s="3" t="s">
        <v>10</v>
      </c>
      <c r="G46" s="3" t="s">
        <v>6</v>
      </c>
      <c r="H46" s="3">
        <v>190</v>
      </c>
      <c r="I46" s="95" t="s">
        <v>5</v>
      </c>
      <c r="J46" s="3" t="s">
        <v>10</v>
      </c>
      <c r="K46" s="230" t="s">
        <v>5</v>
      </c>
      <c r="L46" s="3" t="s">
        <v>315</v>
      </c>
      <c r="M46" s="3" t="s">
        <v>651</v>
      </c>
      <c r="N46" s="3" t="s">
        <v>651</v>
      </c>
      <c r="O46" s="225" t="s">
        <v>651</v>
      </c>
    </row>
    <row r="47" spans="1:15" x14ac:dyDescent="0.35">
      <c r="A47" s="3" t="s">
        <v>46</v>
      </c>
      <c r="B47" s="3" t="s">
        <v>566</v>
      </c>
      <c r="C47" s="3">
        <v>8</v>
      </c>
      <c r="D47" s="95" t="s">
        <v>534</v>
      </c>
      <c r="E47" s="3" t="s">
        <v>10</v>
      </c>
      <c r="F47" s="3" t="s">
        <v>10</v>
      </c>
      <c r="G47" s="3" t="s">
        <v>6</v>
      </c>
      <c r="H47" s="3">
        <v>119</v>
      </c>
      <c r="I47" s="95" t="s">
        <v>5</v>
      </c>
      <c r="J47" s="3" t="s">
        <v>10</v>
      </c>
      <c r="K47" s="230" t="s">
        <v>5</v>
      </c>
      <c r="L47" s="3" t="s">
        <v>52</v>
      </c>
      <c r="M47" s="3" t="s">
        <v>651</v>
      </c>
      <c r="N47" s="3" t="s">
        <v>651</v>
      </c>
      <c r="O47" s="225" t="s">
        <v>651</v>
      </c>
    </row>
    <row r="48" spans="1:15" x14ac:dyDescent="0.35">
      <c r="A48" s="3" t="s">
        <v>46</v>
      </c>
      <c r="B48" s="3" t="s">
        <v>566</v>
      </c>
      <c r="C48" s="3">
        <v>8</v>
      </c>
      <c r="D48" s="95" t="s">
        <v>542</v>
      </c>
      <c r="E48" s="3" t="s">
        <v>6</v>
      </c>
      <c r="F48" s="3" t="s">
        <v>6</v>
      </c>
      <c r="G48" s="3" t="s">
        <v>10</v>
      </c>
      <c r="H48" s="3">
        <v>27</v>
      </c>
      <c r="I48" s="95" t="s">
        <v>437</v>
      </c>
      <c r="J48" s="3" t="s">
        <v>6</v>
      </c>
      <c r="K48" s="230">
        <v>45310</v>
      </c>
      <c r="L48" s="3" t="s">
        <v>2737</v>
      </c>
      <c r="M48" s="3" t="s">
        <v>49</v>
      </c>
      <c r="N48" s="3" t="s">
        <v>6</v>
      </c>
      <c r="O48" s="225" t="s">
        <v>26</v>
      </c>
    </row>
    <row r="49" spans="1:15" x14ac:dyDescent="0.35">
      <c r="A49" s="3" t="s">
        <v>46</v>
      </c>
      <c r="B49" s="3" t="s">
        <v>566</v>
      </c>
      <c r="C49" s="3">
        <v>8</v>
      </c>
      <c r="D49" s="95" t="s">
        <v>537</v>
      </c>
      <c r="E49" s="3" t="s">
        <v>10</v>
      </c>
      <c r="F49" s="3" t="s">
        <v>10</v>
      </c>
      <c r="G49" s="3" t="s">
        <v>6</v>
      </c>
      <c r="H49" s="3">
        <v>200</v>
      </c>
      <c r="I49" s="95" t="s">
        <v>5</v>
      </c>
      <c r="J49" s="3" t="s">
        <v>10</v>
      </c>
      <c r="K49" s="230" t="s">
        <v>5</v>
      </c>
      <c r="L49" s="3" t="s">
        <v>2737</v>
      </c>
      <c r="M49" s="3" t="s">
        <v>651</v>
      </c>
      <c r="N49" s="3" t="s">
        <v>651</v>
      </c>
      <c r="O49" s="225" t="s">
        <v>651</v>
      </c>
    </row>
    <row r="50" spans="1:15" x14ac:dyDescent="0.35">
      <c r="A50" s="3" t="s">
        <v>46</v>
      </c>
      <c r="B50" s="3" t="s">
        <v>566</v>
      </c>
      <c r="C50" s="3">
        <v>8</v>
      </c>
      <c r="D50" s="95" t="s">
        <v>535</v>
      </c>
      <c r="E50" s="3" t="s">
        <v>6</v>
      </c>
      <c r="F50" s="3" t="s">
        <v>6</v>
      </c>
      <c r="G50" s="3" t="s">
        <v>10</v>
      </c>
      <c r="H50" s="3">
        <v>7</v>
      </c>
      <c r="I50" s="95" t="s">
        <v>5</v>
      </c>
      <c r="J50" s="3" t="s">
        <v>10</v>
      </c>
      <c r="K50" s="230" t="s">
        <v>5</v>
      </c>
      <c r="L50" s="3" t="s">
        <v>2737</v>
      </c>
      <c r="M50" s="3" t="s">
        <v>49</v>
      </c>
      <c r="N50" s="3" t="s">
        <v>6</v>
      </c>
      <c r="O50" s="225" t="s">
        <v>51</v>
      </c>
    </row>
    <row r="51" spans="1:15" x14ac:dyDescent="0.35">
      <c r="A51" s="3" t="s">
        <v>53</v>
      </c>
      <c r="B51" s="3" t="s">
        <v>532</v>
      </c>
      <c r="C51" s="3">
        <v>1</v>
      </c>
      <c r="D51" s="95" t="s">
        <v>541</v>
      </c>
      <c r="E51" s="3" t="s">
        <v>10</v>
      </c>
      <c r="F51" s="3" t="s">
        <v>10</v>
      </c>
      <c r="G51" s="3" t="s">
        <v>6</v>
      </c>
      <c r="H51" s="3">
        <v>0</v>
      </c>
      <c r="I51" s="95" t="s">
        <v>651</v>
      </c>
      <c r="J51" s="3" t="s">
        <v>651</v>
      </c>
      <c r="K51" s="230" t="s">
        <v>5</v>
      </c>
      <c r="L51" s="3" t="s">
        <v>174</v>
      </c>
      <c r="M51" s="3" t="s">
        <v>651</v>
      </c>
      <c r="N51" s="3" t="s">
        <v>651</v>
      </c>
      <c r="O51" s="225" t="s">
        <v>651</v>
      </c>
    </row>
    <row r="52" spans="1:15" x14ac:dyDescent="0.35">
      <c r="A52" s="3" t="s">
        <v>53</v>
      </c>
      <c r="B52" s="3" t="s">
        <v>532</v>
      </c>
      <c r="C52" s="3">
        <v>1</v>
      </c>
      <c r="D52" s="95" t="s">
        <v>548</v>
      </c>
      <c r="E52" s="3" t="s">
        <v>6</v>
      </c>
      <c r="F52" s="3" t="s">
        <v>6</v>
      </c>
      <c r="G52" s="3" t="s">
        <v>10</v>
      </c>
      <c r="H52" s="3">
        <v>41</v>
      </c>
      <c r="I52" s="95" t="s">
        <v>437</v>
      </c>
      <c r="J52" s="3" t="s">
        <v>6</v>
      </c>
      <c r="K52" s="230">
        <v>42734</v>
      </c>
      <c r="L52" s="3" t="s">
        <v>2737</v>
      </c>
      <c r="M52" s="3" t="s">
        <v>49</v>
      </c>
      <c r="N52" s="3" t="s">
        <v>6</v>
      </c>
      <c r="O52" s="225" t="s">
        <v>26</v>
      </c>
    </row>
    <row r="53" spans="1:15" x14ac:dyDescent="0.35">
      <c r="A53" s="3" t="s">
        <v>53</v>
      </c>
      <c r="B53" s="3" t="s">
        <v>532</v>
      </c>
      <c r="C53" s="3">
        <v>1</v>
      </c>
      <c r="D53" s="95" t="s">
        <v>533</v>
      </c>
      <c r="E53" s="3" t="s">
        <v>10</v>
      </c>
      <c r="F53" s="3" t="s">
        <v>6</v>
      </c>
      <c r="G53" s="3" t="s">
        <v>6</v>
      </c>
      <c r="H53" s="3">
        <v>2</v>
      </c>
      <c r="I53" s="95" t="s">
        <v>5</v>
      </c>
      <c r="J53" s="3" t="s">
        <v>10</v>
      </c>
      <c r="K53" s="230" t="s">
        <v>5</v>
      </c>
      <c r="L53" s="3" t="s">
        <v>315</v>
      </c>
      <c r="M53" s="3" t="s">
        <v>49</v>
      </c>
      <c r="N53" s="3" t="s">
        <v>6</v>
      </c>
      <c r="O53" s="225" t="s">
        <v>51</v>
      </c>
    </row>
    <row r="54" spans="1:15" x14ac:dyDescent="0.35">
      <c r="A54" s="3" t="s">
        <v>53</v>
      </c>
      <c r="B54" s="3" t="s">
        <v>532</v>
      </c>
      <c r="C54" s="3">
        <v>1</v>
      </c>
      <c r="D54" s="95" t="s">
        <v>534</v>
      </c>
      <c r="E54" s="3" t="s">
        <v>10</v>
      </c>
      <c r="F54" s="3" t="s">
        <v>6</v>
      </c>
      <c r="G54" s="3" t="s">
        <v>6</v>
      </c>
      <c r="H54" s="3">
        <v>133</v>
      </c>
      <c r="I54" s="95" t="s">
        <v>5</v>
      </c>
      <c r="J54" s="3" t="s">
        <v>10</v>
      </c>
      <c r="K54" s="230" t="s">
        <v>5</v>
      </c>
      <c r="L54" s="3" t="s">
        <v>52</v>
      </c>
      <c r="M54" s="3" t="s">
        <v>17</v>
      </c>
      <c r="N54" s="3" t="s">
        <v>6</v>
      </c>
      <c r="O54" s="225" t="s">
        <v>26</v>
      </c>
    </row>
    <row r="55" spans="1:15" x14ac:dyDescent="0.35">
      <c r="A55" s="3" t="s">
        <v>53</v>
      </c>
      <c r="B55" s="3" t="s">
        <v>532</v>
      </c>
      <c r="C55" s="3">
        <v>1</v>
      </c>
      <c r="D55" s="95" t="s">
        <v>542</v>
      </c>
      <c r="E55" s="3" t="s">
        <v>10</v>
      </c>
      <c r="F55" s="3" t="s">
        <v>10</v>
      </c>
      <c r="G55" s="3" t="s">
        <v>6</v>
      </c>
      <c r="H55" s="3">
        <v>0</v>
      </c>
      <c r="I55" s="95" t="s">
        <v>651</v>
      </c>
      <c r="J55" s="3" t="s">
        <v>651</v>
      </c>
      <c r="K55" s="230" t="s">
        <v>5</v>
      </c>
      <c r="L55" s="3" t="s">
        <v>2737</v>
      </c>
      <c r="M55" s="3" t="s">
        <v>651</v>
      </c>
      <c r="N55" s="3" t="s">
        <v>651</v>
      </c>
      <c r="O55" s="225" t="s">
        <v>651</v>
      </c>
    </row>
    <row r="56" spans="1:15" x14ac:dyDescent="0.35">
      <c r="A56" s="3" t="s">
        <v>53</v>
      </c>
      <c r="B56" s="3" t="s">
        <v>532</v>
      </c>
      <c r="C56" s="3">
        <v>1</v>
      </c>
      <c r="D56" s="95" t="s">
        <v>537</v>
      </c>
      <c r="E56" s="3" t="s">
        <v>10</v>
      </c>
      <c r="F56" s="3" t="s">
        <v>10</v>
      </c>
      <c r="G56" s="3" t="s">
        <v>6</v>
      </c>
      <c r="H56" s="3">
        <v>102</v>
      </c>
      <c r="I56" s="95" t="s">
        <v>3303</v>
      </c>
      <c r="J56" s="3" t="s">
        <v>6</v>
      </c>
      <c r="K56" s="230">
        <v>42552</v>
      </c>
      <c r="L56" s="3" t="s">
        <v>2737</v>
      </c>
      <c r="M56" s="3" t="s">
        <v>651</v>
      </c>
      <c r="N56" s="3" t="s">
        <v>651</v>
      </c>
      <c r="O56" s="225" t="s">
        <v>651</v>
      </c>
    </row>
    <row r="57" spans="1:15" x14ac:dyDescent="0.35">
      <c r="A57" s="3" t="s">
        <v>53</v>
      </c>
      <c r="B57" s="3" t="s">
        <v>532</v>
      </c>
      <c r="C57" s="3">
        <v>1</v>
      </c>
      <c r="D57" s="95" t="s">
        <v>535</v>
      </c>
      <c r="E57" s="3" t="s">
        <v>10</v>
      </c>
      <c r="F57" s="3" t="s">
        <v>6</v>
      </c>
      <c r="G57" s="3" t="s">
        <v>6</v>
      </c>
      <c r="H57" s="3">
        <v>190</v>
      </c>
      <c r="I57" s="95" t="s">
        <v>5</v>
      </c>
      <c r="J57" s="3" t="s">
        <v>10</v>
      </c>
      <c r="K57" s="230" t="s">
        <v>5</v>
      </c>
      <c r="L57" s="3" t="s">
        <v>2737</v>
      </c>
      <c r="M57" s="3" t="s">
        <v>49</v>
      </c>
      <c r="N57" s="3" t="s">
        <v>6</v>
      </c>
      <c r="O57" s="225" t="s">
        <v>51</v>
      </c>
    </row>
    <row r="58" spans="1:15" x14ac:dyDescent="0.35">
      <c r="A58" s="3" t="s">
        <v>73</v>
      </c>
      <c r="B58" s="3" t="s">
        <v>567</v>
      </c>
      <c r="C58" s="3">
        <v>3</v>
      </c>
      <c r="D58" s="95" t="s">
        <v>541</v>
      </c>
      <c r="E58" s="3" t="s">
        <v>6</v>
      </c>
      <c r="F58" s="3" t="s">
        <v>6</v>
      </c>
      <c r="G58" s="3" t="s">
        <v>10</v>
      </c>
      <c r="H58" s="3">
        <v>1</v>
      </c>
      <c r="I58" s="95" t="s">
        <v>5</v>
      </c>
      <c r="J58" s="3" t="s">
        <v>10</v>
      </c>
      <c r="K58" s="230" t="s">
        <v>5</v>
      </c>
      <c r="L58" s="3" t="s">
        <v>174</v>
      </c>
      <c r="M58" s="3" t="s">
        <v>17</v>
      </c>
      <c r="N58" s="3" t="s">
        <v>6</v>
      </c>
      <c r="O58" s="225" t="s">
        <v>51</v>
      </c>
    </row>
    <row r="59" spans="1:15" x14ac:dyDescent="0.35">
      <c r="A59" s="3" t="s">
        <v>73</v>
      </c>
      <c r="B59" s="3" t="s">
        <v>567</v>
      </c>
      <c r="C59" s="3">
        <v>3</v>
      </c>
      <c r="D59" s="95" t="s">
        <v>548</v>
      </c>
      <c r="E59" s="3" t="s">
        <v>6</v>
      </c>
      <c r="F59" s="3" t="s">
        <v>6</v>
      </c>
      <c r="G59" s="3" t="s">
        <v>10</v>
      </c>
      <c r="H59" s="3">
        <v>1</v>
      </c>
      <c r="I59" s="95" t="s">
        <v>437</v>
      </c>
      <c r="J59" s="3" t="s">
        <v>6</v>
      </c>
      <c r="K59" s="230">
        <v>42734</v>
      </c>
      <c r="L59" s="3" t="s">
        <v>2737</v>
      </c>
      <c r="M59" s="3" t="s">
        <v>49</v>
      </c>
      <c r="N59" s="3" t="s">
        <v>6</v>
      </c>
      <c r="O59" s="225" t="s">
        <v>26</v>
      </c>
    </row>
    <row r="60" spans="1:15" x14ac:dyDescent="0.35">
      <c r="A60" s="3" t="s">
        <v>73</v>
      </c>
      <c r="B60" s="3" t="s">
        <v>567</v>
      </c>
      <c r="C60" s="3">
        <v>3</v>
      </c>
      <c r="D60" s="95" t="s">
        <v>533</v>
      </c>
      <c r="E60" s="3" t="s">
        <v>6</v>
      </c>
      <c r="F60" s="3" t="s">
        <v>10</v>
      </c>
      <c r="G60" s="3" t="s">
        <v>10</v>
      </c>
      <c r="H60" s="3">
        <v>0</v>
      </c>
      <c r="I60" s="95" t="s">
        <v>651</v>
      </c>
      <c r="J60" s="3" t="s">
        <v>651</v>
      </c>
      <c r="K60" s="230" t="s">
        <v>5</v>
      </c>
      <c r="L60" s="3" t="s">
        <v>315</v>
      </c>
      <c r="M60" s="3" t="s">
        <v>651</v>
      </c>
      <c r="N60" s="3" t="s">
        <v>651</v>
      </c>
      <c r="O60" s="225" t="s">
        <v>651</v>
      </c>
    </row>
    <row r="61" spans="1:15" x14ac:dyDescent="0.35">
      <c r="A61" s="3" t="s">
        <v>73</v>
      </c>
      <c r="B61" s="3" t="s">
        <v>567</v>
      </c>
      <c r="C61" s="3">
        <v>3</v>
      </c>
      <c r="D61" s="95" t="s">
        <v>534</v>
      </c>
      <c r="E61" s="3" t="s">
        <v>6</v>
      </c>
      <c r="F61" s="3" t="s">
        <v>6</v>
      </c>
      <c r="G61" s="3" t="s">
        <v>10</v>
      </c>
      <c r="H61" s="3">
        <v>1</v>
      </c>
      <c r="I61" s="95" t="s">
        <v>5</v>
      </c>
      <c r="J61" s="3" t="s">
        <v>2254</v>
      </c>
      <c r="K61" s="230" t="s">
        <v>5</v>
      </c>
      <c r="L61" s="3" t="s">
        <v>52</v>
      </c>
      <c r="M61" s="3" t="s">
        <v>17</v>
      </c>
      <c r="N61" s="3" t="s">
        <v>6</v>
      </c>
      <c r="O61" s="225" t="s">
        <v>26</v>
      </c>
    </row>
    <row r="62" spans="1:15" x14ac:dyDescent="0.35">
      <c r="A62" s="3" t="s">
        <v>73</v>
      </c>
      <c r="B62" s="3" t="s">
        <v>567</v>
      </c>
      <c r="C62" s="3">
        <v>3</v>
      </c>
      <c r="D62" s="95" t="s">
        <v>542</v>
      </c>
      <c r="E62" s="3" t="s">
        <v>6</v>
      </c>
      <c r="F62" s="3" t="s">
        <v>6</v>
      </c>
      <c r="G62" s="3" t="s">
        <v>10</v>
      </c>
      <c r="H62" s="3">
        <v>1</v>
      </c>
      <c r="I62" s="95" t="s">
        <v>437</v>
      </c>
      <c r="J62" s="3" t="s">
        <v>6</v>
      </c>
      <c r="K62" s="230">
        <v>45516</v>
      </c>
      <c r="L62" s="3" t="s">
        <v>2737</v>
      </c>
      <c r="M62" s="3" t="s">
        <v>49</v>
      </c>
      <c r="N62" s="3" t="s">
        <v>6</v>
      </c>
      <c r="O62" s="225" t="s">
        <v>26</v>
      </c>
    </row>
    <row r="63" spans="1:15" x14ac:dyDescent="0.35">
      <c r="A63" s="3" t="s">
        <v>73</v>
      </c>
      <c r="B63" s="3" t="s">
        <v>567</v>
      </c>
      <c r="C63" s="3">
        <v>3</v>
      </c>
      <c r="D63" s="95" t="s">
        <v>537</v>
      </c>
      <c r="E63" s="3" t="s">
        <v>6</v>
      </c>
      <c r="F63" s="3" t="s">
        <v>6</v>
      </c>
      <c r="G63" s="3" t="s">
        <v>10</v>
      </c>
      <c r="H63" s="3">
        <v>1</v>
      </c>
      <c r="I63" s="95" t="s">
        <v>437</v>
      </c>
      <c r="J63" s="3" t="s">
        <v>6</v>
      </c>
      <c r="K63" s="230">
        <v>44749</v>
      </c>
      <c r="L63" s="3" t="s">
        <v>2737</v>
      </c>
      <c r="M63" s="3" t="s">
        <v>49</v>
      </c>
      <c r="N63" s="3" t="s">
        <v>6</v>
      </c>
      <c r="O63" s="225" t="s">
        <v>26</v>
      </c>
    </row>
    <row r="64" spans="1:15" x14ac:dyDescent="0.35">
      <c r="A64" s="3" t="s">
        <v>73</v>
      </c>
      <c r="B64" s="3" t="s">
        <v>567</v>
      </c>
      <c r="C64" s="3">
        <v>3</v>
      </c>
      <c r="D64" s="95" t="s">
        <v>535</v>
      </c>
      <c r="E64" s="3" t="s">
        <v>6</v>
      </c>
      <c r="F64" s="3" t="s">
        <v>10</v>
      </c>
      <c r="G64" s="3" t="s">
        <v>10</v>
      </c>
      <c r="H64" s="3">
        <v>0</v>
      </c>
      <c r="I64" s="95" t="s">
        <v>651</v>
      </c>
      <c r="J64" s="3" t="s">
        <v>651</v>
      </c>
      <c r="K64" s="230" t="s">
        <v>5</v>
      </c>
      <c r="L64" s="3" t="s">
        <v>2737</v>
      </c>
      <c r="M64" s="3" t="s">
        <v>651</v>
      </c>
      <c r="N64" s="3" t="s">
        <v>651</v>
      </c>
      <c r="O64" s="225" t="s">
        <v>651</v>
      </c>
    </row>
    <row r="65" spans="1:15" x14ac:dyDescent="0.35">
      <c r="A65" s="3" t="s">
        <v>78</v>
      </c>
      <c r="B65" s="3" t="s">
        <v>568</v>
      </c>
      <c r="C65" s="3">
        <v>3</v>
      </c>
      <c r="D65" s="95" t="s">
        <v>541</v>
      </c>
      <c r="E65" s="3" t="s">
        <v>10</v>
      </c>
      <c r="F65" s="3" t="s">
        <v>10</v>
      </c>
      <c r="G65" s="3" t="s">
        <v>6</v>
      </c>
      <c r="H65" s="3">
        <v>2</v>
      </c>
      <c r="I65" s="95" t="s">
        <v>5</v>
      </c>
      <c r="J65" s="3" t="s">
        <v>10</v>
      </c>
      <c r="K65" s="230" t="s">
        <v>5</v>
      </c>
      <c r="L65" s="3" t="s">
        <v>174</v>
      </c>
      <c r="M65" s="3" t="s">
        <v>651</v>
      </c>
      <c r="N65" s="3" t="s">
        <v>651</v>
      </c>
      <c r="O65" s="225" t="s">
        <v>651</v>
      </c>
    </row>
    <row r="66" spans="1:15" x14ac:dyDescent="0.35">
      <c r="A66" s="3" t="s">
        <v>78</v>
      </c>
      <c r="B66" s="3" t="s">
        <v>568</v>
      </c>
      <c r="C66" s="3">
        <v>3</v>
      </c>
      <c r="D66" s="95" t="s">
        <v>548</v>
      </c>
      <c r="E66" s="3" t="s">
        <v>6</v>
      </c>
      <c r="F66" s="3" t="s">
        <v>6</v>
      </c>
      <c r="G66" s="3" t="s">
        <v>10</v>
      </c>
      <c r="H66" s="3">
        <v>6</v>
      </c>
      <c r="I66" s="95" t="s">
        <v>437</v>
      </c>
      <c r="J66" s="3" t="s">
        <v>6</v>
      </c>
      <c r="K66" s="230">
        <v>42734</v>
      </c>
      <c r="L66" s="3" t="s">
        <v>2737</v>
      </c>
      <c r="M66" s="3" t="s">
        <v>49</v>
      </c>
      <c r="N66" s="3" t="s">
        <v>6</v>
      </c>
      <c r="O66" s="225" t="s">
        <v>26</v>
      </c>
    </row>
    <row r="67" spans="1:15" x14ac:dyDescent="0.35">
      <c r="A67" s="3" t="s">
        <v>78</v>
      </c>
      <c r="B67" s="3" t="s">
        <v>568</v>
      </c>
      <c r="C67" s="3">
        <v>3</v>
      </c>
      <c r="D67" s="95" t="s">
        <v>533</v>
      </c>
      <c r="E67" s="3" t="s">
        <v>10</v>
      </c>
      <c r="F67" s="3" t="s">
        <v>10</v>
      </c>
      <c r="G67" s="3" t="s">
        <v>6</v>
      </c>
      <c r="H67" s="3">
        <v>198</v>
      </c>
      <c r="I67" s="95" t="s">
        <v>5</v>
      </c>
      <c r="J67" s="3" t="s">
        <v>10</v>
      </c>
      <c r="K67" s="230" t="s">
        <v>5</v>
      </c>
      <c r="L67" s="3" t="s">
        <v>315</v>
      </c>
      <c r="M67" s="3" t="s">
        <v>651</v>
      </c>
      <c r="N67" s="3" t="s">
        <v>651</v>
      </c>
      <c r="O67" s="225" t="s">
        <v>651</v>
      </c>
    </row>
    <row r="68" spans="1:15" x14ac:dyDescent="0.35">
      <c r="A68" s="3" t="s">
        <v>78</v>
      </c>
      <c r="B68" s="3" t="s">
        <v>568</v>
      </c>
      <c r="C68" s="3">
        <v>3</v>
      </c>
      <c r="D68" s="95" t="s">
        <v>534</v>
      </c>
      <c r="E68" s="3" t="s">
        <v>10</v>
      </c>
      <c r="F68" s="3" t="s">
        <v>6</v>
      </c>
      <c r="G68" s="3" t="s">
        <v>6</v>
      </c>
      <c r="H68" s="3">
        <v>3</v>
      </c>
      <c r="I68" s="95" t="s">
        <v>437</v>
      </c>
      <c r="J68" s="3" t="s">
        <v>6</v>
      </c>
      <c r="K68" s="230" t="s">
        <v>5</v>
      </c>
      <c r="L68" s="3" t="s">
        <v>52</v>
      </c>
      <c r="M68" s="3" t="s">
        <v>17</v>
      </c>
      <c r="N68" s="3" t="s">
        <v>6</v>
      </c>
      <c r="O68" s="225" t="s">
        <v>26</v>
      </c>
    </row>
    <row r="69" spans="1:15" x14ac:dyDescent="0.35">
      <c r="A69" s="3" t="s">
        <v>78</v>
      </c>
      <c r="B69" s="3" t="s">
        <v>568</v>
      </c>
      <c r="C69" s="3">
        <v>3</v>
      </c>
      <c r="D69" s="95" t="s">
        <v>542</v>
      </c>
      <c r="E69" s="3" t="s">
        <v>6</v>
      </c>
      <c r="F69" s="3" t="s">
        <v>6</v>
      </c>
      <c r="G69" s="3" t="s">
        <v>10</v>
      </c>
      <c r="H69" s="3">
        <v>5</v>
      </c>
      <c r="I69" s="95" t="s">
        <v>437</v>
      </c>
      <c r="J69" s="3" t="s">
        <v>6</v>
      </c>
      <c r="K69" s="230">
        <v>45516</v>
      </c>
      <c r="L69" s="3" t="s">
        <v>2737</v>
      </c>
      <c r="M69" s="3" t="s">
        <v>49</v>
      </c>
      <c r="N69" s="3" t="s">
        <v>6</v>
      </c>
      <c r="O69" s="225" t="s">
        <v>26</v>
      </c>
    </row>
    <row r="70" spans="1:15" x14ac:dyDescent="0.35">
      <c r="A70" s="3" t="s">
        <v>78</v>
      </c>
      <c r="B70" s="3" t="s">
        <v>568</v>
      </c>
      <c r="C70" s="3">
        <v>3</v>
      </c>
      <c r="D70" s="95" t="s">
        <v>537</v>
      </c>
      <c r="E70" s="3" t="s">
        <v>10</v>
      </c>
      <c r="F70" s="3" t="s">
        <v>10</v>
      </c>
      <c r="G70" s="3" t="s">
        <v>6</v>
      </c>
      <c r="H70" s="3">
        <v>14</v>
      </c>
      <c r="I70" s="95" t="s">
        <v>5</v>
      </c>
      <c r="J70" s="3" t="s">
        <v>10</v>
      </c>
      <c r="K70" s="230" t="s">
        <v>5</v>
      </c>
      <c r="L70" s="3" t="s">
        <v>2737</v>
      </c>
      <c r="M70" s="3" t="s">
        <v>651</v>
      </c>
      <c r="N70" s="3" t="s">
        <v>651</v>
      </c>
      <c r="O70" s="225" t="s">
        <v>651</v>
      </c>
    </row>
    <row r="71" spans="1:15" x14ac:dyDescent="0.35">
      <c r="A71" s="3" t="s">
        <v>78</v>
      </c>
      <c r="B71" s="3" t="s">
        <v>568</v>
      </c>
      <c r="C71" s="3">
        <v>3</v>
      </c>
      <c r="D71" s="95" t="s">
        <v>535</v>
      </c>
      <c r="E71" s="3" t="s">
        <v>6</v>
      </c>
      <c r="F71" s="3" t="s">
        <v>6</v>
      </c>
      <c r="G71" s="3" t="s">
        <v>10</v>
      </c>
      <c r="H71" s="3">
        <v>1</v>
      </c>
      <c r="I71" s="95" t="s">
        <v>5</v>
      </c>
      <c r="J71" s="3" t="s">
        <v>10</v>
      </c>
      <c r="K71" s="230" t="s">
        <v>5</v>
      </c>
      <c r="L71" s="3" t="s">
        <v>2737</v>
      </c>
      <c r="M71" s="3" t="s">
        <v>49</v>
      </c>
      <c r="N71" s="3" t="s">
        <v>6</v>
      </c>
      <c r="O71" s="225" t="s">
        <v>51</v>
      </c>
    </row>
    <row r="72" spans="1:15" x14ac:dyDescent="0.35">
      <c r="A72" s="3" t="s">
        <v>85</v>
      </c>
      <c r="B72" s="3" t="s">
        <v>569</v>
      </c>
      <c r="C72" s="3">
        <v>4</v>
      </c>
      <c r="D72" s="95" t="s">
        <v>541</v>
      </c>
      <c r="E72" s="3" t="s">
        <v>10</v>
      </c>
      <c r="F72" s="3" t="s">
        <v>10</v>
      </c>
      <c r="G72" s="3" t="s">
        <v>6</v>
      </c>
      <c r="H72" s="3">
        <v>21</v>
      </c>
      <c r="I72" s="95" t="s">
        <v>5</v>
      </c>
      <c r="J72" s="3" t="s">
        <v>10</v>
      </c>
      <c r="K72" s="230" t="s">
        <v>5</v>
      </c>
      <c r="L72" s="3" t="s">
        <v>174</v>
      </c>
      <c r="M72" s="3" t="s">
        <v>651</v>
      </c>
      <c r="N72" s="3" t="s">
        <v>651</v>
      </c>
      <c r="O72" s="225" t="s">
        <v>651</v>
      </c>
    </row>
    <row r="73" spans="1:15" x14ac:dyDescent="0.35">
      <c r="A73" s="3" t="s">
        <v>85</v>
      </c>
      <c r="B73" s="3" t="s">
        <v>569</v>
      </c>
      <c r="C73" s="3">
        <v>4</v>
      </c>
      <c r="D73" s="95" t="s">
        <v>548</v>
      </c>
      <c r="E73" s="3" t="s">
        <v>6</v>
      </c>
      <c r="F73" s="3" t="s">
        <v>6</v>
      </c>
      <c r="G73" s="3" t="s">
        <v>10</v>
      </c>
      <c r="H73" s="3">
        <v>109</v>
      </c>
      <c r="I73" s="95" t="s">
        <v>437</v>
      </c>
      <c r="J73" s="3" t="s">
        <v>6</v>
      </c>
      <c r="K73" s="230">
        <v>42734</v>
      </c>
      <c r="L73" s="3" t="s">
        <v>2737</v>
      </c>
      <c r="M73" s="3" t="s">
        <v>49</v>
      </c>
      <c r="N73" s="3" t="s">
        <v>6</v>
      </c>
      <c r="O73" s="225" t="s">
        <v>26</v>
      </c>
    </row>
    <row r="74" spans="1:15" x14ac:dyDescent="0.35">
      <c r="A74" s="3" t="s">
        <v>85</v>
      </c>
      <c r="B74" s="3" t="s">
        <v>569</v>
      </c>
      <c r="C74" s="3">
        <v>4</v>
      </c>
      <c r="D74" s="95" t="s">
        <v>533</v>
      </c>
      <c r="E74" s="3" t="s">
        <v>10</v>
      </c>
      <c r="F74" s="3" t="s">
        <v>10</v>
      </c>
      <c r="G74" s="3" t="s">
        <v>6</v>
      </c>
      <c r="H74" s="3">
        <v>38</v>
      </c>
      <c r="I74" s="95" t="s">
        <v>5</v>
      </c>
      <c r="J74" s="3" t="s">
        <v>10</v>
      </c>
      <c r="K74" s="230" t="s">
        <v>5</v>
      </c>
      <c r="L74" s="3" t="s">
        <v>315</v>
      </c>
      <c r="M74" s="3" t="s">
        <v>651</v>
      </c>
      <c r="N74" s="3" t="s">
        <v>651</v>
      </c>
      <c r="O74" s="225" t="s">
        <v>651</v>
      </c>
    </row>
    <row r="75" spans="1:15" x14ac:dyDescent="0.35">
      <c r="A75" s="3" t="s">
        <v>85</v>
      </c>
      <c r="B75" s="3" t="s">
        <v>569</v>
      </c>
      <c r="C75" s="3">
        <v>4</v>
      </c>
      <c r="D75" s="95" t="s">
        <v>534</v>
      </c>
      <c r="E75" s="3" t="s">
        <v>10</v>
      </c>
      <c r="F75" s="3" t="s">
        <v>10</v>
      </c>
      <c r="G75" s="3" t="s">
        <v>6</v>
      </c>
      <c r="H75" s="3">
        <v>380</v>
      </c>
      <c r="I75" s="95" t="s">
        <v>5</v>
      </c>
      <c r="J75" s="3" t="s">
        <v>10</v>
      </c>
      <c r="K75" s="230" t="s">
        <v>5</v>
      </c>
      <c r="L75" s="3" t="s">
        <v>52</v>
      </c>
      <c r="M75" s="3" t="s">
        <v>651</v>
      </c>
      <c r="N75" s="3" t="s">
        <v>651</v>
      </c>
      <c r="O75" s="225" t="s">
        <v>651</v>
      </c>
    </row>
    <row r="76" spans="1:15" x14ac:dyDescent="0.35">
      <c r="A76" s="3" t="s">
        <v>85</v>
      </c>
      <c r="B76" s="3" t="s">
        <v>569</v>
      </c>
      <c r="C76" s="3">
        <v>4</v>
      </c>
      <c r="D76" s="95" t="s">
        <v>542</v>
      </c>
      <c r="E76" s="3" t="s">
        <v>10</v>
      </c>
      <c r="F76" s="3" t="s">
        <v>10</v>
      </c>
      <c r="G76" s="3" t="s">
        <v>6</v>
      </c>
      <c r="H76" s="3">
        <v>68</v>
      </c>
      <c r="I76" s="95" t="s">
        <v>5</v>
      </c>
      <c r="J76" s="3" t="s">
        <v>10</v>
      </c>
      <c r="K76" s="230" t="s">
        <v>5</v>
      </c>
      <c r="L76" s="3" t="s">
        <v>2737</v>
      </c>
      <c r="M76" s="3" t="s">
        <v>651</v>
      </c>
      <c r="N76" s="3" t="s">
        <v>651</v>
      </c>
      <c r="O76" s="225" t="s">
        <v>651</v>
      </c>
    </row>
    <row r="77" spans="1:15" x14ac:dyDescent="0.35">
      <c r="A77" s="3" t="s">
        <v>85</v>
      </c>
      <c r="B77" s="3" t="s">
        <v>569</v>
      </c>
      <c r="C77" s="3">
        <v>4</v>
      </c>
      <c r="D77" s="95" t="s">
        <v>537</v>
      </c>
      <c r="E77" s="3" t="s">
        <v>10</v>
      </c>
      <c r="F77" s="3" t="s">
        <v>10</v>
      </c>
      <c r="G77" s="3" t="s">
        <v>6</v>
      </c>
      <c r="H77" s="3">
        <v>172</v>
      </c>
      <c r="I77" s="95" t="s">
        <v>3304</v>
      </c>
      <c r="J77" s="3" t="s">
        <v>6</v>
      </c>
      <c r="K77" s="230">
        <v>43616</v>
      </c>
      <c r="L77" s="3" t="s">
        <v>2737</v>
      </c>
      <c r="M77" s="3" t="s">
        <v>651</v>
      </c>
      <c r="N77" s="3" t="s">
        <v>651</v>
      </c>
      <c r="O77" s="225" t="s">
        <v>651</v>
      </c>
    </row>
    <row r="78" spans="1:15" x14ac:dyDescent="0.35">
      <c r="A78" s="3" t="s">
        <v>85</v>
      </c>
      <c r="B78" s="3" t="s">
        <v>569</v>
      </c>
      <c r="C78" s="3">
        <v>4</v>
      </c>
      <c r="D78" s="95" t="s">
        <v>535</v>
      </c>
      <c r="E78" s="3" t="s">
        <v>10</v>
      </c>
      <c r="F78" s="3" t="s">
        <v>10</v>
      </c>
      <c r="G78" s="3" t="s">
        <v>6</v>
      </c>
      <c r="H78" s="3">
        <v>0</v>
      </c>
      <c r="I78" s="95" t="s">
        <v>5</v>
      </c>
      <c r="J78" s="3" t="s">
        <v>10</v>
      </c>
      <c r="K78" s="230" t="s">
        <v>5</v>
      </c>
      <c r="L78" s="3" t="s">
        <v>2737</v>
      </c>
      <c r="M78" s="3" t="s">
        <v>651</v>
      </c>
      <c r="N78" s="3" t="s">
        <v>651</v>
      </c>
      <c r="O78" s="225" t="s">
        <v>651</v>
      </c>
    </row>
    <row r="79" spans="1:15" x14ac:dyDescent="0.35">
      <c r="A79" s="3" t="s">
        <v>570</v>
      </c>
      <c r="B79" s="3" t="s">
        <v>571</v>
      </c>
      <c r="C79" s="3">
        <v>4</v>
      </c>
      <c r="D79" s="95" t="s">
        <v>541</v>
      </c>
      <c r="E79" s="3" t="s">
        <v>10</v>
      </c>
      <c r="F79" s="3" t="s">
        <v>10</v>
      </c>
      <c r="G79" s="3" t="s">
        <v>6</v>
      </c>
      <c r="H79" s="3">
        <v>13</v>
      </c>
      <c r="I79" s="95" t="s">
        <v>5</v>
      </c>
      <c r="J79" s="3" t="s">
        <v>10</v>
      </c>
      <c r="K79" s="230" t="s">
        <v>5</v>
      </c>
      <c r="L79" s="3" t="s">
        <v>174</v>
      </c>
      <c r="M79" s="3" t="s">
        <v>651</v>
      </c>
      <c r="N79" s="3" t="s">
        <v>651</v>
      </c>
      <c r="O79" s="225" t="s">
        <v>651</v>
      </c>
    </row>
    <row r="80" spans="1:15" x14ac:dyDescent="0.35">
      <c r="A80" s="3" t="s">
        <v>570</v>
      </c>
      <c r="B80" s="3" t="s">
        <v>571</v>
      </c>
      <c r="C80" s="3">
        <v>4</v>
      </c>
      <c r="D80" s="95" t="s">
        <v>548</v>
      </c>
      <c r="E80" s="3" t="s">
        <v>6</v>
      </c>
      <c r="F80" s="3" t="s">
        <v>6</v>
      </c>
      <c r="G80" s="3" t="s">
        <v>10</v>
      </c>
      <c r="H80" s="3">
        <v>76</v>
      </c>
      <c r="I80" s="95" t="s">
        <v>437</v>
      </c>
      <c r="J80" s="3" t="s">
        <v>6</v>
      </c>
      <c r="K80" s="230">
        <v>42734</v>
      </c>
      <c r="L80" s="3" t="s">
        <v>2737</v>
      </c>
      <c r="M80" s="3" t="s">
        <v>49</v>
      </c>
      <c r="N80" s="3" t="s">
        <v>6</v>
      </c>
      <c r="O80" s="225" t="s">
        <v>26</v>
      </c>
    </row>
    <row r="81" spans="1:15" x14ac:dyDescent="0.35">
      <c r="A81" s="3" t="s">
        <v>570</v>
      </c>
      <c r="B81" s="3" t="s">
        <v>571</v>
      </c>
      <c r="C81" s="3">
        <v>4</v>
      </c>
      <c r="D81" s="95" t="s">
        <v>533</v>
      </c>
      <c r="E81" s="3" t="s">
        <v>10</v>
      </c>
      <c r="F81" s="3" t="s">
        <v>10</v>
      </c>
      <c r="G81" s="3" t="s">
        <v>6</v>
      </c>
      <c r="H81" s="3">
        <v>14</v>
      </c>
      <c r="I81" s="95" t="s">
        <v>5</v>
      </c>
      <c r="J81" s="3" t="s">
        <v>10</v>
      </c>
      <c r="K81" s="230" t="s">
        <v>5</v>
      </c>
      <c r="L81" s="3" t="s">
        <v>315</v>
      </c>
      <c r="M81" s="3" t="s">
        <v>651</v>
      </c>
      <c r="N81" s="3" t="s">
        <v>651</v>
      </c>
      <c r="O81" s="225" t="s">
        <v>651</v>
      </c>
    </row>
    <row r="82" spans="1:15" x14ac:dyDescent="0.35">
      <c r="A82" s="3" t="s">
        <v>570</v>
      </c>
      <c r="B82" s="3" t="s">
        <v>571</v>
      </c>
      <c r="C82" s="3">
        <v>4</v>
      </c>
      <c r="D82" s="95" t="s">
        <v>534</v>
      </c>
      <c r="E82" s="3" t="s">
        <v>10</v>
      </c>
      <c r="F82" s="3" t="s">
        <v>10</v>
      </c>
      <c r="G82" s="3" t="s">
        <v>6</v>
      </c>
      <c r="H82" s="3">
        <v>172</v>
      </c>
      <c r="I82" s="95" t="s">
        <v>5</v>
      </c>
      <c r="J82" s="3" t="s">
        <v>10</v>
      </c>
      <c r="K82" s="230" t="s">
        <v>5</v>
      </c>
      <c r="L82" s="3" t="s">
        <v>52</v>
      </c>
      <c r="M82" s="3" t="s">
        <v>651</v>
      </c>
      <c r="N82" s="3" t="s">
        <v>651</v>
      </c>
      <c r="O82" s="225" t="s">
        <v>651</v>
      </c>
    </row>
    <row r="83" spans="1:15" x14ac:dyDescent="0.35">
      <c r="A83" s="3" t="s">
        <v>570</v>
      </c>
      <c r="B83" s="3" t="s">
        <v>571</v>
      </c>
      <c r="C83" s="3">
        <v>4</v>
      </c>
      <c r="D83" s="95" t="s">
        <v>542</v>
      </c>
      <c r="E83" s="3" t="s">
        <v>10</v>
      </c>
      <c r="F83" s="3" t="s">
        <v>10</v>
      </c>
      <c r="G83" s="3" t="s">
        <v>6</v>
      </c>
      <c r="H83" s="3">
        <v>62</v>
      </c>
      <c r="I83" s="95" t="s">
        <v>5</v>
      </c>
      <c r="J83" s="3" t="s">
        <v>10</v>
      </c>
      <c r="K83" s="230" t="s">
        <v>5</v>
      </c>
      <c r="L83" s="3" t="s">
        <v>2737</v>
      </c>
      <c r="M83" s="3" t="s">
        <v>651</v>
      </c>
      <c r="N83" s="3" t="s">
        <v>651</v>
      </c>
      <c r="O83" s="225" t="s">
        <v>651</v>
      </c>
    </row>
    <row r="84" spans="1:15" x14ac:dyDescent="0.35">
      <c r="A84" s="3" t="s">
        <v>570</v>
      </c>
      <c r="B84" s="3" t="s">
        <v>571</v>
      </c>
      <c r="C84" s="3">
        <v>4</v>
      </c>
      <c r="D84" s="95" t="s">
        <v>537</v>
      </c>
      <c r="E84" s="3" t="s">
        <v>10</v>
      </c>
      <c r="F84" s="3" t="s">
        <v>10</v>
      </c>
      <c r="G84" s="3" t="s">
        <v>6</v>
      </c>
      <c r="H84" s="3">
        <v>341</v>
      </c>
      <c r="I84" s="95" t="s">
        <v>5</v>
      </c>
      <c r="J84" s="3" t="s">
        <v>10</v>
      </c>
      <c r="K84" s="230" t="s">
        <v>5</v>
      </c>
      <c r="L84" s="3" t="s">
        <v>2737</v>
      </c>
      <c r="M84" s="3" t="s">
        <v>651</v>
      </c>
      <c r="N84" s="3" t="s">
        <v>651</v>
      </c>
      <c r="O84" s="225" t="s">
        <v>651</v>
      </c>
    </row>
    <row r="85" spans="1:15" x14ac:dyDescent="0.35">
      <c r="A85" s="3" t="s">
        <v>570</v>
      </c>
      <c r="B85" s="3" t="s">
        <v>571</v>
      </c>
      <c r="C85" s="3">
        <v>4</v>
      </c>
      <c r="D85" s="95" t="s">
        <v>535</v>
      </c>
      <c r="E85" s="3" t="s">
        <v>10</v>
      </c>
      <c r="F85" s="3" t="s">
        <v>10</v>
      </c>
      <c r="G85" s="3" t="s">
        <v>6</v>
      </c>
      <c r="H85" s="3">
        <v>74</v>
      </c>
      <c r="I85" s="95" t="s">
        <v>5</v>
      </c>
      <c r="J85" s="3" t="s">
        <v>10</v>
      </c>
      <c r="K85" s="230" t="s">
        <v>5</v>
      </c>
      <c r="L85" s="3" t="s">
        <v>2737</v>
      </c>
      <c r="M85" s="3" t="s">
        <v>651</v>
      </c>
      <c r="N85" s="3" t="s">
        <v>651</v>
      </c>
      <c r="O85" s="225" t="s">
        <v>651</v>
      </c>
    </row>
    <row r="86" spans="1:15" x14ac:dyDescent="0.35">
      <c r="A86" s="3" t="s">
        <v>96</v>
      </c>
      <c r="B86" s="3" t="s">
        <v>572</v>
      </c>
      <c r="C86" s="3">
        <v>9</v>
      </c>
      <c r="D86" s="95" t="s">
        <v>541</v>
      </c>
      <c r="E86" s="3" t="s">
        <v>6</v>
      </c>
      <c r="F86" s="3" t="s">
        <v>6</v>
      </c>
      <c r="G86" s="3" t="s">
        <v>10</v>
      </c>
      <c r="H86" s="3">
        <v>1</v>
      </c>
      <c r="I86" s="95" t="s">
        <v>5</v>
      </c>
      <c r="J86" s="3" t="s">
        <v>10</v>
      </c>
      <c r="K86" s="230" t="s">
        <v>5</v>
      </c>
      <c r="L86" s="3" t="s">
        <v>174</v>
      </c>
      <c r="M86" s="3" t="s">
        <v>17</v>
      </c>
      <c r="N86" s="3" t="s">
        <v>6</v>
      </c>
      <c r="O86" s="225" t="s">
        <v>51</v>
      </c>
    </row>
    <row r="87" spans="1:15" x14ac:dyDescent="0.35">
      <c r="A87" s="3" t="s">
        <v>96</v>
      </c>
      <c r="B87" s="3" t="s">
        <v>572</v>
      </c>
      <c r="C87" s="3">
        <v>9</v>
      </c>
      <c r="D87" s="95" t="s">
        <v>548</v>
      </c>
      <c r="E87" s="3" t="s">
        <v>6</v>
      </c>
      <c r="F87" s="3" t="s">
        <v>6</v>
      </c>
      <c r="G87" s="3" t="s">
        <v>10</v>
      </c>
      <c r="H87" s="3">
        <v>3</v>
      </c>
      <c r="I87" s="95" t="s">
        <v>437</v>
      </c>
      <c r="J87" s="3" t="s">
        <v>6</v>
      </c>
      <c r="K87" s="230">
        <v>42734</v>
      </c>
      <c r="L87" s="3" t="s">
        <v>2737</v>
      </c>
      <c r="M87" s="3" t="s">
        <v>49</v>
      </c>
      <c r="N87" s="3" t="s">
        <v>6</v>
      </c>
      <c r="O87" s="225" t="s">
        <v>26</v>
      </c>
    </row>
    <row r="88" spans="1:15" x14ac:dyDescent="0.35">
      <c r="A88" s="3" t="s">
        <v>96</v>
      </c>
      <c r="B88" s="3" t="s">
        <v>572</v>
      </c>
      <c r="C88" s="3">
        <v>9</v>
      </c>
      <c r="D88" s="95" t="s">
        <v>533</v>
      </c>
      <c r="E88" s="3" t="s">
        <v>6</v>
      </c>
      <c r="F88" s="3" t="s">
        <v>10</v>
      </c>
      <c r="G88" s="3" t="s">
        <v>10</v>
      </c>
      <c r="H88" s="3">
        <v>0</v>
      </c>
      <c r="I88" s="95" t="s">
        <v>651</v>
      </c>
      <c r="J88" s="3" t="s">
        <v>651</v>
      </c>
      <c r="K88" s="230" t="s">
        <v>5</v>
      </c>
      <c r="L88" s="3" t="s">
        <v>315</v>
      </c>
      <c r="M88" s="3" t="s">
        <v>651</v>
      </c>
      <c r="N88" s="3" t="s">
        <v>651</v>
      </c>
      <c r="O88" s="225" t="s">
        <v>651</v>
      </c>
    </row>
    <row r="89" spans="1:15" x14ac:dyDescent="0.35">
      <c r="A89" s="3" t="s">
        <v>96</v>
      </c>
      <c r="B89" s="3" t="s">
        <v>572</v>
      </c>
      <c r="C89" s="3">
        <v>9</v>
      </c>
      <c r="D89" s="95" t="s">
        <v>534</v>
      </c>
      <c r="E89" s="3" t="s">
        <v>6</v>
      </c>
      <c r="F89" s="3" t="s">
        <v>6</v>
      </c>
      <c r="G89" s="3" t="s">
        <v>10</v>
      </c>
      <c r="H89" s="3">
        <v>2</v>
      </c>
      <c r="I89" s="95" t="s">
        <v>5</v>
      </c>
      <c r="J89" s="3" t="s">
        <v>10</v>
      </c>
      <c r="K89" s="230" t="s">
        <v>5</v>
      </c>
      <c r="L89" s="3" t="s">
        <v>52</v>
      </c>
      <c r="M89" s="3" t="s">
        <v>17</v>
      </c>
      <c r="N89" s="3" t="s">
        <v>6</v>
      </c>
      <c r="O89" s="225" t="s">
        <v>26</v>
      </c>
    </row>
    <row r="90" spans="1:15" x14ac:dyDescent="0.35">
      <c r="A90" s="3" t="s">
        <v>96</v>
      </c>
      <c r="B90" s="3" t="s">
        <v>572</v>
      </c>
      <c r="C90" s="3">
        <v>9</v>
      </c>
      <c r="D90" s="95" t="s">
        <v>542</v>
      </c>
      <c r="E90" s="3" t="s">
        <v>6</v>
      </c>
      <c r="F90" s="3" t="s">
        <v>10</v>
      </c>
      <c r="G90" s="3" t="s">
        <v>10</v>
      </c>
      <c r="H90" s="3">
        <v>0</v>
      </c>
      <c r="I90" s="95" t="s">
        <v>651</v>
      </c>
      <c r="J90" s="3" t="s">
        <v>651</v>
      </c>
      <c r="K90" s="230" t="s">
        <v>5</v>
      </c>
      <c r="L90" s="3" t="s">
        <v>2737</v>
      </c>
      <c r="M90" s="3" t="s">
        <v>651</v>
      </c>
      <c r="N90" s="3" t="s">
        <v>651</v>
      </c>
      <c r="O90" s="225" t="s">
        <v>651</v>
      </c>
    </row>
    <row r="91" spans="1:15" x14ac:dyDescent="0.35">
      <c r="A91" s="3" t="s">
        <v>96</v>
      </c>
      <c r="B91" s="3" t="s">
        <v>572</v>
      </c>
      <c r="C91" s="3">
        <v>9</v>
      </c>
      <c r="D91" s="95" t="s">
        <v>537</v>
      </c>
      <c r="E91" s="3" t="s">
        <v>6</v>
      </c>
      <c r="F91" s="3" t="s">
        <v>6</v>
      </c>
      <c r="G91" s="3" t="s">
        <v>10</v>
      </c>
      <c r="H91" s="3">
        <v>5</v>
      </c>
      <c r="I91" s="95" t="s">
        <v>437</v>
      </c>
      <c r="J91" s="3" t="s">
        <v>6</v>
      </c>
      <c r="K91" s="230">
        <v>44875</v>
      </c>
      <c r="L91" s="3" t="s">
        <v>2737</v>
      </c>
      <c r="M91" s="3" t="s">
        <v>49</v>
      </c>
      <c r="N91" s="3" t="s">
        <v>6</v>
      </c>
      <c r="O91" s="225" t="s">
        <v>26</v>
      </c>
    </row>
    <row r="92" spans="1:15" x14ac:dyDescent="0.35">
      <c r="A92" s="3" t="s">
        <v>96</v>
      </c>
      <c r="B92" s="3" t="s">
        <v>572</v>
      </c>
      <c r="C92" s="3">
        <v>9</v>
      </c>
      <c r="D92" s="95" t="s">
        <v>535</v>
      </c>
      <c r="E92" s="3" t="s">
        <v>6</v>
      </c>
      <c r="F92" s="3" t="s">
        <v>10</v>
      </c>
      <c r="G92" s="3" t="s">
        <v>10</v>
      </c>
      <c r="H92" s="3">
        <v>0</v>
      </c>
      <c r="I92" s="95" t="s">
        <v>651</v>
      </c>
      <c r="J92" s="3" t="s">
        <v>651</v>
      </c>
      <c r="K92" s="230" t="s">
        <v>5</v>
      </c>
      <c r="L92" s="3" t="s">
        <v>2737</v>
      </c>
      <c r="M92" s="3" t="s">
        <v>651</v>
      </c>
      <c r="N92" s="3" t="s">
        <v>651</v>
      </c>
      <c r="O92" s="225" t="s">
        <v>651</v>
      </c>
    </row>
    <row r="93" spans="1:15" x14ac:dyDescent="0.35">
      <c r="A93" s="3" t="s">
        <v>573</v>
      </c>
      <c r="B93" s="3" t="s">
        <v>574</v>
      </c>
      <c r="C93" s="3">
        <v>9</v>
      </c>
      <c r="D93" s="95" t="s">
        <v>541</v>
      </c>
      <c r="E93" s="3" t="s">
        <v>10</v>
      </c>
      <c r="F93" s="3" t="s">
        <v>10</v>
      </c>
      <c r="G93" s="3" t="s">
        <v>6</v>
      </c>
      <c r="H93" s="3">
        <v>2</v>
      </c>
      <c r="I93" s="95" t="s">
        <v>5</v>
      </c>
      <c r="J93" s="3" t="s">
        <v>10</v>
      </c>
      <c r="K93" s="230" t="s">
        <v>5</v>
      </c>
      <c r="L93" s="3" t="s">
        <v>174</v>
      </c>
      <c r="M93" s="3" t="s">
        <v>651</v>
      </c>
      <c r="N93" s="3" t="s">
        <v>651</v>
      </c>
      <c r="O93" s="225" t="s">
        <v>651</v>
      </c>
    </row>
    <row r="94" spans="1:15" x14ac:dyDescent="0.35">
      <c r="A94" s="3" t="s">
        <v>573</v>
      </c>
      <c r="B94" s="3" t="s">
        <v>574</v>
      </c>
      <c r="C94" s="3">
        <v>9</v>
      </c>
      <c r="D94" s="95" t="s">
        <v>548</v>
      </c>
      <c r="E94" s="3" t="s">
        <v>6</v>
      </c>
      <c r="F94" s="3" t="s">
        <v>6</v>
      </c>
      <c r="G94" s="3" t="s">
        <v>10</v>
      </c>
      <c r="H94" s="3">
        <v>18</v>
      </c>
      <c r="I94" s="95" t="s">
        <v>437</v>
      </c>
      <c r="J94" s="3" t="s">
        <v>6</v>
      </c>
      <c r="K94" s="230">
        <v>42734</v>
      </c>
      <c r="L94" s="3" t="s">
        <v>2737</v>
      </c>
      <c r="M94" s="3" t="s">
        <v>49</v>
      </c>
      <c r="N94" s="3" t="s">
        <v>6</v>
      </c>
      <c r="O94" s="225" t="s">
        <v>26</v>
      </c>
    </row>
    <row r="95" spans="1:15" x14ac:dyDescent="0.35">
      <c r="A95" s="3" t="s">
        <v>573</v>
      </c>
      <c r="B95" s="3" t="s">
        <v>574</v>
      </c>
      <c r="C95" s="3">
        <v>9</v>
      </c>
      <c r="D95" s="95" t="s">
        <v>533</v>
      </c>
      <c r="E95" s="3" t="s">
        <v>10</v>
      </c>
      <c r="F95" s="3" t="s">
        <v>10</v>
      </c>
      <c r="G95" s="3" t="s">
        <v>6</v>
      </c>
      <c r="H95" s="3">
        <v>0</v>
      </c>
      <c r="I95" s="95" t="s">
        <v>651</v>
      </c>
      <c r="J95" s="3" t="s">
        <v>651</v>
      </c>
      <c r="K95" s="230" t="s">
        <v>5</v>
      </c>
      <c r="L95" s="3" t="s">
        <v>315</v>
      </c>
      <c r="M95" s="3" t="s">
        <v>651</v>
      </c>
      <c r="N95" s="3" t="s">
        <v>651</v>
      </c>
      <c r="O95" s="225" t="s">
        <v>651</v>
      </c>
    </row>
    <row r="96" spans="1:15" x14ac:dyDescent="0.35">
      <c r="A96" s="3" t="s">
        <v>573</v>
      </c>
      <c r="B96" s="3" t="s">
        <v>574</v>
      </c>
      <c r="C96" s="3">
        <v>9</v>
      </c>
      <c r="D96" s="95" t="s">
        <v>534</v>
      </c>
      <c r="E96" s="3" t="s">
        <v>10</v>
      </c>
      <c r="F96" s="3" t="s">
        <v>10</v>
      </c>
      <c r="G96" s="3" t="s">
        <v>6</v>
      </c>
      <c r="H96" s="3">
        <v>24</v>
      </c>
      <c r="I96" s="95" t="s">
        <v>5</v>
      </c>
      <c r="J96" s="3" t="s">
        <v>10</v>
      </c>
      <c r="K96" s="230" t="s">
        <v>5</v>
      </c>
      <c r="L96" s="3" t="s">
        <v>52</v>
      </c>
      <c r="M96" s="3" t="s">
        <v>651</v>
      </c>
      <c r="N96" s="3" t="s">
        <v>651</v>
      </c>
      <c r="O96" s="225" t="s">
        <v>651</v>
      </c>
    </row>
    <row r="97" spans="1:15" x14ac:dyDescent="0.35">
      <c r="A97" s="3" t="s">
        <v>573</v>
      </c>
      <c r="B97" s="3" t="s">
        <v>574</v>
      </c>
      <c r="C97" s="3">
        <v>9</v>
      </c>
      <c r="D97" s="95" t="s">
        <v>542</v>
      </c>
      <c r="E97" s="3" t="s">
        <v>10</v>
      </c>
      <c r="F97" s="3" t="s">
        <v>10</v>
      </c>
      <c r="G97" s="3" t="s">
        <v>6</v>
      </c>
      <c r="H97" s="3">
        <v>2</v>
      </c>
      <c r="I97" s="95" t="s">
        <v>5</v>
      </c>
      <c r="J97" s="3" t="s">
        <v>10</v>
      </c>
      <c r="K97" s="230" t="s">
        <v>5</v>
      </c>
      <c r="L97" s="3" t="s">
        <v>2737</v>
      </c>
      <c r="M97" s="3" t="s">
        <v>651</v>
      </c>
      <c r="N97" s="3" t="s">
        <v>651</v>
      </c>
      <c r="O97" s="225" t="s">
        <v>651</v>
      </c>
    </row>
    <row r="98" spans="1:15" x14ac:dyDescent="0.35">
      <c r="A98" s="3" t="s">
        <v>573</v>
      </c>
      <c r="B98" s="3" t="s">
        <v>574</v>
      </c>
      <c r="C98" s="3">
        <v>9</v>
      </c>
      <c r="D98" s="95" t="s">
        <v>537</v>
      </c>
      <c r="E98" s="3" t="s">
        <v>10</v>
      </c>
      <c r="F98" s="3" t="s">
        <v>10</v>
      </c>
      <c r="G98" s="3" t="s">
        <v>6</v>
      </c>
      <c r="H98" s="3">
        <v>10</v>
      </c>
      <c r="I98" s="95" t="s">
        <v>5</v>
      </c>
      <c r="J98" s="3" t="s">
        <v>10</v>
      </c>
      <c r="K98" s="230" t="s">
        <v>5</v>
      </c>
      <c r="L98" s="3" t="s">
        <v>2737</v>
      </c>
      <c r="M98" s="3" t="s">
        <v>651</v>
      </c>
      <c r="N98" s="3" t="s">
        <v>651</v>
      </c>
      <c r="O98" s="225" t="s">
        <v>651</v>
      </c>
    </row>
    <row r="99" spans="1:15" x14ac:dyDescent="0.35">
      <c r="A99" s="3" t="s">
        <v>573</v>
      </c>
      <c r="B99" s="3" t="s">
        <v>574</v>
      </c>
      <c r="C99" s="3">
        <v>9</v>
      </c>
      <c r="D99" s="95" t="s">
        <v>535</v>
      </c>
      <c r="E99" s="3" t="s">
        <v>10</v>
      </c>
      <c r="F99" s="3" t="s">
        <v>10</v>
      </c>
      <c r="G99" s="3" t="s">
        <v>6</v>
      </c>
      <c r="H99" s="3">
        <v>12</v>
      </c>
      <c r="I99" s="95" t="s">
        <v>5</v>
      </c>
      <c r="J99" s="3" t="s">
        <v>10</v>
      </c>
      <c r="K99" s="230" t="s">
        <v>5</v>
      </c>
      <c r="L99" s="3" t="s">
        <v>2737</v>
      </c>
      <c r="M99" s="3" t="s">
        <v>651</v>
      </c>
      <c r="N99" s="3" t="s">
        <v>651</v>
      </c>
      <c r="O99" s="225" t="s">
        <v>651</v>
      </c>
    </row>
    <row r="100" spans="1:15" x14ac:dyDescent="0.35">
      <c r="A100" s="3" t="s">
        <v>101</v>
      </c>
      <c r="B100" s="3" t="s">
        <v>575</v>
      </c>
      <c r="C100" s="3">
        <v>7</v>
      </c>
      <c r="D100" s="95" t="s">
        <v>541</v>
      </c>
      <c r="E100" s="3" t="s">
        <v>10</v>
      </c>
      <c r="F100" s="3" t="s">
        <v>10</v>
      </c>
      <c r="G100" s="3" t="s">
        <v>6</v>
      </c>
      <c r="H100" s="3">
        <v>8</v>
      </c>
      <c r="I100" s="95" t="s">
        <v>5</v>
      </c>
      <c r="J100" s="3" t="s">
        <v>10</v>
      </c>
      <c r="K100" s="230" t="s">
        <v>5</v>
      </c>
      <c r="L100" s="3" t="s">
        <v>174</v>
      </c>
      <c r="M100" s="3" t="s">
        <v>651</v>
      </c>
      <c r="N100" s="3" t="s">
        <v>651</v>
      </c>
      <c r="O100" s="225" t="s">
        <v>651</v>
      </c>
    </row>
    <row r="101" spans="1:15" x14ac:dyDescent="0.35">
      <c r="A101" s="3" t="s">
        <v>101</v>
      </c>
      <c r="B101" s="3" t="s">
        <v>575</v>
      </c>
      <c r="C101" s="3">
        <v>7</v>
      </c>
      <c r="D101" s="95" t="s">
        <v>548</v>
      </c>
      <c r="E101" s="3" t="s">
        <v>6</v>
      </c>
      <c r="F101" s="3" t="s">
        <v>6</v>
      </c>
      <c r="G101" s="3" t="s">
        <v>10</v>
      </c>
      <c r="H101" s="3">
        <v>85</v>
      </c>
      <c r="I101" s="95" t="s">
        <v>437</v>
      </c>
      <c r="J101" s="3" t="s">
        <v>6</v>
      </c>
      <c r="K101" s="230">
        <v>42734</v>
      </c>
      <c r="L101" s="3" t="s">
        <v>2737</v>
      </c>
      <c r="M101" s="3" t="s">
        <v>49</v>
      </c>
      <c r="N101" s="3" t="s">
        <v>6</v>
      </c>
      <c r="O101" s="225" t="s">
        <v>26</v>
      </c>
    </row>
    <row r="102" spans="1:15" x14ac:dyDescent="0.35">
      <c r="A102" s="3" t="s">
        <v>101</v>
      </c>
      <c r="B102" s="3" t="s">
        <v>575</v>
      </c>
      <c r="C102" s="3">
        <v>7</v>
      </c>
      <c r="D102" s="95" t="s">
        <v>533</v>
      </c>
      <c r="E102" s="3" t="s">
        <v>10</v>
      </c>
      <c r="F102" s="3" t="s">
        <v>10</v>
      </c>
      <c r="G102" s="3" t="s">
        <v>6</v>
      </c>
      <c r="H102" s="3">
        <v>10</v>
      </c>
      <c r="I102" s="95" t="s">
        <v>5</v>
      </c>
      <c r="J102" s="3" t="s">
        <v>10</v>
      </c>
      <c r="K102" s="230" t="s">
        <v>5</v>
      </c>
      <c r="L102" s="3" t="s">
        <v>315</v>
      </c>
      <c r="M102" s="3" t="s">
        <v>651</v>
      </c>
      <c r="N102" s="3" t="s">
        <v>651</v>
      </c>
      <c r="O102" s="225" t="s">
        <v>651</v>
      </c>
    </row>
    <row r="103" spans="1:15" x14ac:dyDescent="0.35">
      <c r="A103" s="3" t="s">
        <v>101</v>
      </c>
      <c r="B103" s="3" t="s">
        <v>575</v>
      </c>
      <c r="C103" s="3">
        <v>7</v>
      </c>
      <c r="D103" s="95" t="s">
        <v>534</v>
      </c>
      <c r="E103" s="3" t="s">
        <v>10</v>
      </c>
      <c r="F103" s="3" t="s">
        <v>10</v>
      </c>
      <c r="G103" s="3" t="s">
        <v>6</v>
      </c>
      <c r="H103" s="3">
        <v>47</v>
      </c>
      <c r="I103" s="95" t="s">
        <v>5</v>
      </c>
      <c r="J103" s="3" t="s">
        <v>10</v>
      </c>
      <c r="K103" s="230" t="s">
        <v>5</v>
      </c>
      <c r="L103" s="3" t="s">
        <v>52</v>
      </c>
      <c r="M103" s="3" t="s">
        <v>651</v>
      </c>
      <c r="N103" s="3" t="s">
        <v>651</v>
      </c>
      <c r="O103" s="225" t="s">
        <v>651</v>
      </c>
    </row>
    <row r="104" spans="1:15" x14ac:dyDescent="0.35">
      <c r="A104" s="3" t="s">
        <v>101</v>
      </c>
      <c r="B104" s="3" t="s">
        <v>575</v>
      </c>
      <c r="C104" s="3">
        <v>7</v>
      </c>
      <c r="D104" s="95" t="s">
        <v>542</v>
      </c>
      <c r="E104" s="3" t="s">
        <v>10</v>
      </c>
      <c r="F104" s="3" t="s">
        <v>10</v>
      </c>
      <c r="G104" s="3" t="s">
        <v>6</v>
      </c>
      <c r="H104" s="3">
        <v>20</v>
      </c>
      <c r="I104" s="95" t="s">
        <v>5</v>
      </c>
      <c r="J104" s="3" t="s">
        <v>10</v>
      </c>
      <c r="K104" s="230" t="s">
        <v>5</v>
      </c>
      <c r="L104" s="3" t="s">
        <v>2737</v>
      </c>
      <c r="M104" s="3" t="s">
        <v>651</v>
      </c>
      <c r="N104" s="3" t="s">
        <v>651</v>
      </c>
      <c r="O104" s="225" t="s">
        <v>651</v>
      </c>
    </row>
    <row r="105" spans="1:15" x14ac:dyDescent="0.35">
      <c r="A105" s="3" t="s">
        <v>101</v>
      </c>
      <c r="B105" s="3" t="s">
        <v>575</v>
      </c>
      <c r="C105" s="3">
        <v>7</v>
      </c>
      <c r="D105" s="95" t="s">
        <v>537</v>
      </c>
      <c r="E105" s="3" t="s">
        <v>10</v>
      </c>
      <c r="F105" s="3" t="s">
        <v>10</v>
      </c>
      <c r="G105" s="3" t="s">
        <v>6</v>
      </c>
      <c r="H105" s="3">
        <v>794</v>
      </c>
      <c r="I105" s="95" t="s">
        <v>5</v>
      </c>
      <c r="J105" s="3" t="s">
        <v>10</v>
      </c>
      <c r="K105" s="230" t="s">
        <v>5</v>
      </c>
      <c r="L105" s="3" t="s">
        <v>2737</v>
      </c>
      <c r="M105" s="3" t="s">
        <v>651</v>
      </c>
      <c r="N105" s="3" t="s">
        <v>651</v>
      </c>
      <c r="O105" s="225" t="s">
        <v>651</v>
      </c>
    </row>
    <row r="106" spans="1:15" x14ac:dyDescent="0.35">
      <c r="A106" s="3" t="s">
        <v>101</v>
      </c>
      <c r="B106" s="3" t="s">
        <v>575</v>
      </c>
      <c r="C106" s="3">
        <v>7</v>
      </c>
      <c r="D106" s="95" t="s">
        <v>535</v>
      </c>
      <c r="E106" s="3" t="s">
        <v>10</v>
      </c>
      <c r="F106" s="3" t="s">
        <v>10</v>
      </c>
      <c r="G106" s="3" t="s">
        <v>6</v>
      </c>
      <c r="H106" s="3">
        <v>1</v>
      </c>
      <c r="I106" s="95" t="s">
        <v>5</v>
      </c>
      <c r="J106" s="3" t="s">
        <v>10</v>
      </c>
      <c r="K106" s="230" t="s">
        <v>5</v>
      </c>
      <c r="L106" s="3" t="s">
        <v>2737</v>
      </c>
      <c r="M106" s="3" t="s">
        <v>651</v>
      </c>
      <c r="N106" s="3" t="s">
        <v>651</v>
      </c>
      <c r="O106" s="225" t="s">
        <v>651</v>
      </c>
    </row>
    <row r="107" spans="1:15" x14ac:dyDescent="0.35">
      <c r="A107" s="3" t="s">
        <v>104</v>
      </c>
      <c r="B107" s="3" t="s">
        <v>576</v>
      </c>
      <c r="C107" s="3">
        <v>10</v>
      </c>
      <c r="D107" s="95" t="s">
        <v>541</v>
      </c>
      <c r="E107" s="3" t="s">
        <v>10</v>
      </c>
      <c r="F107" s="3" t="s">
        <v>10</v>
      </c>
      <c r="G107" s="3" t="s">
        <v>6</v>
      </c>
      <c r="H107" s="3">
        <v>0</v>
      </c>
      <c r="I107" s="95" t="s">
        <v>651</v>
      </c>
      <c r="J107" s="3" t="s">
        <v>651</v>
      </c>
      <c r="K107" s="230" t="s">
        <v>5</v>
      </c>
      <c r="L107" s="3" t="s">
        <v>174</v>
      </c>
      <c r="M107" s="3" t="s">
        <v>651</v>
      </c>
      <c r="N107" s="3" t="s">
        <v>651</v>
      </c>
      <c r="O107" s="225" t="s">
        <v>651</v>
      </c>
    </row>
    <row r="108" spans="1:15" x14ac:dyDescent="0.35">
      <c r="A108" s="3" t="s">
        <v>104</v>
      </c>
      <c r="B108" s="3" t="s">
        <v>576</v>
      </c>
      <c r="C108" s="3">
        <v>10</v>
      </c>
      <c r="D108" s="95" t="s">
        <v>548</v>
      </c>
      <c r="E108" s="3" t="s">
        <v>10</v>
      </c>
      <c r="F108" s="3" t="s">
        <v>10</v>
      </c>
      <c r="G108" s="3" t="s">
        <v>6</v>
      </c>
      <c r="H108" s="3">
        <v>33</v>
      </c>
      <c r="I108" s="95" t="s">
        <v>5</v>
      </c>
      <c r="J108" s="3" t="s">
        <v>10</v>
      </c>
      <c r="K108" s="230">
        <v>45170</v>
      </c>
      <c r="L108" s="3" t="s">
        <v>2737</v>
      </c>
      <c r="M108" s="3" t="s">
        <v>651</v>
      </c>
      <c r="N108" s="3" t="s">
        <v>651</v>
      </c>
      <c r="O108" s="225" t="s">
        <v>651</v>
      </c>
    </row>
    <row r="109" spans="1:15" x14ac:dyDescent="0.35">
      <c r="A109" s="3" t="s">
        <v>104</v>
      </c>
      <c r="B109" s="3" t="s">
        <v>576</v>
      </c>
      <c r="C109" s="3">
        <v>10</v>
      </c>
      <c r="D109" s="95" t="s">
        <v>533</v>
      </c>
      <c r="E109" s="3" t="s">
        <v>10</v>
      </c>
      <c r="F109" s="3" t="s">
        <v>10</v>
      </c>
      <c r="G109" s="3" t="s">
        <v>6</v>
      </c>
      <c r="H109" s="3">
        <v>0</v>
      </c>
      <c r="I109" s="95" t="s">
        <v>651</v>
      </c>
      <c r="J109" s="3" t="s">
        <v>651</v>
      </c>
      <c r="K109" s="230" t="s">
        <v>5</v>
      </c>
      <c r="L109" s="3" t="s">
        <v>315</v>
      </c>
      <c r="M109" s="3" t="s">
        <v>651</v>
      </c>
      <c r="N109" s="3" t="s">
        <v>651</v>
      </c>
      <c r="O109" s="225" t="s">
        <v>651</v>
      </c>
    </row>
    <row r="110" spans="1:15" x14ac:dyDescent="0.35">
      <c r="A110" s="3" t="s">
        <v>104</v>
      </c>
      <c r="B110" s="3" t="s">
        <v>576</v>
      </c>
      <c r="C110" s="3">
        <v>10</v>
      </c>
      <c r="D110" s="95" t="s">
        <v>534</v>
      </c>
      <c r="E110" s="3" t="s">
        <v>10</v>
      </c>
      <c r="F110" s="3" t="s">
        <v>10</v>
      </c>
      <c r="G110" s="3" t="s">
        <v>6</v>
      </c>
      <c r="H110" s="3">
        <v>17</v>
      </c>
      <c r="I110" s="95" t="s">
        <v>2373</v>
      </c>
      <c r="J110" s="3" t="s">
        <v>6</v>
      </c>
      <c r="K110" s="230">
        <v>44378</v>
      </c>
      <c r="L110" s="3" t="s">
        <v>52</v>
      </c>
      <c r="M110" s="3" t="s">
        <v>651</v>
      </c>
      <c r="N110" s="3" t="s">
        <v>651</v>
      </c>
      <c r="O110" s="225" t="s">
        <v>651</v>
      </c>
    </row>
    <row r="111" spans="1:15" x14ac:dyDescent="0.35">
      <c r="A111" s="3" t="s">
        <v>104</v>
      </c>
      <c r="B111" s="3" t="s">
        <v>576</v>
      </c>
      <c r="C111" s="3">
        <v>10</v>
      </c>
      <c r="D111" s="95" t="s">
        <v>542</v>
      </c>
      <c r="E111" s="3" t="s">
        <v>10</v>
      </c>
      <c r="F111" s="3" t="s">
        <v>10</v>
      </c>
      <c r="G111" s="3" t="s">
        <v>6</v>
      </c>
      <c r="H111" s="3">
        <v>9</v>
      </c>
      <c r="I111" s="95" t="s">
        <v>5</v>
      </c>
      <c r="J111" s="3" t="s">
        <v>10</v>
      </c>
      <c r="K111" s="230" t="s">
        <v>5</v>
      </c>
      <c r="L111" s="3" t="s">
        <v>2737</v>
      </c>
      <c r="M111" s="3" t="s">
        <v>651</v>
      </c>
      <c r="N111" s="3" t="s">
        <v>651</v>
      </c>
      <c r="O111" s="225" t="s">
        <v>651</v>
      </c>
    </row>
    <row r="112" spans="1:15" x14ac:dyDescent="0.35">
      <c r="A112" s="3" t="s">
        <v>104</v>
      </c>
      <c r="B112" s="3" t="s">
        <v>576</v>
      </c>
      <c r="C112" s="3">
        <v>10</v>
      </c>
      <c r="D112" s="95" t="s">
        <v>537</v>
      </c>
      <c r="E112" s="3" t="s">
        <v>10</v>
      </c>
      <c r="F112" s="3" t="s">
        <v>10</v>
      </c>
      <c r="G112" s="3" t="s">
        <v>6</v>
      </c>
      <c r="H112" s="3">
        <v>110</v>
      </c>
      <c r="I112" s="95" t="s">
        <v>2373</v>
      </c>
      <c r="J112" s="3" t="s">
        <v>6</v>
      </c>
      <c r="K112" s="230">
        <v>43466</v>
      </c>
      <c r="L112" s="3" t="s">
        <v>2737</v>
      </c>
      <c r="M112" s="3" t="s">
        <v>651</v>
      </c>
      <c r="N112" s="3" t="s">
        <v>651</v>
      </c>
      <c r="O112" s="225" t="s">
        <v>651</v>
      </c>
    </row>
    <row r="113" spans="1:15" x14ac:dyDescent="0.35">
      <c r="A113" s="3" t="s">
        <v>104</v>
      </c>
      <c r="B113" s="3" t="s">
        <v>576</v>
      </c>
      <c r="C113" s="3">
        <v>10</v>
      </c>
      <c r="D113" s="95" t="s">
        <v>535</v>
      </c>
      <c r="E113" s="3" t="s">
        <v>10</v>
      </c>
      <c r="F113" s="3" t="s">
        <v>10</v>
      </c>
      <c r="G113" s="3" t="s">
        <v>6</v>
      </c>
      <c r="H113" s="3">
        <v>1</v>
      </c>
      <c r="I113" s="95" t="s">
        <v>5</v>
      </c>
      <c r="J113" s="3" t="s">
        <v>10</v>
      </c>
      <c r="K113" s="230" t="s">
        <v>5</v>
      </c>
      <c r="L113" s="3" t="s">
        <v>2737</v>
      </c>
      <c r="M113" s="3" t="s">
        <v>651</v>
      </c>
      <c r="N113" s="3" t="s">
        <v>651</v>
      </c>
      <c r="O113" s="225" t="s">
        <v>651</v>
      </c>
    </row>
    <row r="114" spans="1:15" x14ac:dyDescent="0.35">
      <c r="A114" s="3" t="s">
        <v>119</v>
      </c>
      <c r="B114" s="3" t="s">
        <v>536</v>
      </c>
      <c r="C114" s="3">
        <v>5</v>
      </c>
      <c r="D114" s="95" t="s">
        <v>541</v>
      </c>
      <c r="E114" s="3" t="s">
        <v>10</v>
      </c>
      <c r="F114" s="3" t="s">
        <v>10</v>
      </c>
      <c r="G114" s="3" t="s">
        <v>6</v>
      </c>
      <c r="H114" s="3">
        <v>0</v>
      </c>
      <c r="I114" s="95" t="s">
        <v>651</v>
      </c>
      <c r="J114" s="3" t="s">
        <v>651</v>
      </c>
      <c r="K114" s="230" t="s">
        <v>5</v>
      </c>
      <c r="L114" s="3" t="s">
        <v>174</v>
      </c>
      <c r="M114" s="3" t="s">
        <v>651</v>
      </c>
      <c r="N114" s="3" t="s">
        <v>651</v>
      </c>
      <c r="O114" s="225" t="s">
        <v>651</v>
      </c>
    </row>
    <row r="115" spans="1:15" x14ac:dyDescent="0.35">
      <c r="A115" s="3" t="s">
        <v>119</v>
      </c>
      <c r="B115" s="3" t="s">
        <v>536</v>
      </c>
      <c r="C115" s="3">
        <v>5</v>
      </c>
      <c r="D115" s="95" t="s">
        <v>548</v>
      </c>
      <c r="E115" s="3" t="s">
        <v>6</v>
      </c>
      <c r="F115" s="3" t="s">
        <v>6</v>
      </c>
      <c r="G115" s="3" t="s">
        <v>10</v>
      </c>
      <c r="H115" s="3">
        <v>157</v>
      </c>
      <c r="I115" s="95" t="s">
        <v>437</v>
      </c>
      <c r="J115" s="3" t="s">
        <v>6</v>
      </c>
      <c r="K115" s="230">
        <v>42734</v>
      </c>
      <c r="L115" s="3" t="s">
        <v>2737</v>
      </c>
      <c r="M115" s="3" t="s">
        <v>49</v>
      </c>
      <c r="N115" s="3" t="s">
        <v>6</v>
      </c>
      <c r="O115" s="225" t="s">
        <v>26</v>
      </c>
    </row>
    <row r="116" spans="1:15" x14ac:dyDescent="0.35">
      <c r="A116" s="3" t="s">
        <v>119</v>
      </c>
      <c r="B116" s="3" t="s">
        <v>536</v>
      </c>
      <c r="C116" s="3">
        <v>5</v>
      </c>
      <c r="D116" s="95" t="s">
        <v>533</v>
      </c>
      <c r="E116" s="3" t="s">
        <v>10</v>
      </c>
      <c r="F116" s="3" t="s">
        <v>6</v>
      </c>
      <c r="G116" s="3" t="s">
        <v>6</v>
      </c>
      <c r="H116" s="3">
        <v>31</v>
      </c>
      <c r="I116" s="95" t="s">
        <v>5</v>
      </c>
      <c r="J116" s="3" t="s">
        <v>10</v>
      </c>
      <c r="K116" s="230" t="s">
        <v>5</v>
      </c>
      <c r="L116" s="3" t="s">
        <v>315</v>
      </c>
      <c r="M116" s="3" t="s">
        <v>49</v>
      </c>
      <c r="N116" s="3" t="s">
        <v>6</v>
      </c>
      <c r="O116" s="225" t="s">
        <v>51</v>
      </c>
    </row>
    <row r="117" spans="1:15" x14ac:dyDescent="0.35">
      <c r="A117" s="3" t="s">
        <v>119</v>
      </c>
      <c r="B117" s="3" t="s">
        <v>536</v>
      </c>
      <c r="C117" s="3">
        <v>5</v>
      </c>
      <c r="D117" s="95" t="s">
        <v>534</v>
      </c>
      <c r="E117" s="3" t="s">
        <v>10</v>
      </c>
      <c r="F117" s="3" t="s">
        <v>6</v>
      </c>
      <c r="G117" s="3" t="s">
        <v>6</v>
      </c>
      <c r="H117" s="3">
        <v>477</v>
      </c>
      <c r="I117" s="95" t="s">
        <v>5</v>
      </c>
      <c r="J117" s="3" t="s">
        <v>10</v>
      </c>
      <c r="K117" s="230" t="s">
        <v>5</v>
      </c>
      <c r="L117" s="3" t="s">
        <v>52</v>
      </c>
      <c r="M117" s="3" t="s">
        <v>17</v>
      </c>
      <c r="N117" s="3" t="s">
        <v>6</v>
      </c>
      <c r="O117" s="225" t="s">
        <v>26</v>
      </c>
    </row>
    <row r="118" spans="1:15" x14ac:dyDescent="0.35">
      <c r="A118" s="3" t="s">
        <v>119</v>
      </c>
      <c r="B118" s="3" t="s">
        <v>536</v>
      </c>
      <c r="C118" s="3">
        <v>5</v>
      </c>
      <c r="D118" s="95" t="s">
        <v>542</v>
      </c>
      <c r="E118" s="3" t="s">
        <v>6</v>
      </c>
      <c r="F118" s="3" t="s">
        <v>6</v>
      </c>
      <c r="G118" s="3" t="s">
        <v>10</v>
      </c>
      <c r="H118" s="3">
        <v>51</v>
      </c>
      <c r="I118" s="95" t="s">
        <v>437</v>
      </c>
      <c r="J118" s="3" t="s">
        <v>6</v>
      </c>
      <c r="K118" s="230">
        <v>45667</v>
      </c>
      <c r="L118" s="3" t="s">
        <v>2737</v>
      </c>
      <c r="M118" s="3" t="s">
        <v>49</v>
      </c>
      <c r="N118" s="3" t="s">
        <v>6</v>
      </c>
      <c r="O118" s="225" t="s">
        <v>26</v>
      </c>
    </row>
    <row r="119" spans="1:15" x14ac:dyDescent="0.35">
      <c r="A119" s="3" t="s">
        <v>119</v>
      </c>
      <c r="B119" s="3" t="s">
        <v>536</v>
      </c>
      <c r="C119" s="3">
        <v>5</v>
      </c>
      <c r="D119" s="95" t="s">
        <v>537</v>
      </c>
      <c r="E119" s="3" t="s">
        <v>10</v>
      </c>
      <c r="F119" s="3" t="s">
        <v>6</v>
      </c>
      <c r="G119" s="3" t="s">
        <v>6</v>
      </c>
      <c r="H119" s="3">
        <v>889</v>
      </c>
      <c r="I119" s="95" t="s">
        <v>437</v>
      </c>
      <c r="J119" s="3" t="s">
        <v>6</v>
      </c>
      <c r="K119" s="230">
        <v>45086</v>
      </c>
      <c r="L119" s="3" t="s">
        <v>2737</v>
      </c>
      <c r="M119" s="3" t="s">
        <v>49</v>
      </c>
      <c r="N119" s="3" t="s">
        <v>6</v>
      </c>
      <c r="O119" s="225" t="s">
        <v>26</v>
      </c>
    </row>
    <row r="120" spans="1:15" x14ac:dyDescent="0.35">
      <c r="A120" s="3" t="s">
        <v>119</v>
      </c>
      <c r="B120" s="3" t="s">
        <v>536</v>
      </c>
      <c r="C120" s="3">
        <v>5</v>
      </c>
      <c r="D120" s="95" t="s">
        <v>535</v>
      </c>
      <c r="E120" s="3" t="s">
        <v>6</v>
      </c>
      <c r="F120" s="3" t="s">
        <v>6</v>
      </c>
      <c r="G120" s="3" t="s">
        <v>10</v>
      </c>
      <c r="H120" s="3">
        <v>80</v>
      </c>
      <c r="I120" s="95" t="s">
        <v>5</v>
      </c>
      <c r="J120" s="3" t="s">
        <v>10</v>
      </c>
      <c r="K120" s="230" t="s">
        <v>5</v>
      </c>
      <c r="L120" s="3" t="s">
        <v>2737</v>
      </c>
      <c r="M120" s="3" t="s">
        <v>49</v>
      </c>
      <c r="N120" s="3" t="s">
        <v>6</v>
      </c>
      <c r="O120" s="225" t="s">
        <v>51</v>
      </c>
    </row>
    <row r="121" spans="1:15" x14ac:dyDescent="0.35">
      <c r="A121" s="3" t="s">
        <v>577</v>
      </c>
      <c r="B121" s="3" t="s">
        <v>578</v>
      </c>
      <c r="C121" s="3">
        <v>5</v>
      </c>
      <c r="D121" s="95" t="s">
        <v>541</v>
      </c>
      <c r="E121" s="3" t="s">
        <v>10</v>
      </c>
      <c r="F121" s="3" t="s">
        <v>10</v>
      </c>
      <c r="G121" s="3" t="s">
        <v>6</v>
      </c>
      <c r="H121" s="3">
        <v>27</v>
      </c>
      <c r="I121" s="95" t="s">
        <v>5</v>
      </c>
      <c r="J121" s="3" t="s">
        <v>10</v>
      </c>
      <c r="K121" s="230" t="s">
        <v>5</v>
      </c>
      <c r="L121" s="3" t="s">
        <v>174</v>
      </c>
      <c r="M121" s="3" t="s">
        <v>651</v>
      </c>
      <c r="N121" s="3" t="s">
        <v>651</v>
      </c>
      <c r="O121" s="225" t="s">
        <v>651</v>
      </c>
    </row>
    <row r="122" spans="1:15" x14ac:dyDescent="0.35">
      <c r="A122" s="3" t="s">
        <v>577</v>
      </c>
      <c r="B122" s="3" t="s">
        <v>578</v>
      </c>
      <c r="C122" s="3">
        <v>5</v>
      </c>
      <c r="D122" s="95" t="s">
        <v>548</v>
      </c>
      <c r="E122" s="3" t="s">
        <v>6</v>
      </c>
      <c r="F122" s="3" t="s">
        <v>6</v>
      </c>
      <c r="G122" s="3" t="s">
        <v>10</v>
      </c>
      <c r="H122" s="3">
        <v>80</v>
      </c>
      <c r="I122" s="95" t="s">
        <v>437</v>
      </c>
      <c r="J122" s="3" t="s">
        <v>6</v>
      </c>
      <c r="K122" s="230">
        <v>42734</v>
      </c>
      <c r="L122" s="3" t="s">
        <v>2737</v>
      </c>
      <c r="M122" s="3" t="s">
        <v>49</v>
      </c>
      <c r="N122" s="3" t="s">
        <v>6</v>
      </c>
      <c r="O122" s="225" t="s">
        <v>26</v>
      </c>
    </row>
    <row r="123" spans="1:15" x14ac:dyDescent="0.35">
      <c r="A123" s="3" t="s">
        <v>577</v>
      </c>
      <c r="B123" s="3" t="s">
        <v>578</v>
      </c>
      <c r="C123" s="3">
        <v>5</v>
      </c>
      <c r="D123" s="95" t="s">
        <v>533</v>
      </c>
      <c r="E123" s="3" t="s">
        <v>10</v>
      </c>
      <c r="F123" s="3" t="s">
        <v>10</v>
      </c>
      <c r="G123" s="3" t="s">
        <v>6</v>
      </c>
      <c r="H123" s="3">
        <v>0</v>
      </c>
      <c r="I123" s="95" t="s">
        <v>651</v>
      </c>
      <c r="J123" s="3" t="s">
        <v>651</v>
      </c>
      <c r="K123" s="230" t="s">
        <v>5</v>
      </c>
      <c r="L123" s="3" t="s">
        <v>315</v>
      </c>
      <c r="M123" s="3" t="s">
        <v>651</v>
      </c>
      <c r="N123" s="3" t="s">
        <v>651</v>
      </c>
      <c r="O123" s="225" t="s">
        <v>651</v>
      </c>
    </row>
    <row r="124" spans="1:15" x14ac:dyDescent="0.35">
      <c r="A124" s="3" t="s">
        <v>577</v>
      </c>
      <c r="B124" s="3" t="s">
        <v>578</v>
      </c>
      <c r="C124" s="3">
        <v>5</v>
      </c>
      <c r="D124" s="95" t="s">
        <v>534</v>
      </c>
      <c r="E124" s="3" t="s">
        <v>10</v>
      </c>
      <c r="F124" s="3" t="s">
        <v>10</v>
      </c>
      <c r="G124" s="3" t="s">
        <v>6</v>
      </c>
      <c r="H124" s="3">
        <v>6</v>
      </c>
      <c r="I124" s="95" t="s">
        <v>5</v>
      </c>
      <c r="J124" s="3" t="s">
        <v>10</v>
      </c>
      <c r="K124" s="230" t="s">
        <v>5</v>
      </c>
      <c r="L124" s="3" t="s">
        <v>52</v>
      </c>
      <c r="M124" s="3" t="s">
        <v>651</v>
      </c>
      <c r="N124" s="3" t="s">
        <v>651</v>
      </c>
      <c r="O124" s="225" t="s">
        <v>651</v>
      </c>
    </row>
    <row r="125" spans="1:15" x14ac:dyDescent="0.35">
      <c r="A125" s="3" t="s">
        <v>577</v>
      </c>
      <c r="B125" s="3" t="s">
        <v>578</v>
      </c>
      <c r="C125" s="3">
        <v>5</v>
      </c>
      <c r="D125" s="95" t="s">
        <v>542</v>
      </c>
      <c r="E125" s="3" t="s">
        <v>6</v>
      </c>
      <c r="F125" s="3" t="s">
        <v>6</v>
      </c>
      <c r="G125" s="3" t="s">
        <v>10</v>
      </c>
      <c r="H125" s="3">
        <v>47</v>
      </c>
      <c r="I125" s="95" t="s">
        <v>437</v>
      </c>
      <c r="J125" s="3" t="s">
        <v>6</v>
      </c>
      <c r="K125" s="230">
        <v>45667</v>
      </c>
      <c r="L125" s="3" t="s">
        <v>2737</v>
      </c>
      <c r="M125" s="3" t="s">
        <v>49</v>
      </c>
      <c r="N125" s="3" t="s">
        <v>6</v>
      </c>
      <c r="O125" s="225" t="s">
        <v>26</v>
      </c>
    </row>
    <row r="126" spans="1:15" x14ac:dyDescent="0.35">
      <c r="A126" s="3" t="s">
        <v>577</v>
      </c>
      <c r="B126" s="3" t="s">
        <v>578</v>
      </c>
      <c r="C126" s="3">
        <v>5</v>
      </c>
      <c r="D126" s="95" t="s">
        <v>537</v>
      </c>
      <c r="E126" s="3" t="s">
        <v>10</v>
      </c>
      <c r="F126" s="3" t="s">
        <v>6</v>
      </c>
      <c r="G126" s="3" t="s">
        <v>6</v>
      </c>
      <c r="H126" s="3">
        <v>764</v>
      </c>
      <c r="I126" s="95" t="s">
        <v>437</v>
      </c>
      <c r="J126" s="3" t="s">
        <v>6</v>
      </c>
      <c r="K126" s="230">
        <v>45534</v>
      </c>
      <c r="L126" s="3" t="s">
        <v>2737</v>
      </c>
      <c r="M126" s="3" t="s">
        <v>49</v>
      </c>
      <c r="N126" s="3" t="s">
        <v>6</v>
      </c>
      <c r="O126" s="225" t="s">
        <v>26</v>
      </c>
    </row>
    <row r="127" spans="1:15" x14ac:dyDescent="0.35">
      <c r="A127" s="3" t="s">
        <v>577</v>
      </c>
      <c r="B127" s="3" t="s">
        <v>578</v>
      </c>
      <c r="C127" s="3">
        <v>5</v>
      </c>
      <c r="D127" s="95" t="s">
        <v>535</v>
      </c>
      <c r="E127" s="3" t="s">
        <v>6</v>
      </c>
      <c r="F127" s="3" t="s">
        <v>6</v>
      </c>
      <c r="G127" s="3" t="s">
        <v>10</v>
      </c>
      <c r="H127" s="3">
        <v>185</v>
      </c>
      <c r="I127" s="95" t="s">
        <v>5</v>
      </c>
      <c r="J127" s="3" t="s">
        <v>10</v>
      </c>
      <c r="K127" s="230" t="s">
        <v>5</v>
      </c>
      <c r="L127" s="3" t="s">
        <v>2737</v>
      </c>
      <c r="M127" s="3" t="s">
        <v>49</v>
      </c>
      <c r="N127" s="3" t="s">
        <v>6</v>
      </c>
      <c r="O127" s="225" t="s">
        <v>51</v>
      </c>
    </row>
    <row r="128" spans="1:15" x14ac:dyDescent="0.35">
      <c r="A128" s="3" t="s">
        <v>162</v>
      </c>
      <c r="B128" s="3" t="s">
        <v>579</v>
      </c>
      <c r="C128" s="3">
        <v>7</v>
      </c>
      <c r="D128" s="95" t="s">
        <v>541</v>
      </c>
      <c r="E128" s="3" t="s">
        <v>10</v>
      </c>
      <c r="F128" s="3" t="s">
        <v>10</v>
      </c>
      <c r="G128" s="3" t="s">
        <v>6</v>
      </c>
      <c r="H128" s="3">
        <v>2</v>
      </c>
      <c r="I128" s="95" t="s">
        <v>5</v>
      </c>
      <c r="J128" s="3" t="s">
        <v>10</v>
      </c>
      <c r="K128" s="230" t="s">
        <v>5</v>
      </c>
      <c r="L128" s="3" t="s">
        <v>174</v>
      </c>
      <c r="M128" s="3" t="s">
        <v>651</v>
      </c>
      <c r="N128" s="3" t="s">
        <v>651</v>
      </c>
      <c r="O128" s="225" t="s">
        <v>651</v>
      </c>
    </row>
    <row r="129" spans="1:15" x14ac:dyDescent="0.35">
      <c r="A129" s="3" t="s">
        <v>162</v>
      </c>
      <c r="B129" s="3" t="s">
        <v>579</v>
      </c>
      <c r="C129" s="3">
        <v>7</v>
      </c>
      <c r="D129" s="95" t="s">
        <v>548</v>
      </c>
      <c r="E129" s="3" t="s">
        <v>6</v>
      </c>
      <c r="F129" s="3" t="s">
        <v>6</v>
      </c>
      <c r="G129" s="3" t="s">
        <v>10</v>
      </c>
      <c r="H129" s="3">
        <v>39</v>
      </c>
      <c r="I129" s="95" t="s">
        <v>437</v>
      </c>
      <c r="J129" s="3" t="s">
        <v>6</v>
      </c>
      <c r="K129" s="230">
        <v>42734</v>
      </c>
      <c r="L129" s="3" t="s">
        <v>2737</v>
      </c>
      <c r="M129" s="3" t="s">
        <v>49</v>
      </c>
      <c r="N129" s="3" t="s">
        <v>6</v>
      </c>
      <c r="O129" s="225" t="s">
        <v>26</v>
      </c>
    </row>
    <row r="130" spans="1:15" x14ac:dyDescent="0.35">
      <c r="A130" s="3" t="s">
        <v>162</v>
      </c>
      <c r="B130" s="3" t="s">
        <v>579</v>
      </c>
      <c r="C130" s="3">
        <v>7</v>
      </c>
      <c r="D130" s="95" t="s">
        <v>533</v>
      </c>
      <c r="E130" s="3" t="s">
        <v>10</v>
      </c>
      <c r="F130" s="3" t="s">
        <v>10</v>
      </c>
      <c r="G130" s="3" t="s">
        <v>6</v>
      </c>
      <c r="H130" s="3">
        <v>420</v>
      </c>
      <c r="I130" s="95" t="s">
        <v>5</v>
      </c>
      <c r="J130" s="3" t="s">
        <v>10</v>
      </c>
      <c r="K130" s="230" t="s">
        <v>5</v>
      </c>
      <c r="L130" s="3" t="s">
        <v>315</v>
      </c>
      <c r="M130" s="3" t="s">
        <v>651</v>
      </c>
      <c r="N130" s="3" t="s">
        <v>651</v>
      </c>
      <c r="O130" s="225" t="s">
        <v>651</v>
      </c>
    </row>
    <row r="131" spans="1:15" x14ac:dyDescent="0.35">
      <c r="A131" s="3" t="s">
        <v>162</v>
      </c>
      <c r="B131" s="3" t="s">
        <v>579</v>
      </c>
      <c r="C131" s="3">
        <v>7</v>
      </c>
      <c r="D131" s="95" t="s">
        <v>534</v>
      </c>
      <c r="E131" s="3" t="s">
        <v>10</v>
      </c>
      <c r="F131" s="3" t="s">
        <v>10</v>
      </c>
      <c r="G131" s="3" t="s">
        <v>6</v>
      </c>
      <c r="H131" s="3">
        <v>4</v>
      </c>
      <c r="I131" s="95" t="s">
        <v>5</v>
      </c>
      <c r="J131" s="3" t="s">
        <v>10</v>
      </c>
      <c r="K131" s="230" t="s">
        <v>5</v>
      </c>
      <c r="L131" s="3" t="s">
        <v>52</v>
      </c>
      <c r="M131" s="3" t="s">
        <v>651</v>
      </c>
      <c r="N131" s="3" t="s">
        <v>651</v>
      </c>
      <c r="O131" s="225" t="s">
        <v>651</v>
      </c>
    </row>
    <row r="132" spans="1:15" x14ac:dyDescent="0.35">
      <c r="A132" s="3" t="s">
        <v>162</v>
      </c>
      <c r="B132" s="3" t="s">
        <v>579</v>
      </c>
      <c r="C132" s="3">
        <v>7</v>
      </c>
      <c r="D132" s="95" t="s">
        <v>542</v>
      </c>
      <c r="E132" s="3" t="s">
        <v>6</v>
      </c>
      <c r="F132" s="3" t="s">
        <v>6</v>
      </c>
      <c r="G132" s="3" t="s">
        <v>10</v>
      </c>
      <c r="H132" s="3">
        <v>17</v>
      </c>
      <c r="I132" s="95" t="s">
        <v>437</v>
      </c>
      <c r="J132" s="3" t="s">
        <v>6</v>
      </c>
      <c r="K132" s="230">
        <v>45595</v>
      </c>
      <c r="L132" s="3" t="s">
        <v>2737</v>
      </c>
      <c r="M132" s="3" t="s">
        <v>49</v>
      </c>
      <c r="N132" s="3" t="s">
        <v>6</v>
      </c>
      <c r="O132" s="225" t="s">
        <v>26</v>
      </c>
    </row>
    <row r="133" spans="1:15" x14ac:dyDescent="0.35">
      <c r="A133" s="3" t="s">
        <v>162</v>
      </c>
      <c r="B133" s="3" t="s">
        <v>579</v>
      </c>
      <c r="C133" s="3">
        <v>7</v>
      </c>
      <c r="D133" s="95" t="s">
        <v>537</v>
      </c>
      <c r="E133" s="3" t="s">
        <v>10</v>
      </c>
      <c r="F133" s="3" t="s">
        <v>10</v>
      </c>
      <c r="G133" s="3" t="s">
        <v>6</v>
      </c>
      <c r="H133" s="3">
        <v>450</v>
      </c>
      <c r="I133" s="95" t="s">
        <v>5</v>
      </c>
      <c r="J133" s="3" t="s">
        <v>10</v>
      </c>
      <c r="K133" s="230" t="s">
        <v>5</v>
      </c>
      <c r="L133" s="3" t="s">
        <v>2737</v>
      </c>
      <c r="M133" s="3" t="s">
        <v>651</v>
      </c>
      <c r="N133" s="3" t="s">
        <v>651</v>
      </c>
      <c r="O133" s="225" t="s">
        <v>651</v>
      </c>
    </row>
    <row r="134" spans="1:15" x14ac:dyDescent="0.35">
      <c r="A134" s="3" t="s">
        <v>162</v>
      </c>
      <c r="B134" s="3" t="s">
        <v>579</v>
      </c>
      <c r="C134" s="3">
        <v>7</v>
      </c>
      <c r="D134" s="95" t="s">
        <v>535</v>
      </c>
      <c r="E134" s="3" t="s">
        <v>6</v>
      </c>
      <c r="F134" s="3" t="s">
        <v>6</v>
      </c>
      <c r="G134" s="3" t="s">
        <v>10</v>
      </c>
      <c r="H134" s="3">
        <v>60</v>
      </c>
      <c r="I134" s="95" t="s">
        <v>5</v>
      </c>
      <c r="J134" s="3" t="s">
        <v>10</v>
      </c>
      <c r="K134" s="230" t="s">
        <v>5</v>
      </c>
      <c r="L134" s="3" t="s">
        <v>2737</v>
      </c>
      <c r="M134" s="3" t="s">
        <v>49</v>
      </c>
      <c r="N134" s="3" t="s">
        <v>6</v>
      </c>
      <c r="O134" s="225" t="s">
        <v>51</v>
      </c>
    </row>
    <row r="135" spans="1:15" x14ac:dyDescent="0.35">
      <c r="A135" s="3" t="s">
        <v>538</v>
      </c>
      <c r="B135" s="3" t="s">
        <v>539</v>
      </c>
      <c r="C135" s="3">
        <v>4</v>
      </c>
      <c r="D135" s="95" t="s">
        <v>541</v>
      </c>
      <c r="E135" s="3" t="s">
        <v>10</v>
      </c>
      <c r="F135" s="3" t="s">
        <v>6</v>
      </c>
      <c r="G135" s="3" t="s">
        <v>6</v>
      </c>
      <c r="H135" s="3">
        <v>25</v>
      </c>
      <c r="I135" s="95" t="s">
        <v>5</v>
      </c>
      <c r="J135" s="3" t="s">
        <v>10</v>
      </c>
      <c r="K135" s="230" t="s">
        <v>5</v>
      </c>
      <c r="L135" s="3" t="s">
        <v>174</v>
      </c>
      <c r="M135" s="3" t="s">
        <v>17</v>
      </c>
      <c r="N135" s="3" t="s">
        <v>6</v>
      </c>
      <c r="O135" s="225" t="s">
        <v>51</v>
      </c>
    </row>
    <row r="136" spans="1:15" x14ac:dyDescent="0.35">
      <c r="A136" s="3" t="s">
        <v>538</v>
      </c>
      <c r="B136" s="3" t="s">
        <v>539</v>
      </c>
      <c r="C136" s="3">
        <v>4</v>
      </c>
      <c r="D136" s="95" t="s">
        <v>548</v>
      </c>
      <c r="E136" s="3" t="s">
        <v>6</v>
      </c>
      <c r="F136" s="3" t="s">
        <v>6</v>
      </c>
      <c r="G136" s="3" t="s">
        <v>10</v>
      </c>
      <c r="H136" s="3">
        <v>37</v>
      </c>
      <c r="I136" s="95" t="s">
        <v>437</v>
      </c>
      <c r="J136" s="3" t="s">
        <v>6</v>
      </c>
      <c r="K136" s="230">
        <v>42734</v>
      </c>
      <c r="L136" s="3" t="s">
        <v>2737</v>
      </c>
      <c r="M136" s="3" t="s">
        <v>49</v>
      </c>
      <c r="N136" s="3" t="s">
        <v>6</v>
      </c>
      <c r="O136" s="225" t="s">
        <v>26</v>
      </c>
    </row>
    <row r="137" spans="1:15" x14ac:dyDescent="0.35">
      <c r="A137" s="3" t="s">
        <v>538</v>
      </c>
      <c r="B137" s="3" t="s">
        <v>539</v>
      </c>
      <c r="C137" s="3">
        <v>4</v>
      </c>
      <c r="D137" s="95" t="s">
        <v>533</v>
      </c>
      <c r="E137" s="3" t="s">
        <v>10</v>
      </c>
      <c r="F137" s="3" t="s">
        <v>10</v>
      </c>
      <c r="G137" s="3" t="s">
        <v>6</v>
      </c>
      <c r="H137" s="3">
        <v>0</v>
      </c>
      <c r="I137" s="95" t="s">
        <v>651</v>
      </c>
      <c r="J137" s="3" t="s">
        <v>651</v>
      </c>
      <c r="K137" s="230" t="s">
        <v>5</v>
      </c>
      <c r="L137" s="3" t="s">
        <v>315</v>
      </c>
      <c r="M137" s="3" t="s">
        <v>651</v>
      </c>
      <c r="N137" s="3" t="s">
        <v>651</v>
      </c>
      <c r="O137" s="225" t="s">
        <v>651</v>
      </c>
    </row>
    <row r="138" spans="1:15" x14ac:dyDescent="0.35">
      <c r="A138" s="3" t="s">
        <v>538</v>
      </c>
      <c r="B138" s="3" t="s">
        <v>539</v>
      </c>
      <c r="C138" s="3">
        <v>4</v>
      </c>
      <c r="D138" s="95" t="s">
        <v>534</v>
      </c>
      <c r="E138" s="3" t="s">
        <v>10</v>
      </c>
      <c r="F138" s="3" t="s">
        <v>6</v>
      </c>
      <c r="G138" s="3" t="s">
        <v>6</v>
      </c>
      <c r="H138" s="3">
        <v>108</v>
      </c>
      <c r="I138" s="95" t="s">
        <v>5</v>
      </c>
      <c r="J138" s="3" t="s">
        <v>10</v>
      </c>
      <c r="K138" s="230" t="s">
        <v>5</v>
      </c>
      <c r="L138" s="3" t="s">
        <v>52</v>
      </c>
      <c r="M138" s="3" t="s">
        <v>17</v>
      </c>
      <c r="N138" s="3" t="s">
        <v>6</v>
      </c>
      <c r="O138" s="225" t="s">
        <v>26</v>
      </c>
    </row>
    <row r="139" spans="1:15" x14ac:dyDescent="0.35">
      <c r="A139" s="3" t="s">
        <v>538</v>
      </c>
      <c r="B139" s="3" t="s">
        <v>539</v>
      </c>
      <c r="C139" s="3">
        <v>4</v>
      </c>
      <c r="D139" s="95" t="s">
        <v>542</v>
      </c>
      <c r="E139" s="3" t="s">
        <v>10</v>
      </c>
      <c r="F139" s="3" t="s">
        <v>10</v>
      </c>
      <c r="G139" s="3" t="s">
        <v>6</v>
      </c>
      <c r="H139" s="3">
        <v>70</v>
      </c>
      <c r="I139" s="95" t="s">
        <v>5</v>
      </c>
      <c r="J139" s="3" t="s">
        <v>10</v>
      </c>
      <c r="K139" s="230" t="s">
        <v>5</v>
      </c>
      <c r="L139" s="3" t="s">
        <v>2737</v>
      </c>
      <c r="M139" s="3" t="s">
        <v>651</v>
      </c>
      <c r="N139" s="3" t="s">
        <v>651</v>
      </c>
      <c r="O139" s="225" t="s">
        <v>651</v>
      </c>
    </row>
    <row r="140" spans="1:15" x14ac:dyDescent="0.35">
      <c r="A140" s="3" t="s">
        <v>538</v>
      </c>
      <c r="B140" s="3" t="s">
        <v>539</v>
      </c>
      <c r="C140" s="3">
        <v>4</v>
      </c>
      <c r="D140" s="95" t="s">
        <v>537</v>
      </c>
      <c r="E140" s="3" t="s">
        <v>10</v>
      </c>
      <c r="F140" s="3" t="s">
        <v>10</v>
      </c>
      <c r="G140" s="3" t="s">
        <v>6</v>
      </c>
      <c r="H140" s="3">
        <v>240</v>
      </c>
      <c r="I140" s="95" t="s">
        <v>5</v>
      </c>
      <c r="J140" s="3" t="s">
        <v>10</v>
      </c>
      <c r="K140" s="230" t="s">
        <v>5</v>
      </c>
      <c r="L140" s="3" t="s">
        <v>2737</v>
      </c>
      <c r="M140" s="3" t="s">
        <v>651</v>
      </c>
      <c r="N140" s="3" t="s">
        <v>651</v>
      </c>
      <c r="O140" s="225" t="s">
        <v>651</v>
      </c>
    </row>
    <row r="141" spans="1:15" x14ac:dyDescent="0.35">
      <c r="A141" s="3" t="s">
        <v>538</v>
      </c>
      <c r="B141" s="3" t="s">
        <v>539</v>
      </c>
      <c r="C141" s="3">
        <v>4</v>
      </c>
      <c r="D141" s="95" t="s">
        <v>535</v>
      </c>
      <c r="E141" s="3" t="s">
        <v>10</v>
      </c>
      <c r="F141" s="3" t="s">
        <v>10</v>
      </c>
      <c r="G141" s="3" t="s">
        <v>6</v>
      </c>
      <c r="H141" s="3">
        <v>12</v>
      </c>
      <c r="I141" s="95" t="s">
        <v>5</v>
      </c>
      <c r="J141" s="3" t="s">
        <v>10</v>
      </c>
      <c r="K141" s="230" t="s">
        <v>5</v>
      </c>
      <c r="L141" s="3" t="s">
        <v>2737</v>
      </c>
      <c r="M141" s="3" t="s">
        <v>651</v>
      </c>
      <c r="N141" s="3" t="s">
        <v>651</v>
      </c>
      <c r="O141" s="225" t="s">
        <v>651</v>
      </c>
    </row>
    <row r="142" spans="1:15" x14ac:dyDescent="0.35">
      <c r="A142" s="3" t="s">
        <v>165</v>
      </c>
      <c r="B142" s="3" t="s">
        <v>580</v>
      </c>
      <c r="C142" s="3">
        <v>6</v>
      </c>
      <c r="D142" s="95" t="s">
        <v>541</v>
      </c>
      <c r="E142" s="3" t="s">
        <v>10</v>
      </c>
      <c r="F142" s="3" t="s">
        <v>6</v>
      </c>
      <c r="G142" s="3" t="s">
        <v>6</v>
      </c>
      <c r="H142" s="3">
        <v>6</v>
      </c>
      <c r="I142" s="95" t="s">
        <v>5</v>
      </c>
      <c r="J142" s="3" t="s">
        <v>10</v>
      </c>
      <c r="K142" s="230" t="s">
        <v>5</v>
      </c>
      <c r="L142" s="3" t="s">
        <v>174</v>
      </c>
      <c r="M142" s="3" t="s">
        <v>17</v>
      </c>
      <c r="N142" s="3" t="s">
        <v>6</v>
      </c>
      <c r="O142" s="225" t="s">
        <v>51</v>
      </c>
    </row>
    <row r="143" spans="1:15" x14ac:dyDescent="0.35">
      <c r="A143" s="3" t="s">
        <v>165</v>
      </c>
      <c r="B143" s="3" t="s">
        <v>580</v>
      </c>
      <c r="C143" s="3">
        <v>6</v>
      </c>
      <c r="D143" s="95" t="s">
        <v>548</v>
      </c>
      <c r="E143" s="3" t="s">
        <v>6</v>
      </c>
      <c r="F143" s="3" t="s">
        <v>6</v>
      </c>
      <c r="G143" s="3" t="s">
        <v>10</v>
      </c>
      <c r="H143" s="3">
        <v>32</v>
      </c>
      <c r="I143" s="95" t="s">
        <v>437</v>
      </c>
      <c r="J143" s="3" t="s">
        <v>6</v>
      </c>
      <c r="K143" s="230">
        <v>42734</v>
      </c>
      <c r="L143" s="3" t="s">
        <v>2737</v>
      </c>
      <c r="M143" s="3" t="s">
        <v>49</v>
      </c>
      <c r="N143" s="3" t="s">
        <v>6</v>
      </c>
      <c r="O143" s="225" t="s">
        <v>26</v>
      </c>
    </row>
    <row r="144" spans="1:15" x14ac:dyDescent="0.35">
      <c r="A144" s="3" t="s">
        <v>165</v>
      </c>
      <c r="B144" s="3" t="s">
        <v>580</v>
      </c>
      <c r="C144" s="3">
        <v>6</v>
      </c>
      <c r="D144" s="95" t="s">
        <v>533</v>
      </c>
      <c r="E144" s="3" t="s">
        <v>10</v>
      </c>
      <c r="F144" s="3" t="s">
        <v>6</v>
      </c>
      <c r="G144" s="3" t="s">
        <v>6</v>
      </c>
      <c r="H144" s="3">
        <v>10</v>
      </c>
      <c r="I144" s="95" t="s">
        <v>5</v>
      </c>
      <c r="J144" s="3" t="s">
        <v>10</v>
      </c>
      <c r="K144" s="230" t="s">
        <v>5</v>
      </c>
      <c r="L144" s="3" t="s">
        <v>315</v>
      </c>
      <c r="M144" s="3" t="s">
        <v>49</v>
      </c>
      <c r="N144" s="3" t="s">
        <v>6</v>
      </c>
      <c r="O144" s="225" t="s">
        <v>51</v>
      </c>
    </row>
    <row r="145" spans="1:15" x14ac:dyDescent="0.35">
      <c r="A145" s="3" t="s">
        <v>165</v>
      </c>
      <c r="B145" s="3" t="s">
        <v>580</v>
      </c>
      <c r="C145" s="3">
        <v>6</v>
      </c>
      <c r="D145" s="95" t="s">
        <v>534</v>
      </c>
      <c r="E145" s="3" t="s">
        <v>10</v>
      </c>
      <c r="F145" s="3" t="s">
        <v>6</v>
      </c>
      <c r="G145" s="3" t="s">
        <v>6</v>
      </c>
      <c r="H145" s="3">
        <v>51</v>
      </c>
      <c r="I145" s="95" t="s">
        <v>5</v>
      </c>
      <c r="J145" s="3" t="s">
        <v>10</v>
      </c>
      <c r="K145" s="230" t="s">
        <v>5</v>
      </c>
      <c r="L145" s="3" t="s">
        <v>52</v>
      </c>
      <c r="M145" s="3" t="s">
        <v>17</v>
      </c>
      <c r="N145" s="3" t="s">
        <v>6</v>
      </c>
      <c r="O145" s="225" t="s">
        <v>26</v>
      </c>
    </row>
    <row r="146" spans="1:15" x14ac:dyDescent="0.35">
      <c r="A146" s="3" t="s">
        <v>165</v>
      </c>
      <c r="B146" s="3" t="s">
        <v>580</v>
      </c>
      <c r="C146" s="3">
        <v>6</v>
      </c>
      <c r="D146" s="95" t="s">
        <v>542</v>
      </c>
      <c r="E146" s="3" t="s">
        <v>10</v>
      </c>
      <c r="F146" s="3" t="s">
        <v>6</v>
      </c>
      <c r="G146" s="3" t="s">
        <v>6</v>
      </c>
      <c r="H146" s="3">
        <v>15</v>
      </c>
      <c r="I146" s="95" t="s">
        <v>437</v>
      </c>
      <c r="J146" s="3" t="s">
        <v>6</v>
      </c>
      <c r="K146" s="230">
        <v>45667</v>
      </c>
      <c r="L146" s="3" t="s">
        <v>2737</v>
      </c>
      <c r="M146" s="3" t="s">
        <v>49</v>
      </c>
      <c r="N146" s="3" t="s">
        <v>6</v>
      </c>
      <c r="O146" s="225" t="s">
        <v>26</v>
      </c>
    </row>
    <row r="147" spans="1:15" x14ac:dyDescent="0.35">
      <c r="A147" s="3" t="s">
        <v>165</v>
      </c>
      <c r="B147" s="3" t="s">
        <v>580</v>
      </c>
      <c r="C147" s="3">
        <v>6</v>
      </c>
      <c r="D147" s="95" t="s">
        <v>537</v>
      </c>
      <c r="E147" s="3" t="s">
        <v>10</v>
      </c>
      <c r="F147" s="3" t="s">
        <v>6</v>
      </c>
      <c r="G147" s="3" t="s">
        <v>6</v>
      </c>
      <c r="H147" s="3">
        <v>314</v>
      </c>
      <c r="I147" s="95" t="s">
        <v>437</v>
      </c>
      <c r="J147" s="3" t="s">
        <v>6</v>
      </c>
      <c r="K147" s="230">
        <v>45086</v>
      </c>
      <c r="L147" s="3" t="s">
        <v>2737</v>
      </c>
      <c r="M147" s="3" t="s">
        <v>49</v>
      </c>
      <c r="N147" s="3" t="s">
        <v>6</v>
      </c>
      <c r="O147" s="225" t="s">
        <v>26</v>
      </c>
    </row>
    <row r="148" spans="1:15" x14ac:dyDescent="0.35">
      <c r="A148" s="3" t="s">
        <v>165</v>
      </c>
      <c r="B148" s="3" t="s">
        <v>580</v>
      </c>
      <c r="C148" s="3">
        <v>6</v>
      </c>
      <c r="D148" s="95" t="s">
        <v>535</v>
      </c>
      <c r="E148" s="3" t="s">
        <v>10</v>
      </c>
      <c r="F148" s="3" t="s">
        <v>6</v>
      </c>
      <c r="G148" s="3" t="s">
        <v>6</v>
      </c>
      <c r="H148" s="3">
        <v>21</v>
      </c>
      <c r="I148" s="95" t="s">
        <v>5</v>
      </c>
      <c r="J148" s="3" t="s">
        <v>10</v>
      </c>
      <c r="K148" s="230" t="s">
        <v>5</v>
      </c>
      <c r="L148" s="3" t="s">
        <v>2737</v>
      </c>
      <c r="M148" s="3" t="s">
        <v>49</v>
      </c>
      <c r="N148" s="3" t="s">
        <v>6</v>
      </c>
      <c r="O148" s="225" t="s">
        <v>51</v>
      </c>
    </row>
    <row r="149" spans="1:15" x14ac:dyDescent="0.35">
      <c r="A149" s="3" t="s">
        <v>168</v>
      </c>
      <c r="B149" s="3" t="s">
        <v>1904</v>
      </c>
      <c r="C149" s="3">
        <v>1</v>
      </c>
      <c r="D149" s="95" t="s">
        <v>541</v>
      </c>
      <c r="E149" s="3" t="s">
        <v>6</v>
      </c>
      <c r="F149" s="3" t="s">
        <v>6</v>
      </c>
      <c r="G149" s="3" t="s">
        <v>10</v>
      </c>
      <c r="H149" s="3">
        <v>16</v>
      </c>
      <c r="I149" s="95" t="s">
        <v>5</v>
      </c>
      <c r="J149" s="3" t="s">
        <v>10</v>
      </c>
      <c r="K149" s="230" t="s">
        <v>5</v>
      </c>
      <c r="L149" s="3" t="s">
        <v>174</v>
      </c>
      <c r="M149" s="3" t="s">
        <v>17</v>
      </c>
      <c r="N149" s="3" t="s">
        <v>6</v>
      </c>
      <c r="O149" s="225" t="s">
        <v>51</v>
      </c>
    </row>
    <row r="150" spans="1:15" x14ac:dyDescent="0.35">
      <c r="A150" s="3" t="s">
        <v>168</v>
      </c>
      <c r="B150" s="3" t="s">
        <v>1904</v>
      </c>
      <c r="C150" s="3">
        <v>1</v>
      </c>
      <c r="D150" s="95" t="s">
        <v>548</v>
      </c>
      <c r="E150" s="3" t="s">
        <v>6</v>
      </c>
      <c r="F150" s="3" t="s">
        <v>6</v>
      </c>
      <c r="G150" s="3" t="s">
        <v>10</v>
      </c>
      <c r="H150" s="3">
        <v>60</v>
      </c>
      <c r="I150" s="95" t="s">
        <v>437</v>
      </c>
      <c r="J150" s="3" t="s">
        <v>6</v>
      </c>
      <c r="K150" s="230">
        <v>42734</v>
      </c>
      <c r="L150" s="3" t="s">
        <v>2737</v>
      </c>
      <c r="M150" s="3" t="s">
        <v>49</v>
      </c>
      <c r="N150" s="3" t="s">
        <v>6</v>
      </c>
      <c r="O150" s="225" t="s">
        <v>26</v>
      </c>
    </row>
    <row r="151" spans="1:15" x14ac:dyDescent="0.35">
      <c r="A151" s="3" t="s">
        <v>168</v>
      </c>
      <c r="B151" s="3" t="s">
        <v>1904</v>
      </c>
      <c r="C151" s="3">
        <v>1</v>
      </c>
      <c r="D151" s="95" t="s">
        <v>533</v>
      </c>
      <c r="E151" s="3" t="s">
        <v>6</v>
      </c>
      <c r="F151" s="3" t="s">
        <v>10</v>
      </c>
      <c r="G151" s="3" t="s">
        <v>10</v>
      </c>
      <c r="H151" s="3">
        <v>0</v>
      </c>
      <c r="I151" s="95" t="s">
        <v>651</v>
      </c>
      <c r="J151" s="3" t="s">
        <v>651</v>
      </c>
      <c r="K151" s="230" t="s">
        <v>5</v>
      </c>
      <c r="L151" s="3" t="s">
        <v>315</v>
      </c>
      <c r="M151" s="3" t="s">
        <v>651</v>
      </c>
      <c r="N151" s="3" t="s">
        <v>651</v>
      </c>
      <c r="O151" s="225" t="s">
        <v>651</v>
      </c>
    </row>
    <row r="152" spans="1:15" x14ac:dyDescent="0.35">
      <c r="A152" s="3" t="s">
        <v>168</v>
      </c>
      <c r="B152" s="3" t="s">
        <v>1904</v>
      </c>
      <c r="C152" s="3">
        <v>1</v>
      </c>
      <c r="D152" s="95" t="s">
        <v>534</v>
      </c>
      <c r="E152" s="3" t="s">
        <v>6</v>
      </c>
      <c r="F152" s="3" t="s">
        <v>6</v>
      </c>
      <c r="G152" s="3" t="s">
        <v>10</v>
      </c>
      <c r="H152" s="3">
        <v>270</v>
      </c>
      <c r="I152" s="95" t="s">
        <v>5</v>
      </c>
      <c r="J152" s="3" t="s">
        <v>2254</v>
      </c>
      <c r="K152" s="230" t="s">
        <v>5</v>
      </c>
      <c r="L152" s="3" t="s">
        <v>52</v>
      </c>
      <c r="M152" s="3" t="s">
        <v>17</v>
      </c>
      <c r="N152" s="3" t="s">
        <v>6</v>
      </c>
      <c r="O152" s="225" t="s">
        <v>26</v>
      </c>
    </row>
    <row r="153" spans="1:15" x14ac:dyDescent="0.35">
      <c r="A153" s="3" t="s">
        <v>168</v>
      </c>
      <c r="B153" s="3" t="s">
        <v>1904</v>
      </c>
      <c r="C153" s="3">
        <v>1</v>
      </c>
      <c r="D153" s="95" t="s">
        <v>542</v>
      </c>
      <c r="E153" s="3" t="s">
        <v>6</v>
      </c>
      <c r="F153" s="3" t="s">
        <v>6</v>
      </c>
      <c r="G153" s="3" t="s">
        <v>10</v>
      </c>
      <c r="H153" s="3">
        <v>47</v>
      </c>
      <c r="I153" s="95" t="s">
        <v>437</v>
      </c>
      <c r="J153" s="3" t="s">
        <v>6</v>
      </c>
      <c r="K153" s="230">
        <v>45595</v>
      </c>
      <c r="L153" s="3" t="s">
        <v>2737</v>
      </c>
      <c r="M153" s="3" t="s">
        <v>49</v>
      </c>
      <c r="N153" s="3" t="s">
        <v>6</v>
      </c>
      <c r="O153" s="225" t="s">
        <v>26</v>
      </c>
    </row>
    <row r="154" spans="1:15" x14ac:dyDescent="0.35">
      <c r="A154" s="3" t="s">
        <v>168</v>
      </c>
      <c r="B154" s="3" t="s">
        <v>1904</v>
      </c>
      <c r="C154" s="3">
        <v>1</v>
      </c>
      <c r="D154" s="95" t="s">
        <v>537</v>
      </c>
      <c r="E154" s="3" t="s">
        <v>6</v>
      </c>
      <c r="F154" s="3" t="s">
        <v>6</v>
      </c>
      <c r="G154" s="3" t="s">
        <v>10</v>
      </c>
      <c r="H154" s="3">
        <v>194</v>
      </c>
      <c r="I154" s="95" t="s">
        <v>437</v>
      </c>
      <c r="J154" s="3" t="s">
        <v>6</v>
      </c>
      <c r="K154" s="230">
        <v>44995</v>
      </c>
      <c r="L154" s="3" t="s">
        <v>2737</v>
      </c>
      <c r="M154" s="3" t="s">
        <v>49</v>
      </c>
      <c r="N154" s="3" t="s">
        <v>6</v>
      </c>
      <c r="O154" s="225" t="s">
        <v>26</v>
      </c>
    </row>
    <row r="155" spans="1:15" x14ac:dyDescent="0.35">
      <c r="A155" s="3" t="s">
        <v>168</v>
      </c>
      <c r="B155" s="3" t="s">
        <v>1904</v>
      </c>
      <c r="C155" s="3">
        <v>1</v>
      </c>
      <c r="D155" s="95" t="s">
        <v>535</v>
      </c>
      <c r="E155" s="3" t="s">
        <v>6</v>
      </c>
      <c r="F155" s="3" t="s">
        <v>6</v>
      </c>
      <c r="G155" s="3" t="s">
        <v>10</v>
      </c>
      <c r="H155" s="3">
        <v>10</v>
      </c>
      <c r="I155" s="95" t="s">
        <v>5</v>
      </c>
      <c r="J155" s="3" t="s">
        <v>10</v>
      </c>
      <c r="K155" s="230" t="s">
        <v>5</v>
      </c>
      <c r="L155" s="3" t="s">
        <v>2737</v>
      </c>
      <c r="M155" s="3" t="s">
        <v>49</v>
      </c>
      <c r="N155" s="3" t="s">
        <v>6</v>
      </c>
      <c r="O155" s="225" t="s">
        <v>51</v>
      </c>
    </row>
    <row r="156" spans="1:15" x14ac:dyDescent="0.35">
      <c r="A156" s="3" t="s">
        <v>186</v>
      </c>
      <c r="B156" s="3" t="s">
        <v>540</v>
      </c>
      <c r="C156" s="3">
        <v>3</v>
      </c>
      <c r="D156" s="95" t="s">
        <v>541</v>
      </c>
      <c r="E156" s="3" t="s">
        <v>10</v>
      </c>
      <c r="F156" s="3" t="s">
        <v>6</v>
      </c>
      <c r="G156" s="3" t="s">
        <v>6</v>
      </c>
      <c r="H156" s="3">
        <v>10</v>
      </c>
      <c r="I156" s="95" t="s">
        <v>5</v>
      </c>
      <c r="J156" s="3" t="s">
        <v>10</v>
      </c>
      <c r="K156" s="230" t="s">
        <v>5</v>
      </c>
      <c r="L156" s="3" t="s">
        <v>174</v>
      </c>
      <c r="M156" s="3" t="s">
        <v>17</v>
      </c>
      <c r="N156" s="3" t="s">
        <v>6</v>
      </c>
      <c r="O156" s="225" t="s">
        <v>51</v>
      </c>
    </row>
    <row r="157" spans="1:15" x14ac:dyDescent="0.35">
      <c r="A157" s="3" t="s">
        <v>186</v>
      </c>
      <c r="B157" s="3" t="s">
        <v>540</v>
      </c>
      <c r="C157" s="3">
        <v>3</v>
      </c>
      <c r="D157" s="95" t="s">
        <v>548</v>
      </c>
      <c r="E157" s="3" t="s">
        <v>6</v>
      </c>
      <c r="F157" s="3" t="s">
        <v>6</v>
      </c>
      <c r="G157" s="3" t="s">
        <v>10</v>
      </c>
      <c r="H157" s="3">
        <v>38</v>
      </c>
      <c r="I157" s="95" t="s">
        <v>437</v>
      </c>
      <c r="J157" s="3" t="s">
        <v>6</v>
      </c>
      <c r="K157" s="230">
        <v>42734</v>
      </c>
      <c r="L157" s="3" t="s">
        <v>2737</v>
      </c>
      <c r="M157" s="3" t="s">
        <v>49</v>
      </c>
      <c r="N157" s="3" t="s">
        <v>6</v>
      </c>
      <c r="O157" s="225" t="s">
        <v>26</v>
      </c>
    </row>
    <row r="158" spans="1:15" x14ac:dyDescent="0.35">
      <c r="A158" s="3" t="s">
        <v>186</v>
      </c>
      <c r="B158" s="3" t="s">
        <v>540</v>
      </c>
      <c r="C158" s="3">
        <v>3</v>
      </c>
      <c r="D158" s="95" t="s">
        <v>533</v>
      </c>
      <c r="E158" s="3" t="s">
        <v>10</v>
      </c>
      <c r="F158" s="3" t="s">
        <v>10</v>
      </c>
      <c r="G158" s="3" t="s">
        <v>6</v>
      </c>
      <c r="H158" s="3">
        <v>634</v>
      </c>
      <c r="I158" s="95" t="s">
        <v>5</v>
      </c>
      <c r="J158" s="3" t="s">
        <v>10</v>
      </c>
      <c r="K158" s="230" t="s">
        <v>5</v>
      </c>
      <c r="L158" s="3" t="s">
        <v>315</v>
      </c>
      <c r="M158" s="3" t="s">
        <v>651</v>
      </c>
      <c r="N158" s="3" t="s">
        <v>651</v>
      </c>
      <c r="O158" s="225" t="s">
        <v>651</v>
      </c>
    </row>
    <row r="159" spans="1:15" x14ac:dyDescent="0.35">
      <c r="A159" s="3" t="s">
        <v>186</v>
      </c>
      <c r="B159" s="3" t="s">
        <v>540</v>
      </c>
      <c r="C159" s="3">
        <v>3</v>
      </c>
      <c r="D159" s="95" t="s">
        <v>534</v>
      </c>
      <c r="E159" s="3" t="s">
        <v>10</v>
      </c>
      <c r="F159" s="3" t="s">
        <v>10</v>
      </c>
      <c r="G159" s="3" t="s">
        <v>6</v>
      </c>
      <c r="H159" s="3">
        <v>106</v>
      </c>
      <c r="I159" s="95" t="s">
        <v>5</v>
      </c>
      <c r="J159" s="3" t="s">
        <v>10</v>
      </c>
      <c r="K159" s="230" t="s">
        <v>5</v>
      </c>
      <c r="L159" s="3" t="s">
        <v>52</v>
      </c>
      <c r="M159" s="3" t="s">
        <v>651</v>
      </c>
      <c r="N159" s="3" t="s">
        <v>651</v>
      </c>
      <c r="O159" s="225" t="s">
        <v>651</v>
      </c>
    </row>
    <row r="160" spans="1:15" x14ac:dyDescent="0.35">
      <c r="A160" s="3" t="s">
        <v>186</v>
      </c>
      <c r="B160" s="3" t="s">
        <v>540</v>
      </c>
      <c r="C160" s="3">
        <v>3</v>
      </c>
      <c r="D160" s="95" t="s">
        <v>542</v>
      </c>
      <c r="E160" s="3" t="s">
        <v>10</v>
      </c>
      <c r="F160" s="3" t="s">
        <v>6</v>
      </c>
      <c r="G160" s="3" t="s">
        <v>6</v>
      </c>
      <c r="H160" s="3">
        <v>20</v>
      </c>
      <c r="I160" s="95" t="s">
        <v>437</v>
      </c>
      <c r="J160" s="3" t="s">
        <v>6</v>
      </c>
      <c r="K160" s="230">
        <v>45667</v>
      </c>
      <c r="L160" s="3" t="s">
        <v>2737</v>
      </c>
      <c r="M160" s="3" t="s">
        <v>49</v>
      </c>
      <c r="N160" s="3" t="s">
        <v>6</v>
      </c>
      <c r="O160" s="225" t="s">
        <v>26</v>
      </c>
    </row>
    <row r="161" spans="1:15" x14ac:dyDescent="0.35">
      <c r="A161" s="3" t="s">
        <v>186</v>
      </c>
      <c r="B161" s="3" t="s">
        <v>540</v>
      </c>
      <c r="C161" s="3">
        <v>3</v>
      </c>
      <c r="D161" s="95" t="s">
        <v>537</v>
      </c>
      <c r="E161" s="3" t="s">
        <v>10</v>
      </c>
      <c r="F161" s="3" t="s">
        <v>10</v>
      </c>
      <c r="G161" s="3" t="s">
        <v>6</v>
      </c>
      <c r="H161" s="3">
        <v>169</v>
      </c>
      <c r="I161" s="95" t="s">
        <v>5</v>
      </c>
      <c r="J161" s="3" t="s">
        <v>10</v>
      </c>
      <c r="K161" s="230" t="s">
        <v>5</v>
      </c>
      <c r="L161" s="3" t="s">
        <v>2737</v>
      </c>
      <c r="M161" s="3" t="s">
        <v>651</v>
      </c>
      <c r="N161" s="3" t="s">
        <v>651</v>
      </c>
      <c r="O161" s="225" t="s">
        <v>651</v>
      </c>
    </row>
    <row r="162" spans="1:15" x14ac:dyDescent="0.35">
      <c r="A162" s="3" t="s">
        <v>186</v>
      </c>
      <c r="B162" s="3" t="s">
        <v>540</v>
      </c>
      <c r="C162" s="3">
        <v>3</v>
      </c>
      <c r="D162" s="95" t="s">
        <v>535</v>
      </c>
      <c r="E162" s="3" t="s">
        <v>10</v>
      </c>
      <c r="F162" s="3" t="s">
        <v>6</v>
      </c>
      <c r="G162" s="3" t="s">
        <v>6</v>
      </c>
      <c r="H162" s="3">
        <v>4</v>
      </c>
      <c r="I162" s="95" t="s">
        <v>5</v>
      </c>
      <c r="J162" s="3" t="s">
        <v>10</v>
      </c>
      <c r="K162" s="230" t="s">
        <v>5</v>
      </c>
      <c r="L162" s="3" t="s">
        <v>2737</v>
      </c>
      <c r="M162" s="3" t="s">
        <v>49</v>
      </c>
      <c r="N162" s="3" t="s">
        <v>6</v>
      </c>
      <c r="O162" s="225" t="s">
        <v>51</v>
      </c>
    </row>
    <row r="163" spans="1:15" x14ac:dyDescent="0.35">
      <c r="A163" s="3" t="s">
        <v>79</v>
      </c>
      <c r="B163" s="3" t="s">
        <v>543</v>
      </c>
      <c r="C163" s="3">
        <v>1</v>
      </c>
      <c r="D163" s="95" t="s">
        <v>541</v>
      </c>
      <c r="E163" s="3" t="s">
        <v>10</v>
      </c>
      <c r="F163" s="3" t="s">
        <v>10</v>
      </c>
      <c r="G163" s="3" t="s">
        <v>6</v>
      </c>
      <c r="H163" s="3">
        <v>0</v>
      </c>
      <c r="I163" s="95" t="s">
        <v>651</v>
      </c>
      <c r="J163" s="3" t="s">
        <v>651</v>
      </c>
      <c r="K163" s="230" t="s">
        <v>5</v>
      </c>
      <c r="L163" s="3" t="s">
        <v>174</v>
      </c>
      <c r="M163" s="3" t="s">
        <v>651</v>
      </c>
      <c r="N163" s="3" t="s">
        <v>651</v>
      </c>
      <c r="O163" s="225" t="s">
        <v>651</v>
      </c>
    </row>
    <row r="164" spans="1:15" x14ac:dyDescent="0.35">
      <c r="A164" s="3" t="s">
        <v>79</v>
      </c>
      <c r="B164" s="3" t="s">
        <v>543</v>
      </c>
      <c r="C164" s="3">
        <v>1</v>
      </c>
      <c r="D164" s="95" t="s">
        <v>548</v>
      </c>
      <c r="E164" s="3" t="s">
        <v>6</v>
      </c>
      <c r="F164" s="3" t="s">
        <v>6</v>
      </c>
      <c r="G164" s="3" t="s">
        <v>10</v>
      </c>
      <c r="H164" s="3">
        <v>6</v>
      </c>
      <c r="I164" s="95" t="s">
        <v>437</v>
      </c>
      <c r="J164" s="3" t="s">
        <v>6</v>
      </c>
      <c r="K164" s="230">
        <v>42734</v>
      </c>
      <c r="L164" s="3" t="s">
        <v>2737</v>
      </c>
      <c r="M164" s="3" t="s">
        <v>49</v>
      </c>
      <c r="N164" s="3" t="s">
        <v>6</v>
      </c>
      <c r="O164" s="225" t="s">
        <v>26</v>
      </c>
    </row>
    <row r="165" spans="1:15" x14ac:dyDescent="0.35">
      <c r="A165" s="3" t="s">
        <v>79</v>
      </c>
      <c r="B165" s="3" t="s">
        <v>543</v>
      </c>
      <c r="C165" s="3">
        <v>1</v>
      </c>
      <c r="D165" s="95" t="s">
        <v>533</v>
      </c>
      <c r="E165" s="3" t="s">
        <v>10</v>
      </c>
      <c r="F165" s="3" t="s">
        <v>6</v>
      </c>
      <c r="G165" s="3" t="s">
        <v>6</v>
      </c>
      <c r="H165" s="3">
        <v>4</v>
      </c>
      <c r="I165" s="95" t="s">
        <v>5</v>
      </c>
      <c r="J165" s="3" t="s">
        <v>10</v>
      </c>
      <c r="K165" s="230" t="s">
        <v>5</v>
      </c>
      <c r="L165" s="3" t="s">
        <v>315</v>
      </c>
      <c r="M165" s="3" t="s">
        <v>49</v>
      </c>
      <c r="N165" s="3" t="s">
        <v>6</v>
      </c>
      <c r="O165" s="225" t="s">
        <v>51</v>
      </c>
    </row>
    <row r="166" spans="1:15" x14ac:dyDescent="0.35">
      <c r="A166" s="3" t="s">
        <v>79</v>
      </c>
      <c r="B166" s="3" t="s">
        <v>543</v>
      </c>
      <c r="C166" s="3">
        <v>1</v>
      </c>
      <c r="D166" s="95" t="s">
        <v>534</v>
      </c>
      <c r="E166" s="3" t="s">
        <v>10</v>
      </c>
      <c r="F166" s="3" t="s">
        <v>6</v>
      </c>
      <c r="G166" s="3" t="s">
        <v>6</v>
      </c>
      <c r="H166" s="3">
        <v>40</v>
      </c>
      <c r="I166" s="95" t="s">
        <v>5</v>
      </c>
      <c r="J166" s="3" t="s">
        <v>10</v>
      </c>
      <c r="K166" s="230" t="s">
        <v>5</v>
      </c>
      <c r="L166" s="3" t="s">
        <v>52</v>
      </c>
      <c r="M166" s="3" t="s">
        <v>17</v>
      </c>
      <c r="N166" s="3" t="s">
        <v>6</v>
      </c>
      <c r="O166" s="225" t="s">
        <v>26</v>
      </c>
    </row>
    <row r="167" spans="1:15" x14ac:dyDescent="0.35">
      <c r="A167" s="3" t="s">
        <v>79</v>
      </c>
      <c r="B167" s="3" t="s">
        <v>543</v>
      </c>
      <c r="C167" s="3">
        <v>1</v>
      </c>
      <c r="D167" s="95" t="s">
        <v>542</v>
      </c>
      <c r="E167" s="3" t="s">
        <v>10</v>
      </c>
      <c r="F167" s="3" t="s">
        <v>6</v>
      </c>
      <c r="G167" s="3" t="s">
        <v>6</v>
      </c>
      <c r="H167" s="3">
        <v>11</v>
      </c>
      <c r="I167" s="95" t="s">
        <v>437</v>
      </c>
      <c r="J167" s="3" t="s">
        <v>6</v>
      </c>
      <c r="K167" s="230">
        <v>45667</v>
      </c>
      <c r="L167" s="3" t="s">
        <v>2737</v>
      </c>
      <c r="M167" s="3" t="s">
        <v>49</v>
      </c>
      <c r="N167" s="3" t="s">
        <v>6</v>
      </c>
      <c r="O167" s="225" t="s">
        <v>26</v>
      </c>
    </row>
    <row r="168" spans="1:15" x14ac:dyDescent="0.35">
      <c r="A168" s="3" t="s">
        <v>79</v>
      </c>
      <c r="B168" s="3" t="s">
        <v>543</v>
      </c>
      <c r="C168" s="3">
        <v>1</v>
      </c>
      <c r="D168" s="95" t="s">
        <v>537</v>
      </c>
      <c r="E168" s="3" t="s">
        <v>10</v>
      </c>
      <c r="F168" s="3" t="s">
        <v>6</v>
      </c>
      <c r="G168" s="3" t="s">
        <v>6</v>
      </c>
      <c r="H168" s="3">
        <v>160</v>
      </c>
      <c r="I168" s="95" t="s">
        <v>437</v>
      </c>
      <c r="J168" s="3" t="s">
        <v>6</v>
      </c>
      <c r="K168" s="230">
        <v>45086</v>
      </c>
      <c r="L168" s="3" t="s">
        <v>2737</v>
      </c>
      <c r="M168" s="3" t="s">
        <v>49</v>
      </c>
      <c r="N168" s="3" t="s">
        <v>6</v>
      </c>
      <c r="O168" s="225" t="s">
        <v>26</v>
      </c>
    </row>
    <row r="169" spans="1:15" x14ac:dyDescent="0.35">
      <c r="A169" s="3" t="s">
        <v>79</v>
      </c>
      <c r="B169" s="3" t="s">
        <v>543</v>
      </c>
      <c r="C169" s="3">
        <v>1</v>
      </c>
      <c r="D169" s="95" t="s">
        <v>535</v>
      </c>
      <c r="E169" s="3" t="s">
        <v>10</v>
      </c>
      <c r="F169" s="3" t="s">
        <v>6</v>
      </c>
      <c r="G169" s="3" t="s">
        <v>6</v>
      </c>
      <c r="H169" s="3">
        <v>13</v>
      </c>
      <c r="I169" s="95" t="s">
        <v>5</v>
      </c>
      <c r="J169" s="3" t="s">
        <v>10</v>
      </c>
      <c r="K169" s="230" t="s">
        <v>5</v>
      </c>
      <c r="L169" s="3" t="s">
        <v>2737</v>
      </c>
      <c r="M169" s="3" t="s">
        <v>49</v>
      </c>
      <c r="N169" s="3" t="s">
        <v>6</v>
      </c>
      <c r="O169" s="225" t="s">
        <v>51</v>
      </c>
    </row>
    <row r="170" spans="1:15" x14ac:dyDescent="0.35">
      <c r="A170" s="3" t="s">
        <v>214</v>
      </c>
      <c r="B170" s="3" t="s">
        <v>1829</v>
      </c>
      <c r="C170" s="3">
        <v>5</v>
      </c>
      <c r="D170" s="95" t="s">
        <v>541</v>
      </c>
      <c r="E170" s="3" t="s">
        <v>10</v>
      </c>
      <c r="F170" s="3" t="s">
        <v>10</v>
      </c>
      <c r="G170" s="3" t="s">
        <v>6</v>
      </c>
      <c r="H170" s="3">
        <v>2</v>
      </c>
      <c r="I170" s="95" t="s">
        <v>3305</v>
      </c>
      <c r="J170" s="3" t="s">
        <v>6</v>
      </c>
      <c r="K170" s="230">
        <v>42231</v>
      </c>
      <c r="L170" s="3" t="s">
        <v>174</v>
      </c>
      <c r="M170" s="3" t="s">
        <v>651</v>
      </c>
      <c r="N170" s="3" t="s">
        <v>651</v>
      </c>
      <c r="O170" s="225" t="s">
        <v>651</v>
      </c>
    </row>
    <row r="171" spans="1:15" x14ac:dyDescent="0.35">
      <c r="A171" s="3" t="s">
        <v>214</v>
      </c>
      <c r="B171" s="3" t="s">
        <v>1829</v>
      </c>
      <c r="C171" s="3">
        <v>5</v>
      </c>
      <c r="D171" s="95" t="s">
        <v>548</v>
      </c>
      <c r="E171" s="3" t="s">
        <v>10</v>
      </c>
      <c r="F171" s="3" t="s">
        <v>10</v>
      </c>
      <c r="G171" s="3" t="s">
        <v>6</v>
      </c>
      <c r="H171" s="3">
        <v>400</v>
      </c>
      <c r="I171" s="95" t="s">
        <v>3305</v>
      </c>
      <c r="J171" s="3" t="s">
        <v>6</v>
      </c>
      <c r="K171" s="230">
        <v>42231</v>
      </c>
      <c r="L171" s="3" t="s">
        <v>2737</v>
      </c>
      <c r="M171" s="3" t="s">
        <v>651</v>
      </c>
      <c r="N171" s="3" t="s">
        <v>651</v>
      </c>
      <c r="O171" s="225" t="s">
        <v>651</v>
      </c>
    </row>
    <row r="172" spans="1:15" x14ac:dyDescent="0.35">
      <c r="A172" s="3" t="s">
        <v>214</v>
      </c>
      <c r="B172" s="3" t="s">
        <v>1829</v>
      </c>
      <c r="C172" s="3">
        <v>5</v>
      </c>
      <c r="D172" s="95" t="s">
        <v>533</v>
      </c>
      <c r="E172" s="3" t="s">
        <v>10</v>
      </c>
      <c r="F172" s="3" t="s">
        <v>10</v>
      </c>
      <c r="G172" s="3" t="s">
        <v>6</v>
      </c>
      <c r="H172" s="3">
        <v>10</v>
      </c>
      <c r="I172" s="95" t="s">
        <v>3305</v>
      </c>
      <c r="J172" s="3" t="s">
        <v>6</v>
      </c>
      <c r="K172" s="230">
        <v>42231</v>
      </c>
      <c r="L172" s="3" t="s">
        <v>315</v>
      </c>
      <c r="M172" s="3" t="s">
        <v>651</v>
      </c>
      <c r="N172" s="3" t="s">
        <v>651</v>
      </c>
      <c r="O172" s="225" t="s">
        <v>651</v>
      </c>
    </row>
    <row r="173" spans="1:15" x14ac:dyDescent="0.35">
      <c r="A173" s="3" t="s">
        <v>214</v>
      </c>
      <c r="B173" s="3" t="s">
        <v>1829</v>
      </c>
      <c r="C173" s="3">
        <v>5</v>
      </c>
      <c r="D173" s="95" t="s">
        <v>534</v>
      </c>
      <c r="E173" s="3" t="s">
        <v>10</v>
      </c>
      <c r="F173" s="3" t="s">
        <v>10</v>
      </c>
      <c r="G173" s="3" t="s">
        <v>6</v>
      </c>
      <c r="H173" s="3">
        <v>100</v>
      </c>
      <c r="I173" s="95" t="s">
        <v>3305</v>
      </c>
      <c r="J173" s="3" t="s">
        <v>6</v>
      </c>
      <c r="K173" s="230">
        <v>42231</v>
      </c>
      <c r="L173" s="3" t="s">
        <v>52</v>
      </c>
      <c r="M173" s="3" t="s">
        <v>651</v>
      </c>
      <c r="N173" s="3" t="s">
        <v>651</v>
      </c>
      <c r="O173" s="225" t="s">
        <v>651</v>
      </c>
    </row>
    <row r="174" spans="1:15" x14ac:dyDescent="0.35">
      <c r="A174" s="3" t="s">
        <v>214</v>
      </c>
      <c r="B174" s="3" t="s">
        <v>1829</v>
      </c>
      <c r="C174" s="3">
        <v>5</v>
      </c>
      <c r="D174" s="95" t="s">
        <v>542</v>
      </c>
      <c r="E174" s="3" t="s">
        <v>10</v>
      </c>
      <c r="F174" s="3" t="s">
        <v>10</v>
      </c>
      <c r="G174" s="3" t="s">
        <v>6</v>
      </c>
      <c r="H174" s="3">
        <v>80</v>
      </c>
      <c r="I174" s="95" t="s">
        <v>3305</v>
      </c>
      <c r="J174" s="3" t="s">
        <v>6</v>
      </c>
      <c r="K174" s="230">
        <v>42231</v>
      </c>
      <c r="L174" s="3" t="s">
        <v>2737</v>
      </c>
      <c r="M174" s="3" t="s">
        <v>651</v>
      </c>
      <c r="N174" s="3" t="s">
        <v>651</v>
      </c>
      <c r="O174" s="225" t="s">
        <v>651</v>
      </c>
    </row>
    <row r="175" spans="1:15" x14ac:dyDescent="0.35">
      <c r="A175" s="3" t="s">
        <v>214</v>
      </c>
      <c r="B175" s="3" t="s">
        <v>1829</v>
      </c>
      <c r="C175" s="3">
        <v>5</v>
      </c>
      <c r="D175" s="95" t="s">
        <v>537</v>
      </c>
      <c r="E175" s="3" t="s">
        <v>10</v>
      </c>
      <c r="F175" s="3" t="s">
        <v>10</v>
      </c>
      <c r="G175" s="3" t="s">
        <v>6</v>
      </c>
      <c r="H175" s="3">
        <v>400</v>
      </c>
      <c r="I175" s="95" t="s">
        <v>3305</v>
      </c>
      <c r="J175" s="3" t="s">
        <v>6</v>
      </c>
      <c r="K175" s="230">
        <v>42231</v>
      </c>
      <c r="L175" s="3" t="s">
        <v>2737</v>
      </c>
      <c r="M175" s="3" t="s">
        <v>651</v>
      </c>
      <c r="N175" s="3" t="s">
        <v>651</v>
      </c>
      <c r="O175" s="225" t="s">
        <v>651</v>
      </c>
    </row>
    <row r="176" spans="1:15" x14ac:dyDescent="0.35">
      <c r="A176" s="3" t="s">
        <v>214</v>
      </c>
      <c r="B176" s="3" t="s">
        <v>1829</v>
      </c>
      <c r="C176" s="3">
        <v>5</v>
      </c>
      <c r="D176" s="95" t="s">
        <v>535</v>
      </c>
      <c r="E176" s="3" t="s">
        <v>10</v>
      </c>
      <c r="F176" s="3" t="s">
        <v>10</v>
      </c>
      <c r="G176" s="3" t="s">
        <v>6</v>
      </c>
      <c r="H176" s="3">
        <v>0</v>
      </c>
      <c r="I176" s="95" t="s">
        <v>5</v>
      </c>
      <c r="J176" s="3" t="s">
        <v>651</v>
      </c>
      <c r="K176" s="230" t="s">
        <v>5</v>
      </c>
      <c r="L176" s="3" t="s">
        <v>2737</v>
      </c>
      <c r="M176" s="3" t="s">
        <v>651</v>
      </c>
      <c r="N176" s="3" t="s">
        <v>651</v>
      </c>
      <c r="O176" s="225" t="s">
        <v>651</v>
      </c>
    </row>
    <row r="177" spans="1:15" x14ac:dyDescent="0.35">
      <c r="A177" s="3" t="s">
        <v>219</v>
      </c>
      <c r="B177" s="3" t="s">
        <v>582</v>
      </c>
      <c r="C177" s="3">
        <v>5</v>
      </c>
      <c r="D177" s="95" t="s">
        <v>541</v>
      </c>
      <c r="E177" s="3" t="s">
        <v>10</v>
      </c>
      <c r="F177" s="3" t="s">
        <v>10</v>
      </c>
      <c r="G177" s="3" t="s">
        <v>6</v>
      </c>
      <c r="H177" s="3">
        <v>1</v>
      </c>
      <c r="I177" s="95" t="s">
        <v>5</v>
      </c>
      <c r="J177" s="3" t="s">
        <v>10</v>
      </c>
      <c r="K177" s="230" t="s">
        <v>5</v>
      </c>
      <c r="L177" s="3" t="s">
        <v>174</v>
      </c>
      <c r="M177" s="3" t="s">
        <v>651</v>
      </c>
      <c r="N177" s="3" t="s">
        <v>651</v>
      </c>
      <c r="O177" s="225" t="s">
        <v>651</v>
      </c>
    </row>
    <row r="178" spans="1:15" x14ac:dyDescent="0.35">
      <c r="A178" s="3" t="s">
        <v>219</v>
      </c>
      <c r="B178" s="3" t="s">
        <v>582</v>
      </c>
      <c r="C178" s="3">
        <v>5</v>
      </c>
      <c r="D178" s="95" t="s">
        <v>548</v>
      </c>
      <c r="E178" s="3" t="s">
        <v>6</v>
      </c>
      <c r="F178" s="3" t="s">
        <v>6</v>
      </c>
      <c r="G178" s="3" t="s">
        <v>10</v>
      </c>
      <c r="H178" s="3">
        <v>56</v>
      </c>
      <c r="I178" s="95" t="s">
        <v>437</v>
      </c>
      <c r="J178" s="3" t="s">
        <v>6</v>
      </c>
      <c r="K178" s="230">
        <v>42734</v>
      </c>
      <c r="L178" s="3" t="s">
        <v>2737</v>
      </c>
      <c r="M178" s="3" t="s">
        <v>49</v>
      </c>
      <c r="N178" s="3" t="s">
        <v>6</v>
      </c>
      <c r="O178" s="225" t="s">
        <v>26</v>
      </c>
    </row>
    <row r="179" spans="1:15" x14ac:dyDescent="0.35">
      <c r="A179" s="3" t="s">
        <v>219</v>
      </c>
      <c r="B179" s="3" t="s">
        <v>582</v>
      </c>
      <c r="C179" s="3">
        <v>5</v>
      </c>
      <c r="D179" s="95" t="s">
        <v>533</v>
      </c>
      <c r="E179" s="3" t="s">
        <v>10</v>
      </c>
      <c r="F179" s="3" t="s">
        <v>10</v>
      </c>
      <c r="G179" s="3" t="s">
        <v>6</v>
      </c>
      <c r="H179" s="3">
        <v>324</v>
      </c>
      <c r="I179" s="95" t="s">
        <v>5</v>
      </c>
      <c r="J179" s="3" t="s">
        <v>10</v>
      </c>
      <c r="K179" s="230" t="s">
        <v>5</v>
      </c>
      <c r="L179" s="3" t="s">
        <v>315</v>
      </c>
      <c r="M179" s="3" t="s">
        <v>651</v>
      </c>
      <c r="N179" s="3" t="s">
        <v>651</v>
      </c>
      <c r="O179" s="225" t="s">
        <v>651</v>
      </c>
    </row>
    <row r="180" spans="1:15" x14ac:dyDescent="0.35">
      <c r="A180" s="3" t="s">
        <v>219</v>
      </c>
      <c r="B180" s="3" t="s">
        <v>582</v>
      </c>
      <c r="C180" s="3">
        <v>5</v>
      </c>
      <c r="D180" s="95" t="s">
        <v>534</v>
      </c>
      <c r="E180" s="3" t="s">
        <v>10</v>
      </c>
      <c r="F180" s="3" t="s">
        <v>10</v>
      </c>
      <c r="G180" s="3" t="s">
        <v>6</v>
      </c>
      <c r="H180" s="3">
        <v>247</v>
      </c>
      <c r="I180" s="95" t="s">
        <v>5</v>
      </c>
      <c r="J180" s="3" t="s">
        <v>10</v>
      </c>
      <c r="K180" s="230" t="s">
        <v>5</v>
      </c>
      <c r="L180" s="3" t="s">
        <v>52</v>
      </c>
      <c r="M180" s="3" t="s">
        <v>651</v>
      </c>
      <c r="N180" s="3" t="s">
        <v>651</v>
      </c>
      <c r="O180" s="225" t="s">
        <v>651</v>
      </c>
    </row>
    <row r="181" spans="1:15" x14ac:dyDescent="0.35">
      <c r="A181" s="3" t="s">
        <v>219</v>
      </c>
      <c r="B181" s="3" t="s">
        <v>582</v>
      </c>
      <c r="C181" s="3">
        <v>5</v>
      </c>
      <c r="D181" s="95" t="s">
        <v>542</v>
      </c>
      <c r="E181" s="3" t="s">
        <v>10</v>
      </c>
      <c r="F181" s="3" t="s">
        <v>10</v>
      </c>
      <c r="G181" s="3" t="s">
        <v>6</v>
      </c>
      <c r="H181" s="3">
        <v>88</v>
      </c>
      <c r="I181" s="95" t="s">
        <v>5</v>
      </c>
      <c r="J181" s="3" t="s">
        <v>10</v>
      </c>
      <c r="K181" s="230" t="s">
        <v>5</v>
      </c>
      <c r="L181" s="3" t="s">
        <v>2737</v>
      </c>
      <c r="M181" s="3" t="s">
        <v>651</v>
      </c>
      <c r="N181" s="3" t="s">
        <v>651</v>
      </c>
      <c r="O181" s="225" t="s">
        <v>651</v>
      </c>
    </row>
    <row r="182" spans="1:15" x14ac:dyDescent="0.35">
      <c r="A182" s="3" t="s">
        <v>219</v>
      </c>
      <c r="B182" s="3" t="s">
        <v>582</v>
      </c>
      <c r="C182" s="3">
        <v>5</v>
      </c>
      <c r="D182" s="95" t="s">
        <v>537</v>
      </c>
      <c r="E182" s="3" t="s">
        <v>10</v>
      </c>
      <c r="F182" s="3" t="s">
        <v>10</v>
      </c>
      <c r="G182" s="3" t="s">
        <v>6</v>
      </c>
      <c r="H182" s="3">
        <v>533</v>
      </c>
      <c r="I182" s="95" t="s">
        <v>5</v>
      </c>
      <c r="J182" s="3" t="s">
        <v>10</v>
      </c>
      <c r="K182" s="230" t="s">
        <v>5</v>
      </c>
      <c r="L182" s="3" t="s">
        <v>2737</v>
      </c>
      <c r="M182" s="3" t="s">
        <v>651</v>
      </c>
      <c r="N182" s="3" t="s">
        <v>651</v>
      </c>
      <c r="O182" s="225" t="s">
        <v>651</v>
      </c>
    </row>
    <row r="183" spans="1:15" x14ac:dyDescent="0.35">
      <c r="A183" s="3" t="s">
        <v>219</v>
      </c>
      <c r="B183" s="3" t="s">
        <v>582</v>
      </c>
      <c r="C183" s="3">
        <v>5</v>
      </c>
      <c r="D183" s="95" t="s">
        <v>535</v>
      </c>
      <c r="E183" s="3" t="s">
        <v>10</v>
      </c>
      <c r="F183" s="3" t="s">
        <v>10</v>
      </c>
      <c r="G183" s="3" t="s">
        <v>6</v>
      </c>
      <c r="H183" s="3">
        <v>55</v>
      </c>
      <c r="I183" s="95" t="s">
        <v>5</v>
      </c>
      <c r="J183" s="3" t="s">
        <v>10</v>
      </c>
      <c r="K183" s="230" t="s">
        <v>5</v>
      </c>
      <c r="L183" s="3" t="s">
        <v>2737</v>
      </c>
      <c r="M183" s="3" t="s">
        <v>651</v>
      </c>
      <c r="N183" s="3" t="s">
        <v>651</v>
      </c>
      <c r="O183" s="225" t="s">
        <v>651</v>
      </c>
    </row>
    <row r="184" spans="1:15" x14ac:dyDescent="0.35">
      <c r="A184" s="3" t="s">
        <v>583</v>
      </c>
      <c r="B184" s="3" t="s">
        <v>584</v>
      </c>
      <c r="C184" s="3">
        <v>7</v>
      </c>
      <c r="D184" s="95" t="s">
        <v>541</v>
      </c>
      <c r="E184" s="3" t="s">
        <v>10</v>
      </c>
      <c r="F184" s="3" t="s">
        <v>10</v>
      </c>
      <c r="G184" s="3" t="s">
        <v>6</v>
      </c>
      <c r="H184" s="3">
        <v>2</v>
      </c>
      <c r="I184" s="95" t="s">
        <v>5</v>
      </c>
      <c r="J184" s="3" t="s">
        <v>10</v>
      </c>
      <c r="K184" s="230" t="s">
        <v>5</v>
      </c>
      <c r="L184" s="3" t="s">
        <v>174</v>
      </c>
      <c r="M184" s="3" t="s">
        <v>651</v>
      </c>
      <c r="N184" s="3" t="s">
        <v>651</v>
      </c>
      <c r="O184" s="225" t="s">
        <v>651</v>
      </c>
    </row>
    <row r="185" spans="1:15" x14ac:dyDescent="0.35">
      <c r="A185" s="3" t="s">
        <v>583</v>
      </c>
      <c r="B185" s="3" t="s">
        <v>584</v>
      </c>
      <c r="C185" s="3">
        <v>7</v>
      </c>
      <c r="D185" s="95" t="s">
        <v>548</v>
      </c>
      <c r="E185" s="3" t="s">
        <v>6</v>
      </c>
      <c r="F185" s="3" t="s">
        <v>6</v>
      </c>
      <c r="G185" s="3" t="s">
        <v>10</v>
      </c>
      <c r="H185" s="3">
        <v>91</v>
      </c>
      <c r="I185" s="95" t="s">
        <v>437</v>
      </c>
      <c r="J185" s="3" t="s">
        <v>6</v>
      </c>
      <c r="K185" s="230">
        <v>42734</v>
      </c>
      <c r="L185" s="3" t="s">
        <v>2737</v>
      </c>
      <c r="M185" s="3" t="s">
        <v>49</v>
      </c>
      <c r="N185" s="3" t="s">
        <v>6</v>
      </c>
      <c r="O185" s="225" t="s">
        <v>26</v>
      </c>
    </row>
    <row r="186" spans="1:15" x14ac:dyDescent="0.35">
      <c r="A186" s="3" t="s">
        <v>583</v>
      </c>
      <c r="B186" s="3" t="s">
        <v>584</v>
      </c>
      <c r="C186" s="3">
        <v>7</v>
      </c>
      <c r="D186" s="95" t="s">
        <v>533</v>
      </c>
      <c r="E186" s="3" t="s">
        <v>10</v>
      </c>
      <c r="F186" s="3" t="s">
        <v>10</v>
      </c>
      <c r="G186" s="3" t="s">
        <v>6</v>
      </c>
      <c r="H186" s="3">
        <v>51</v>
      </c>
      <c r="I186" s="95" t="s">
        <v>5</v>
      </c>
      <c r="J186" s="3" t="s">
        <v>10</v>
      </c>
      <c r="K186" s="230" t="s">
        <v>5</v>
      </c>
      <c r="L186" s="3" t="s">
        <v>315</v>
      </c>
      <c r="M186" s="3" t="s">
        <v>651</v>
      </c>
      <c r="N186" s="3" t="s">
        <v>651</v>
      </c>
      <c r="O186" s="225" t="s">
        <v>651</v>
      </c>
    </row>
    <row r="187" spans="1:15" x14ac:dyDescent="0.35">
      <c r="A187" s="3" t="s">
        <v>583</v>
      </c>
      <c r="B187" s="3" t="s">
        <v>584</v>
      </c>
      <c r="C187" s="3">
        <v>7</v>
      </c>
      <c r="D187" s="95" t="s">
        <v>534</v>
      </c>
      <c r="E187" s="3" t="s">
        <v>10</v>
      </c>
      <c r="F187" s="3" t="s">
        <v>10</v>
      </c>
      <c r="G187" s="3" t="s">
        <v>6</v>
      </c>
      <c r="H187" s="3">
        <v>97</v>
      </c>
      <c r="I187" s="95" t="s">
        <v>5</v>
      </c>
      <c r="J187" s="3" t="s">
        <v>10</v>
      </c>
      <c r="K187" s="230" t="s">
        <v>5</v>
      </c>
      <c r="L187" s="3" t="s">
        <v>52</v>
      </c>
      <c r="M187" s="3" t="s">
        <v>651</v>
      </c>
      <c r="N187" s="3" t="s">
        <v>651</v>
      </c>
      <c r="O187" s="225" t="s">
        <v>651</v>
      </c>
    </row>
    <row r="188" spans="1:15" x14ac:dyDescent="0.35">
      <c r="A188" s="3" t="s">
        <v>583</v>
      </c>
      <c r="B188" s="3" t="s">
        <v>584</v>
      </c>
      <c r="C188" s="3">
        <v>7</v>
      </c>
      <c r="D188" s="95" t="s">
        <v>542</v>
      </c>
      <c r="E188" s="3" t="s">
        <v>10</v>
      </c>
      <c r="F188" s="3" t="s">
        <v>10</v>
      </c>
      <c r="G188" s="3" t="s">
        <v>6</v>
      </c>
      <c r="H188" s="3">
        <v>50</v>
      </c>
      <c r="I188" s="95" t="s">
        <v>5</v>
      </c>
      <c r="J188" s="3" t="s">
        <v>10</v>
      </c>
      <c r="K188" s="230" t="s">
        <v>5</v>
      </c>
      <c r="L188" s="3" t="s">
        <v>2737</v>
      </c>
      <c r="M188" s="3" t="s">
        <v>651</v>
      </c>
      <c r="N188" s="3" t="s">
        <v>651</v>
      </c>
      <c r="O188" s="225" t="s">
        <v>651</v>
      </c>
    </row>
    <row r="189" spans="1:15" x14ac:dyDescent="0.35">
      <c r="A189" s="3" t="s">
        <v>583</v>
      </c>
      <c r="B189" s="3" t="s">
        <v>584</v>
      </c>
      <c r="C189" s="3">
        <v>7</v>
      </c>
      <c r="D189" s="95" t="s">
        <v>537</v>
      </c>
      <c r="E189" s="3" t="s">
        <v>10</v>
      </c>
      <c r="F189" s="3" t="s">
        <v>10</v>
      </c>
      <c r="G189" s="3" t="s">
        <v>6</v>
      </c>
      <c r="H189" s="3">
        <v>833</v>
      </c>
      <c r="I189" s="95" t="s">
        <v>5</v>
      </c>
      <c r="J189" s="3" t="s">
        <v>10</v>
      </c>
      <c r="K189" s="230" t="s">
        <v>5</v>
      </c>
      <c r="L189" s="3" t="s">
        <v>2737</v>
      </c>
      <c r="M189" s="3" t="s">
        <v>651</v>
      </c>
      <c r="N189" s="3" t="s">
        <v>651</v>
      </c>
      <c r="O189" s="225" t="s">
        <v>651</v>
      </c>
    </row>
    <row r="190" spans="1:15" x14ac:dyDescent="0.35">
      <c r="A190" s="3" t="s">
        <v>583</v>
      </c>
      <c r="B190" s="3" t="s">
        <v>584</v>
      </c>
      <c r="C190" s="3">
        <v>7</v>
      </c>
      <c r="D190" s="95" t="s">
        <v>535</v>
      </c>
      <c r="E190" s="3" t="s">
        <v>10</v>
      </c>
      <c r="F190" s="3" t="s">
        <v>10</v>
      </c>
      <c r="G190" s="3" t="s">
        <v>6</v>
      </c>
      <c r="H190" s="3">
        <v>12</v>
      </c>
      <c r="I190" s="95" t="s">
        <v>5</v>
      </c>
      <c r="J190" s="3" t="s">
        <v>10</v>
      </c>
      <c r="K190" s="230" t="s">
        <v>5</v>
      </c>
      <c r="L190" s="3" t="s">
        <v>2737</v>
      </c>
      <c r="M190" s="3" t="s">
        <v>651</v>
      </c>
      <c r="N190" s="3" t="s">
        <v>651</v>
      </c>
      <c r="O190" s="225" t="s">
        <v>651</v>
      </c>
    </row>
    <row r="191" spans="1:15" x14ac:dyDescent="0.35">
      <c r="A191" s="3" t="s">
        <v>222</v>
      </c>
      <c r="B191" s="3" t="s">
        <v>585</v>
      </c>
      <c r="C191" s="3">
        <v>9</v>
      </c>
      <c r="D191" s="95" t="s">
        <v>541</v>
      </c>
      <c r="E191" s="3" t="s">
        <v>6</v>
      </c>
      <c r="F191" s="3" t="s">
        <v>10</v>
      </c>
      <c r="G191" s="3" t="s">
        <v>10</v>
      </c>
      <c r="H191" s="3">
        <v>0</v>
      </c>
      <c r="I191" s="95" t="s">
        <v>651</v>
      </c>
      <c r="J191" s="3" t="s">
        <v>651</v>
      </c>
      <c r="K191" s="230" t="s">
        <v>5</v>
      </c>
      <c r="L191" s="3" t="s">
        <v>174</v>
      </c>
      <c r="M191" s="3" t="s">
        <v>651</v>
      </c>
      <c r="N191" s="3" t="s">
        <v>651</v>
      </c>
      <c r="O191" s="225" t="s">
        <v>651</v>
      </c>
    </row>
    <row r="192" spans="1:15" x14ac:dyDescent="0.35">
      <c r="A192" s="3" t="s">
        <v>222</v>
      </c>
      <c r="B192" s="3" t="s">
        <v>585</v>
      </c>
      <c r="C192" s="3">
        <v>9</v>
      </c>
      <c r="D192" s="95" t="s">
        <v>548</v>
      </c>
      <c r="E192" s="3" t="s">
        <v>6</v>
      </c>
      <c r="F192" s="3" t="s">
        <v>6</v>
      </c>
      <c r="G192" s="3" t="s">
        <v>10</v>
      </c>
      <c r="H192" s="3">
        <v>1</v>
      </c>
      <c r="I192" s="95" t="s">
        <v>437</v>
      </c>
      <c r="J192" s="3" t="s">
        <v>6</v>
      </c>
      <c r="K192" s="230">
        <v>42734</v>
      </c>
      <c r="L192" s="3" t="s">
        <v>2737</v>
      </c>
      <c r="M192" s="3" t="s">
        <v>49</v>
      </c>
      <c r="N192" s="3" t="s">
        <v>6</v>
      </c>
      <c r="O192" s="225" t="s">
        <v>26</v>
      </c>
    </row>
    <row r="193" spans="1:15" x14ac:dyDescent="0.35">
      <c r="A193" s="3" t="s">
        <v>222</v>
      </c>
      <c r="B193" s="3" t="s">
        <v>585</v>
      </c>
      <c r="C193" s="3">
        <v>9</v>
      </c>
      <c r="D193" s="95" t="s">
        <v>533</v>
      </c>
      <c r="E193" s="3" t="s">
        <v>6</v>
      </c>
      <c r="F193" s="3" t="s">
        <v>10</v>
      </c>
      <c r="G193" s="3" t="s">
        <v>10</v>
      </c>
      <c r="H193" s="3">
        <v>0</v>
      </c>
      <c r="I193" s="95" t="s">
        <v>651</v>
      </c>
      <c r="J193" s="3" t="s">
        <v>651</v>
      </c>
      <c r="K193" s="230" t="s">
        <v>5</v>
      </c>
      <c r="L193" s="3" t="s">
        <v>315</v>
      </c>
      <c r="M193" s="3" t="s">
        <v>651</v>
      </c>
      <c r="N193" s="3" t="s">
        <v>651</v>
      </c>
      <c r="O193" s="225" t="s">
        <v>651</v>
      </c>
    </row>
    <row r="194" spans="1:15" x14ac:dyDescent="0.35">
      <c r="A194" s="3" t="s">
        <v>222</v>
      </c>
      <c r="B194" s="3" t="s">
        <v>585</v>
      </c>
      <c r="C194" s="3">
        <v>9</v>
      </c>
      <c r="D194" s="95" t="s">
        <v>534</v>
      </c>
      <c r="E194" s="3" t="s">
        <v>6</v>
      </c>
      <c r="F194" s="3" t="s">
        <v>6</v>
      </c>
      <c r="G194" s="3" t="s">
        <v>10</v>
      </c>
      <c r="H194" s="3">
        <v>1</v>
      </c>
      <c r="I194" s="95" t="s">
        <v>5</v>
      </c>
      <c r="J194" s="3" t="s">
        <v>10</v>
      </c>
      <c r="K194" s="230" t="s">
        <v>5</v>
      </c>
      <c r="L194" s="3" t="s">
        <v>52</v>
      </c>
      <c r="M194" s="3" t="s">
        <v>17</v>
      </c>
      <c r="N194" s="3" t="s">
        <v>6</v>
      </c>
      <c r="O194" s="225" t="s">
        <v>26</v>
      </c>
    </row>
    <row r="195" spans="1:15" x14ac:dyDescent="0.35">
      <c r="A195" s="3" t="s">
        <v>222</v>
      </c>
      <c r="B195" s="3" t="s">
        <v>585</v>
      </c>
      <c r="C195" s="3">
        <v>9</v>
      </c>
      <c r="D195" s="95" t="s">
        <v>542</v>
      </c>
      <c r="E195" s="3" t="s">
        <v>6</v>
      </c>
      <c r="F195" s="3" t="s">
        <v>10</v>
      </c>
      <c r="G195" s="3" t="s">
        <v>10</v>
      </c>
      <c r="H195" s="3">
        <v>0</v>
      </c>
      <c r="I195" s="95" t="s">
        <v>651</v>
      </c>
      <c r="J195" s="3" t="s">
        <v>651</v>
      </c>
      <c r="K195" s="230" t="s">
        <v>5</v>
      </c>
      <c r="L195" s="3" t="s">
        <v>2737</v>
      </c>
      <c r="M195" s="3" t="s">
        <v>651</v>
      </c>
      <c r="N195" s="3" t="s">
        <v>651</v>
      </c>
      <c r="O195" s="225" t="s">
        <v>651</v>
      </c>
    </row>
    <row r="196" spans="1:15" x14ac:dyDescent="0.35">
      <c r="A196" s="3" t="s">
        <v>222</v>
      </c>
      <c r="B196" s="3" t="s">
        <v>585</v>
      </c>
      <c r="C196" s="3">
        <v>9</v>
      </c>
      <c r="D196" s="95" t="s">
        <v>537</v>
      </c>
      <c r="E196" s="3" t="s">
        <v>6</v>
      </c>
      <c r="F196" s="3" t="s">
        <v>6</v>
      </c>
      <c r="G196" s="3" t="s">
        <v>10</v>
      </c>
      <c r="H196" s="3">
        <v>3</v>
      </c>
      <c r="I196" s="95" t="s">
        <v>437</v>
      </c>
      <c r="J196" s="3" t="s">
        <v>6</v>
      </c>
      <c r="K196" s="230">
        <v>44875</v>
      </c>
      <c r="L196" s="3" t="s">
        <v>2737</v>
      </c>
      <c r="M196" s="3" t="s">
        <v>49</v>
      </c>
      <c r="N196" s="3" t="s">
        <v>6</v>
      </c>
      <c r="O196" s="225" t="s">
        <v>26</v>
      </c>
    </row>
    <row r="197" spans="1:15" x14ac:dyDescent="0.35">
      <c r="A197" s="3" t="s">
        <v>222</v>
      </c>
      <c r="B197" s="3" t="s">
        <v>585</v>
      </c>
      <c r="C197" s="3">
        <v>9</v>
      </c>
      <c r="D197" s="95" t="s">
        <v>535</v>
      </c>
      <c r="E197" s="3" t="s">
        <v>6</v>
      </c>
      <c r="F197" s="3" t="s">
        <v>10</v>
      </c>
      <c r="G197" s="3" t="s">
        <v>10</v>
      </c>
      <c r="H197" s="3">
        <v>0</v>
      </c>
      <c r="I197" s="95" t="s">
        <v>651</v>
      </c>
      <c r="J197" s="3" t="s">
        <v>651</v>
      </c>
      <c r="K197" s="230" t="s">
        <v>5</v>
      </c>
      <c r="L197" s="3" t="s">
        <v>2737</v>
      </c>
      <c r="M197" s="3" t="s">
        <v>651</v>
      </c>
      <c r="N197" s="3" t="s">
        <v>651</v>
      </c>
      <c r="O197" s="225" t="s">
        <v>651</v>
      </c>
    </row>
    <row r="198" spans="1:15" x14ac:dyDescent="0.35">
      <c r="A198" s="3" t="s">
        <v>226</v>
      </c>
      <c r="B198" s="3" t="s">
        <v>544</v>
      </c>
      <c r="C198" s="3">
        <v>4</v>
      </c>
      <c r="D198" s="95" t="s">
        <v>541</v>
      </c>
      <c r="E198" s="3" t="s">
        <v>10</v>
      </c>
      <c r="F198" s="3" t="s">
        <v>10</v>
      </c>
      <c r="G198" s="3" t="s">
        <v>6</v>
      </c>
      <c r="H198" s="3">
        <v>0</v>
      </c>
      <c r="I198" s="95" t="s">
        <v>651</v>
      </c>
      <c r="J198" s="3" t="s">
        <v>651</v>
      </c>
      <c r="K198" s="230" t="s">
        <v>5</v>
      </c>
      <c r="L198" s="3" t="s">
        <v>174</v>
      </c>
      <c r="M198" s="3" t="s">
        <v>651</v>
      </c>
      <c r="N198" s="3" t="s">
        <v>651</v>
      </c>
      <c r="O198" s="225" t="s">
        <v>651</v>
      </c>
    </row>
    <row r="199" spans="1:15" x14ac:dyDescent="0.35">
      <c r="A199" s="3" t="s">
        <v>226</v>
      </c>
      <c r="B199" s="3" t="s">
        <v>544</v>
      </c>
      <c r="C199" s="3">
        <v>4</v>
      </c>
      <c r="D199" s="95" t="s">
        <v>548</v>
      </c>
      <c r="E199" s="3" t="s">
        <v>6</v>
      </c>
      <c r="F199" s="3" t="s">
        <v>6</v>
      </c>
      <c r="G199" s="3" t="s">
        <v>10</v>
      </c>
      <c r="H199" s="3">
        <v>12</v>
      </c>
      <c r="I199" s="95" t="s">
        <v>437</v>
      </c>
      <c r="J199" s="3" t="s">
        <v>6</v>
      </c>
      <c r="K199" s="230">
        <v>42734</v>
      </c>
      <c r="L199" s="3" t="s">
        <v>2737</v>
      </c>
      <c r="M199" s="3" t="s">
        <v>49</v>
      </c>
      <c r="N199" s="3" t="s">
        <v>6</v>
      </c>
      <c r="O199" s="225" t="s">
        <v>26</v>
      </c>
    </row>
    <row r="200" spans="1:15" x14ac:dyDescent="0.35">
      <c r="A200" s="3" t="s">
        <v>226</v>
      </c>
      <c r="B200" s="3" t="s">
        <v>544</v>
      </c>
      <c r="C200" s="3">
        <v>4</v>
      </c>
      <c r="D200" s="95" t="s">
        <v>533</v>
      </c>
      <c r="E200" s="3" t="s">
        <v>10</v>
      </c>
      <c r="F200" s="3" t="s">
        <v>6</v>
      </c>
      <c r="G200" s="3" t="s">
        <v>6</v>
      </c>
      <c r="H200" s="3">
        <v>45</v>
      </c>
      <c r="I200" s="95" t="s">
        <v>5</v>
      </c>
      <c r="J200" s="3" t="s">
        <v>10</v>
      </c>
      <c r="K200" s="230" t="s">
        <v>5</v>
      </c>
      <c r="L200" s="3" t="s">
        <v>315</v>
      </c>
      <c r="M200" s="3" t="s">
        <v>49</v>
      </c>
      <c r="N200" s="3" t="s">
        <v>6</v>
      </c>
      <c r="O200" s="225" t="s">
        <v>51</v>
      </c>
    </row>
    <row r="201" spans="1:15" x14ac:dyDescent="0.35">
      <c r="A201" s="3" t="s">
        <v>226</v>
      </c>
      <c r="B201" s="3" t="s">
        <v>544</v>
      </c>
      <c r="C201" s="3">
        <v>4</v>
      </c>
      <c r="D201" s="95" t="s">
        <v>534</v>
      </c>
      <c r="E201" s="3" t="s">
        <v>10</v>
      </c>
      <c r="F201" s="3" t="s">
        <v>6</v>
      </c>
      <c r="G201" s="3" t="s">
        <v>6</v>
      </c>
      <c r="H201" s="3">
        <v>39</v>
      </c>
      <c r="I201" s="95" t="s">
        <v>5</v>
      </c>
      <c r="J201" s="3" t="s">
        <v>10</v>
      </c>
      <c r="K201" s="230" t="s">
        <v>5</v>
      </c>
      <c r="L201" s="3" t="s">
        <v>52</v>
      </c>
      <c r="M201" s="3" t="s">
        <v>17</v>
      </c>
      <c r="N201" s="3" t="s">
        <v>6</v>
      </c>
      <c r="O201" s="225" t="s">
        <v>26</v>
      </c>
    </row>
    <row r="202" spans="1:15" x14ac:dyDescent="0.35">
      <c r="A202" s="3" t="s">
        <v>226</v>
      </c>
      <c r="B202" s="3" t="s">
        <v>544</v>
      </c>
      <c r="C202" s="3">
        <v>4</v>
      </c>
      <c r="D202" s="95" t="s">
        <v>542</v>
      </c>
      <c r="E202" s="3" t="s">
        <v>10</v>
      </c>
      <c r="F202" s="3" t="s">
        <v>10</v>
      </c>
      <c r="G202" s="3" t="s">
        <v>6</v>
      </c>
      <c r="H202" s="3">
        <v>0</v>
      </c>
      <c r="I202" s="95" t="s">
        <v>651</v>
      </c>
      <c r="J202" s="3" t="s">
        <v>651</v>
      </c>
      <c r="K202" s="230" t="s">
        <v>5</v>
      </c>
      <c r="L202" s="3" t="s">
        <v>2737</v>
      </c>
      <c r="M202" s="3" t="s">
        <v>651</v>
      </c>
      <c r="N202" s="3" t="s">
        <v>651</v>
      </c>
      <c r="O202" s="225" t="s">
        <v>651</v>
      </c>
    </row>
    <row r="203" spans="1:15" x14ac:dyDescent="0.35">
      <c r="A203" s="3" t="s">
        <v>226</v>
      </c>
      <c r="B203" s="3" t="s">
        <v>544</v>
      </c>
      <c r="C203" s="3">
        <v>4</v>
      </c>
      <c r="D203" s="95" t="s">
        <v>537</v>
      </c>
      <c r="E203" s="3" t="s">
        <v>10</v>
      </c>
      <c r="F203" s="3" t="s">
        <v>6</v>
      </c>
      <c r="G203" s="3" t="s">
        <v>6</v>
      </c>
      <c r="H203" s="3">
        <v>346</v>
      </c>
      <c r="I203" s="95" t="s">
        <v>437</v>
      </c>
      <c r="J203" s="3" t="s">
        <v>6</v>
      </c>
      <c r="K203" s="230">
        <v>44995</v>
      </c>
      <c r="L203" s="3" t="s">
        <v>2737</v>
      </c>
      <c r="M203" s="3" t="s">
        <v>49</v>
      </c>
      <c r="N203" s="3" t="s">
        <v>6</v>
      </c>
      <c r="O203" s="225" t="s">
        <v>26</v>
      </c>
    </row>
    <row r="204" spans="1:15" x14ac:dyDescent="0.35">
      <c r="A204" s="3" t="s">
        <v>226</v>
      </c>
      <c r="B204" s="3" t="s">
        <v>544</v>
      </c>
      <c r="C204" s="3">
        <v>4</v>
      </c>
      <c r="D204" s="95" t="s">
        <v>535</v>
      </c>
      <c r="E204" s="3" t="s">
        <v>10</v>
      </c>
      <c r="F204" s="3" t="s">
        <v>6</v>
      </c>
      <c r="G204" s="3" t="s">
        <v>6</v>
      </c>
      <c r="H204" s="3">
        <v>196</v>
      </c>
      <c r="I204" s="95" t="s">
        <v>5</v>
      </c>
      <c r="J204" s="3" t="s">
        <v>10</v>
      </c>
      <c r="K204" s="230" t="s">
        <v>5</v>
      </c>
      <c r="L204" s="3" t="s">
        <v>2737</v>
      </c>
      <c r="M204" s="3" t="s">
        <v>49</v>
      </c>
      <c r="N204" s="3" t="s">
        <v>6</v>
      </c>
      <c r="O204" s="225" t="s">
        <v>51</v>
      </c>
    </row>
    <row r="205" spans="1:15" x14ac:dyDescent="0.35">
      <c r="A205" s="3" t="s">
        <v>258</v>
      </c>
      <c r="B205" s="3" t="s">
        <v>586</v>
      </c>
      <c r="C205" s="3">
        <v>8</v>
      </c>
      <c r="D205" s="95" t="s">
        <v>541</v>
      </c>
      <c r="E205" s="3" t="s">
        <v>10</v>
      </c>
      <c r="F205" s="3" t="s">
        <v>10</v>
      </c>
      <c r="G205" s="3" t="s">
        <v>6</v>
      </c>
      <c r="H205" s="3">
        <v>0</v>
      </c>
      <c r="I205" s="95" t="s">
        <v>651</v>
      </c>
      <c r="J205" s="3" t="s">
        <v>651</v>
      </c>
      <c r="K205" s="230" t="s">
        <v>5</v>
      </c>
      <c r="L205" s="3" t="s">
        <v>174</v>
      </c>
      <c r="M205" s="3" t="s">
        <v>651</v>
      </c>
      <c r="N205" s="3" t="s">
        <v>651</v>
      </c>
      <c r="O205" s="225" t="s">
        <v>651</v>
      </c>
    </row>
    <row r="206" spans="1:15" x14ac:dyDescent="0.35">
      <c r="A206" s="3" t="s">
        <v>258</v>
      </c>
      <c r="B206" s="3" t="s">
        <v>586</v>
      </c>
      <c r="C206" s="3">
        <v>8</v>
      </c>
      <c r="D206" s="95" t="s">
        <v>548</v>
      </c>
      <c r="E206" s="3" t="s">
        <v>6</v>
      </c>
      <c r="F206" s="3" t="s">
        <v>6</v>
      </c>
      <c r="G206" s="3" t="s">
        <v>10</v>
      </c>
      <c r="H206" s="3">
        <v>11</v>
      </c>
      <c r="I206" s="95" t="s">
        <v>437</v>
      </c>
      <c r="J206" s="3" t="s">
        <v>6</v>
      </c>
      <c r="K206" s="230">
        <v>42734</v>
      </c>
      <c r="L206" s="3" t="s">
        <v>2737</v>
      </c>
      <c r="M206" s="3" t="s">
        <v>49</v>
      </c>
      <c r="N206" s="3" t="s">
        <v>6</v>
      </c>
      <c r="O206" s="225" t="s">
        <v>26</v>
      </c>
    </row>
    <row r="207" spans="1:15" x14ac:dyDescent="0.35">
      <c r="A207" s="3" t="s">
        <v>258</v>
      </c>
      <c r="B207" s="3" t="s">
        <v>586</v>
      </c>
      <c r="C207" s="3">
        <v>8</v>
      </c>
      <c r="D207" s="95" t="s">
        <v>533</v>
      </c>
      <c r="E207" s="3" t="s">
        <v>10</v>
      </c>
      <c r="F207" s="3" t="s">
        <v>10</v>
      </c>
      <c r="G207" s="3" t="s">
        <v>6</v>
      </c>
      <c r="H207" s="3">
        <v>126</v>
      </c>
      <c r="I207" s="95" t="s">
        <v>5</v>
      </c>
      <c r="J207" s="3" t="s">
        <v>10</v>
      </c>
      <c r="K207" s="230" t="s">
        <v>5</v>
      </c>
      <c r="L207" s="3" t="s">
        <v>315</v>
      </c>
      <c r="M207" s="3" t="s">
        <v>651</v>
      </c>
      <c r="N207" s="3" t="s">
        <v>651</v>
      </c>
      <c r="O207" s="225" t="s">
        <v>651</v>
      </c>
    </row>
    <row r="208" spans="1:15" x14ac:dyDescent="0.35">
      <c r="A208" s="3" t="s">
        <v>258</v>
      </c>
      <c r="B208" s="3" t="s">
        <v>586</v>
      </c>
      <c r="C208" s="3">
        <v>8</v>
      </c>
      <c r="D208" s="95" t="s">
        <v>534</v>
      </c>
      <c r="E208" s="3" t="s">
        <v>10</v>
      </c>
      <c r="F208" s="3" t="s">
        <v>10</v>
      </c>
      <c r="G208" s="3" t="s">
        <v>6</v>
      </c>
      <c r="H208" s="3">
        <v>13</v>
      </c>
      <c r="I208" s="95" t="s">
        <v>5</v>
      </c>
      <c r="J208" s="3" t="s">
        <v>10</v>
      </c>
      <c r="K208" s="230" t="s">
        <v>5</v>
      </c>
      <c r="L208" s="3" t="s">
        <v>52</v>
      </c>
      <c r="M208" s="3" t="s">
        <v>651</v>
      </c>
      <c r="N208" s="3" t="s">
        <v>651</v>
      </c>
      <c r="O208" s="225" t="s">
        <v>651</v>
      </c>
    </row>
    <row r="209" spans="1:15" x14ac:dyDescent="0.35">
      <c r="A209" s="3" t="s">
        <v>258</v>
      </c>
      <c r="B209" s="3" t="s">
        <v>586</v>
      </c>
      <c r="C209" s="3">
        <v>8</v>
      </c>
      <c r="D209" s="95" t="s">
        <v>542</v>
      </c>
      <c r="E209" s="3" t="s">
        <v>6</v>
      </c>
      <c r="F209" s="3" t="s">
        <v>6</v>
      </c>
      <c r="G209" s="3" t="s">
        <v>10</v>
      </c>
      <c r="H209" s="3">
        <v>6</v>
      </c>
      <c r="I209" s="95" t="s">
        <v>437</v>
      </c>
      <c r="J209" s="3" t="s">
        <v>6</v>
      </c>
      <c r="K209" s="230">
        <v>45310</v>
      </c>
      <c r="L209" s="3" t="s">
        <v>2737</v>
      </c>
      <c r="M209" s="3" t="s">
        <v>49</v>
      </c>
      <c r="N209" s="3" t="s">
        <v>6</v>
      </c>
      <c r="O209" s="225" t="s">
        <v>26</v>
      </c>
    </row>
    <row r="210" spans="1:15" x14ac:dyDescent="0.35">
      <c r="A210" s="3" t="s">
        <v>258</v>
      </c>
      <c r="B210" s="3" t="s">
        <v>586</v>
      </c>
      <c r="C210" s="3">
        <v>8</v>
      </c>
      <c r="D210" s="95" t="s">
        <v>537</v>
      </c>
      <c r="E210" s="3" t="s">
        <v>10</v>
      </c>
      <c r="F210" s="3" t="s">
        <v>10</v>
      </c>
      <c r="G210" s="3" t="s">
        <v>6</v>
      </c>
      <c r="H210" s="3">
        <v>154</v>
      </c>
      <c r="I210" s="95" t="s">
        <v>5</v>
      </c>
      <c r="J210" s="3" t="s">
        <v>10</v>
      </c>
      <c r="K210" s="230" t="s">
        <v>5</v>
      </c>
      <c r="L210" s="3" t="s">
        <v>2737</v>
      </c>
      <c r="M210" s="3" t="s">
        <v>651</v>
      </c>
      <c r="N210" s="3" t="s">
        <v>651</v>
      </c>
      <c r="O210" s="225" t="s">
        <v>651</v>
      </c>
    </row>
    <row r="211" spans="1:15" x14ac:dyDescent="0.35">
      <c r="A211" s="3" t="s">
        <v>258</v>
      </c>
      <c r="B211" s="3" t="s">
        <v>586</v>
      </c>
      <c r="C211" s="3">
        <v>8</v>
      </c>
      <c r="D211" s="95" t="s">
        <v>535</v>
      </c>
      <c r="E211" s="3" t="s">
        <v>6</v>
      </c>
      <c r="F211" s="3" t="s">
        <v>6</v>
      </c>
      <c r="G211" s="3" t="s">
        <v>10</v>
      </c>
      <c r="H211" s="3">
        <v>4</v>
      </c>
      <c r="I211" s="95" t="s">
        <v>5</v>
      </c>
      <c r="J211" s="3" t="s">
        <v>10</v>
      </c>
      <c r="K211" s="230" t="s">
        <v>5</v>
      </c>
      <c r="L211" s="3" t="s">
        <v>2737</v>
      </c>
      <c r="M211" s="3" t="s">
        <v>49</v>
      </c>
      <c r="N211" s="3" t="s">
        <v>6</v>
      </c>
      <c r="O211" s="225" t="s">
        <v>51</v>
      </c>
    </row>
    <row r="212" spans="1:15" x14ac:dyDescent="0.35">
      <c r="A212" s="3" t="s">
        <v>262</v>
      </c>
      <c r="B212" s="3" t="s">
        <v>587</v>
      </c>
      <c r="C212" s="3">
        <v>9</v>
      </c>
      <c r="D212" s="95" t="s">
        <v>541</v>
      </c>
      <c r="E212" s="3" t="s">
        <v>6</v>
      </c>
      <c r="F212" s="3" t="s">
        <v>10</v>
      </c>
      <c r="G212" s="3" t="s">
        <v>10</v>
      </c>
      <c r="H212" s="3">
        <v>0</v>
      </c>
      <c r="I212" s="95" t="s">
        <v>651</v>
      </c>
      <c r="J212" s="3" t="s">
        <v>651</v>
      </c>
      <c r="K212" s="230" t="s">
        <v>5</v>
      </c>
      <c r="L212" s="3" t="s">
        <v>174</v>
      </c>
      <c r="M212" s="3" t="s">
        <v>651</v>
      </c>
      <c r="N212" s="3" t="s">
        <v>651</v>
      </c>
      <c r="O212" s="225" t="s">
        <v>651</v>
      </c>
    </row>
    <row r="213" spans="1:15" x14ac:dyDescent="0.35">
      <c r="A213" s="3" t="s">
        <v>262</v>
      </c>
      <c r="B213" s="3" t="s">
        <v>587</v>
      </c>
      <c r="C213" s="3">
        <v>9</v>
      </c>
      <c r="D213" s="95" t="s">
        <v>548</v>
      </c>
      <c r="E213" s="3" t="s">
        <v>6</v>
      </c>
      <c r="F213" s="3" t="s">
        <v>6</v>
      </c>
      <c r="G213" s="3" t="s">
        <v>10</v>
      </c>
      <c r="H213" s="3">
        <v>0</v>
      </c>
      <c r="I213" s="95" t="s">
        <v>437</v>
      </c>
      <c r="J213" s="3" t="s">
        <v>6</v>
      </c>
      <c r="K213" s="230">
        <v>42734</v>
      </c>
      <c r="L213" s="3" t="s">
        <v>2737</v>
      </c>
      <c r="M213" s="3" t="s">
        <v>49</v>
      </c>
      <c r="N213" s="3" t="s">
        <v>6</v>
      </c>
      <c r="O213" s="225" t="s">
        <v>26</v>
      </c>
    </row>
    <row r="214" spans="1:15" x14ac:dyDescent="0.35">
      <c r="A214" s="3" t="s">
        <v>262</v>
      </c>
      <c r="B214" s="3" t="s">
        <v>587</v>
      </c>
      <c r="C214" s="3">
        <v>9</v>
      </c>
      <c r="D214" s="95" t="s">
        <v>533</v>
      </c>
      <c r="E214" s="3" t="s">
        <v>6</v>
      </c>
      <c r="F214" s="3" t="s">
        <v>10</v>
      </c>
      <c r="G214" s="3" t="s">
        <v>10</v>
      </c>
      <c r="H214" s="3">
        <v>0</v>
      </c>
      <c r="I214" s="95" t="s">
        <v>651</v>
      </c>
      <c r="J214" s="3" t="s">
        <v>651</v>
      </c>
      <c r="K214" s="230" t="s">
        <v>5</v>
      </c>
      <c r="L214" s="3" t="s">
        <v>315</v>
      </c>
      <c r="M214" s="3" t="s">
        <v>651</v>
      </c>
      <c r="N214" s="3" t="s">
        <v>651</v>
      </c>
      <c r="O214" s="225" t="s">
        <v>651</v>
      </c>
    </row>
    <row r="215" spans="1:15" x14ac:dyDescent="0.35">
      <c r="A215" s="3" t="s">
        <v>262</v>
      </c>
      <c r="B215" s="3" t="s">
        <v>587</v>
      </c>
      <c r="C215" s="3">
        <v>9</v>
      </c>
      <c r="D215" s="95" t="s">
        <v>534</v>
      </c>
      <c r="E215" s="3" t="s">
        <v>6</v>
      </c>
      <c r="F215" s="3" t="s">
        <v>10</v>
      </c>
      <c r="G215" s="3" t="s">
        <v>10</v>
      </c>
      <c r="H215" s="3">
        <v>0</v>
      </c>
      <c r="I215" s="95" t="s">
        <v>651</v>
      </c>
      <c r="J215" s="3" t="s">
        <v>651</v>
      </c>
      <c r="K215" s="230" t="s">
        <v>5</v>
      </c>
      <c r="L215" s="3" t="s">
        <v>52</v>
      </c>
      <c r="M215" s="3" t="s">
        <v>651</v>
      </c>
      <c r="N215" s="3" t="s">
        <v>651</v>
      </c>
      <c r="O215" s="225" t="s">
        <v>651</v>
      </c>
    </row>
    <row r="216" spans="1:15" x14ac:dyDescent="0.35">
      <c r="A216" s="3" t="s">
        <v>262</v>
      </c>
      <c r="B216" s="3" t="s">
        <v>587</v>
      </c>
      <c r="C216" s="3">
        <v>9</v>
      </c>
      <c r="D216" s="95" t="s">
        <v>542</v>
      </c>
      <c r="E216" s="3" t="s">
        <v>6</v>
      </c>
      <c r="F216" s="3" t="s">
        <v>10</v>
      </c>
      <c r="G216" s="3" t="s">
        <v>10</v>
      </c>
      <c r="H216" s="3">
        <v>0</v>
      </c>
      <c r="I216" s="95" t="s">
        <v>651</v>
      </c>
      <c r="J216" s="3" t="s">
        <v>651</v>
      </c>
      <c r="K216" s="230" t="s">
        <v>5</v>
      </c>
      <c r="L216" s="3" t="s">
        <v>2737</v>
      </c>
      <c r="M216" s="3" t="s">
        <v>651</v>
      </c>
      <c r="N216" s="3" t="s">
        <v>651</v>
      </c>
      <c r="O216" s="225" t="s">
        <v>651</v>
      </c>
    </row>
    <row r="217" spans="1:15" x14ac:dyDescent="0.35">
      <c r="A217" s="3" t="s">
        <v>262</v>
      </c>
      <c r="B217" s="3" t="s">
        <v>587</v>
      </c>
      <c r="C217" s="3">
        <v>9</v>
      </c>
      <c r="D217" s="95" t="s">
        <v>537</v>
      </c>
      <c r="E217" s="3" t="s">
        <v>6</v>
      </c>
      <c r="F217" s="3" t="s">
        <v>10</v>
      </c>
      <c r="G217" s="3" t="s">
        <v>10</v>
      </c>
      <c r="H217" s="3">
        <v>0</v>
      </c>
      <c r="I217" s="95" t="s">
        <v>651</v>
      </c>
      <c r="J217" s="3" t="s">
        <v>651</v>
      </c>
      <c r="K217" s="230" t="s">
        <v>5</v>
      </c>
      <c r="L217" s="3" t="s">
        <v>2737</v>
      </c>
      <c r="M217" s="3" t="s">
        <v>651</v>
      </c>
      <c r="N217" s="3" t="s">
        <v>651</v>
      </c>
      <c r="O217" s="225" t="s">
        <v>651</v>
      </c>
    </row>
    <row r="218" spans="1:15" x14ac:dyDescent="0.35">
      <c r="A218" s="3" t="s">
        <v>262</v>
      </c>
      <c r="B218" s="3" t="s">
        <v>587</v>
      </c>
      <c r="C218" s="3">
        <v>9</v>
      </c>
      <c r="D218" s="95" t="s">
        <v>535</v>
      </c>
      <c r="E218" s="3" t="s">
        <v>6</v>
      </c>
      <c r="F218" s="3" t="s">
        <v>10</v>
      </c>
      <c r="G218" s="3" t="s">
        <v>10</v>
      </c>
      <c r="H218" s="3">
        <v>0</v>
      </c>
      <c r="I218" s="95" t="s">
        <v>651</v>
      </c>
      <c r="J218" s="3" t="s">
        <v>651</v>
      </c>
      <c r="K218" s="230" t="s">
        <v>5</v>
      </c>
      <c r="L218" s="3" t="s">
        <v>2737</v>
      </c>
      <c r="M218" s="3" t="s">
        <v>651</v>
      </c>
      <c r="N218" s="3" t="s">
        <v>651</v>
      </c>
      <c r="O218" s="225" t="s">
        <v>651</v>
      </c>
    </row>
    <row r="219" spans="1:15" x14ac:dyDescent="0.35">
      <c r="A219" s="3" t="s">
        <v>266</v>
      </c>
      <c r="B219" s="3" t="s">
        <v>588</v>
      </c>
      <c r="C219" s="3">
        <v>4</v>
      </c>
      <c r="D219" s="95" t="s">
        <v>541</v>
      </c>
      <c r="E219" s="3" t="s">
        <v>10</v>
      </c>
      <c r="F219" s="3" t="s">
        <v>10</v>
      </c>
      <c r="G219" s="3" t="s">
        <v>6</v>
      </c>
      <c r="H219" s="3">
        <v>0</v>
      </c>
      <c r="I219" s="95" t="s">
        <v>651</v>
      </c>
      <c r="J219" s="3" t="s">
        <v>651</v>
      </c>
      <c r="K219" s="230" t="s">
        <v>5</v>
      </c>
      <c r="L219" s="3" t="s">
        <v>174</v>
      </c>
      <c r="M219" s="3" t="s">
        <v>651</v>
      </c>
      <c r="N219" s="3" t="s">
        <v>651</v>
      </c>
      <c r="O219" s="225" t="s">
        <v>651</v>
      </c>
    </row>
    <row r="220" spans="1:15" x14ac:dyDescent="0.35">
      <c r="A220" s="3" t="s">
        <v>266</v>
      </c>
      <c r="B220" s="3" t="s">
        <v>588</v>
      </c>
      <c r="C220" s="3">
        <v>4</v>
      </c>
      <c r="D220" s="95" t="s">
        <v>548</v>
      </c>
      <c r="E220" s="3" t="s">
        <v>6</v>
      </c>
      <c r="F220" s="3" t="s">
        <v>6</v>
      </c>
      <c r="G220" s="3" t="s">
        <v>10</v>
      </c>
      <c r="H220" s="3">
        <v>102</v>
      </c>
      <c r="I220" s="95" t="s">
        <v>437</v>
      </c>
      <c r="J220" s="3" t="s">
        <v>6</v>
      </c>
      <c r="K220" s="230">
        <v>42734</v>
      </c>
      <c r="L220" s="3" t="s">
        <v>2737</v>
      </c>
      <c r="M220" s="3" t="s">
        <v>49</v>
      </c>
      <c r="N220" s="3" t="s">
        <v>6</v>
      </c>
      <c r="O220" s="225" t="s">
        <v>26</v>
      </c>
    </row>
    <row r="221" spans="1:15" x14ac:dyDescent="0.35">
      <c r="A221" s="3" t="s">
        <v>266</v>
      </c>
      <c r="B221" s="3" t="s">
        <v>588</v>
      </c>
      <c r="C221" s="3">
        <v>4</v>
      </c>
      <c r="D221" s="95" t="s">
        <v>533</v>
      </c>
      <c r="E221" s="3" t="s">
        <v>10</v>
      </c>
      <c r="F221" s="3" t="s">
        <v>10</v>
      </c>
      <c r="G221" s="3" t="s">
        <v>6</v>
      </c>
      <c r="H221" s="3">
        <v>25</v>
      </c>
      <c r="I221" s="95" t="s">
        <v>5</v>
      </c>
      <c r="J221" s="3" t="s">
        <v>10</v>
      </c>
      <c r="K221" s="230" t="s">
        <v>5</v>
      </c>
      <c r="L221" s="3" t="s">
        <v>315</v>
      </c>
      <c r="M221" s="3" t="s">
        <v>651</v>
      </c>
      <c r="N221" s="3" t="s">
        <v>651</v>
      </c>
      <c r="O221" s="225" t="s">
        <v>651</v>
      </c>
    </row>
    <row r="222" spans="1:15" x14ac:dyDescent="0.35">
      <c r="A222" s="3" t="s">
        <v>266</v>
      </c>
      <c r="B222" s="3" t="s">
        <v>588</v>
      </c>
      <c r="C222" s="3">
        <v>4</v>
      </c>
      <c r="D222" s="95" t="s">
        <v>534</v>
      </c>
      <c r="E222" s="3" t="s">
        <v>10</v>
      </c>
      <c r="F222" s="3" t="s">
        <v>10</v>
      </c>
      <c r="G222" s="3" t="s">
        <v>6</v>
      </c>
      <c r="H222" s="3">
        <v>120</v>
      </c>
      <c r="I222" s="95" t="s">
        <v>5</v>
      </c>
      <c r="J222" s="3" t="s">
        <v>10</v>
      </c>
      <c r="K222" s="230" t="s">
        <v>5</v>
      </c>
      <c r="L222" s="3" t="s">
        <v>52</v>
      </c>
      <c r="M222" s="3" t="s">
        <v>651</v>
      </c>
      <c r="N222" s="3" t="s">
        <v>651</v>
      </c>
      <c r="O222" s="225" t="s">
        <v>651</v>
      </c>
    </row>
    <row r="223" spans="1:15" x14ac:dyDescent="0.35">
      <c r="A223" s="3" t="s">
        <v>266</v>
      </c>
      <c r="B223" s="3" t="s">
        <v>588</v>
      </c>
      <c r="C223" s="3">
        <v>4</v>
      </c>
      <c r="D223" s="95" t="s">
        <v>542</v>
      </c>
      <c r="E223" s="3" t="s">
        <v>10</v>
      </c>
      <c r="F223" s="3" t="s">
        <v>10</v>
      </c>
      <c r="G223" s="3" t="s">
        <v>6</v>
      </c>
      <c r="H223" s="3">
        <v>109</v>
      </c>
      <c r="I223" s="95" t="s">
        <v>5</v>
      </c>
      <c r="J223" s="3" t="s">
        <v>10</v>
      </c>
      <c r="K223" s="230" t="s">
        <v>5</v>
      </c>
      <c r="L223" s="3" t="s">
        <v>2737</v>
      </c>
      <c r="M223" s="3" t="s">
        <v>651</v>
      </c>
      <c r="N223" s="3" t="s">
        <v>651</v>
      </c>
      <c r="O223" s="225" t="s">
        <v>651</v>
      </c>
    </row>
    <row r="224" spans="1:15" x14ac:dyDescent="0.35">
      <c r="A224" s="3" t="s">
        <v>266</v>
      </c>
      <c r="B224" s="3" t="s">
        <v>588</v>
      </c>
      <c r="C224" s="3">
        <v>4</v>
      </c>
      <c r="D224" s="95" t="s">
        <v>537</v>
      </c>
      <c r="E224" s="3" t="s">
        <v>10</v>
      </c>
      <c r="F224" s="3" t="s">
        <v>10</v>
      </c>
      <c r="G224" s="3" t="s">
        <v>6</v>
      </c>
      <c r="H224" s="3">
        <v>273</v>
      </c>
      <c r="I224" s="95" t="s">
        <v>5</v>
      </c>
      <c r="J224" s="3" t="s">
        <v>10</v>
      </c>
      <c r="K224" s="230" t="s">
        <v>5</v>
      </c>
      <c r="L224" s="3" t="s">
        <v>2737</v>
      </c>
      <c r="M224" s="3" t="s">
        <v>651</v>
      </c>
      <c r="N224" s="3" t="s">
        <v>651</v>
      </c>
      <c r="O224" s="225" t="s">
        <v>651</v>
      </c>
    </row>
    <row r="225" spans="1:15" x14ac:dyDescent="0.35">
      <c r="A225" s="3" t="s">
        <v>266</v>
      </c>
      <c r="B225" s="3" t="s">
        <v>588</v>
      </c>
      <c r="C225" s="3">
        <v>4</v>
      </c>
      <c r="D225" s="95" t="s">
        <v>535</v>
      </c>
      <c r="E225" s="3" t="s">
        <v>10</v>
      </c>
      <c r="F225" s="3" t="s">
        <v>10</v>
      </c>
      <c r="G225" s="3" t="s">
        <v>6</v>
      </c>
      <c r="H225" s="3">
        <v>0</v>
      </c>
      <c r="I225" s="95" t="s">
        <v>651</v>
      </c>
      <c r="J225" s="3" t="s">
        <v>651</v>
      </c>
      <c r="K225" s="230" t="s">
        <v>5</v>
      </c>
      <c r="L225" s="3" t="s">
        <v>2737</v>
      </c>
      <c r="M225" s="3" t="s">
        <v>651</v>
      </c>
      <c r="N225" s="3" t="s">
        <v>651</v>
      </c>
      <c r="O225" s="225" t="s">
        <v>651</v>
      </c>
    </row>
    <row r="226" spans="1:15" x14ac:dyDescent="0.35">
      <c r="A226" s="3" t="s">
        <v>271</v>
      </c>
      <c r="B226" s="3" t="s">
        <v>589</v>
      </c>
      <c r="C226" s="3">
        <v>8</v>
      </c>
      <c r="D226" s="95" t="s">
        <v>541</v>
      </c>
      <c r="E226" s="3" t="s">
        <v>10</v>
      </c>
      <c r="F226" s="3" t="s">
        <v>10</v>
      </c>
      <c r="G226" s="3" t="s">
        <v>6</v>
      </c>
      <c r="H226" s="3">
        <v>2</v>
      </c>
      <c r="I226" s="95" t="s">
        <v>2474</v>
      </c>
      <c r="J226" s="3" t="s">
        <v>6</v>
      </c>
      <c r="K226" s="230">
        <v>42370</v>
      </c>
      <c r="L226" s="3" t="s">
        <v>174</v>
      </c>
      <c r="M226" s="3" t="s">
        <v>651</v>
      </c>
      <c r="N226" s="3" t="s">
        <v>651</v>
      </c>
      <c r="O226" s="225" t="s">
        <v>651</v>
      </c>
    </row>
    <row r="227" spans="1:15" x14ac:dyDescent="0.35">
      <c r="A227" s="3" t="s">
        <v>271</v>
      </c>
      <c r="B227" s="3" t="s">
        <v>589</v>
      </c>
      <c r="C227" s="3">
        <v>8</v>
      </c>
      <c r="D227" s="95" t="s">
        <v>548</v>
      </c>
      <c r="E227" s="3" t="s">
        <v>6</v>
      </c>
      <c r="F227" s="3" t="s">
        <v>6</v>
      </c>
      <c r="G227" s="3" t="s">
        <v>10</v>
      </c>
      <c r="H227" s="3">
        <v>5</v>
      </c>
      <c r="I227" s="95" t="s">
        <v>437</v>
      </c>
      <c r="J227" s="3" t="s">
        <v>6</v>
      </c>
      <c r="K227" s="230">
        <v>42734</v>
      </c>
      <c r="L227" s="3" t="s">
        <v>2737</v>
      </c>
      <c r="M227" s="3" t="s">
        <v>49</v>
      </c>
      <c r="N227" s="3" t="s">
        <v>6</v>
      </c>
      <c r="O227" s="225" t="s">
        <v>26</v>
      </c>
    </row>
    <row r="228" spans="1:15" x14ac:dyDescent="0.35">
      <c r="A228" s="3" t="s">
        <v>271</v>
      </c>
      <c r="B228" s="3" t="s">
        <v>589</v>
      </c>
      <c r="C228" s="3">
        <v>8</v>
      </c>
      <c r="D228" s="95" t="s">
        <v>533</v>
      </c>
      <c r="E228" s="3" t="s">
        <v>10</v>
      </c>
      <c r="F228" s="3" t="s">
        <v>10</v>
      </c>
      <c r="G228" s="3" t="s">
        <v>6</v>
      </c>
      <c r="H228" s="3">
        <v>0</v>
      </c>
      <c r="I228" s="95" t="s">
        <v>651</v>
      </c>
      <c r="J228" s="3" t="s">
        <v>651</v>
      </c>
      <c r="K228" s="230" t="s">
        <v>5</v>
      </c>
      <c r="L228" s="3" t="s">
        <v>315</v>
      </c>
      <c r="M228" s="3" t="s">
        <v>651</v>
      </c>
      <c r="N228" s="3" t="s">
        <v>651</v>
      </c>
      <c r="O228" s="225" t="s">
        <v>651</v>
      </c>
    </row>
    <row r="229" spans="1:15" x14ac:dyDescent="0.35">
      <c r="A229" s="3" t="s">
        <v>271</v>
      </c>
      <c r="B229" s="3" t="s">
        <v>589</v>
      </c>
      <c r="C229" s="3">
        <v>8</v>
      </c>
      <c r="D229" s="95" t="s">
        <v>534</v>
      </c>
      <c r="E229" s="3" t="s">
        <v>10</v>
      </c>
      <c r="F229" s="3" t="s">
        <v>10</v>
      </c>
      <c r="G229" s="3" t="s">
        <v>6</v>
      </c>
      <c r="H229" s="3">
        <v>19</v>
      </c>
      <c r="I229" s="95" t="s">
        <v>2474</v>
      </c>
      <c r="J229" s="3" t="s">
        <v>6</v>
      </c>
      <c r="K229" s="230">
        <v>42370</v>
      </c>
      <c r="L229" s="3" t="s">
        <v>52</v>
      </c>
      <c r="M229" s="3" t="s">
        <v>651</v>
      </c>
      <c r="N229" s="3" t="s">
        <v>651</v>
      </c>
      <c r="O229" s="225" t="s">
        <v>651</v>
      </c>
    </row>
    <row r="230" spans="1:15" x14ac:dyDescent="0.35">
      <c r="A230" s="3" t="s">
        <v>271</v>
      </c>
      <c r="B230" s="3" t="s">
        <v>589</v>
      </c>
      <c r="C230" s="3">
        <v>8</v>
      </c>
      <c r="D230" s="95" t="s">
        <v>542</v>
      </c>
      <c r="E230" s="3" t="s">
        <v>10</v>
      </c>
      <c r="F230" s="3" t="s">
        <v>10</v>
      </c>
      <c r="G230" s="3" t="s">
        <v>6</v>
      </c>
      <c r="H230" s="3">
        <v>5</v>
      </c>
      <c r="I230" s="95" t="s">
        <v>2474</v>
      </c>
      <c r="J230" s="3" t="s">
        <v>6</v>
      </c>
      <c r="K230" s="230">
        <v>42370</v>
      </c>
      <c r="L230" s="3" t="s">
        <v>2737</v>
      </c>
      <c r="M230" s="3" t="s">
        <v>651</v>
      </c>
      <c r="N230" s="3" t="s">
        <v>651</v>
      </c>
      <c r="O230" s="225" t="s">
        <v>651</v>
      </c>
    </row>
    <row r="231" spans="1:15" x14ac:dyDescent="0.35">
      <c r="A231" s="3" t="s">
        <v>271</v>
      </c>
      <c r="B231" s="3" t="s">
        <v>589</v>
      </c>
      <c r="C231" s="3">
        <v>8</v>
      </c>
      <c r="D231" s="95" t="s">
        <v>537</v>
      </c>
      <c r="E231" s="3" t="s">
        <v>10</v>
      </c>
      <c r="F231" s="3" t="s">
        <v>10</v>
      </c>
      <c r="G231" s="3" t="s">
        <v>6</v>
      </c>
      <c r="H231" s="3">
        <v>449</v>
      </c>
      <c r="I231" s="95" t="s">
        <v>2474</v>
      </c>
      <c r="J231" s="3" t="s">
        <v>6</v>
      </c>
      <c r="K231" s="230">
        <v>42370</v>
      </c>
      <c r="L231" s="3" t="s">
        <v>2737</v>
      </c>
      <c r="M231" s="3" t="s">
        <v>651</v>
      </c>
      <c r="N231" s="3" t="s">
        <v>651</v>
      </c>
      <c r="O231" s="225" t="s">
        <v>651</v>
      </c>
    </row>
    <row r="232" spans="1:15" x14ac:dyDescent="0.35">
      <c r="A232" s="3" t="s">
        <v>271</v>
      </c>
      <c r="B232" s="3" t="s">
        <v>589</v>
      </c>
      <c r="C232" s="3">
        <v>8</v>
      </c>
      <c r="D232" s="95" t="s">
        <v>535</v>
      </c>
      <c r="E232" s="3" t="s">
        <v>10</v>
      </c>
      <c r="F232" s="3" t="s">
        <v>10</v>
      </c>
      <c r="G232" s="3" t="s">
        <v>6</v>
      </c>
      <c r="H232" s="3">
        <v>19</v>
      </c>
      <c r="I232" s="95" t="s">
        <v>2474</v>
      </c>
      <c r="J232" s="3" t="s">
        <v>6</v>
      </c>
      <c r="K232" s="230">
        <v>42370</v>
      </c>
      <c r="L232" s="3" t="s">
        <v>2737</v>
      </c>
      <c r="M232" s="3" t="s">
        <v>651</v>
      </c>
      <c r="N232" s="3" t="s">
        <v>651</v>
      </c>
      <c r="O232" s="225" t="s">
        <v>651</v>
      </c>
    </row>
    <row r="233" spans="1:15" x14ac:dyDescent="0.35">
      <c r="A233" s="3" t="s">
        <v>275</v>
      </c>
      <c r="B233" s="3" t="s">
        <v>545</v>
      </c>
      <c r="C233" s="3">
        <v>7</v>
      </c>
      <c r="D233" s="95" t="s">
        <v>541</v>
      </c>
      <c r="E233" s="3" t="s">
        <v>10</v>
      </c>
      <c r="F233" s="3" t="s">
        <v>6</v>
      </c>
      <c r="G233" s="3" t="s">
        <v>6</v>
      </c>
      <c r="H233" s="3">
        <v>4</v>
      </c>
      <c r="I233" s="95" t="s">
        <v>5</v>
      </c>
      <c r="J233" s="3" t="s">
        <v>10</v>
      </c>
      <c r="K233" s="230" t="s">
        <v>5</v>
      </c>
      <c r="L233" s="3" t="s">
        <v>174</v>
      </c>
      <c r="M233" s="3" t="s">
        <v>17</v>
      </c>
      <c r="N233" s="3" t="s">
        <v>6</v>
      </c>
      <c r="O233" s="225" t="s">
        <v>51</v>
      </c>
    </row>
    <row r="234" spans="1:15" x14ac:dyDescent="0.35">
      <c r="A234" s="3" t="s">
        <v>275</v>
      </c>
      <c r="B234" s="3" t="s">
        <v>545</v>
      </c>
      <c r="C234" s="3">
        <v>7</v>
      </c>
      <c r="D234" s="95" t="s">
        <v>548</v>
      </c>
      <c r="E234" s="3" t="s">
        <v>6</v>
      </c>
      <c r="F234" s="3" t="s">
        <v>6</v>
      </c>
      <c r="G234" s="3" t="s">
        <v>10</v>
      </c>
      <c r="H234" s="3">
        <v>25</v>
      </c>
      <c r="I234" s="95" t="s">
        <v>437</v>
      </c>
      <c r="J234" s="3" t="s">
        <v>6</v>
      </c>
      <c r="K234" s="230">
        <v>42734</v>
      </c>
      <c r="L234" s="3" t="s">
        <v>2737</v>
      </c>
      <c r="M234" s="3" t="s">
        <v>49</v>
      </c>
      <c r="N234" s="3" t="s">
        <v>6</v>
      </c>
      <c r="O234" s="225" t="s">
        <v>26</v>
      </c>
    </row>
    <row r="235" spans="1:15" x14ac:dyDescent="0.35">
      <c r="A235" s="3" t="s">
        <v>275</v>
      </c>
      <c r="B235" s="3" t="s">
        <v>545</v>
      </c>
      <c r="C235" s="3">
        <v>7</v>
      </c>
      <c r="D235" s="95" t="s">
        <v>533</v>
      </c>
      <c r="E235" s="3" t="s">
        <v>10</v>
      </c>
      <c r="F235" s="3" t="s">
        <v>6</v>
      </c>
      <c r="G235" s="3" t="s">
        <v>6</v>
      </c>
      <c r="H235" s="3">
        <v>433</v>
      </c>
      <c r="I235" s="95" t="s">
        <v>5</v>
      </c>
      <c r="J235" s="3" t="s">
        <v>10</v>
      </c>
      <c r="K235" s="230" t="s">
        <v>5</v>
      </c>
      <c r="L235" s="3" t="s">
        <v>315</v>
      </c>
      <c r="M235" s="3" t="s">
        <v>49</v>
      </c>
      <c r="N235" s="3" t="s">
        <v>6</v>
      </c>
      <c r="O235" s="225" t="s">
        <v>51</v>
      </c>
    </row>
    <row r="236" spans="1:15" x14ac:dyDescent="0.35">
      <c r="A236" s="3" t="s">
        <v>275</v>
      </c>
      <c r="B236" s="3" t="s">
        <v>545</v>
      </c>
      <c r="C236" s="3">
        <v>7</v>
      </c>
      <c r="D236" s="95" t="s">
        <v>534</v>
      </c>
      <c r="E236" s="3" t="s">
        <v>10</v>
      </c>
      <c r="F236" s="3" t="s">
        <v>6</v>
      </c>
      <c r="G236" s="3" t="s">
        <v>6</v>
      </c>
      <c r="H236" s="3">
        <v>26</v>
      </c>
      <c r="I236" s="95" t="s">
        <v>5</v>
      </c>
      <c r="J236" s="3" t="s">
        <v>2372</v>
      </c>
      <c r="K236" s="230" t="s">
        <v>5</v>
      </c>
      <c r="L236" s="3" t="s">
        <v>52</v>
      </c>
      <c r="M236" s="3" t="s">
        <v>17</v>
      </c>
      <c r="N236" s="3" t="s">
        <v>6</v>
      </c>
      <c r="O236" s="225" t="s">
        <v>26</v>
      </c>
    </row>
    <row r="237" spans="1:15" x14ac:dyDescent="0.35">
      <c r="A237" s="3" t="s">
        <v>275</v>
      </c>
      <c r="B237" s="3" t="s">
        <v>545</v>
      </c>
      <c r="C237" s="3">
        <v>7</v>
      </c>
      <c r="D237" s="95" t="s">
        <v>542</v>
      </c>
      <c r="E237" s="3" t="s">
        <v>10</v>
      </c>
      <c r="F237" s="3" t="s">
        <v>10</v>
      </c>
      <c r="G237" s="3" t="s">
        <v>6</v>
      </c>
      <c r="H237" s="3">
        <v>0</v>
      </c>
      <c r="I237" s="95" t="s">
        <v>651</v>
      </c>
      <c r="J237" s="3" t="s">
        <v>651</v>
      </c>
      <c r="K237" s="230" t="s">
        <v>5</v>
      </c>
      <c r="L237" s="3" t="s">
        <v>2737</v>
      </c>
      <c r="M237" s="3" t="s">
        <v>651</v>
      </c>
      <c r="N237" s="3" t="s">
        <v>651</v>
      </c>
      <c r="O237" s="225" t="s">
        <v>651</v>
      </c>
    </row>
    <row r="238" spans="1:15" x14ac:dyDescent="0.35">
      <c r="A238" s="3" t="s">
        <v>275</v>
      </c>
      <c r="B238" s="3" t="s">
        <v>545</v>
      </c>
      <c r="C238" s="3">
        <v>7</v>
      </c>
      <c r="D238" s="95" t="s">
        <v>537</v>
      </c>
      <c r="E238" s="3" t="s">
        <v>10</v>
      </c>
      <c r="F238" s="3" t="s">
        <v>6</v>
      </c>
      <c r="G238" s="3" t="s">
        <v>6</v>
      </c>
      <c r="H238" s="3">
        <v>246</v>
      </c>
      <c r="I238" s="95" t="s">
        <v>437</v>
      </c>
      <c r="J238" s="3" t="s">
        <v>6</v>
      </c>
      <c r="K238" s="230">
        <v>44995</v>
      </c>
      <c r="L238" s="3" t="s">
        <v>2737</v>
      </c>
      <c r="M238" s="3" t="s">
        <v>49</v>
      </c>
      <c r="N238" s="3" t="s">
        <v>6</v>
      </c>
      <c r="O238" s="225" t="s">
        <v>26</v>
      </c>
    </row>
    <row r="239" spans="1:15" x14ac:dyDescent="0.35">
      <c r="A239" s="3" t="s">
        <v>275</v>
      </c>
      <c r="B239" s="3" t="s">
        <v>545</v>
      </c>
      <c r="C239" s="3">
        <v>7</v>
      </c>
      <c r="D239" s="95" t="s">
        <v>535</v>
      </c>
      <c r="E239" s="3" t="s">
        <v>10</v>
      </c>
      <c r="F239" s="3" t="s">
        <v>6</v>
      </c>
      <c r="G239" s="3" t="s">
        <v>6</v>
      </c>
      <c r="H239" s="3">
        <v>128</v>
      </c>
      <c r="I239" s="95" t="s">
        <v>5</v>
      </c>
      <c r="J239" s="3" t="s">
        <v>10</v>
      </c>
      <c r="K239" s="230" t="s">
        <v>5</v>
      </c>
      <c r="L239" s="3" t="s">
        <v>2737</v>
      </c>
      <c r="M239" s="3" t="s">
        <v>49</v>
      </c>
      <c r="N239" s="3" t="s">
        <v>6</v>
      </c>
      <c r="O239" s="225" t="s">
        <v>51</v>
      </c>
    </row>
    <row r="240" spans="1:15" x14ac:dyDescent="0.35">
      <c r="A240" s="3" t="s">
        <v>297</v>
      </c>
      <c r="B240" s="3" t="s">
        <v>590</v>
      </c>
      <c r="C240" s="3">
        <v>1</v>
      </c>
      <c r="D240" s="95" t="s">
        <v>541</v>
      </c>
      <c r="E240" s="3" t="s">
        <v>6</v>
      </c>
      <c r="F240" s="3" t="s">
        <v>6</v>
      </c>
      <c r="G240" s="3" t="s">
        <v>10</v>
      </c>
      <c r="H240" s="3">
        <v>6</v>
      </c>
      <c r="I240" s="95" t="s">
        <v>5</v>
      </c>
      <c r="J240" s="3" t="s">
        <v>10</v>
      </c>
      <c r="K240" s="230" t="s">
        <v>5</v>
      </c>
      <c r="L240" s="3" t="s">
        <v>174</v>
      </c>
      <c r="M240" s="3" t="s">
        <v>17</v>
      </c>
      <c r="N240" s="3" t="s">
        <v>6</v>
      </c>
      <c r="O240" s="225" t="s">
        <v>51</v>
      </c>
    </row>
    <row r="241" spans="1:15" x14ac:dyDescent="0.35">
      <c r="A241" s="3" t="s">
        <v>297</v>
      </c>
      <c r="B241" s="3" t="s">
        <v>590</v>
      </c>
      <c r="C241" s="3">
        <v>1</v>
      </c>
      <c r="D241" s="95" t="s">
        <v>548</v>
      </c>
      <c r="E241" s="3" t="s">
        <v>6</v>
      </c>
      <c r="F241" s="3" t="s">
        <v>6</v>
      </c>
      <c r="G241" s="3" t="s">
        <v>10</v>
      </c>
      <c r="H241" s="3">
        <v>21</v>
      </c>
      <c r="I241" s="95" t="s">
        <v>437</v>
      </c>
      <c r="J241" s="3" t="s">
        <v>6</v>
      </c>
      <c r="K241" s="230">
        <v>42734</v>
      </c>
      <c r="L241" s="3" t="s">
        <v>2737</v>
      </c>
      <c r="M241" s="3" t="s">
        <v>49</v>
      </c>
      <c r="N241" s="3" t="s">
        <v>6</v>
      </c>
      <c r="O241" s="225" t="s">
        <v>26</v>
      </c>
    </row>
    <row r="242" spans="1:15" x14ac:dyDescent="0.35">
      <c r="A242" s="3" t="s">
        <v>297</v>
      </c>
      <c r="B242" s="3" t="s">
        <v>590</v>
      </c>
      <c r="C242" s="3">
        <v>1</v>
      </c>
      <c r="D242" s="95" t="s">
        <v>533</v>
      </c>
      <c r="E242" s="3" t="s">
        <v>6</v>
      </c>
      <c r="F242" s="3" t="s">
        <v>6</v>
      </c>
      <c r="G242" s="3" t="s">
        <v>10</v>
      </c>
      <c r="H242" s="3">
        <v>1</v>
      </c>
      <c r="I242" s="95" t="s">
        <v>5</v>
      </c>
      <c r="J242" s="3" t="s">
        <v>10</v>
      </c>
      <c r="K242" s="230" t="s">
        <v>5</v>
      </c>
      <c r="L242" s="3" t="s">
        <v>315</v>
      </c>
      <c r="M242" s="3" t="s">
        <v>49</v>
      </c>
      <c r="N242" s="3" t="s">
        <v>6</v>
      </c>
      <c r="O242" s="225" t="s">
        <v>51</v>
      </c>
    </row>
    <row r="243" spans="1:15" x14ac:dyDescent="0.35">
      <c r="A243" s="3" t="s">
        <v>297</v>
      </c>
      <c r="B243" s="3" t="s">
        <v>590</v>
      </c>
      <c r="C243" s="3">
        <v>1</v>
      </c>
      <c r="D243" s="95" t="s">
        <v>534</v>
      </c>
      <c r="E243" s="3" t="s">
        <v>6</v>
      </c>
      <c r="F243" s="3" t="s">
        <v>6</v>
      </c>
      <c r="G243" s="3" t="s">
        <v>10</v>
      </c>
      <c r="H243" s="3">
        <v>46</v>
      </c>
      <c r="I243" s="95" t="s">
        <v>5</v>
      </c>
      <c r="J243" s="3" t="s">
        <v>2254</v>
      </c>
      <c r="K243" s="230" t="s">
        <v>5</v>
      </c>
      <c r="L243" s="3" t="s">
        <v>52</v>
      </c>
      <c r="M243" s="3" t="s">
        <v>17</v>
      </c>
      <c r="N243" s="3" t="s">
        <v>6</v>
      </c>
      <c r="O243" s="225" t="s">
        <v>26</v>
      </c>
    </row>
    <row r="244" spans="1:15" x14ac:dyDescent="0.35">
      <c r="A244" s="3" t="s">
        <v>297</v>
      </c>
      <c r="B244" s="3" t="s">
        <v>590</v>
      </c>
      <c r="C244" s="3">
        <v>1</v>
      </c>
      <c r="D244" s="95" t="s">
        <v>542</v>
      </c>
      <c r="E244" s="3" t="s">
        <v>6</v>
      </c>
      <c r="F244" s="3" t="s">
        <v>6</v>
      </c>
      <c r="G244" s="3" t="s">
        <v>10</v>
      </c>
      <c r="H244" s="3">
        <v>14</v>
      </c>
      <c r="I244" s="95" t="s">
        <v>437</v>
      </c>
      <c r="J244" s="3" t="s">
        <v>6</v>
      </c>
      <c r="K244" s="230">
        <v>45595</v>
      </c>
      <c r="L244" s="3" t="s">
        <v>2737</v>
      </c>
      <c r="M244" s="3" t="s">
        <v>49</v>
      </c>
      <c r="N244" s="3" t="s">
        <v>6</v>
      </c>
      <c r="O244" s="225" t="s">
        <v>26</v>
      </c>
    </row>
    <row r="245" spans="1:15" x14ac:dyDescent="0.35">
      <c r="A245" s="3" t="s">
        <v>297</v>
      </c>
      <c r="B245" s="3" t="s">
        <v>590</v>
      </c>
      <c r="C245" s="3">
        <v>1</v>
      </c>
      <c r="D245" s="95" t="s">
        <v>537</v>
      </c>
      <c r="E245" s="3" t="s">
        <v>6</v>
      </c>
      <c r="F245" s="3" t="s">
        <v>6</v>
      </c>
      <c r="G245" s="3" t="s">
        <v>10</v>
      </c>
      <c r="H245" s="3">
        <v>106</v>
      </c>
      <c r="I245" s="95" t="s">
        <v>437</v>
      </c>
      <c r="J245" s="3" t="s">
        <v>6</v>
      </c>
      <c r="K245" s="230">
        <v>44580</v>
      </c>
      <c r="L245" s="3" t="s">
        <v>2737</v>
      </c>
      <c r="M245" s="3" t="s">
        <v>49</v>
      </c>
      <c r="N245" s="3" t="s">
        <v>6</v>
      </c>
      <c r="O245" s="225" t="s">
        <v>26</v>
      </c>
    </row>
    <row r="246" spans="1:15" x14ac:dyDescent="0.35">
      <c r="A246" s="3" t="s">
        <v>297</v>
      </c>
      <c r="B246" s="3" t="s">
        <v>590</v>
      </c>
      <c r="C246" s="3">
        <v>1</v>
      </c>
      <c r="D246" s="95" t="s">
        <v>535</v>
      </c>
      <c r="E246" s="3" t="s">
        <v>6</v>
      </c>
      <c r="F246" s="3" t="s">
        <v>6</v>
      </c>
      <c r="G246" s="3" t="s">
        <v>10</v>
      </c>
      <c r="H246" s="3">
        <v>25</v>
      </c>
      <c r="I246" s="95" t="s">
        <v>5</v>
      </c>
      <c r="J246" s="3" t="s">
        <v>10</v>
      </c>
      <c r="K246" s="230" t="s">
        <v>5</v>
      </c>
      <c r="L246" s="3" t="s">
        <v>2737</v>
      </c>
      <c r="M246" s="3" t="s">
        <v>49</v>
      </c>
      <c r="N246" s="3" t="s">
        <v>6</v>
      </c>
      <c r="O246" s="225" t="s">
        <v>51</v>
      </c>
    </row>
    <row r="247" spans="1:15" x14ac:dyDescent="0.35">
      <c r="A247" s="3" t="s">
        <v>591</v>
      </c>
      <c r="B247" s="3" t="s">
        <v>592</v>
      </c>
      <c r="C247" s="3">
        <v>2</v>
      </c>
      <c r="D247" s="95" t="s">
        <v>541</v>
      </c>
      <c r="E247" s="3" t="s">
        <v>10</v>
      </c>
      <c r="F247" s="3" t="s">
        <v>10</v>
      </c>
      <c r="G247" s="3" t="s">
        <v>6</v>
      </c>
      <c r="H247" s="3">
        <v>10</v>
      </c>
      <c r="I247" s="95" t="s">
        <v>5</v>
      </c>
      <c r="J247" s="3" t="s">
        <v>10</v>
      </c>
      <c r="K247" s="230" t="s">
        <v>5</v>
      </c>
      <c r="L247" s="3" t="s">
        <v>174</v>
      </c>
      <c r="M247" s="3" t="s">
        <v>651</v>
      </c>
      <c r="N247" s="3" t="s">
        <v>651</v>
      </c>
      <c r="O247" s="225" t="s">
        <v>651</v>
      </c>
    </row>
    <row r="248" spans="1:15" x14ac:dyDescent="0.35">
      <c r="A248" s="3" t="s">
        <v>591</v>
      </c>
      <c r="B248" s="3" t="s">
        <v>592</v>
      </c>
      <c r="C248" s="3">
        <v>2</v>
      </c>
      <c r="D248" s="95" t="s">
        <v>548</v>
      </c>
      <c r="E248" s="3" t="s">
        <v>6</v>
      </c>
      <c r="F248" s="3" t="s">
        <v>6</v>
      </c>
      <c r="G248" s="3" t="s">
        <v>10</v>
      </c>
      <c r="H248" s="3">
        <v>67</v>
      </c>
      <c r="I248" s="95" t="s">
        <v>437</v>
      </c>
      <c r="J248" s="3" t="s">
        <v>6</v>
      </c>
      <c r="K248" s="230">
        <v>42734</v>
      </c>
      <c r="L248" s="3" t="s">
        <v>2737</v>
      </c>
      <c r="M248" s="3" t="s">
        <v>49</v>
      </c>
      <c r="N248" s="3" t="s">
        <v>6</v>
      </c>
      <c r="O248" s="225" t="s">
        <v>26</v>
      </c>
    </row>
    <row r="249" spans="1:15" x14ac:dyDescent="0.35">
      <c r="A249" s="3" t="s">
        <v>591</v>
      </c>
      <c r="B249" s="3" t="s">
        <v>592</v>
      </c>
      <c r="C249" s="3">
        <v>2</v>
      </c>
      <c r="D249" s="95" t="s">
        <v>533</v>
      </c>
      <c r="E249" s="3" t="s">
        <v>10</v>
      </c>
      <c r="F249" s="3" t="s">
        <v>6</v>
      </c>
      <c r="G249" s="3" t="s">
        <v>6</v>
      </c>
      <c r="H249" s="3">
        <v>2</v>
      </c>
      <c r="I249" s="95" t="s">
        <v>5</v>
      </c>
      <c r="J249" s="3" t="s">
        <v>10</v>
      </c>
      <c r="K249" s="230" t="s">
        <v>5</v>
      </c>
      <c r="L249" s="3" t="s">
        <v>315</v>
      </c>
      <c r="M249" s="3" t="s">
        <v>49</v>
      </c>
      <c r="N249" s="3" t="s">
        <v>6</v>
      </c>
      <c r="O249" s="225" t="s">
        <v>51</v>
      </c>
    </row>
    <row r="250" spans="1:15" x14ac:dyDescent="0.35">
      <c r="A250" s="3" t="s">
        <v>591</v>
      </c>
      <c r="B250" s="3" t="s">
        <v>592</v>
      </c>
      <c r="C250" s="3">
        <v>2</v>
      </c>
      <c r="D250" s="95" t="s">
        <v>534</v>
      </c>
      <c r="E250" s="3" t="s">
        <v>10</v>
      </c>
      <c r="F250" s="3" t="s">
        <v>10</v>
      </c>
      <c r="G250" s="3" t="s">
        <v>6</v>
      </c>
      <c r="H250" s="3">
        <v>658</v>
      </c>
      <c r="I250" s="95" t="s">
        <v>3306</v>
      </c>
      <c r="J250" s="3" t="s">
        <v>6</v>
      </c>
      <c r="K250" s="230" t="s">
        <v>5</v>
      </c>
      <c r="L250" s="3" t="s">
        <v>52</v>
      </c>
      <c r="M250" s="3" t="s">
        <v>651</v>
      </c>
      <c r="N250" s="3" t="s">
        <v>651</v>
      </c>
      <c r="O250" s="225" t="s">
        <v>651</v>
      </c>
    </row>
    <row r="251" spans="1:15" x14ac:dyDescent="0.35">
      <c r="A251" s="3" t="s">
        <v>591</v>
      </c>
      <c r="B251" s="3" t="s">
        <v>592</v>
      </c>
      <c r="C251" s="3">
        <v>2</v>
      </c>
      <c r="D251" s="95" t="s">
        <v>542</v>
      </c>
      <c r="E251" s="3" t="s">
        <v>10</v>
      </c>
      <c r="F251" s="3" t="s">
        <v>10</v>
      </c>
      <c r="G251" s="3" t="s">
        <v>6</v>
      </c>
      <c r="H251" s="3">
        <v>17</v>
      </c>
      <c r="I251" s="95" t="s">
        <v>5</v>
      </c>
      <c r="J251" s="3" t="s">
        <v>10</v>
      </c>
      <c r="K251" s="230" t="s">
        <v>5</v>
      </c>
      <c r="L251" s="3" t="s">
        <v>2737</v>
      </c>
      <c r="M251" s="3" t="s">
        <v>651</v>
      </c>
      <c r="N251" s="3" t="s">
        <v>651</v>
      </c>
      <c r="O251" s="225" t="s">
        <v>651</v>
      </c>
    </row>
    <row r="252" spans="1:15" x14ac:dyDescent="0.35">
      <c r="A252" s="3" t="s">
        <v>591</v>
      </c>
      <c r="B252" s="3" t="s">
        <v>592</v>
      </c>
      <c r="C252" s="3">
        <v>2</v>
      </c>
      <c r="D252" s="95" t="s">
        <v>537</v>
      </c>
      <c r="E252" s="3" t="s">
        <v>6</v>
      </c>
      <c r="F252" s="3" t="s">
        <v>10</v>
      </c>
      <c r="G252" s="3" t="s">
        <v>6</v>
      </c>
      <c r="H252" s="3">
        <v>212</v>
      </c>
      <c r="I252" s="95" t="s">
        <v>3306</v>
      </c>
      <c r="J252" s="3" t="s">
        <v>6</v>
      </c>
      <c r="K252" s="230" t="s">
        <v>5</v>
      </c>
      <c r="L252" s="3" t="s">
        <v>2737</v>
      </c>
      <c r="M252" s="3" t="s">
        <v>651</v>
      </c>
      <c r="N252" s="3" t="s">
        <v>651</v>
      </c>
      <c r="O252" s="225" t="s">
        <v>651</v>
      </c>
    </row>
    <row r="253" spans="1:15" x14ac:dyDescent="0.35">
      <c r="A253" s="3" t="s">
        <v>591</v>
      </c>
      <c r="B253" s="3" t="s">
        <v>592</v>
      </c>
      <c r="C253" s="3">
        <v>2</v>
      </c>
      <c r="D253" s="95" t="s">
        <v>535</v>
      </c>
      <c r="E253" s="3" t="s">
        <v>10</v>
      </c>
      <c r="F253" s="3" t="s">
        <v>10</v>
      </c>
      <c r="G253" s="3" t="s">
        <v>6</v>
      </c>
      <c r="H253" s="3">
        <v>69</v>
      </c>
      <c r="I253" s="95" t="s">
        <v>3306</v>
      </c>
      <c r="J253" s="3" t="s">
        <v>6</v>
      </c>
      <c r="K253" s="230" t="s">
        <v>5</v>
      </c>
      <c r="L253" s="3" t="s">
        <v>2737</v>
      </c>
      <c r="M253" s="3" t="s">
        <v>651</v>
      </c>
      <c r="N253" s="3" t="s">
        <v>651</v>
      </c>
      <c r="O253" s="225" t="s">
        <v>651</v>
      </c>
    </row>
    <row r="254" spans="1:15" x14ac:dyDescent="0.35">
      <c r="A254" s="3" t="s">
        <v>314</v>
      </c>
      <c r="B254" s="3" t="s">
        <v>593</v>
      </c>
      <c r="C254" s="3">
        <v>6</v>
      </c>
      <c r="D254" s="95" t="s">
        <v>541</v>
      </c>
      <c r="E254" s="3" t="s">
        <v>6</v>
      </c>
      <c r="F254" s="3" t="s">
        <v>10</v>
      </c>
      <c r="G254" s="3" t="s">
        <v>10</v>
      </c>
      <c r="H254" s="3">
        <v>0</v>
      </c>
      <c r="I254" s="95" t="s">
        <v>651</v>
      </c>
      <c r="J254" s="3" t="s">
        <v>651</v>
      </c>
      <c r="K254" s="230" t="s">
        <v>5</v>
      </c>
      <c r="L254" s="3" t="s">
        <v>174</v>
      </c>
      <c r="M254" s="3" t="s">
        <v>651</v>
      </c>
      <c r="N254" s="3" t="s">
        <v>651</v>
      </c>
      <c r="O254" s="225" t="s">
        <v>651</v>
      </c>
    </row>
    <row r="255" spans="1:15" x14ac:dyDescent="0.35">
      <c r="A255" s="3" t="s">
        <v>314</v>
      </c>
      <c r="B255" s="3" t="s">
        <v>593</v>
      </c>
      <c r="C255" s="3">
        <v>6</v>
      </c>
      <c r="D255" s="95" t="s">
        <v>548</v>
      </c>
      <c r="E255" s="3" t="s">
        <v>6</v>
      </c>
      <c r="F255" s="3" t="s">
        <v>6</v>
      </c>
      <c r="G255" s="3" t="s">
        <v>10</v>
      </c>
      <c r="H255" s="3">
        <v>24</v>
      </c>
      <c r="I255" s="95" t="s">
        <v>437</v>
      </c>
      <c r="J255" s="3" t="s">
        <v>6</v>
      </c>
      <c r="K255" s="230">
        <v>42734</v>
      </c>
      <c r="L255" s="3" t="s">
        <v>2737</v>
      </c>
      <c r="M255" s="3" t="s">
        <v>49</v>
      </c>
      <c r="N255" s="3" t="s">
        <v>6</v>
      </c>
      <c r="O255" s="225" t="s">
        <v>26</v>
      </c>
    </row>
    <row r="256" spans="1:15" x14ac:dyDescent="0.35">
      <c r="A256" s="3" t="s">
        <v>314</v>
      </c>
      <c r="B256" s="3" t="s">
        <v>593</v>
      </c>
      <c r="C256" s="3">
        <v>6</v>
      </c>
      <c r="D256" s="95" t="s">
        <v>533</v>
      </c>
      <c r="E256" s="3" t="s">
        <v>6</v>
      </c>
      <c r="F256" s="3" t="s">
        <v>6</v>
      </c>
      <c r="G256" s="3" t="s">
        <v>10</v>
      </c>
      <c r="H256" s="3">
        <v>54</v>
      </c>
      <c r="I256" s="95" t="s">
        <v>5</v>
      </c>
      <c r="J256" s="3" t="s">
        <v>10</v>
      </c>
      <c r="K256" s="230" t="s">
        <v>5</v>
      </c>
      <c r="L256" s="3" t="s">
        <v>315</v>
      </c>
      <c r="M256" s="3" t="s">
        <v>49</v>
      </c>
      <c r="N256" s="3" t="s">
        <v>6</v>
      </c>
      <c r="O256" s="225" t="s">
        <v>51</v>
      </c>
    </row>
    <row r="257" spans="1:15" x14ac:dyDescent="0.35">
      <c r="A257" s="3" t="s">
        <v>314</v>
      </c>
      <c r="B257" s="3" t="s">
        <v>593</v>
      </c>
      <c r="C257" s="3">
        <v>6</v>
      </c>
      <c r="D257" s="95" t="s">
        <v>534</v>
      </c>
      <c r="E257" s="3" t="s">
        <v>6</v>
      </c>
      <c r="F257" s="3" t="s">
        <v>6</v>
      </c>
      <c r="G257" s="3" t="s">
        <v>10</v>
      </c>
      <c r="H257" s="3">
        <v>41</v>
      </c>
      <c r="I257" s="95" t="s">
        <v>5</v>
      </c>
      <c r="J257" s="3" t="s">
        <v>2372</v>
      </c>
      <c r="K257" s="230" t="s">
        <v>5</v>
      </c>
      <c r="L257" s="3" t="s">
        <v>52</v>
      </c>
      <c r="M257" s="3" t="s">
        <v>17</v>
      </c>
      <c r="N257" s="3" t="s">
        <v>6</v>
      </c>
      <c r="O257" s="225" t="s">
        <v>26</v>
      </c>
    </row>
    <row r="258" spans="1:15" x14ac:dyDescent="0.35">
      <c r="A258" s="3" t="s">
        <v>314</v>
      </c>
      <c r="B258" s="3" t="s">
        <v>593</v>
      </c>
      <c r="C258" s="3">
        <v>6</v>
      </c>
      <c r="D258" s="95" t="s">
        <v>542</v>
      </c>
      <c r="E258" s="3" t="s">
        <v>6</v>
      </c>
      <c r="F258" s="3" t="s">
        <v>6</v>
      </c>
      <c r="G258" s="3" t="s">
        <v>10</v>
      </c>
      <c r="H258" s="3">
        <v>6</v>
      </c>
      <c r="I258" s="95" t="s">
        <v>437</v>
      </c>
      <c r="J258" s="3" t="s">
        <v>6</v>
      </c>
      <c r="K258" s="230">
        <v>45667</v>
      </c>
      <c r="L258" s="3" t="s">
        <v>2737</v>
      </c>
      <c r="M258" s="3" t="s">
        <v>49</v>
      </c>
      <c r="N258" s="3" t="s">
        <v>6</v>
      </c>
      <c r="O258" s="225" t="s">
        <v>26</v>
      </c>
    </row>
    <row r="259" spans="1:15" x14ac:dyDescent="0.35">
      <c r="A259" s="3" t="s">
        <v>314</v>
      </c>
      <c r="B259" s="3" t="s">
        <v>593</v>
      </c>
      <c r="C259" s="3">
        <v>6</v>
      </c>
      <c r="D259" s="95" t="s">
        <v>537</v>
      </c>
      <c r="E259" s="3" t="s">
        <v>6</v>
      </c>
      <c r="F259" s="3" t="s">
        <v>6</v>
      </c>
      <c r="G259" s="3" t="s">
        <v>10</v>
      </c>
      <c r="H259" s="3">
        <v>55</v>
      </c>
      <c r="I259" s="95" t="s">
        <v>437</v>
      </c>
      <c r="J259" s="3" t="s">
        <v>6</v>
      </c>
      <c r="K259" s="230">
        <v>44995</v>
      </c>
      <c r="L259" s="3" t="s">
        <v>2737</v>
      </c>
      <c r="M259" s="3" t="s">
        <v>49</v>
      </c>
      <c r="N259" s="3" t="s">
        <v>6</v>
      </c>
      <c r="O259" s="225" t="s">
        <v>26</v>
      </c>
    </row>
    <row r="260" spans="1:15" x14ac:dyDescent="0.35">
      <c r="A260" s="3" t="s">
        <v>314</v>
      </c>
      <c r="B260" s="3" t="s">
        <v>593</v>
      </c>
      <c r="C260" s="3">
        <v>6</v>
      </c>
      <c r="D260" s="95" t="s">
        <v>535</v>
      </c>
      <c r="E260" s="3" t="s">
        <v>6</v>
      </c>
      <c r="F260" s="3" t="s">
        <v>6</v>
      </c>
      <c r="G260" s="3" t="s">
        <v>10</v>
      </c>
      <c r="H260" s="3">
        <v>2</v>
      </c>
      <c r="I260" s="95" t="s">
        <v>5</v>
      </c>
      <c r="J260" s="3" t="s">
        <v>10</v>
      </c>
      <c r="K260" s="230" t="s">
        <v>5</v>
      </c>
      <c r="L260" s="3" t="s">
        <v>2737</v>
      </c>
      <c r="M260" s="3" t="s">
        <v>49</v>
      </c>
      <c r="N260" s="3" t="s">
        <v>6</v>
      </c>
      <c r="O260" s="225" t="s">
        <v>51</v>
      </c>
    </row>
    <row r="261" spans="1:15" x14ac:dyDescent="0.35">
      <c r="A261" s="3" t="s">
        <v>594</v>
      </c>
      <c r="B261" s="3" t="s">
        <v>595</v>
      </c>
      <c r="C261" s="3">
        <v>9</v>
      </c>
      <c r="D261" s="95" t="s">
        <v>541</v>
      </c>
      <c r="E261" s="3" t="s">
        <v>6</v>
      </c>
      <c r="F261" s="3" t="s">
        <v>6</v>
      </c>
      <c r="G261" s="3" t="s">
        <v>10</v>
      </c>
      <c r="H261" s="3">
        <v>1</v>
      </c>
      <c r="I261" s="95" t="s">
        <v>5</v>
      </c>
      <c r="J261" s="3" t="s">
        <v>10</v>
      </c>
      <c r="K261" s="230" t="s">
        <v>5</v>
      </c>
      <c r="L261" s="3" t="s">
        <v>174</v>
      </c>
      <c r="M261" s="3" t="s">
        <v>17</v>
      </c>
      <c r="N261" s="3" t="s">
        <v>6</v>
      </c>
      <c r="O261" s="225" t="s">
        <v>51</v>
      </c>
    </row>
    <row r="262" spans="1:15" x14ac:dyDescent="0.35">
      <c r="A262" s="3" t="s">
        <v>594</v>
      </c>
      <c r="B262" s="3" t="s">
        <v>595</v>
      </c>
      <c r="C262" s="3">
        <v>9</v>
      </c>
      <c r="D262" s="95" t="s">
        <v>548</v>
      </c>
      <c r="E262" s="3" t="s">
        <v>6</v>
      </c>
      <c r="F262" s="3" t="s">
        <v>6</v>
      </c>
      <c r="G262" s="3" t="s">
        <v>10</v>
      </c>
      <c r="H262" s="3">
        <v>5</v>
      </c>
      <c r="I262" s="95" t="s">
        <v>437</v>
      </c>
      <c r="J262" s="3" t="s">
        <v>6</v>
      </c>
      <c r="K262" s="230">
        <v>42734</v>
      </c>
      <c r="L262" s="3" t="s">
        <v>2737</v>
      </c>
      <c r="M262" s="3" t="s">
        <v>49</v>
      </c>
      <c r="N262" s="3" t="s">
        <v>6</v>
      </c>
      <c r="O262" s="225" t="s">
        <v>26</v>
      </c>
    </row>
    <row r="263" spans="1:15" x14ac:dyDescent="0.35">
      <c r="A263" s="3" t="s">
        <v>594</v>
      </c>
      <c r="B263" s="3" t="s">
        <v>595</v>
      </c>
      <c r="C263" s="3">
        <v>9</v>
      </c>
      <c r="D263" s="95" t="s">
        <v>533</v>
      </c>
      <c r="E263" s="3" t="s">
        <v>6</v>
      </c>
      <c r="F263" s="3" t="s">
        <v>10</v>
      </c>
      <c r="G263" s="3" t="s">
        <v>10</v>
      </c>
      <c r="H263" s="3">
        <v>0</v>
      </c>
      <c r="I263" s="95" t="s">
        <v>651</v>
      </c>
      <c r="J263" s="3" t="s">
        <v>651</v>
      </c>
      <c r="K263" s="230" t="s">
        <v>5</v>
      </c>
      <c r="L263" s="3" t="s">
        <v>315</v>
      </c>
      <c r="M263" s="3" t="s">
        <v>651</v>
      </c>
      <c r="N263" s="3" t="s">
        <v>651</v>
      </c>
      <c r="O263" s="225" t="s">
        <v>651</v>
      </c>
    </row>
    <row r="264" spans="1:15" x14ac:dyDescent="0.35">
      <c r="A264" s="3" t="s">
        <v>594</v>
      </c>
      <c r="B264" s="3" t="s">
        <v>595</v>
      </c>
      <c r="C264" s="3">
        <v>9</v>
      </c>
      <c r="D264" s="95" t="s">
        <v>534</v>
      </c>
      <c r="E264" s="3" t="s">
        <v>6</v>
      </c>
      <c r="F264" s="3" t="s">
        <v>10</v>
      </c>
      <c r="G264" s="3" t="s">
        <v>10</v>
      </c>
      <c r="H264" s="3">
        <v>0</v>
      </c>
      <c r="I264" s="95" t="s">
        <v>651</v>
      </c>
      <c r="J264" s="3" t="s">
        <v>651</v>
      </c>
      <c r="K264" s="230" t="s">
        <v>5</v>
      </c>
      <c r="L264" s="3" t="s">
        <v>52</v>
      </c>
      <c r="M264" s="3" t="s">
        <v>651</v>
      </c>
      <c r="N264" s="3" t="s">
        <v>651</v>
      </c>
      <c r="O264" s="225" t="s">
        <v>651</v>
      </c>
    </row>
    <row r="265" spans="1:15" x14ac:dyDescent="0.35">
      <c r="A265" s="3" t="s">
        <v>594</v>
      </c>
      <c r="B265" s="3" t="s">
        <v>595</v>
      </c>
      <c r="C265" s="3">
        <v>9</v>
      </c>
      <c r="D265" s="95" t="s">
        <v>542</v>
      </c>
      <c r="E265" s="3" t="s">
        <v>6</v>
      </c>
      <c r="F265" s="3" t="s">
        <v>10</v>
      </c>
      <c r="G265" s="3" t="s">
        <v>10</v>
      </c>
      <c r="H265" s="3">
        <v>0</v>
      </c>
      <c r="I265" s="95" t="s">
        <v>651</v>
      </c>
      <c r="J265" s="3" t="s">
        <v>651</v>
      </c>
      <c r="K265" s="230" t="s">
        <v>5</v>
      </c>
      <c r="L265" s="3" t="s">
        <v>2737</v>
      </c>
      <c r="M265" s="3" t="s">
        <v>651</v>
      </c>
      <c r="N265" s="3" t="s">
        <v>651</v>
      </c>
      <c r="O265" s="225" t="s">
        <v>651</v>
      </c>
    </row>
    <row r="266" spans="1:15" x14ac:dyDescent="0.35">
      <c r="A266" s="3" t="s">
        <v>594</v>
      </c>
      <c r="B266" s="3" t="s">
        <v>595</v>
      </c>
      <c r="C266" s="3">
        <v>9</v>
      </c>
      <c r="D266" s="95" t="s">
        <v>537</v>
      </c>
      <c r="E266" s="3" t="s">
        <v>6</v>
      </c>
      <c r="F266" s="3" t="s">
        <v>6</v>
      </c>
      <c r="G266" s="3" t="s">
        <v>10</v>
      </c>
      <c r="H266" s="3">
        <v>13</v>
      </c>
      <c r="I266" s="95" t="s">
        <v>437</v>
      </c>
      <c r="J266" s="3" t="s">
        <v>6</v>
      </c>
      <c r="K266" s="230">
        <v>44875</v>
      </c>
      <c r="L266" s="3" t="s">
        <v>2737</v>
      </c>
      <c r="M266" s="3" t="s">
        <v>49</v>
      </c>
      <c r="N266" s="3" t="s">
        <v>6</v>
      </c>
      <c r="O266" s="225" t="s">
        <v>26</v>
      </c>
    </row>
    <row r="267" spans="1:15" x14ac:dyDescent="0.35">
      <c r="A267" s="3" t="s">
        <v>594</v>
      </c>
      <c r="B267" s="3" t="s">
        <v>595</v>
      </c>
      <c r="C267" s="3">
        <v>9</v>
      </c>
      <c r="D267" s="95" t="s">
        <v>535</v>
      </c>
      <c r="E267" s="3" t="s">
        <v>6</v>
      </c>
      <c r="F267" s="3" t="s">
        <v>10</v>
      </c>
      <c r="G267" s="3" t="s">
        <v>10</v>
      </c>
      <c r="H267" s="3">
        <v>0</v>
      </c>
      <c r="I267" s="95" t="s">
        <v>651</v>
      </c>
      <c r="J267" s="3" t="s">
        <v>651</v>
      </c>
      <c r="K267" s="230" t="s">
        <v>5</v>
      </c>
      <c r="L267" s="3" t="s">
        <v>2737</v>
      </c>
      <c r="M267" s="3" t="s">
        <v>651</v>
      </c>
      <c r="N267" s="3" t="s">
        <v>651</v>
      </c>
      <c r="O267" s="225" t="s">
        <v>651</v>
      </c>
    </row>
    <row r="268" spans="1:15" x14ac:dyDescent="0.35">
      <c r="A268" s="3" t="s">
        <v>319</v>
      </c>
      <c r="B268" s="3" t="s">
        <v>596</v>
      </c>
      <c r="C268" s="3">
        <v>9</v>
      </c>
      <c r="D268" s="95" t="s">
        <v>541</v>
      </c>
      <c r="E268" s="3" t="s">
        <v>10</v>
      </c>
      <c r="F268" s="3" t="s">
        <v>10</v>
      </c>
      <c r="G268" s="3" t="s">
        <v>6</v>
      </c>
      <c r="H268" s="3">
        <v>0</v>
      </c>
      <c r="I268" s="95" t="s">
        <v>651</v>
      </c>
      <c r="J268" s="3" t="s">
        <v>651</v>
      </c>
      <c r="K268" s="230" t="s">
        <v>5</v>
      </c>
      <c r="L268" s="3" t="s">
        <v>174</v>
      </c>
      <c r="M268" s="3" t="s">
        <v>651</v>
      </c>
      <c r="N268" s="3" t="s">
        <v>651</v>
      </c>
      <c r="O268" s="225" t="s">
        <v>651</v>
      </c>
    </row>
    <row r="269" spans="1:15" x14ac:dyDescent="0.35">
      <c r="A269" s="3" t="s">
        <v>319</v>
      </c>
      <c r="B269" s="3" t="s">
        <v>596</v>
      </c>
      <c r="C269" s="3">
        <v>9</v>
      </c>
      <c r="D269" s="95" t="s">
        <v>548</v>
      </c>
      <c r="E269" s="3" t="s">
        <v>6</v>
      </c>
      <c r="F269" s="3" t="s">
        <v>6</v>
      </c>
      <c r="G269" s="3" t="s">
        <v>10</v>
      </c>
      <c r="H269" s="3">
        <v>13</v>
      </c>
      <c r="I269" s="95" t="s">
        <v>437</v>
      </c>
      <c r="J269" s="3" t="s">
        <v>6</v>
      </c>
      <c r="K269" s="230">
        <v>42734</v>
      </c>
      <c r="L269" s="3" t="s">
        <v>2737</v>
      </c>
      <c r="M269" s="3" t="s">
        <v>49</v>
      </c>
      <c r="N269" s="3" t="s">
        <v>6</v>
      </c>
      <c r="O269" s="225" t="s">
        <v>26</v>
      </c>
    </row>
    <row r="270" spans="1:15" x14ac:dyDescent="0.35">
      <c r="A270" s="3" t="s">
        <v>319</v>
      </c>
      <c r="B270" s="3" t="s">
        <v>596</v>
      </c>
      <c r="C270" s="3">
        <v>9</v>
      </c>
      <c r="D270" s="95" t="s">
        <v>533</v>
      </c>
      <c r="E270" s="3" t="s">
        <v>10</v>
      </c>
      <c r="F270" s="3" t="s">
        <v>10</v>
      </c>
      <c r="G270" s="3" t="s">
        <v>6</v>
      </c>
      <c r="H270" s="3">
        <v>17</v>
      </c>
      <c r="I270" s="95" t="s">
        <v>5</v>
      </c>
      <c r="J270" s="3" t="s">
        <v>10</v>
      </c>
      <c r="K270" s="230" t="s">
        <v>5</v>
      </c>
      <c r="L270" s="3" t="s">
        <v>315</v>
      </c>
      <c r="M270" s="3" t="s">
        <v>651</v>
      </c>
      <c r="N270" s="3" t="s">
        <v>651</v>
      </c>
      <c r="O270" s="225" t="s">
        <v>651</v>
      </c>
    </row>
    <row r="271" spans="1:15" x14ac:dyDescent="0.35">
      <c r="A271" s="3" t="s">
        <v>319</v>
      </c>
      <c r="B271" s="3" t="s">
        <v>596</v>
      </c>
      <c r="C271" s="3">
        <v>9</v>
      </c>
      <c r="D271" s="95" t="s">
        <v>534</v>
      </c>
      <c r="E271" s="3" t="s">
        <v>10</v>
      </c>
      <c r="F271" s="3" t="s">
        <v>10</v>
      </c>
      <c r="G271" s="3" t="s">
        <v>6</v>
      </c>
      <c r="H271" s="3">
        <v>8</v>
      </c>
      <c r="I271" s="95" t="s">
        <v>5</v>
      </c>
      <c r="J271" s="3" t="s">
        <v>10</v>
      </c>
      <c r="K271" s="230" t="s">
        <v>5</v>
      </c>
      <c r="L271" s="3" t="s">
        <v>52</v>
      </c>
      <c r="M271" s="3" t="s">
        <v>651</v>
      </c>
      <c r="N271" s="3" t="s">
        <v>651</v>
      </c>
      <c r="O271" s="225" t="s">
        <v>651</v>
      </c>
    </row>
    <row r="272" spans="1:15" x14ac:dyDescent="0.35">
      <c r="A272" s="3" t="s">
        <v>319</v>
      </c>
      <c r="B272" s="3" t="s">
        <v>596</v>
      </c>
      <c r="C272" s="3">
        <v>9</v>
      </c>
      <c r="D272" s="95" t="s">
        <v>542</v>
      </c>
      <c r="E272" s="3" t="s">
        <v>6</v>
      </c>
      <c r="F272" s="3" t="s">
        <v>6</v>
      </c>
      <c r="G272" s="3" t="s">
        <v>10</v>
      </c>
      <c r="H272" s="3">
        <v>7</v>
      </c>
      <c r="I272" s="95" t="s">
        <v>437</v>
      </c>
      <c r="J272" s="3" t="s">
        <v>6</v>
      </c>
      <c r="K272" s="230">
        <v>45595</v>
      </c>
      <c r="L272" s="3" t="s">
        <v>2737</v>
      </c>
      <c r="M272" s="3" t="s">
        <v>49</v>
      </c>
      <c r="N272" s="3" t="s">
        <v>6</v>
      </c>
      <c r="O272" s="225" t="s">
        <v>26</v>
      </c>
    </row>
    <row r="273" spans="1:15" x14ac:dyDescent="0.35">
      <c r="A273" s="3" t="s">
        <v>319</v>
      </c>
      <c r="B273" s="3" t="s">
        <v>596</v>
      </c>
      <c r="C273" s="3">
        <v>9</v>
      </c>
      <c r="D273" s="95" t="s">
        <v>537</v>
      </c>
      <c r="E273" s="3" t="s">
        <v>10</v>
      </c>
      <c r="F273" s="3" t="s">
        <v>10</v>
      </c>
      <c r="G273" s="3" t="s">
        <v>6</v>
      </c>
      <c r="H273" s="3">
        <v>13</v>
      </c>
      <c r="I273" s="95" t="s">
        <v>5</v>
      </c>
      <c r="J273" s="3" t="s">
        <v>10</v>
      </c>
      <c r="K273" s="230" t="s">
        <v>5</v>
      </c>
      <c r="L273" s="3" t="s">
        <v>2737</v>
      </c>
      <c r="M273" s="3" t="s">
        <v>651</v>
      </c>
      <c r="N273" s="3" t="s">
        <v>651</v>
      </c>
      <c r="O273" s="225" t="s">
        <v>651</v>
      </c>
    </row>
    <row r="274" spans="1:15" x14ac:dyDescent="0.35">
      <c r="A274" s="3" t="s">
        <v>319</v>
      </c>
      <c r="B274" s="3" t="s">
        <v>596</v>
      </c>
      <c r="C274" s="3">
        <v>9</v>
      </c>
      <c r="D274" s="95" t="s">
        <v>535</v>
      </c>
      <c r="E274" s="3" t="s">
        <v>6</v>
      </c>
      <c r="F274" s="3" t="s">
        <v>6</v>
      </c>
      <c r="G274" s="3" t="s">
        <v>10</v>
      </c>
      <c r="H274" s="3">
        <v>8</v>
      </c>
      <c r="I274" s="95" t="s">
        <v>5</v>
      </c>
      <c r="J274" s="3" t="s">
        <v>10</v>
      </c>
      <c r="K274" s="230" t="s">
        <v>5</v>
      </c>
      <c r="L274" s="3" t="s">
        <v>2737</v>
      </c>
      <c r="M274" s="3" t="s">
        <v>49</v>
      </c>
      <c r="N274" s="3" t="s">
        <v>6</v>
      </c>
      <c r="O274" s="225" t="s">
        <v>51</v>
      </c>
    </row>
    <row r="275" spans="1:15" x14ac:dyDescent="0.35">
      <c r="A275" s="3" t="s">
        <v>322</v>
      </c>
      <c r="B275" s="3" t="s">
        <v>597</v>
      </c>
      <c r="C275" s="3">
        <v>2</v>
      </c>
      <c r="D275" s="95" t="s">
        <v>541</v>
      </c>
      <c r="E275" s="3" t="s">
        <v>10</v>
      </c>
      <c r="F275" s="3" t="s">
        <v>10</v>
      </c>
      <c r="G275" s="3" t="s">
        <v>6</v>
      </c>
      <c r="H275" s="3">
        <v>6</v>
      </c>
      <c r="I275" s="95" t="s">
        <v>5</v>
      </c>
      <c r="J275" s="3" t="s">
        <v>10</v>
      </c>
      <c r="K275" s="230" t="s">
        <v>5</v>
      </c>
      <c r="L275" s="3" t="s">
        <v>174</v>
      </c>
      <c r="M275" s="3" t="s">
        <v>651</v>
      </c>
      <c r="N275" s="3" t="s">
        <v>651</v>
      </c>
      <c r="O275" s="225" t="s">
        <v>651</v>
      </c>
    </row>
    <row r="276" spans="1:15" x14ac:dyDescent="0.35">
      <c r="A276" s="3" t="s">
        <v>322</v>
      </c>
      <c r="B276" s="3" t="s">
        <v>597</v>
      </c>
      <c r="C276" s="3">
        <v>2</v>
      </c>
      <c r="D276" s="95" t="s">
        <v>548</v>
      </c>
      <c r="E276" s="3" t="s">
        <v>6</v>
      </c>
      <c r="F276" s="3" t="s">
        <v>6</v>
      </c>
      <c r="G276" s="3" t="s">
        <v>10</v>
      </c>
      <c r="H276" s="3">
        <v>120</v>
      </c>
      <c r="I276" s="95" t="s">
        <v>437</v>
      </c>
      <c r="J276" s="3" t="s">
        <v>6</v>
      </c>
      <c r="K276" s="230">
        <v>42734</v>
      </c>
      <c r="L276" s="3" t="s">
        <v>2737</v>
      </c>
      <c r="M276" s="3" t="s">
        <v>49</v>
      </c>
      <c r="N276" s="3" t="s">
        <v>6</v>
      </c>
      <c r="O276" s="225" t="s">
        <v>26</v>
      </c>
    </row>
    <row r="277" spans="1:15" x14ac:dyDescent="0.35">
      <c r="A277" s="3" t="s">
        <v>322</v>
      </c>
      <c r="B277" s="3" t="s">
        <v>597</v>
      </c>
      <c r="C277" s="3">
        <v>2</v>
      </c>
      <c r="D277" s="95" t="s">
        <v>533</v>
      </c>
      <c r="E277" s="3" t="s">
        <v>10</v>
      </c>
      <c r="F277" s="3" t="s">
        <v>10</v>
      </c>
      <c r="G277" s="3" t="s">
        <v>6</v>
      </c>
      <c r="H277" s="3">
        <v>0</v>
      </c>
      <c r="I277" s="95" t="s">
        <v>651</v>
      </c>
      <c r="J277" s="3" t="s">
        <v>651</v>
      </c>
      <c r="K277" s="230" t="s">
        <v>5</v>
      </c>
      <c r="L277" s="3" t="s">
        <v>315</v>
      </c>
      <c r="M277" s="3" t="s">
        <v>651</v>
      </c>
      <c r="N277" s="3" t="s">
        <v>651</v>
      </c>
      <c r="O277" s="225" t="s">
        <v>651</v>
      </c>
    </row>
    <row r="278" spans="1:15" x14ac:dyDescent="0.35">
      <c r="A278" s="3" t="s">
        <v>322</v>
      </c>
      <c r="B278" s="3" t="s">
        <v>597</v>
      </c>
      <c r="C278" s="3">
        <v>2</v>
      </c>
      <c r="D278" s="95" t="s">
        <v>534</v>
      </c>
      <c r="E278" s="3" t="s">
        <v>10</v>
      </c>
      <c r="F278" s="3" t="s">
        <v>10</v>
      </c>
      <c r="G278" s="3" t="s">
        <v>6</v>
      </c>
      <c r="H278" s="3">
        <v>530</v>
      </c>
      <c r="I278" s="95" t="s">
        <v>5</v>
      </c>
      <c r="J278" s="3" t="s">
        <v>10</v>
      </c>
      <c r="K278" s="230" t="s">
        <v>5</v>
      </c>
      <c r="L278" s="3" t="s">
        <v>52</v>
      </c>
      <c r="M278" s="3" t="s">
        <v>651</v>
      </c>
      <c r="N278" s="3" t="s">
        <v>651</v>
      </c>
      <c r="O278" s="225" t="s">
        <v>651</v>
      </c>
    </row>
    <row r="279" spans="1:15" x14ac:dyDescent="0.35">
      <c r="A279" s="3" t="s">
        <v>322</v>
      </c>
      <c r="B279" s="3" t="s">
        <v>597</v>
      </c>
      <c r="C279" s="3">
        <v>2</v>
      </c>
      <c r="D279" s="95" t="s">
        <v>542</v>
      </c>
      <c r="E279" s="3" t="s">
        <v>6</v>
      </c>
      <c r="F279" s="3" t="s">
        <v>6</v>
      </c>
      <c r="G279" s="3" t="s">
        <v>10</v>
      </c>
      <c r="H279" s="3">
        <v>57</v>
      </c>
      <c r="I279" s="95" t="s">
        <v>437</v>
      </c>
      <c r="J279" s="3" t="s">
        <v>6</v>
      </c>
      <c r="K279" s="230">
        <v>45667</v>
      </c>
      <c r="L279" s="3" t="s">
        <v>2737</v>
      </c>
      <c r="M279" s="3" t="s">
        <v>49</v>
      </c>
      <c r="N279" s="3" t="s">
        <v>6</v>
      </c>
      <c r="O279" s="225" t="s">
        <v>26</v>
      </c>
    </row>
    <row r="280" spans="1:15" x14ac:dyDescent="0.35">
      <c r="A280" s="3" t="s">
        <v>322</v>
      </c>
      <c r="B280" s="3" t="s">
        <v>597</v>
      </c>
      <c r="C280" s="3">
        <v>2</v>
      </c>
      <c r="D280" s="95" t="s">
        <v>537</v>
      </c>
      <c r="E280" s="3" t="s">
        <v>10</v>
      </c>
      <c r="F280" s="3" t="s">
        <v>10</v>
      </c>
      <c r="G280" s="3" t="s">
        <v>6</v>
      </c>
      <c r="H280" s="3">
        <v>588</v>
      </c>
      <c r="I280" s="95" t="s">
        <v>5</v>
      </c>
      <c r="J280" s="3" t="s">
        <v>10</v>
      </c>
      <c r="K280" s="230" t="s">
        <v>5</v>
      </c>
      <c r="L280" s="3" t="s">
        <v>2737</v>
      </c>
      <c r="M280" s="3" t="s">
        <v>651</v>
      </c>
      <c r="N280" s="3" t="s">
        <v>651</v>
      </c>
      <c r="O280" s="225" t="s">
        <v>651</v>
      </c>
    </row>
    <row r="281" spans="1:15" x14ac:dyDescent="0.35">
      <c r="A281" s="3" t="s">
        <v>322</v>
      </c>
      <c r="B281" s="3" t="s">
        <v>597</v>
      </c>
      <c r="C281" s="3">
        <v>2</v>
      </c>
      <c r="D281" s="95" t="s">
        <v>535</v>
      </c>
      <c r="E281" s="3" t="s">
        <v>6</v>
      </c>
      <c r="F281" s="3" t="s">
        <v>6</v>
      </c>
      <c r="G281" s="3" t="s">
        <v>10</v>
      </c>
      <c r="H281" s="3">
        <v>46</v>
      </c>
      <c r="I281" s="95" t="s">
        <v>5</v>
      </c>
      <c r="J281" s="3" t="s">
        <v>10</v>
      </c>
      <c r="K281" s="230" t="s">
        <v>5</v>
      </c>
      <c r="L281" s="3" t="s">
        <v>2737</v>
      </c>
      <c r="M281" s="3" t="s">
        <v>49</v>
      </c>
      <c r="N281" s="3" t="s">
        <v>6</v>
      </c>
      <c r="O281" s="225" t="s">
        <v>51</v>
      </c>
    </row>
    <row r="282" spans="1:15" x14ac:dyDescent="0.35">
      <c r="A282" s="3" t="s">
        <v>1469</v>
      </c>
      <c r="B282" s="3" t="s">
        <v>1830</v>
      </c>
      <c r="C282" s="3">
        <v>5</v>
      </c>
      <c r="D282" s="95" t="s">
        <v>541</v>
      </c>
      <c r="E282" s="3" t="s">
        <v>10</v>
      </c>
      <c r="F282" s="3" t="s">
        <v>10</v>
      </c>
      <c r="G282" s="3" t="s">
        <v>6</v>
      </c>
      <c r="H282" s="3">
        <v>28</v>
      </c>
      <c r="I282" s="95" t="s">
        <v>5</v>
      </c>
      <c r="J282" s="3" t="s">
        <v>10</v>
      </c>
      <c r="K282" s="230" t="s">
        <v>5</v>
      </c>
      <c r="L282" s="3" t="s">
        <v>174</v>
      </c>
      <c r="M282" s="3" t="s">
        <v>651</v>
      </c>
      <c r="N282" s="3" t="s">
        <v>651</v>
      </c>
      <c r="O282" s="225" t="s">
        <v>651</v>
      </c>
    </row>
    <row r="283" spans="1:15" x14ac:dyDescent="0.35">
      <c r="A283" s="3" t="s">
        <v>1469</v>
      </c>
      <c r="B283" s="3" t="s">
        <v>1830</v>
      </c>
      <c r="C283" s="3">
        <v>5</v>
      </c>
      <c r="D283" s="95" t="s">
        <v>548</v>
      </c>
      <c r="E283" s="3" t="s">
        <v>10</v>
      </c>
      <c r="F283" s="3" t="s">
        <v>10</v>
      </c>
      <c r="G283" s="3" t="s">
        <v>6</v>
      </c>
      <c r="H283" s="3">
        <v>440</v>
      </c>
      <c r="I283" s="95" t="s">
        <v>5</v>
      </c>
      <c r="J283" s="3" t="s">
        <v>10</v>
      </c>
      <c r="K283" s="230" t="s">
        <v>5</v>
      </c>
      <c r="L283" s="3" t="s">
        <v>2737</v>
      </c>
      <c r="M283" s="3" t="s">
        <v>651</v>
      </c>
      <c r="N283" s="3" t="s">
        <v>651</v>
      </c>
      <c r="O283" s="225" t="s">
        <v>651</v>
      </c>
    </row>
    <row r="284" spans="1:15" x14ac:dyDescent="0.35">
      <c r="A284" s="3" t="s">
        <v>1469</v>
      </c>
      <c r="B284" s="3" t="s">
        <v>1830</v>
      </c>
      <c r="C284" s="3">
        <v>5</v>
      </c>
      <c r="D284" s="95" t="s">
        <v>533</v>
      </c>
      <c r="E284" s="3" t="s">
        <v>10</v>
      </c>
      <c r="F284" s="3" t="s">
        <v>10</v>
      </c>
      <c r="G284" s="3" t="s">
        <v>6</v>
      </c>
      <c r="H284" s="3">
        <v>22</v>
      </c>
      <c r="I284" s="95" t="s">
        <v>5</v>
      </c>
      <c r="J284" s="3" t="s">
        <v>10</v>
      </c>
      <c r="K284" s="230" t="s">
        <v>5</v>
      </c>
      <c r="L284" s="3" t="s">
        <v>315</v>
      </c>
      <c r="M284" s="3" t="s">
        <v>651</v>
      </c>
      <c r="N284" s="3" t="s">
        <v>651</v>
      </c>
      <c r="O284" s="225" t="s">
        <v>651</v>
      </c>
    </row>
    <row r="285" spans="1:15" x14ac:dyDescent="0.35">
      <c r="A285" s="3" t="s">
        <v>1469</v>
      </c>
      <c r="B285" s="3" t="s">
        <v>1830</v>
      </c>
      <c r="C285" s="3">
        <v>5</v>
      </c>
      <c r="D285" s="95" t="s">
        <v>534</v>
      </c>
      <c r="E285" s="3" t="s">
        <v>10</v>
      </c>
      <c r="F285" s="3" t="s">
        <v>10</v>
      </c>
      <c r="G285" s="3" t="s">
        <v>6</v>
      </c>
      <c r="H285" s="3">
        <v>305</v>
      </c>
      <c r="I285" s="95" t="s">
        <v>5</v>
      </c>
      <c r="J285" s="3" t="s">
        <v>10</v>
      </c>
      <c r="K285" s="230" t="s">
        <v>5</v>
      </c>
      <c r="L285" s="3" t="s">
        <v>52</v>
      </c>
      <c r="M285" s="3" t="s">
        <v>651</v>
      </c>
      <c r="N285" s="3" t="s">
        <v>651</v>
      </c>
      <c r="O285" s="225" t="s">
        <v>651</v>
      </c>
    </row>
    <row r="286" spans="1:15" x14ac:dyDescent="0.35">
      <c r="A286" s="3" t="s">
        <v>1469</v>
      </c>
      <c r="B286" s="3" t="s">
        <v>1830</v>
      </c>
      <c r="C286" s="3">
        <v>5</v>
      </c>
      <c r="D286" s="95" t="s">
        <v>542</v>
      </c>
      <c r="E286" s="3" t="s">
        <v>10</v>
      </c>
      <c r="F286" s="3" t="s">
        <v>10</v>
      </c>
      <c r="G286" s="3" t="s">
        <v>6</v>
      </c>
      <c r="H286" s="3">
        <v>108</v>
      </c>
      <c r="I286" s="95" t="s">
        <v>5</v>
      </c>
      <c r="J286" s="3" t="s">
        <v>10</v>
      </c>
      <c r="K286" s="230" t="s">
        <v>5</v>
      </c>
      <c r="L286" s="3" t="s">
        <v>2737</v>
      </c>
      <c r="M286" s="3" t="s">
        <v>651</v>
      </c>
      <c r="N286" s="3" t="s">
        <v>651</v>
      </c>
      <c r="O286" s="225" t="s">
        <v>651</v>
      </c>
    </row>
    <row r="287" spans="1:15" x14ac:dyDescent="0.35">
      <c r="A287" s="3" t="s">
        <v>1469</v>
      </c>
      <c r="B287" s="3" t="s">
        <v>1830</v>
      </c>
      <c r="C287" s="3">
        <v>5</v>
      </c>
      <c r="D287" s="95" t="s">
        <v>537</v>
      </c>
      <c r="E287" s="3" t="s">
        <v>10</v>
      </c>
      <c r="F287" s="3" t="s">
        <v>10</v>
      </c>
      <c r="G287" s="3" t="s">
        <v>6</v>
      </c>
      <c r="H287" s="3">
        <v>897</v>
      </c>
      <c r="I287" s="95" t="s">
        <v>5</v>
      </c>
      <c r="J287" s="3" t="s">
        <v>10</v>
      </c>
      <c r="K287" s="230" t="s">
        <v>5</v>
      </c>
      <c r="L287" s="3" t="s">
        <v>2737</v>
      </c>
      <c r="M287" s="3" t="s">
        <v>651</v>
      </c>
      <c r="N287" s="3" t="s">
        <v>651</v>
      </c>
      <c r="O287" s="225" t="s">
        <v>651</v>
      </c>
    </row>
    <row r="288" spans="1:15" x14ac:dyDescent="0.35">
      <c r="A288" s="3" t="s">
        <v>1469</v>
      </c>
      <c r="B288" s="3" t="s">
        <v>1830</v>
      </c>
      <c r="C288" s="3">
        <v>5</v>
      </c>
      <c r="D288" s="95" t="s">
        <v>535</v>
      </c>
      <c r="E288" s="3" t="s">
        <v>10</v>
      </c>
      <c r="F288" s="3" t="s">
        <v>10</v>
      </c>
      <c r="G288" s="3" t="s">
        <v>6</v>
      </c>
      <c r="H288" s="3">
        <v>141</v>
      </c>
      <c r="I288" s="95" t="s">
        <v>5</v>
      </c>
      <c r="J288" s="3" t="s">
        <v>10</v>
      </c>
      <c r="K288" s="230" t="s">
        <v>5</v>
      </c>
      <c r="L288" s="3" t="s">
        <v>2737</v>
      </c>
      <c r="M288" s="3" t="s">
        <v>651</v>
      </c>
      <c r="N288" s="3" t="s">
        <v>651</v>
      </c>
      <c r="O288" s="225" t="s">
        <v>651</v>
      </c>
    </row>
    <row r="289" spans="1:15" x14ac:dyDescent="0.35">
      <c r="A289" s="3" t="s">
        <v>325</v>
      </c>
      <c r="B289" s="3" t="s">
        <v>1831</v>
      </c>
      <c r="C289" s="3">
        <v>6</v>
      </c>
      <c r="D289" s="95" t="s">
        <v>541</v>
      </c>
      <c r="E289" s="3" t="s">
        <v>10</v>
      </c>
      <c r="F289" s="3" t="s">
        <v>10</v>
      </c>
      <c r="G289" s="3" t="s">
        <v>6</v>
      </c>
      <c r="H289" s="3">
        <v>13</v>
      </c>
      <c r="I289" s="95" t="s">
        <v>5</v>
      </c>
      <c r="J289" s="3" t="s">
        <v>10</v>
      </c>
      <c r="K289" s="230" t="s">
        <v>5</v>
      </c>
      <c r="L289" s="3" t="s">
        <v>174</v>
      </c>
      <c r="M289" s="3" t="s">
        <v>651</v>
      </c>
      <c r="N289" s="3" t="s">
        <v>651</v>
      </c>
      <c r="O289" s="225" t="s">
        <v>651</v>
      </c>
    </row>
    <row r="290" spans="1:15" x14ac:dyDescent="0.35">
      <c r="A290" s="3" t="s">
        <v>325</v>
      </c>
      <c r="B290" s="3" t="s">
        <v>1831</v>
      </c>
      <c r="C290" s="3">
        <v>6</v>
      </c>
      <c r="D290" s="95" t="s">
        <v>548</v>
      </c>
      <c r="E290" s="3" t="s">
        <v>10</v>
      </c>
      <c r="F290" s="3" t="s">
        <v>10</v>
      </c>
      <c r="G290" s="3" t="s">
        <v>6</v>
      </c>
      <c r="H290" s="3">
        <v>71</v>
      </c>
      <c r="I290" s="95" t="s">
        <v>5</v>
      </c>
      <c r="J290" s="3" t="s">
        <v>10</v>
      </c>
      <c r="K290" s="230" t="s">
        <v>5</v>
      </c>
      <c r="L290" s="3" t="s">
        <v>2737</v>
      </c>
      <c r="M290" s="3" t="s">
        <v>651</v>
      </c>
      <c r="N290" s="3" t="s">
        <v>651</v>
      </c>
      <c r="O290" s="225" t="s">
        <v>651</v>
      </c>
    </row>
    <row r="291" spans="1:15" x14ac:dyDescent="0.35">
      <c r="A291" s="3" t="s">
        <v>325</v>
      </c>
      <c r="B291" s="3" t="s">
        <v>1831</v>
      </c>
      <c r="C291" s="3">
        <v>6</v>
      </c>
      <c r="D291" s="95" t="s">
        <v>533</v>
      </c>
      <c r="E291" s="3" t="s">
        <v>10</v>
      </c>
      <c r="F291" s="3" t="s">
        <v>10</v>
      </c>
      <c r="G291" s="3" t="s">
        <v>6</v>
      </c>
      <c r="H291" s="3">
        <v>165</v>
      </c>
      <c r="I291" s="95" t="s">
        <v>5</v>
      </c>
      <c r="J291" s="3" t="s">
        <v>10</v>
      </c>
      <c r="K291" s="230" t="s">
        <v>5</v>
      </c>
      <c r="L291" s="3" t="s">
        <v>315</v>
      </c>
      <c r="M291" s="3" t="s">
        <v>651</v>
      </c>
      <c r="N291" s="3" t="s">
        <v>651</v>
      </c>
      <c r="O291" s="225" t="s">
        <v>651</v>
      </c>
    </row>
    <row r="292" spans="1:15" x14ac:dyDescent="0.35">
      <c r="A292" s="3" t="s">
        <v>325</v>
      </c>
      <c r="B292" s="3" t="s">
        <v>1831</v>
      </c>
      <c r="C292" s="3">
        <v>6</v>
      </c>
      <c r="D292" s="95" t="s">
        <v>534</v>
      </c>
      <c r="E292" s="3" t="s">
        <v>10</v>
      </c>
      <c r="F292" s="3" t="s">
        <v>10</v>
      </c>
      <c r="G292" s="3" t="s">
        <v>6</v>
      </c>
      <c r="H292" s="3">
        <v>52</v>
      </c>
      <c r="I292" s="95" t="s">
        <v>5</v>
      </c>
      <c r="J292" s="3" t="s">
        <v>10</v>
      </c>
      <c r="K292" s="230" t="s">
        <v>5</v>
      </c>
      <c r="L292" s="3" t="s">
        <v>52</v>
      </c>
      <c r="M292" s="3" t="s">
        <v>651</v>
      </c>
      <c r="N292" s="3" t="s">
        <v>651</v>
      </c>
      <c r="O292" s="225" t="s">
        <v>651</v>
      </c>
    </row>
    <row r="293" spans="1:15" x14ac:dyDescent="0.35">
      <c r="A293" s="3" t="s">
        <v>325</v>
      </c>
      <c r="B293" s="3" t="s">
        <v>1831</v>
      </c>
      <c r="C293" s="3">
        <v>6</v>
      </c>
      <c r="D293" s="95" t="s">
        <v>542</v>
      </c>
      <c r="E293" s="3" t="s">
        <v>10</v>
      </c>
      <c r="F293" s="3" t="s">
        <v>10</v>
      </c>
      <c r="G293" s="3" t="s">
        <v>6</v>
      </c>
      <c r="H293" s="3">
        <v>27</v>
      </c>
      <c r="I293" s="95" t="s">
        <v>5</v>
      </c>
      <c r="J293" s="3" t="s">
        <v>10</v>
      </c>
      <c r="K293" s="230" t="s">
        <v>5</v>
      </c>
      <c r="L293" s="3" t="s">
        <v>2737</v>
      </c>
      <c r="M293" s="3" t="s">
        <v>651</v>
      </c>
      <c r="N293" s="3" t="s">
        <v>651</v>
      </c>
      <c r="O293" s="225" t="s">
        <v>651</v>
      </c>
    </row>
    <row r="294" spans="1:15" x14ac:dyDescent="0.35">
      <c r="A294" s="3" t="s">
        <v>325</v>
      </c>
      <c r="B294" s="3" t="s">
        <v>1831</v>
      </c>
      <c r="C294" s="3">
        <v>6</v>
      </c>
      <c r="D294" s="95" t="s">
        <v>537</v>
      </c>
      <c r="E294" s="3" t="s">
        <v>10</v>
      </c>
      <c r="F294" s="3" t="s">
        <v>10</v>
      </c>
      <c r="G294" s="3" t="s">
        <v>6</v>
      </c>
      <c r="H294" s="3">
        <v>1642</v>
      </c>
      <c r="I294" s="95" t="s">
        <v>5</v>
      </c>
      <c r="J294" s="3" t="s">
        <v>10</v>
      </c>
      <c r="K294" s="230" t="s">
        <v>5</v>
      </c>
      <c r="L294" s="3" t="s">
        <v>2737</v>
      </c>
      <c r="M294" s="3" t="s">
        <v>651</v>
      </c>
      <c r="N294" s="3" t="s">
        <v>651</v>
      </c>
      <c r="O294" s="225" t="s">
        <v>651</v>
      </c>
    </row>
    <row r="295" spans="1:15" x14ac:dyDescent="0.35">
      <c r="A295" s="3" t="s">
        <v>325</v>
      </c>
      <c r="B295" s="3" t="s">
        <v>1831</v>
      </c>
      <c r="C295" s="3">
        <v>6</v>
      </c>
      <c r="D295" s="95" t="s">
        <v>535</v>
      </c>
      <c r="E295" s="3" t="s">
        <v>10</v>
      </c>
      <c r="F295" s="3" t="s">
        <v>10</v>
      </c>
      <c r="G295" s="3" t="s">
        <v>6</v>
      </c>
      <c r="H295" s="3">
        <v>25</v>
      </c>
      <c r="I295" s="95" t="s">
        <v>5</v>
      </c>
      <c r="J295" s="3" t="s">
        <v>10</v>
      </c>
      <c r="K295" s="230" t="s">
        <v>5</v>
      </c>
      <c r="L295" s="3" t="s">
        <v>2737</v>
      </c>
      <c r="M295" s="3" t="s">
        <v>651</v>
      </c>
      <c r="N295" s="3" t="s">
        <v>651</v>
      </c>
      <c r="O295" s="225" t="s">
        <v>651</v>
      </c>
    </row>
    <row r="296" spans="1:15" x14ac:dyDescent="0.35">
      <c r="A296" s="3" t="s">
        <v>326</v>
      </c>
      <c r="B296" s="3" t="s">
        <v>598</v>
      </c>
      <c r="C296" s="3">
        <v>10</v>
      </c>
      <c r="D296" s="95" t="s">
        <v>541</v>
      </c>
      <c r="E296" s="3" t="s">
        <v>10</v>
      </c>
      <c r="F296" s="3" t="s">
        <v>10</v>
      </c>
      <c r="G296" s="3" t="s">
        <v>6</v>
      </c>
      <c r="H296" s="3">
        <v>1</v>
      </c>
      <c r="I296" s="95" t="s">
        <v>5</v>
      </c>
      <c r="J296" s="3" t="s">
        <v>10</v>
      </c>
      <c r="K296" s="230" t="s">
        <v>5</v>
      </c>
      <c r="L296" s="3" t="s">
        <v>174</v>
      </c>
      <c r="M296" s="3" t="s">
        <v>651</v>
      </c>
      <c r="N296" s="3" t="s">
        <v>651</v>
      </c>
      <c r="O296" s="225" t="s">
        <v>651</v>
      </c>
    </row>
    <row r="297" spans="1:15" x14ac:dyDescent="0.35">
      <c r="A297" s="3" t="s">
        <v>326</v>
      </c>
      <c r="B297" s="3" t="s">
        <v>598</v>
      </c>
      <c r="C297" s="3">
        <v>10</v>
      </c>
      <c r="D297" s="95" t="s">
        <v>548</v>
      </c>
      <c r="E297" s="3" t="s">
        <v>6</v>
      </c>
      <c r="F297" s="3" t="s">
        <v>6</v>
      </c>
      <c r="G297" s="3" t="s">
        <v>10</v>
      </c>
      <c r="H297" s="3">
        <v>37</v>
      </c>
      <c r="I297" s="95" t="s">
        <v>437</v>
      </c>
      <c r="J297" s="3" t="s">
        <v>6</v>
      </c>
      <c r="K297" s="230">
        <v>42734</v>
      </c>
      <c r="L297" s="3" t="s">
        <v>2737</v>
      </c>
      <c r="M297" s="3" t="s">
        <v>49</v>
      </c>
      <c r="N297" s="3" t="s">
        <v>6</v>
      </c>
      <c r="O297" s="225" t="s">
        <v>26</v>
      </c>
    </row>
    <row r="298" spans="1:15" x14ac:dyDescent="0.35">
      <c r="A298" s="3" t="s">
        <v>326</v>
      </c>
      <c r="B298" s="3" t="s">
        <v>598</v>
      </c>
      <c r="C298" s="3">
        <v>10</v>
      </c>
      <c r="D298" s="95" t="s">
        <v>533</v>
      </c>
      <c r="E298" s="3" t="s">
        <v>10</v>
      </c>
      <c r="F298" s="3" t="s">
        <v>10</v>
      </c>
      <c r="G298" s="3" t="s">
        <v>6</v>
      </c>
      <c r="H298" s="3">
        <v>400</v>
      </c>
      <c r="I298" s="95" t="s">
        <v>5</v>
      </c>
      <c r="J298" s="3" t="s">
        <v>10</v>
      </c>
      <c r="K298" s="230" t="s">
        <v>5</v>
      </c>
      <c r="L298" s="3" t="s">
        <v>315</v>
      </c>
      <c r="M298" s="3" t="s">
        <v>651</v>
      </c>
      <c r="N298" s="3" t="s">
        <v>651</v>
      </c>
      <c r="O298" s="225" t="s">
        <v>651</v>
      </c>
    </row>
    <row r="299" spans="1:15" x14ac:dyDescent="0.35">
      <c r="A299" s="3" t="s">
        <v>326</v>
      </c>
      <c r="B299" s="3" t="s">
        <v>598</v>
      </c>
      <c r="C299" s="3">
        <v>10</v>
      </c>
      <c r="D299" s="95" t="s">
        <v>534</v>
      </c>
      <c r="E299" s="3" t="s">
        <v>10</v>
      </c>
      <c r="F299" s="3" t="s">
        <v>10</v>
      </c>
      <c r="G299" s="3" t="s">
        <v>6</v>
      </c>
      <c r="H299" s="3">
        <v>31</v>
      </c>
      <c r="I299" s="95" t="s">
        <v>5</v>
      </c>
      <c r="J299" s="3" t="s">
        <v>10</v>
      </c>
      <c r="K299" s="230" t="s">
        <v>5</v>
      </c>
      <c r="L299" s="3" t="s">
        <v>52</v>
      </c>
      <c r="M299" s="3" t="s">
        <v>651</v>
      </c>
      <c r="N299" s="3" t="s">
        <v>651</v>
      </c>
      <c r="O299" s="225" t="s">
        <v>651</v>
      </c>
    </row>
    <row r="300" spans="1:15" x14ac:dyDescent="0.35">
      <c r="A300" s="3" t="s">
        <v>326</v>
      </c>
      <c r="B300" s="3" t="s">
        <v>598</v>
      </c>
      <c r="C300" s="3">
        <v>10</v>
      </c>
      <c r="D300" s="95" t="s">
        <v>542</v>
      </c>
      <c r="E300" s="3" t="s">
        <v>10</v>
      </c>
      <c r="F300" s="3" t="s">
        <v>10</v>
      </c>
      <c r="G300" s="3" t="s">
        <v>6</v>
      </c>
      <c r="H300" s="3">
        <v>27</v>
      </c>
      <c r="I300" s="95" t="s">
        <v>5</v>
      </c>
      <c r="J300" s="3" t="s">
        <v>10</v>
      </c>
      <c r="K300" s="230" t="s">
        <v>5</v>
      </c>
      <c r="L300" s="3" t="s">
        <v>2737</v>
      </c>
      <c r="M300" s="3" t="s">
        <v>651</v>
      </c>
      <c r="N300" s="3" t="s">
        <v>651</v>
      </c>
      <c r="O300" s="225" t="s">
        <v>651</v>
      </c>
    </row>
    <row r="301" spans="1:15" x14ac:dyDescent="0.35">
      <c r="A301" s="3" t="s">
        <v>326</v>
      </c>
      <c r="B301" s="3" t="s">
        <v>598</v>
      </c>
      <c r="C301" s="3">
        <v>10</v>
      </c>
      <c r="D301" s="95" t="s">
        <v>537</v>
      </c>
      <c r="E301" s="3" t="s">
        <v>10</v>
      </c>
      <c r="F301" s="3" t="s">
        <v>10</v>
      </c>
      <c r="G301" s="3" t="s">
        <v>6</v>
      </c>
      <c r="H301" s="3">
        <v>164</v>
      </c>
      <c r="I301" s="95" t="s">
        <v>5</v>
      </c>
      <c r="J301" s="3" t="s">
        <v>10</v>
      </c>
      <c r="K301" s="230" t="s">
        <v>5</v>
      </c>
      <c r="L301" s="3" t="s">
        <v>2737</v>
      </c>
      <c r="M301" s="3" t="s">
        <v>651</v>
      </c>
      <c r="N301" s="3" t="s">
        <v>651</v>
      </c>
      <c r="O301" s="225" t="s">
        <v>651</v>
      </c>
    </row>
    <row r="302" spans="1:15" x14ac:dyDescent="0.35">
      <c r="A302" s="3" t="s">
        <v>326</v>
      </c>
      <c r="B302" s="3" t="s">
        <v>598</v>
      </c>
      <c r="C302" s="3">
        <v>10</v>
      </c>
      <c r="D302" s="95" t="s">
        <v>535</v>
      </c>
      <c r="E302" s="3" t="s">
        <v>10</v>
      </c>
      <c r="F302" s="3" t="s">
        <v>10</v>
      </c>
      <c r="G302" s="3" t="s">
        <v>6</v>
      </c>
      <c r="H302" s="3">
        <v>0</v>
      </c>
      <c r="I302" s="95" t="s">
        <v>651</v>
      </c>
      <c r="J302" s="3" t="s">
        <v>651</v>
      </c>
      <c r="K302" s="230" t="s">
        <v>5</v>
      </c>
      <c r="L302" s="3" t="s">
        <v>2737</v>
      </c>
      <c r="M302" s="3" t="s">
        <v>651</v>
      </c>
      <c r="N302" s="3" t="s">
        <v>651</v>
      </c>
      <c r="O302" s="225" t="s">
        <v>651</v>
      </c>
    </row>
    <row r="303" spans="1:15" x14ac:dyDescent="0.35">
      <c r="A303" s="3" t="s">
        <v>599</v>
      </c>
      <c r="B303" s="3" t="s">
        <v>600</v>
      </c>
      <c r="C303" s="3">
        <v>3</v>
      </c>
      <c r="D303" s="95" t="s">
        <v>541</v>
      </c>
      <c r="E303" s="3" t="s">
        <v>10</v>
      </c>
      <c r="F303" s="3" t="s">
        <v>10</v>
      </c>
      <c r="G303" s="3" t="s">
        <v>6</v>
      </c>
      <c r="H303" s="3">
        <v>60</v>
      </c>
      <c r="I303" s="95" t="s">
        <v>5</v>
      </c>
      <c r="J303" s="3" t="s">
        <v>10</v>
      </c>
      <c r="K303" s="230" t="s">
        <v>5</v>
      </c>
      <c r="L303" s="3" t="s">
        <v>174</v>
      </c>
      <c r="M303" s="3" t="s">
        <v>651</v>
      </c>
      <c r="N303" s="3" t="s">
        <v>651</v>
      </c>
      <c r="O303" s="225" t="s">
        <v>651</v>
      </c>
    </row>
    <row r="304" spans="1:15" x14ac:dyDescent="0.35">
      <c r="A304" s="3" t="s">
        <v>599</v>
      </c>
      <c r="B304" s="3" t="s">
        <v>600</v>
      </c>
      <c r="C304" s="3">
        <v>3</v>
      </c>
      <c r="D304" s="95" t="s">
        <v>548</v>
      </c>
      <c r="E304" s="3" t="s">
        <v>6</v>
      </c>
      <c r="F304" s="3" t="s">
        <v>6</v>
      </c>
      <c r="G304" s="3" t="s">
        <v>10</v>
      </c>
      <c r="H304" s="3">
        <v>150</v>
      </c>
      <c r="I304" s="95" t="s">
        <v>437</v>
      </c>
      <c r="J304" s="3" t="s">
        <v>6</v>
      </c>
      <c r="K304" s="230">
        <v>42734</v>
      </c>
      <c r="L304" s="3" t="s">
        <v>2737</v>
      </c>
      <c r="M304" s="3" t="s">
        <v>49</v>
      </c>
      <c r="N304" s="3" t="s">
        <v>6</v>
      </c>
      <c r="O304" s="225" t="s">
        <v>26</v>
      </c>
    </row>
    <row r="305" spans="1:15" x14ac:dyDescent="0.35">
      <c r="A305" s="3" t="s">
        <v>599</v>
      </c>
      <c r="B305" s="3" t="s">
        <v>600</v>
      </c>
      <c r="C305" s="3">
        <v>3</v>
      </c>
      <c r="D305" s="95" t="s">
        <v>533</v>
      </c>
      <c r="E305" s="3" t="s">
        <v>10</v>
      </c>
      <c r="F305" s="3" t="s">
        <v>10</v>
      </c>
      <c r="G305" s="3" t="s">
        <v>6</v>
      </c>
      <c r="H305" s="3">
        <v>450</v>
      </c>
      <c r="I305" s="95" t="s">
        <v>5</v>
      </c>
      <c r="J305" s="3" t="s">
        <v>10</v>
      </c>
      <c r="K305" s="230" t="s">
        <v>5</v>
      </c>
      <c r="L305" s="3" t="s">
        <v>315</v>
      </c>
      <c r="M305" s="3" t="s">
        <v>651</v>
      </c>
      <c r="N305" s="3" t="s">
        <v>651</v>
      </c>
      <c r="O305" s="225" t="s">
        <v>651</v>
      </c>
    </row>
    <row r="306" spans="1:15" x14ac:dyDescent="0.35">
      <c r="A306" s="3" t="s">
        <v>599</v>
      </c>
      <c r="B306" s="3" t="s">
        <v>600</v>
      </c>
      <c r="C306" s="3">
        <v>3</v>
      </c>
      <c r="D306" s="95" t="s">
        <v>534</v>
      </c>
      <c r="E306" s="3" t="s">
        <v>10</v>
      </c>
      <c r="F306" s="3" t="s">
        <v>10</v>
      </c>
      <c r="G306" s="3" t="s">
        <v>6</v>
      </c>
      <c r="H306" s="3">
        <v>760</v>
      </c>
      <c r="I306" s="95" t="s">
        <v>5</v>
      </c>
      <c r="J306" s="3" t="s">
        <v>10</v>
      </c>
      <c r="K306" s="230" t="s">
        <v>5</v>
      </c>
      <c r="L306" s="3" t="s">
        <v>52</v>
      </c>
      <c r="M306" s="3" t="s">
        <v>651</v>
      </c>
      <c r="N306" s="3" t="s">
        <v>651</v>
      </c>
      <c r="O306" s="225" t="s">
        <v>651</v>
      </c>
    </row>
    <row r="307" spans="1:15" x14ac:dyDescent="0.35">
      <c r="A307" s="3" t="s">
        <v>599</v>
      </c>
      <c r="B307" s="3" t="s">
        <v>600</v>
      </c>
      <c r="C307" s="3">
        <v>3</v>
      </c>
      <c r="D307" s="95" t="s">
        <v>542</v>
      </c>
      <c r="E307" s="3" t="s">
        <v>6</v>
      </c>
      <c r="F307" s="3" t="s">
        <v>6</v>
      </c>
      <c r="G307" s="3" t="s">
        <v>10</v>
      </c>
      <c r="H307" s="3">
        <v>102</v>
      </c>
      <c r="I307" s="95" t="s">
        <v>437</v>
      </c>
      <c r="J307" s="3" t="s">
        <v>6</v>
      </c>
      <c r="K307" s="230">
        <v>45516</v>
      </c>
      <c r="L307" s="3" t="s">
        <v>2737</v>
      </c>
      <c r="M307" s="3" t="s">
        <v>49</v>
      </c>
      <c r="N307" s="3" t="s">
        <v>6</v>
      </c>
      <c r="O307" s="225" t="s">
        <v>26</v>
      </c>
    </row>
    <row r="308" spans="1:15" x14ac:dyDescent="0.35">
      <c r="A308" s="3" t="s">
        <v>599</v>
      </c>
      <c r="B308" s="3" t="s">
        <v>600</v>
      </c>
      <c r="C308" s="3">
        <v>3</v>
      </c>
      <c r="D308" s="95" t="s">
        <v>537</v>
      </c>
      <c r="E308" s="3" t="s">
        <v>10</v>
      </c>
      <c r="F308" s="3" t="s">
        <v>10</v>
      </c>
      <c r="G308" s="3" t="s">
        <v>6</v>
      </c>
      <c r="H308" s="3">
        <v>110</v>
      </c>
      <c r="I308" s="95" t="s">
        <v>5</v>
      </c>
      <c r="J308" s="3" t="s">
        <v>10</v>
      </c>
      <c r="K308" s="230" t="s">
        <v>5</v>
      </c>
      <c r="L308" s="3" t="s">
        <v>2737</v>
      </c>
      <c r="M308" s="3" t="s">
        <v>651</v>
      </c>
      <c r="N308" s="3" t="s">
        <v>651</v>
      </c>
      <c r="O308" s="225" t="s">
        <v>651</v>
      </c>
    </row>
    <row r="309" spans="1:15" x14ac:dyDescent="0.35">
      <c r="A309" s="3" t="s">
        <v>599</v>
      </c>
      <c r="B309" s="3" t="s">
        <v>600</v>
      </c>
      <c r="C309" s="3">
        <v>3</v>
      </c>
      <c r="D309" s="95" t="s">
        <v>535</v>
      </c>
      <c r="E309" s="3" t="s">
        <v>6</v>
      </c>
      <c r="F309" s="3" t="s">
        <v>6</v>
      </c>
      <c r="G309" s="3" t="s">
        <v>10</v>
      </c>
      <c r="H309" s="3">
        <v>50</v>
      </c>
      <c r="I309" s="95" t="s">
        <v>5</v>
      </c>
      <c r="J309" s="3" t="s">
        <v>10</v>
      </c>
      <c r="K309" s="230" t="s">
        <v>5</v>
      </c>
      <c r="L309" s="3" t="s">
        <v>2737</v>
      </c>
      <c r="M309" s="3" t="s">
        <v>49</v>
      </c>
      <c r="N309" s="3" t="s">
        <v>6</v>
      </c>
      <c r="O309" s="225" t="s">
        <v>51</v>
      </c>
    </row>
    <row r="310" spans="1:15" x14ac:dyDescent="0.35">
      <c r="A310" s="3" t="s">
        <v>330</v>
      </c>
      <c r="B310" s="3" t="s">
        <v>601</v>
      </c>
      <c r="C310" s="3">
        <v>2</v>
      </c>
      <c r="D310" s="95" t="s">
        <v>541</v>
      </c>
      <c r="E310" s="3" t="s">
        <v>6</v>
      </c>
      <c r="F310" s="3" t="s">
        <v>10</v>
      </c>
      <c r="G310" s="3" t="s">
        <v>10</v>
      </c>
      <c r="H310" s="3">
        <v>0</v>
      </c>
      <c r="I310" s="95" t="s">
        <v>651</v>
      </c>
      <c r="J310" s="3" t="s">
        <v>651</v>
      </c>
      <c r="K310" s="230" t="s">
        <v>5</v>
      </c>
      <c r="L310" s="3" t="s">
        <v>174</v>
      </c>
      <c r="M310" s="3" t="s">
        <v>651</v>
      </c>
      <c r="N310" s="3" t="s">
        <v>651</v>
      </c>
      <c r="O310" s="225" t="s">
        <v>651</v>
      </c>
    </row>
    <row r="311" spans="1:15" x14ac:dyDescent="0.35">
      <c r="A311" s="3" t="s">
        <v>330</v>
      </c>
      <c r="B311" s="3" t="s">
        <v>601</v>
      </c>
      <c r="C311" s="3">
        <v>2</v>
      </c>
      <c r="D311" s="95" t="s">
        <v>548</v>
      </c>
      <c r="E311" s="3" t="s">
        <v>6</v>
      </c>
      <c r="F311" s="3" t="s">
        <v>6</v>
      </c>
      <c r="G311" s="3" t="s">
        <v>10</v>
      </c>
      <c r="H311" s="3">
        <v>54</v>
      </c>
      <c r="I311" s="95" t="s">
        <v>437</v>
      </c>
      <c r="J311" s="3" t="s">
        <v>6</v>
      </c>
      <c r="K311" s="230">
        <v>42734</v>
      </c>
      <c r="L311" s="3" t="s">
        <v>2737</v>
      </c>
      <c r="M311" s="3" t="s">
        <v>49</v>
      </c>
      <c r="N311" s="3" t="s">
        <v>6</v>
      </c>
      <c r="O311" s="225" t="s">
        <v>26</v>
      </c>
    </row>
    <row r="312" spans="1:15" x14ac:dyDescent="0.35">
      <c r="A312" s="3" t="s">
        <v>330</v>
      </c>
      <c r="B312" s="3" t="s">
        <v>601</v>
      </c>
      <c r="C312" s="3">
        <v>2</v>
      </c>
      <c r="D312" s="95" t="s">
        <v>533</v>
      </c>
      <c r="E312" s="3" t="s">
        <v>6</v>
      </c>
      <c r="F312" s="3" t="s">
        <v>10</v>
      </c>
      <c r="G312" s="3" t="s">
        <v>10</v>
      </c>
      <c r="H312" s="3">
        <v>0</v>
      </c>
      <c r="I312" s="95" t="s">
        <v>651</v>
      </c>
      <c r="J312" s="3" t="s">
        <v>651</v>
      </c>
      <c r="K312" s="230" t="s">
        <v>5</v>
      </c>
      <c r="L312" s="3" t="s">
        <v>315</v>
      </c>
      <c r="M312" s="3" t="s">
        <v>651</v>
      </c>
      <c r="N312" s="3" t="s">
        <v>651</v>
      </c>
      <c r="O312" s="225" t="s">
        <v>651</v>
      </c>
    </row>
    <row r="313" spans="1:15" x14ac:dyDescent="0.35">
      <c r="A313" s="3" t="s">
        <v>330</v>
      </c>
      <c r="B313" s="3" t="s">
        <v>601</v>
      </c>
      <c r="C313" s="3">
        <v>2</v>
      </c>
      <c r="D313" s="95" t="s">
        <v>534</v>
      </c>
      <c r="E313" s="3" t="s">
        <v>6</v>
      </c>
      <c r="F313" s="3" t="s">
        <v>6</v>
      </c>
      <c r="G313" s="3" t="s">
        <v>10</v>
      </c>
      <c r="H313" s="3">
        <v>89</v>
      </c>
      <c r="I313" s="95" t="s">
        <v>5</v>
      </c>
      <c r="J313" s="3" t="s">
        <v>2372</v>
      </c>
      <c r="K313" s="230" t="s">
        <v>5</v>
      </c>
      <c r="L313" s="3" t="s">
        <v>52</v>
      </c>
      <c r="M313" s="3" t="s">
        <v>17</v>
      </c>
      <c r="N313" s="3" t="s">
        <v>6</v>
      </c>
      <c r="O313" s="225" t="s">
        <v>26</v>
      </c>
    </row>
    <row r="314" spans="1:15" x14ac:dyDescent="0.35">
      <c r="A314" s="3" t="s">
        <v>330</v>
      </c>
      <c r="B314" s="3" t="s">
        <v>601</v>
      </c>
      <c r="C314" s="3">
        <v>2</v>
      </c>
      <c r="D314" s="95" t="s">
        <v>542</v>
      </c>
      <c r="E314" s="3" t="s">
        <v>6</v>
      </c>
      <c r="F314" s="3" t="s">
        <v>6</v>
      </c>
      <c r="G314" s="3" t="s">
        <v>10</v>
      </c>
      <c r="H314" s="3">
        <v>1</v>
      </c>
      <c r="I314" s="95" t="s">
        <v>437</v>
      </c>
      <c r="J314" s="3" t="s">
        <v>6</v>
      </c>
      <c r="K314" s="230">
        <v>45667</v>
      </c>
      <c r="L314" s="3" t="s">
        <v>2737</v>
      </c>
      <c r="M314" s="3" t="s">
        <v>49</v>
      </c>
      <c r="N314" s="3" t="s">
        <v>6</v>
      </c>
      <c r="O314" s="225" t="s">
        <v>26</v>
      </c>
    </row>
    <row r="315" spans="1:15" x14ac:dyDescent="0.35">
      <c r="A315" s="3" t="s">
        <v>330</v>
      </c>
      <c r="B315" s="3" t="s">
        <v>601</v>
      </c>
      <c r="C315" s="3">
        <v>2</v>
      </c>
      <c r="D315" s="95" t="s">
        <v>537</v>
      </c>
      <c r="E315" s="3" t="s">
        <v>6</v>
      </c>
      <c r="F315" s="3" t="s">
        <v>6</v>
      </c>
      <c r="G315" s="3" t="s">
        <v>10</v>
      </c>
      <c r="H315" s="3">
        <v>61</v>
      </c>
      <c r="I315" s="95" t="s">
        <v>437</v>
      </c>
      <c r="J315" s="3" t="s">
        <v>6</v>
      </c>
      <c r="K315" s="230">
        <v>44875</v>
      </c>
      <c r="L315" s="3" t="s">
        <v>2737</v>
      </c>
      <c r="M315" s="3" t="s">
        <v>49</v>
      </c>
      <c r="N315" s="3" t="s">
        <v>6</v>
      </c>
      <c r="O315" s="225" t="s">
        <v>26</v>
      </c>
    </row>
    <row r="316" spans="1:15" x14ac:dyDescent="0.35">
      <c r="A316" s="3" t="s">
        <v>330</v>
      </c>
      <c r="B316" s="3" t="s">
        <v>601</v>
      </c>
      <c r="C316" s="3">
        <v>2</v>
      </c>
      <c r="D316" s="95" t="s">
        <v>535</v>
      </c>
      <c r="E316" s="3" t="s">
        <v>6</v>
      </c>
      <c r="F316" s="3" t="s">
        <v>10</v>
      </c>
      <c r="G316" s="3" t="s">
        <v>10</v>
      </c>
      <c r="H316" s="3">
        <v>0</v>
      </c>
      <c r="I316" s="95" t="s">
        <v>651</v>
      </c>
      <c r="J316" s="3" t="s">
        <v>651</v>
      </c>
      <c r="K316" s="230" t="s">
        <v>5</v>
      </c>
      <c r="L316" s="3" t="s">
        <v>2737</v>
      </c>
      <c r="M316" s="3" t="s">
        <v>651</v>
      </c>
      <c r="N316" s="3" t="s">
        <v>651</v>
      </c>
      <c r="O316" s="225" t="s">
        <v>651</v>
      </c>
    </row>
    <row r="317" spans="1:15" x14ac:dyDescent="0.35">
      <c r="A317" s="3" t="s">
        <v>336</v>
      </c>
      <c r="B317" s="3" t="s">
        <v>546</v>
      </c>
      <c r="C317" s="3">
        <v>1</v>
      </c>
      <c r="D317" s="95" t="s">
        <v>541</v>
      </c>
      <c r="E317" s="3" t="s">
        <v>10</v>
      </c>
      <c r="F317" s="3" t="s">
        <v>6</v>
      </c>
      <c r="G317" s="3" t="s">
        <v>6</v>
      </c>
      <c r="H317" s="3">
        <v>1</v>
      </c>
      <c r="I317" s="95" t="s">
        <v>5</v>
      </c>
      <c r="J317" s="3" t="s">
        <v>10</v>
      </c>
      <c r="K317" s="230" t="s">
        <v>5</v>
      </c>
      <c r="L317" s="3" t="s">
        <v>174</v>
      </c>
      <c r="M317" s="3" t="s">
        <v>17</v>
      </c>
      <c r="N317" s="3" t="s">
        <v>6</v>
      </c>
      <c r="O317" s="225" t="s">
        <v>51</v>
      </c>
    </row>
    <row r="318" spans="1:15" x14ac:dyDescent="0.35">
      <c r="A318" s="3" t="s">
        <v>336</v>
      </c>
      <c r="B318" s="3" t="s">
        <v>546</v>
      </c>
      <c r="C318" s="3">
        <v>1</v>
      </c>
      <c r="D318" s="95" t="s">
        <v>548</v>
      </c>
      <c r="E318" s="3" t="s">
        <v>6</v>
      </c>
      <c r="F318" s="3" t="s">
        <v>6</v>
      </c>
      <c r="G318" s="3" t="s">
        <v>10</v>
      </c>
      <c r="H318" s="3">
        <v>16</v>
      </c>
      <c r="I318" s="95" t="s">
        <v>437</v>
      </c>
      <c r="J318" s="3" t="s">
        <v>6</v>
      </c>
      <c r="K318" s="230">
        <v>42734</v>
      </c>
      <c r="L318" s="3" t="s">
        <v>2737</v>
      </c>
      <c r="M318" s="3" t="s">
        <v>49</v>
      </c>
      <c r="N318" s="3" t="s">
        <v>6</v>
      </c>
      <c r="O318" s="225" t="s">
        <v>26</v>
      </c>
    </row>
    <row r="319" spans="1:15" x14ac:dyDescent="0.35">
      <c r="A319" s="3" t="s">
        <v>336</v>
      </c>
      <c r="B319" s="3" t="s">
        <v>546</v>
      </c>
      <c r="C319" s="3">
        <v>1</v>
      </c>
      <c r="D319" s="95" t="s">
        <v>533</v>
      </c>
      <c r="E319" s="3" t="s">
        <v>10</v>
      </c>
      <c r="F319" s="3" t="s">
        <v>10</v>
      </c>
      <c r="G319" s="3" t="s">
        <v>6</v>
      </c>
      <c r="H319" s="3">
        <v>0</v>
      </c>
      <c r="I319" s="95" t="s">
        <v>651</v>
      </c>
      <c r="J319" s="3" t="s">
        <v>651</v>
      </c>
      <c r="K319" s="230" t="s">
        <v>5</v>
      </c>
      <c r="L319" s="3" t="s">
        <v>315</v>
      </c>
      <c r="M319" s="3" t="s">
        <v>651</v>
      </c>
      <c r="N319" s="3" t="s">
        <v>651</v>
      </c>
      <c r="O319" s="225" t="s">
        <v>651</v>
      </c>
    </row>
    <row r="320" spans="1:15" x14ac:dyDescent="0.35">
      <c r="A320" s="3" t="s">
        <v>336</v>
      </c>
      <c r="B320" s="3" t="s">
        <v>546</v>
      </c>
      <c r="C320" s="3">
        <v>1</v>
      </c>
      <c r="D320" s="95" t="s">
        <v>534</v>
      </c>
      <c r="E320" s="3" t="s">
        <v>10</v>
      </c>
      <c r="F320" s="3" t="s">
        <v>6</v>
      </c>
      <c r="G320" s="3" t="s">
        <v>6</v>
      </c>
      <c r="H320" s="3">
        <v>40</v>
      </c>
      <c r="I320" s="95" t="s">
        <v>5</v>
      </c>
      <c r="J320" s="3" t="s">
        <v>2372</v>
      </c>
      <c r="K320" s="230" t="s">
        <v>5</v>
      </c>
      <c r="L320" s="3" t="s">
        <v>52</v>
      </c>
      <c r="M320" s="3" t="s">
        <v>17</v>
      </c>
      <c r="N320" s="3" t="s">
        <v>6</v>
      </c>
      <c r="O320" s="225" t="s">
        <v>26</v>
      </c>
    </row>
    <row r="321" spans="1:15" x14ac:dyDescent="0.35">
      <c r="A321" s="3" t="s">
        <v>336</v>
      </c>
      <c r="B321" s="3" t="s">
        <v>546</v>
      </c>
      <c r="C321" s="3">
        <v>1</v>
      </c>
      <c r="D321" s="95" t="s">
        <v>542</v>
      </c>
      <c r="E321" s="3" t="s">
        <v>10</v>
      </c>
      <c r="F321" s="3" t="s">
        <v>6</v>
      </c>
      <c r="G321" s="3" t="s">
        <v>6</v>
      </c>
      <c r="H321" s="3">
        <v>15</v>
      </c>
      <c r="I321" s="95" t="s">
        <v>437</v>
      </c>
      <c r="J321" s="3" t="s">
        <v>6</v>
      </c>
      <c r="K321" s="230">
        <v>45667</v>
      </c>
      <c r="L321" s="3" t="s">
        <v>2737</v>
      </c>
      <c r="M321" s="3" t="s">
        <v>49</v>
      </c>
      <c r="N321" s="3" t="s">
        <v>6</v>
      </c>
      <c r="O321" s="225" t="s">
        <v>26</v>
      </c>
    </row>
    <row r="322" spans="1:15" x14ac:dyDescent="0.35">
      <c r="A322" s="3" t="s">
        <v>336</v>
      </c>
      <c r="B322" s="3" t="s">
        <v>546</v>
      </c>
      <c r="C322" s="3">
        <v>1</v>
      </c>
      <c r="D322" s="95" t="s">
        <v>537</v>
      </c>
      <c r="E322" s="3" t="s">
        <v>10</v>
      </c>
      <c r="F322" s="3" t="s">
        <v>6</v>
      </c>
      <c r="G322" s="3" t="s">
        <v>6</v>
      </c>
      <c r="H322" s="3">
        <v>56</v>
      </c>
      <c r="I322" s="95" t="s">
        <v>437</v>
      </c>
      <c r="J322" s="3" t="s">
        <v>6</v>
      </c>
      <c r="K322" s="230">
        <v>45072</v>
      </c>
      <c r="L322" s="3" t="s">
        <v>2737</v>
      </c>
      <c r="M322" s="3" t="s">
        <v>49</v>
      </c>
      <c r="N322" s="3" t="s">
        <v>6</v>
      </c>
      <c r="O322" s="225" t="s">
        <v>26</v>
      </c>
    </row>
    <row r="323" spans="1:15" x14ac:dyDescent="0.35">
      <c r="A323" s="3" t="s">
        <v>336</v>
      </c>
      <c r="B323" s="3" t="s">
        <v>546</v>
      </c>
      <c r="C323" s="3">
        <v>1</v>
      </c>
      <c r="D323" s="95" t="s">
        <v>535</v>
      </c>
      <c r="E323" s="3" t="s">
        <v>10</v>
      </c>
      <c r="F323" s="3" t="s">
        <v>10</v>
      </c>
      <c r="G323" s="3" t="s">
        <v>6</v>
      </c>
      <c r="H323" s="3">
        <v>0</v>
      </c>
      <c r="I323" s="95" t="s">
        <v>651</v>
      </c>
      <c r="J323" s="3" t="s">
        <v>651</v>
      </c>
      <c r="K323" s="230" t="s">
        <v>5</v>
      </c>
      <c r="L323" s="3" t="s">
        <v>2737</v>
      </c>
      <c r="M323" s="3" t="s">
        <v>651</v>
      </c>
      <c r="N323" s="3" t="s">
        <v>651</v>
      </c>
      <c r="O323" s="225" t="s">
        <v>651</v>
      </c>
    </row>
    <row r="324" spans="1:15" x14ac:dyDescent="0.35">
      <c r="A324" s="3" t="s">
        <v>602</v>
      </c>
      <c r="B324" s="3" t="s">
        <v>603</v>
      </c>
      <c r="C324" s="3">
        <v>4</v>
      </c>
      <c r="D324" s="95" t="s">
        <v>541</v>
      </c>
      <c r="E324" s="3" t="s">
        <v>10</v>
      </c>
      <c r="F324" s="3" t="s">
        <v>10</v>
      </c>
      <c r="G324" s="3" t="s">
        <v>6</v>
      </c>
      <c r="H324" s="3">
        <v>2</v>
      </c>
      <c r="I324" s="95" t="s">
        <v>5</v>
      </c>
      <c r="J324" s="3" t="s">
        <v>10</v>
      </c>
      <c r="K324" s="230" t="s">
        <v>5</v>
      </c>
      <c r="L324" s="3" t="s">
        <v>174</v>
      </c>
      <c r="M324" s="3" t="s">
        <v>651</v>
      </c>
      <c r="N324" s="3" t="s">
        <v>651</v>
      </c>
      <c r="O324" s="225" t="s">
        <v>651</v>
      </c>
    </row>
    <row r="325" spans="1:15" x14ac:dyDescent="0.35">
      <c r="A325" s="3" t="s">
        <v>602</v>
      </c>
      <c r="B325" s="3" t="s">
        <v>603</v>
      </c>
      <c r="C325" s="3">
        <v>4</v>
      </c>
      <c r="D325" s="95" t="s">
        <v>548</v>
      </c>
      <c r="E325" s="3" t="s">
        <v>6</v>
      </c>
      <c r="F325" s="3" t="s">
        <v>6</v>
      </c>
      <c r="G325" s="3" t="s">
        <v>10</v>
      </c>
      <c r="H325" s="3">
        <v>39</v>
      </c>
      <c r="I325" s="95" t="s">
        <v>437</v>
      </c>
      <c r="J325" s="3" t="s">
        <v>6</v>
      </c>
      <c r="K325" s="230">
        <v>42734</v>
      </c>
      <c r="L325" s="3" t="s">
        <v>2737</v>
      </c>
      <c r="M325" s="3" t="s">
        <v>49</v>
      </c>
      <c r="N325" s="3" t="s">
        <v>6</v>
      </c>
      <c r="O325" s="225" t="s">
        <v>26</v>
      </c>
    </row>
    <row r="326" spans="1:15" x14ac:dyDescent="0.35">
      <c r="A326" s="3" t="s">
        <v>602</v>
      </c>
      <c r="B326" s="3" t="s">
        <v>603</v>
      </c>
      <c r="C326" s="3">
        <v>4</v>
      </c>
      <c r="D326" s="95" t="s">
        <v>533</v>
      </c>
      <c r="E326" s="3" t="s">
        <v>10</v>
      </c>
      <c r="F326" s="3" t="s">
        <v>10</v>
      </c>
      <c r="G326" s="3" t="s">
        <v>6</v>
      </c>
      <c r="H326" s="3">
        <v>0</v>
      </c>
      <c r="I326" s="95" t="s">
        <v>651</v>
      </c>
      <c r="J326" s="3" t="s">
        <v>651</v>
      </c>
      <c r="K326" s="230" t="s">
        <v>5</v>
      </c>
      <c r="L326" s="3" t="s">
        <v>315</v>
      </c>
      <c r="M326" s="3" t="s">
        <v>651</v>
      </c>
      <c r="N326" s="3" t="s">
        <v>651</v>
      </c>
      <c r="O326" s="225" t="s">
        <v>651</v>
      </c>
    </row>
    <row r="327" spans="1:15" x14ac:dyDescent="0.35">
      <c r="A327" s="3" t="s">
        <v>602</v>
      </c>
      <c r="B327" s="3" t="s">
        <v>603</v>
      </c>
      <c r="C327" s="3">
        <v>4</v>
      </c>
      <c r="D327" s="95" t="s">
        <v>534</v>
      </c>
      <c r="E327" s="3" t="s">
        <v>10</v>
      </c>
      <c r="F327" s="3" t="s">
        <v>10</v>
      </c>
      <c r="G327" s="3" t="s">
        <v>6</v>
      </c>
      <c r="H327" s="3">
        <v>50</v>
      </c>
      <c r="I327" s="95" t="s">
        <v>5</v>
      </c>
      <c r="J327" s="3" t="s">
        <v>10</v>
      </c>
      <c r="K327" s="230" t="s">
        <v>5</v>
      </c>
      <c r="L327" s="3" t="s">
        <v>52</v>
      </c>
      <c r="M327" s="3" t="s">
        <v>651</v>
      </c>
      <c r="N327" s="3" t="s">
        <v>651</v>
      </c>
      <c r="O327" s="225" t="s">
        <v>651</v>
      </c>
    </row>
    <row r="328" spans="1:15" x14ac:dyDescent="0.35">
      <c r="A328" s="3" t="s">
        <v>602</v>
      </c>
      <c r="B328" s="3" t="s">
        <v>603</v>
      </c>
      <c r="C328" s="3">
        <v>4</v>
      </c>
      <c r="D328" s="95" t="s">
        <v>542</v>
      </c>
      <c r="E328" s="3" t="s">
        <v>10</v>
      </c>
      <c r="F328" s="3" t="s">
        <v>10</v>
      </c>
      <c r="G328" s="3" t="s">
        <v>6</v>
      </c>
      <c r="H328" s="3">
        <v>30</v>
      </c>
      <c r="I328" s="95" t="s">
        <v>5</v>
      </c>
      <c r="J328" s="3" t="s">
        <v>10</v>
      </c>
      <c r="K328" s="230" t="s">
        <v>5</v>
      </c>
      <c r="L328" s="3" t="s">
        <v>2737</v>
      </c>
      <c r="M328" s="3" t="s">
        <v>651</v>
      </c>
      <c r="N328" s="3" t="s">
        <v>651</v>
      </c>
      <c r="O328" s="225" t="s">
        <v>651</v>
      </c>
    </row>
    <row r="329" spans="1:15" x14ac:dyDescent="0.35">
      <c r="A329" s="3" t="s">
        <v>602</v>
      </c>
      <c r="B329" s="3" t="s">
        <v>603</v>
      </c>
      <c r="C329" s="3">
        <v>4</v>
      </c>
      <c r="D329" s="95" t="s">
        <v>537</v>
      </c>
      <c r="E329" s="3" t="s">
        <v>10</v>
      </c>
      <c r="F329" s="3" t="s">
        <v>10</v>
      </c>
      <c r="G329" s="3" t="s">
        <v>6</v>
      </c>
      <c r="H329" s="3">
        <v>65</v>
      </c>
      <c r="I329" s="95" t="s">
        <v>3307</v>
      </c>
      <c r="J329" s="3" t="s">
        <v>6</v>
      </c>
      <c r="K329" s="230">
        <v>43831</v>
      </c>
      <c r="L329" s="3" t="s">
        <v>2737</v>
      </c>
      <c r="M329" s="3" t="s">
        <v>651</v>
      </c>
      <c r="N329" s="3" t="s">
        <v>651</v>
      </c>
      <c r="O329" s="225" t="s">
        <v>651</v>
      </c>
    </row>
    <row r="330" spans="1:15" x14ac:dyDescent="0.35">
      <c r="A330" s="3" t="s">
        <v>602</v>
      </c>
      <c r="B330" s="3" t="s">
        <v>603</v>
      </c>
      <c r="C330" s="3">
        <v>4</v>
      </c>
      <c r="D330" s="95" t="s">
        <v>535</v>
      </c>
      <c r="E330" s="3" t="s">
        <v>10</v>
      </c>
      <c r="F330" s="3" t="s">
        <v>10</v>
      </c>
      <c r="G330" s="3" t="s">
        <v>6</v>
      </c>
      <c r="H330" s="3">
        <v>22</v>
      </c>
      <c r="I330" s="95" t="s">
        <v>5</v>
      </c>
      <c r="J330" s="3" t="s">
        <v>10</v>
      </c>
      <c r="K330" s="230" t="s">
        <v>5</v>
      </c>
      <c r="L330" s="3" t="s">
        <v>2737</v>
      </c>
      <c r="M330" s="3" t="s">
        <v>651</v>
      </c>
      <c r="N330" s="3" t="s">
        <v>651</v>
      </c>
      <c r="O330" s="225" t="s">
        <v>651</v>
      </c>
    </row>
    <row r="331" spans="1:15" x14ac:dyDescent="0.35">
      <c r="A331" s="3" t="s">
        <v>348</v>
      </c>
      <c r="B331" s="3" t="s">
        <v>547</v>
      </c>
      <c r="C331" s="3">
        <v>8</v>
      </c>
      <c r="D331" s="95" t="s">
        <v>541</v>
      </c>
      <c r="E331" s="3" t="s">
        <v>10</v>
      </c>
      <c r="F331" s="3" t="s">
        <v>10</v>
      </c>
      <c r="G331" s="3" t="s">
        <v>6</v>
      </c>
      <c r="H331" s="3">
        <v>0</v>
      </c>
      <c r="I331" s="95" t="s">
        <v>651</v>
      </c>
      <c r="J331" s="3" t="s">
        <v>651</v>
      </c>
      <c r="K331" s="230" t="s">
        <v>5</v>
      </c>
      <c r="L331" s="3" t="s">
        <v>174</v>
      </c>
      <c r="M331" s="3" t="s">
        <v>651</v>
      </c>
      <c r="N331" s="3" t="s">
        <v>651</v>
      </c>
      <c r="O331" s="225" t="s">
        <v>651</v>
      </c>
    </row>
    <row r="332" spans="1:15" x14ac:dyDescent="0.35">
      <c r="A332" s="3" t="s">
        <v>348</v>
      </c>
      <c r="B332" s="3" t="s">
        <v>547</v>
      </c>
      <c r="C332" s="3">
        <v>8</v>
      </c>
      <c r="D332" s="95" t="s">
        <v>548</v>
      </c>
      <c r="E332" s="3" t="s">
        <v>10</v>
      </c>
      <c r="F332" s="3" t="s">
        <v>6</v>
      </c>
      <c r="G332" s="3" t="s">
        <v>6</v>
      </c>
      <c r="H332" s="3">
        <v>24</v>
      </c>
      <c r="I332" s="95" t="s">
        <v>437</v>
      </c>
      <c r="J332" s="3" t="s">
        <v>6</v>
      </c>
      <c r="K332" s="230">
        <v>44183</v>
      </c>
      <c r="L332" s="3" t="s">
        <v>2737</v>
      </c>
      <c r="M332" s="3" t="s">
        <v>49</v>
      </c>
      <c r="N332" s="3" t="s">
        <v>6</v>
      </c>
      <c r="O332" s="225" t="s">
        <v>26</v>
      </c>
    </row>
    <row r="333" spans="1:15" x14ac:dyDescent="0.35">
      <c r="A333" s="3" t="s">
        <v>348</v>
      </c>
      <c r="B333" s="3" t="s">
        <v>547</v>
      </c>
      <c r="C333" s="3">
        <v>8</v>
      </c>
      <c r="D333" s="95" t="s">
        <v>533</v>
      </c>
      <c r="E333" s="3" t="s">
        <v>10</v>
      </c>
      <c r="F333" s="3" t="s">
        <v>6</v>
      </c>
      <c r="G333" s="3" t="s">
        <v>6</v>
      </c>
      <c r="H333" s="3">
        <v>451</v>
      </c>
      <c r="I333" s="95" t="s">
        <v>5</v>
      </c>
      <c r="J333" s="3" t="s">
        <v>10</v>
      </c>
      <c r="K333" s="230" t="s">
        <v>5</v>
      </c>
      <c r="L333" s="3" t="s">
        <v>315</v>
      </c>
      <c r="M333" s="3" t="s">
        <v>49</v>
      </c>
      <c r="N333" s="3" t="s">
        <v>6</v>
      </c>
      <c r="O333" s="225" t="s">
        <v>51</v>
      </c>
    </row>
    <row r="334" spans="1:15" x14ac:dyDescent="0.35">
      <c r="A334" s="3" t="s">
        <v>348</v>
      </c>
      <c r="B334" s="3" t="s">
        <v>547</v>
      </c>
      <c r="C334" s="3">
        <v>8</v>
      </c>
      <c r="D334" s="95" t="s">
        <v>534</v>
      </c>
      <c r="E334" s="3" t="s">
        <v>10</v>
      </c>
      <c r="F334" s="3" t="s">
        <v>6</v>
      </c>
      <c r="G334" s="3" t="s">
        <v>6</v>
      </c>
      <c r="H334" s="3">
        <v>16</v>
      </c>
      <c r="I334" s="95" t="s">
        <v>5</v>
      </c>
      <c r="J334" s="3" t="s">
        <v>10</v>
      </c>
      <c r="K334" s="230" t="s">
        <v>5</v>
      </c>
      <c r="L334" s="3" t="s">
        <v>52</v>
      </c>
      <c r="M334" s="3" t="s">
        <v>17</v>
      </c>
      <c r="N334" s="3" t="s">
        <v>6</v>
      </c>
      <c r="O334" s="225" t="s">
        <v>26</v>
      </c>
    </row>
    <row r="335" spans="1:15" x14ac:dyDescent="0.35">
      <c r="A335" s="3" t="s">
        <v>348</v>
      </c>
      <c r="B335" s="3" t="s">
        <v>547</v>
      </c>
      <c r="C335" s="3">
        <v>8</v>
      </c>
      <c r="D335" s="95" t="s">
        <v>542</v>
      </c>
      <c r="E335" s="3" t="s">
        <v>10</v>
      </c>
      <c r="F335" s="3" t="s">
        <v>6</v>
      </c>
      <c r="G335" s="3" t="s">
        <v>6</v>
      </c>
      <c r="H335" s="3">
        <v>7</v>
      </c>
      <c r="I335" s="95" t="s">
        <v>437</v>
      </c>
      <c r="J335" s="3" t="s">
        <v>6</v>
      </c>
      <c r="K335" s="230">
        <v>45595</v>
      </c>
      <c r="L335" s="3" t="s">
        <v>2737</v>
      </c>
      <c r="M335" s="3" t="s">
        <v>49</v>
      </c>
      <c r="N335" s="3" t="s">
        <v>6</v>
      </c>
      <c r="O335" s="225" t="s">
        <v>26</v>
      </c>
    </row>
    <row r="336" spans="1:15" x14ac:dyDescent="0.35">
      <c r="A336" s="3" t="s">
        <v>348</v>
      </c>
      <c r="B336" s="3" t="s">
        <v>547</v>
      </c>
      <c r="C336" s="3">
        <v>8</v>
      </c>
      <c r="D336" s="95" t="s">
        <v>537</v>
      </c>
      <c r="E336" s="3" t="s">
        <v>10</v>
      </c>
      <c r="F336" s="3" t="s">
        <v>6</v>
      </c>
      <c r="G336" s="3" t="s">
        <v>6</v>
      </c>
      <c r="H336" s="3">
        <v>321</v>
      </c>
      <c r="I336" s="95" t="s">
        <v>437</v>
      </c>
      <c r="J336" s="3" t="s">
        <v>6</v>
      </c>
      <c r="K336" s="230">
        <v>44995</v>
      </c>
      <c r="L336" s="3" t="s">
        <v>2737</v>
      </c>
      <c r="M336" s="3" t="s">
        <v>49</v>
      </c>
      <c r="N336" s="3" t="s">
        <v>6</v>
      </c>
      <c r="O336" s="225" t="s">
        <v>26</v>
      </c>
    </row>
    <row r="337" spans="1:15" x14ac:dyDescent="0.35">
      <c r="A337" s="3" t="s">
        <v>348</v>
      </c>
      <c r="B337" s="3" t="s">
        <v>547</v>
      </c>
      <c r="C337" s="3">
        <v>8</v>
      </c>
      <c r="D337" s="95" t="s">
        <v>535</v>
      </c>
      <c r="E337" s="3" t="s">
        <v>10</v>
      </c>
      <c r="F337" s="3" t="s">
        <v>10</v>
      </c>
      <c r="G337" s="3" t="s">
        <v>6</v>
      </c>
      <c r="H337" s="3">
        <v>36</v>
      </c>
      <c r="I337" s="95" t="s">
        <v>5</v>
      </c>
      <c r="J337" s="3" t="s">
        <v>10</v>
      </c>
      <c r="K337" s="230" t="s">
        <v>5</v>
      </c>
      <c r="L337" s="3" t="s">
        <v>2737</v>
      </c>
      <c r="M337" s="3" t="s">
        <v>651</v>
      </c>
      <c r="N337" s="3" t="s">
        <v>651</v>
      </c>
      <c r="O337" s="225" t="s">
        <v>651</v>
      </c>
    </row>
    <row r="338" spans="1:15" x14ac:dyDescent="0.35">
      <c r="A338" s="3" t="s">
        <v>604</v>
      </c>
      <c r="B338" s="3" t="s">
        <v>605</v>
      </c>
      <c r="C338" s="3">
        <v>2</v>
      </c>
      <c r="D338" s="95" t="s">
        <v>541</v>
      </c>
      <c r="E338" s="3" t="s">
        <v>6</v>
      </c>
      <c r="F338" s="3" t="s">
        <v>10</v>
      </c>
      <c r="G338" s="3" t="s">
        <v>10</v>
      </c>
      <c r="H338" s="3">
        <v>0</v>
      </c>
      <c r="I338" s="95" t="s">
        <v>651</v>
      </c>
      <c r="J338" s="3" t="s">
        <v>651</v>
      </c>
      <c r="K338" s="230" t="s">
        <v>5</v>
      </c>
      <c r="L338" s="3" t="s">
        <v>174</v>
      </c>
      <c r="M338" s="3" t="s">
        <v>651</v>
      </c>
      <c r="N338" s="3" t="s">
        <v>651</v>
      </c>
      <c r="O338" s="225" t="s">
        <v>651</v>
      </c>
    </row>
    <row r="339" spans="1:15" x14ac:dyDescent="0.35">
      <c r="A339" s="3" t="s">
        <v>604</v>
      </c>
      <c r="B339" s="3" t="s">
        <v>605</v>
      </c>
      <c r="C339" s="3">
        <v>2</v>
      </c>
      <c r="D339" s="95" t="s">
        <v>548</v>
      </c>
      <c r="E339" s="3" t="s">
        <v>6</v>
      </c>
      <c r="F339" s="3" t="s">
        <v>6</v>
      </c>
      <c r="G339" s="3" t="s">
        <v>10</v>
      </c>
      <c r="H339" s="3">
        <v>0</v>
      </c>
      <c r="I339" s="95" t="s">
        <v>437</v>
      </c>
      <c r="J339" s="3" t="s">
        <v>6</v>
      </c>
      <c r="K339" s="230">
        <v>42734</v>
      </c>
      <c r="L339" s="3" t="s">
        <v>2737</v>
      </c>
      <c r="M339" s="3" t="s">
        <v>49</v>
      </c>
      <c r="N339" s="3" t="s">
        <v>6</v>
      </c>
      <c r="O339" s="225" t="s">
        <v>26</v>
      </c>
    </row>
    <row r="340" spans="1:15" x14ac:dyDescent="0.35">
      <c r="A340" s="3" t="s">
        <v>604</v>
      </c>
      <c r="B340" s="3" t="s">
        <v>605</v>
      </c>
      <c r="C340" s="3">
        <v>2</v>
      </c>
      <c r="D340" s="95" t="s">
        <v>533</v>
      </c>
      <c r="E340" s="3" t="s">
        <v>6</v>
      </c>
      <c r="F340" s="3" t="s">
        <v>10</v>
      </c>
      <c r="G340" s="3" t="s">
        <v>10</v>
      </c>
      <c r="H340" s="3">
        <v>0</v>
      </c>
      <c r="I340" s="95" t="s">
        <v>651</v>
      </c>
      <c r="J340" s="3" t="s">
        <v>651</v>
      </c>
      <c r="K340" s="230" t="s">
        <v>5</v>
      </c>
      <c r="L340" s="3" t="s">
        <v>315</v>
      </c>
      <c r="M340" s="3" t="s">
        <v>651</v>
      </c>
      <c r="N340" s="3" t="s">
        <v>651</v>
      </c>
      <c r="O340" s="225" t="s">
        <v>651</v>
      </c>
    </row>
    <row r="341" spans="1:15" x14ac:dyDescent="0.35">
      <c r="A341" s="3" t="s">
        <v>604</v>
      </c>
      <c r="B341" s="3" t="s">
        <v>605</v>
      </c>
      <c r="C341" s="3">
        <v>2</v>
      </c>
      <c r="D341" s="95" t="s">
        <v>534</v>
      </c>
      <c r="E341" s="3" t="s">
        <v>6</v>
      </c>
      <c r="F341" s="3" t="s">
        <v>10</v>
      </c>
      <c r="G341" s="3" t="s">
        <v>10</v>
      </c>
      <c r="H341" s="3">
        <v>0</v>
      </c>
      <c r="I341" s="95" t="s">
        <v>651</v>
      </c>
      <c r="J341" s="3" t="s">
        <v>651</v>
      </c>
      <c r="K341" s="230" t="s">
        <v>5</v>
      </c>
      <c r="L341" s="3" t="s">
        <v>52</v>
      </c>
      <c r="M341" s="3" t="s">
        <v>651</v>
      </c>
      <c r="N341" s="3" t="s">
        <v>651</v>
      </c>
      <c r="O341" s="225" t="s">
        <v>651</v>
      </c>
    </row>
    <row r="342" spans="1:15" x14ac:dyDescent="0.35">
      <c r="A342" s="3" t="s">
        <v>604</v>
      </c>
      <c r="B342" s="3" t="s">
        <v>605</v>
      </c>
      <c r="C342" s="3">
        <v>2</v>
      </c>
      <c r="D342" s="95" t="s">
        <v>542</v>
      </c>
      <c r="E342" s="3" t="s">
        <v>6</v>
      </c>
      <c r="F342" s="3" t="s">
        <v>10</v>
      </c>
      <c r="G342" s="3" t="s">
        <v>10</v>
      </c>
      <c r="H342" s="3">
        <v>0</v>
      </c>
      <c r="I342" s="95" t="s">
        <v>651</v>
      </c>
      <c r="J342" s="3" t="s">
        <v>651</v>
      </c>
      <c r="K342" s="230" t="s">
        <v>5</v>
      </c>
      <c r="L342" s="3" t="s">
        <v>2737</v>
      </c>
      <c r="M342" s="3" t="s">
        <v>651</v>
      </c>
      <c r="N342" s="3" t="s">
        <v>651</v>
      </c>
      <c r="O342" s="225" t="s">
        <v>651</v>
      </c>
    </row>
    <row r="343" spans="1:15" x14ac:dyDescent="0.35">
      <c r="A343" s="3" t="s">
        <v>604</v>
      </c>
      <c r="B343" s="3" t="s">
        <v>605</v>
      </c>
      <c r="C343" s="3">
        <v>2</v>
      </c>
      <c r="D343" s="95" t="s">
        <v>537</v>
      </c>
      <c r="E343" s="3" t="s">
        <v>6</v>
      </c>
      <c r="F343" s="3" t="s">
        <v>6</v>
      </c>
      <c r="G343" s="3" t="s">
        <v>10</v>
      </c>
      <c r="H343" s="3">
        <v>1</v>
      </c>
      <c r="I343" s="95" t="s">
        <v>437</v>
      </c>
      <c r="J343" s="3" t="s">
        <v>6</v>
      </c>
      <c r="K343" s="230">
        <v>44875</v>
      </c>
      <c r="L343" s="3" t="s">
        <v>2737</v>
      </c>
      <c r="M343" s="3" t="s">
        <v>49</v>
      </c>
      <c r="N343" s="3" t="s">
        <v>6</v>
      </c>
      <c r="O343" s="225" t="s">
        <v>26</v>
      </c>
    </row>
    <row r="344" spans="1:15" x14ac:dyDescent="0.35">
      <c r="A344" s="3" t="s">
        <v>604</v>
      </c>
      <c r="B344" s="3" t="s">
        <v>605</v>
      </c>
      <c r="C344" s="3">
        <v>2</v>
      </c>
      <c r="D344" s="95" t="s">
        <v>535</v>
      </c>
      <c r="E344" s="3" t="s">
        <v>6</v>
      </c>
      <c r="F344" s="3" t="s">
        <v>10</v>
      </c>
      <c r="G344" s="3" t="s">
        <v>10</v>
      </c>
      <c r="H344" s="3">
        <v>0</v>
      </c>
      <c r="I344" s="95" t="s">
        <v>651</v>
      </c>
      <c r="J344" s="3" t="s">
        <v>651</v>
      </c>
      <c r="K344" s="230" t="s">
        <v>5</v>
      </c>
      <c r="L344" s="3" t="s">
        <v>2737</v>
      </c>
      <c r="M344" s="3" t="s">
        <v>651</v>
      </c>
      <c r="N344" s="3" t="s">
        <v>651</v>
      </c>
      <c r="O344" s="225" t="s">
        <v>651</v>
      </c>
    </row>
    <row r="345" spans="1:15" x14ac:dyDescent="0.35">
      <c r="A345" s="3" t="s">
        <v>606</v>
      </c>
      <c r="B345" s="3" t="s">
        <v>607</v>
      </c>
      <c r="C345" s="3">
        <v>4</v>
      </c>
      <c r="D345" s="95" t="s">
        <v>541</v>
      </c>
      <c r="E345" s="3" t="s">
        <v>10</v>
      </c>
      <c r="F345" s="3" t="s">
        <v>10</v>
      </c>
      <c r="G345" s="3" t="s">
        <v>6</v>
      </c>
      <c r="H345" s="3">
        <v>15</v>
      </c>
      <c r="I345" s="95" t="s">
        <v>2583</v>
      </c>
      <c r="J345" s="3" t="s">
        <v>6</v>
      </c>
      <c r="K345" s="230">
        <v>44181</v>
      </c>
      <c r="L345" s="3" t="s">
        <v>174</v>
      </c>
      <c r="M345" s="3" t="s">
        <v>651</v>
      </c>
      <c r="N345" s="3" t="s">
        <v>651</v>
      </c>
      <c r="O345" s="225" t="s">
        <v>651</v>
      </c>
    </row>
    <row r="346" spans="1:15" x14ac:dyDescent="0.35">
      <c r="A346" s="3" t="s">
        <v>606</v>
      </c>
      <c r="B346" s="3" t="s">
        <v>607</v>
      </c>
      <c r="C346" s="3">
        <v>4</v>
      </c>
      <c r="D346" s="95" t="s">
        <v>548</v>
      </c>
      <c r="E346" s="3" t="s">
        <v>6</v>
      </c>
      <c r="F346" s="3" t="s">
        <v>6</v>
      </c>
      <c r="G346" s="3" t="s">
        <v>10</v>
      </c>
      <c r="H346" s="3">
        <v>48</v>
      </c>
      <c r="I346" s="95" t="s">
        <v>437</v>
      </c>
      <c r="J346" s="3" t="s">
        <v>6</v>
      </c>
      <c r="K346" s="230">
        <v>42734</v>
      </c>
      <c r="L346" s="3" t="s">
        <v>2737</v>
      </c>
      <c r="M346" s="3" t="s">
        <v>49</v>
      </c>
      <c r="N346" s="3" t="s">
        <v>6</v>
      </c>
      <c r="O346" s="225" t="s">
        <v>26</v>
      </c>
    </row>
    <row r="347" spans="1:15" x14ac:dyDescent="0.35">
      <c r="A347" s="3" t="s">
        <v>606</v>
      </c>
      <c r="B347" s="3" t="s">
        <v>607</v>
      </c>
      <c r="C347" s="3">
        <v>4</v>
      </c>
      <c r="D347" s="95" t="s">
        <v>533</v>
      </c>
      <c r="E347" s="3" t="s">
        <v>10</v>
      </c>
      <c r="F347" s="3" t="s">
        <v>10</v>
      </c>
      <c r="G347" s="3" t="s">
        <v>6</v>
      </c>
      <c r="H347" s="3">
        <v>15</v>
      </c>
      <c r="I347" s="95" t="s">
        <v>2583</v>
      </c>
      <c r="J347" s="3" t="s">
        <v>6</v>
      </c>
      <c r="K347" s="230">
        <v>44200</v>
      </c>
      <c r="L347" s="3" t="s">
        <v>315</v>
      </c>
      <c r="M347" s="3" t="s">
        <v>651</v>
      </c>
      <c r="N347" s="3" t="s">
        <v>651</v>
      </c>
      <c r="O347" s="225" t="s">
        <v>651</v>
      </c>
    </row>
    <row r="348" spans="1:15" x14ac:dyDescent="0.35">
      <c r="A348" s="3" t="s">
        <v>606</v>
      </c>
      <c r="B348" s="3" t="s">
        <v>607</v>
      </c>
      <c r="C348" s="3">
        <v>4</v>
      </c>
      <c r="D348" s="95" t="s">
        <v>534</v>
      </c>
      <c r="E348" s="3" t="s">
        <v>10</v>
      </c>
      <c r="F348" s="3" t="s">
        <v>10</v>
      </c>
      <c r="G348" s="3" t="s">
        <v>6</v>
      </c>
      <c r="H348" s="3">
        <v>96</v>
      </c>
      <c r="I348" s="95" t="s">
        <v>2583</v>
      </c>
      <c r="J348" s="3" t="s">
        <v>6</v>
      </c>
      <c r="K348" s="230">
        <v>45079</v>
      </c>
      <c r="L348" s="3" t="s">
        <v>52</v>
      </c>
      <c r="M348" s="3" t="s">
        <v>651</v>
      </c>
      <c r="N348" s="3" t="s">
        <v>651</v>
      </c>
      <c r="O348" s="225" t="s">
        <v>651</v>
      </c>
    </row>
    <row r="349" spans="1:15" x14ac:dyDescent="0.35">
      <c r="A349" s="3" t="s">
        <v>606</v>
      </c>
      <c r="B349" s="3" t="s">
        <v>607</v>
      </c>
      <c r="C349" s="3">
        <v>4</v>
      </c>
      <c r="D349" s="95" t="s">
        <v>542</v>
      </c>
      <c r="E349" s="3" t="s">
        <v>10</v>
      </c>
      <c r="F349" s="3" t="s">
        <v>10</v>
      </c>
      <c r="G349" s="3" t="s">
        <v>6</v>
      </c>
      <c r="H349" s="3">
        <v>104</v>
      </c>
      <c r="I349" s="95" t="s">
        <v>2583</v>
      </c>
      <c r="J349" s="3" t="s">
        <v>6</v>
      </c>
      <c r="K349" s="230">
        <v>44267</v>
      </c>
      <c r="L349" s="3" t="s">
        <v>2737</v>
      </c>
      <c r="M349" s="3" t="s">
        <v>651</v>
      </c>
      <c r="N349" s="3" t="s">
        <v>651</v>
      </c>
      <c r="O349" s="225" t="s">
        <v>651</v>
      </c>
    </row>
    <row r="350" spans="1:15" x14ac:dyDescent="0.35">
      <c r="A350" s="3" t="s">
        <v>606</v>
      </c>
      <c r="B350" s="3" t="s">
        <v>607</v>
      </c>
      <c r="C350" s="3">
        <v>4</v>
      </c>
      <c r="D350" s="95" t="s">
        <v>537</v>
      </c>
      <c r="E350" s="3" t="s">
        <v>10</v>
      </c>
      <c r="F350" s="3" t="s">
        <v>10</v>
      </c>
      <c r="G350" s="3" t="s">
        <v>6</v>
      </c>
      <c r="H350" s="3">
        <v>246</v>
      </c>
      <c r="I350" s="95" t="s">
        <v>2583</v>
      </c>
      <c r="J350" s="3" t="s">
        <v>6</v>
      </c>
      <c r="K350" s="230">
        <v>44182</v>
      </c>
      <c r="L350" s="3" t="s">
        <v>2737</v>
      </c>
      <c r="M350" s="3" t="s">
        <v>651</v>
      </c>
      <c r="N350" s="3" t="s">
        <v>651</v>
      </c>
      <c r="O350" s="225" t="s">
        <v>651</v>
      </c>
    </row>
    <row r="351" spans="1:15" x14ac:dyDescent="0.35">
      <c r="A351" s="3" t="s">
        <v>606</v>
      </c>
      <c r="B351" s="3" t="s">
        <v>607</v>
      </c>
      <c r="C351" s="3">
        <v>4</v>
      </c>
      <c r="D351" s="95" t="s">
        <v>535</v>
      </c>
      <c r="E351" s="3" t="s">
        <v>10</v>
      </c>
      <c r="F351" s="3" t="s">
        <v>10</v>
      </c>
      <c r="G351" s="3" t="s">
        <v>6</v>
      </c>
      <c r="H351" s="3">
        <v>0</v>
      </c>
      <c r="I351" s="95" t="s">
        <v>651</v>
      </c>
      <c r="J351" s="3" t="s">
        <v>651</v>
      </c>
      <c r="K351" s="230" t="s">
        <v>5</v>
      </c>
      <c r="L351" s="3" t="s">
        <v>2737</v>
      </c>
      <c r="M351" s="3" t="s">
        <v>651</v>
      </c>
      <c r="N351" s="3" t="s">
        <v>651</v>
      </c>
      <c r="O351" s="225" t="s">
        <v>651</v>
      </c>
    </row>
    <row r="352" spans="1:15" x14ac:dyDescent="0.35">
      <c r="A352" s="3" t="s">
        <v>368</v>
      </c>
      <c r="B352" s="3" t="s">
        <v>549</v>
      </c>
      <c r="C352" s="3">
        <v>6</v>
      </c>
      <c r="D352" s="95" t="s">
        <v>541</v>
      </c>
      <c r="E352" s="3" t="s">
        <v>10</v>
      </c>
      <c r="F352" s="3" t="s">
        <v>10</v>
      </c>
      <c r="G352" s="3" t="s">
        <v>6</v>
      </c>
      <c r="H352" s="3">
        <v>0</v>
      </c>
      <c r="I352" s="95" t="s">
        <v>651</v>
      </c>
      <c r="J352" s="3" t="s">
        <v>651</v>
      </c>
      <c r="K352" s="230" t="s">
        <v>5</v>
      </c>
      <c r="L352" s="3" t="s">
        <v>174</v>
      </c>
      <c r="M352" s="3" t="s">
        <v>651</v>
      </c>
      <c r="N352" s="3" t="s">
        <v>651</v>
      </c>
      <c r="O352" s="225" t="s">
        <v>651</v>
      </c>
    </row>
    <row r="353" spans="1:15" x14ac:dyDescent="0.35">
      <c r="A353" s="3" t="s">
        <v>368</v>
      </c>
      <c r="B353" s="3" t="s">
        <v>549</v>
      </c>
      <c r="C353" s="3">
        <v>6</v>
      </c>
      <c r="D353" s="95" t="s">
        <v>548</v>
      </c>
      <c r="E353" s="3" t="s">
        <v>10</v>
      </c>
      <c r="F353" s="3" t="s">
        <v>6</v>
      </c>
      <c r="G353" s="3" t="s">
        <v>6</v>
      </c>
      <c r="H353" s="3">
        <v>2111</v>
      </c>
      <c r="I353" s="95" t="s">
        <v>437</v>
      </c>
      <c r="J353" s="3" t="s">
        <v>6</v>
      </c>
      <c r="K353" s="230">
        <v>44071</v>
      </c>
      <c r="L353" s="3" t="s">
        <v>2737</v>
      </c>
      <c r="M353" s="3" t="s">
        <v>49</v>
      </c>
      <c r="N353" s="3" t="s">
        <v>6</v>
      </c>
      <c r="O353" s="225" t="s">
        <v>26</v>
      </c>
    </row>
    <row r="354" spans="1:15" x14ac:dyDescent="0.35">
      <c r="A354" s="3" t="s">
        <v>368</v>
      </c>
      <c r="B354" s="3" t="s">
        <v>549</v>
      </c>
      <c r="C354" s="3">
        <v>6</v>
      </c>
      <c r="D354" s="95" t="s">
        <v>533</v>
      </c>
      <c r="E354" s="3" t="s">
        <v>10</v>
      </c>
      <c r="F354" s="3" t="s">
        <v>6</v>
      </c>
      <c r="G354" s="3" t="s">
        <v>6</v>
      </c>
      <c r="H354" s="3">
        <v>514</v>
      </c>
      <c r="I354" s="95" t="s">
        <v>5</v>
      </c>
      <c r="J354" s="3" t="s">
        <v>10</v>
      </c>
      <c r="K354" s="230" t="s">
        <v>5</v>
      </c>
      <c r="L354" s="3" t="s">
        <v>315</v>
      </c>
      <c r="M354" s="3" t="s">
        <v>49</v>
      </c>
      <c r="N354" s="3" t="s">
        <v>6</v>
      </c>
      <c r="O354" s="225" t="s">
        <v>51</v>
      </c>
    </row>
    <row r="355" spans="1:15" x14ac:dyDescent="0.35">
      <c r="A355" s="3" t="s">
        <v>368</v>
      </c>
      <c r="B355" s="3" t="s">
        <v>549</v>
      </c>
      <c r="C355" s="3">
        <v>6</v>
      </c>
      <c r="D355" s="95" t="s">
        <v>534</v>
      </c>
      <c r="E355" s="3" t="s">
        <v>10</v>
      </c>
      <c r="F355" s="3" t="s">
        <v>6</v>
      </c>
      <c r="G355" s="3" t="s">
        <v>6</v>
      </c>
      <c r="H355" s="3">
        <v>561</v>
      </c>
      <c r="I355" s="95" t="s">
        <v>437</v>
      </c>
      <c r="J355" s="3" t="s">
        <v>6</v>
      </c>
      <c r="K355" s="230">
        <v>45513</v>
      </c>
      <c r="L355" s="3" t="s">
        <v>52</v>
      </c>
      <c r="M355" s="3" t="s">
        <v>17</v>
      </c>
      <c r="N355" s="3" t="s">
        <v>6</v>
      </c>
      <c r="O355" s="225" t="s">
        <v>26</v>
      </c>
    </row>
    <row r="356" spans="1:15" x14ac:dyDescent="0.35">
      <c r="A356" s="3" t="s">
        <v>368</v>
      </c>
      <c r="B356" s="3" t="s">
        <v>549</v>
      </c>
      <c r="C356" s="3">
        <v>6</v>
      </c>
      <c r="D356" s="95" t="s">
        <v>542</v>
      </c>
      <c r="E356" s="3" t="s">
        <v>10</v>
      </c>
      <c r="F356" s="3" t="s">
        <v>6</v>
      </c>
      <c r="G356" s="3" t="s">
        <v>6</v>
      </c>
      <c r="H356" s="3">
        <v>74</v>
      </c>
      <c r="I356" s="95" t="s">
        <v>437</v>
      </c>
      <c r="J356" s="3" t="s">
        <v>6</v>
      </c>
      <c r="K356" s="230">
        <v>45667</v>
      </c>
      <c r="L356" s="3" t="s">
        <v>2737</v>
      </c>
      <c r="M356" s="3" t="s">
        <v>49</v>
      </c>
      <c r="N356" s="3" t="s">
        <v>6</v>
      </c>
      <c r="O356" s="225" t="s">
        <v>26</v>
      </c>
    </row>
    <row r="357" spans="1:15" x14ac:dyDescent="0.35">
      <c r="A357" s="3" t="s">
        <v>368</v>
      </c>
      <c r="B357" s="3" t="s">
        <v>549</v>
      </c>
      <c r="C357" s="3">
        <v>6</v>
      </c>
      <c r="D357" s="95" t="s">
        <v>537</v>
      </c>
      <c r="E357" s="3" t="s">
        <v>10</v>
      </c>
      <c r="F357" s="3" t="s">
        <v>6</v>
      </c>
      <c r="G357" s="3" t="s">
        <v>6</v>
      </c>
      <c r="H357" s="3">
        <v>3201</v>
      </c>
      <c r="I357" s="95" t="s">
        <v>437</v>
      </c>
      <c r="J357" s="3" t="s">
        <v>6</v>
      </c>
      <c r="K357" s="230">
        <v>45023</v>
      </c>
      <c r="L357" s="3" t="s">
        <v>2737</v>
      </c>
      <c r="M357" s="3" t="s">
        <v>49</v>
      </c>
      <c r="N357" s="3" t="s">
        <v>6</v>
      </c>
      <c r="O357" s="225" t="s">
        <v>26</v>
      </c>
    </row>
    <row r="358" spans="1:15" x14ac:dyDescent="0.35">
      <c r="A358" s="3" t="s">
        <v>368</v>
      </c>
      <c r="B358" s="3" t="s">
        <v>549</v>
      </c>
      <c r="C358" s="3">
        <v>6</v>
      </c>
      <c r="D358" s="95" t="s">
        <v>535</v>
      </c>
      <c r="E358" s="3" t="s">
        <v>10</v>
      </c>
      <c r="F358" s="3" t="s">
        <v>6</v>
      </c>
      <c r="G358" s="3" t="s">
        <v>6</v>
      </c>
      <c r="H358" s="3">
        <v>123</v>
      </c>
      <c r="I358" s="95" t="s">
        <v>5</v>
      </c>
      <c r="J358" s="3" t="s">
        <v>10</v>
      </c>
      <c r="K358" s="230" t="s">
        <v>5</v>
      </c>
      <c r="L358" s="3" t="s">
        <v>2737</v>
      </c>
      <c r="M358" s="3" t="s">
        <v>49</v>
      </c>
      <c r="N358" s="3" t="s">
        <v>6</v>
      </c>
      <c r="O358" s="225" t="s">
        <v>51</v>
      </c>
    </row>
    <row r="359" spans="1:15" x14ac:dyDescent="0.35">
      <c r="A359" s="3" t="s">
        <v>370</v>
      </c>
      <c r="B359" s="3" t="s">
        <v>550</v>
      </c>
      <c r="C359" s="3">
        <v>8</v>
      </c>
      <c r="D359" s="95" t="s">
        <v>541</v>
      </c>
      <c r="E359" s="3" t="s">
        <v>10</v>
      </c>
      <c r="F359" s="3" t="s">
        <v>10</v>
      </c>
      <c r="G359" s="3" t="s">
        <v>6</v>
      </c>
      <c r="H359" s="3">
        <v>0</v>
      </c>
      <c r="I359" s="95" t="s">
        <v>651</v>
      </c>
      <c r="J359" s="3" t="s">
        <v>651</v>
      </c>
      <c r="K359" s="230" t="s">
        <v>5</v>
      </c>
      <c r="L359" s="3" t="s">
        <v>174</v>
      </c>
      <c r="M359" s="3" t="s">
        <v>651</v>
      </c>
      <c r="N359" s="3" t="s">
        <v>651</v>
      </c>
      <c r="O359" s="225" t="s">
        <v>651</v>
      </c>
    </row>
    <row r="360" spans="1:15" x14ac:dyDescent="0.35">
      <c r="A360" s="3" t="s">
        <v>370</v>
      </c>
      <c r="B360" s="3" t="s">
        <v>550</v>
      </c>
      <c r="C360" s="3">
        <v>8</v>
      </c>
      <c r="D360" s="95" t="s">
        <v>548</v>
      </c>
      <c r="E360" s="3" t="s">
        <v>10</v>
      </c>
      <c r="F360" s="3" t="s">
        <v>6</v>
      </c>
      <c r="G360" s="3" t="s">
        <v>6</v>
      </c>
      <c r="H360" s="3">
        <v>50</v>
      </c>
      <c r="I360" s="95" t="s">
        <v>437</v>
      </c>
      <c r="J360" s="3" t="s">
        <v>6</v>
      </c>
      <c r="K360" s="230">
        <v>44183</v>
      </c>
      <c r="L360" s="3" t="s">
        <v>2737</v>
      </c>
      <c r="M360" s="3" t="s">
        <v>49</v>
      </c>
      <c r="N360" s="3" t="s">
        <v>6</v>
      </c>
      <c r="O360" s="225" t="s">
        <v>26</v>
      </c>
    </row>
    <row r="361" spans="1:15" x14ac:dyDescent="0.35">
      <c r="A361" s="3" t="s">
        <v>370</v>
      </c>
      <c r="B361" s="3" t="s">
        <v>550</v>
      </c>
      <c r="C361" s="3">
        <v>8</v>
      </c>
      <c r="D361" s="95" t="s">
        <v>533</v>
      </c>
      <c r="E361" s="3" t="s">
        <v>10</v>
      </c>
      <c r="F361" s="3" t="s">
        <v>6</v>
      </c>
      <c r="G361" s="3" t="s">
        <v>6</v>
      </c>
      <c r="H361" s="3">
        <v>6</v>
      </c>
      <c r="I361" s="95" t="s">
        <v>5</v>
      </c>
      <c r="J361" s="3" t="s">
        <v>10</v>
      </c>
      <c r="K361" s="230" t="s">
        <v>5</v>
      </c>
      <c r="L361" s="3" t="s">
        <v>315</v>
      </c>
      <c r="M361" s="3" t="s">
        <v>49</v>
      </c>
      <c r="N361" s="3" t="s">
        <v>6</v>
      </c>
      <c r="O361" s="225" t="s">
        <v>51</v>
      </c>
    </row>
    <row r="362" spans="1:15" x14ac:dyDescent="0.35">
      <c r="A362" s="3" t="s">
        <v>370</v>
      </c>
      <c r="B362" s="3" t="s">
        <v>550</v>
      </c>
      <c r="C362" s="3">
        <v>8</v>
      </c>
      <c r="D362" s="95" t="s">
        <v>534</v>
      </c>
      <c r="E362" s="3" t="s">
        <v>10</v>
      </c>
      <c r="F362" s="3" t="s">
        <v>6</v>
      </c>
      <c r="G362" s="3" t="s">
        <v>6</v>
      </c>
      <c r="H362" s="3">
        <v>96</v>
      </c>
      <c r="I362" s="95" t="s">
        <v>437</v>
      </c>
      <c r="J362" s="3" t="s">
        <v>6</v>
      </c>
      <c r="K362" s="230">
        <v>45457</v>
      </c>
      <c r="L362" s="3" t="s">
        <v>52</v>
      </c>
      <c r="M362" s="3" t="s">
        <v>17</v>
      </c>
      <c r="N362" s="3" t="s">
        <v>6</v>
      </c>
      <c r="O362" s="225" t="s">
        <v>26</v>
      </c>
    </row>
    <row r="363" spans="1:15" x14ac:dyDescent="0.35">
      <c r="A363" s="3" t="s">
        <v>370</v>
      </c>
      <c r="B363" s="3" t="s">
        <v>550</v>
      </c>
      <c r="C363" s="3">
        <v>8</v>
      </c>
      <c r="D363" s="95" t="s">
        <v>542</v>
      </c>
      <c r="E363" s="3" t="s">
        <v>10</v>
      </c>
      <c r="F363" s="3" t="s">
        <v>6</v>
      </c>
      <c r="G363" s="3" t="s">
        <v>6</v>
      </c>
      <c r="H363" s="3">
        <v>21</v>
      </c>
      <c r="I363" s="95" t="s">
        <v>437</v>
      </c>
      <c r="J363" s="3" t="s">
        <v>6</v>
      </c>
      <c r="K363" s="230">
        <v>45555</v>
      </c>
      <c r="L363" s="3" t="s">
        <v>2737</v>
      </c>
      <c r="M363" s="3" t="s">
        <v>49</v>
      </c>
      <c r="N363" s="3" t="s">
        <v>6</v>
      </c>
      <c r="O363" s="225" t="s">
        <v>26</v>
      </c>
    </row>
    <row r="364" spans="1:15" x14ac:dyDescent="0.35">
      <c r="A364" s="3" t="s">
        <v>370</v>
      </c>
      <c r="B364" s="3" t="s">
        <v>550</v>
      </c>
      <c r="C364" s="3">
        <v>8</v>
      </c>
      <c r="D364" s="95" t="s">
        <v>537</v>
      </c>
      <c r="E364" s="3" t="s">
        <v>10</v>
      </c>
      <c r="F364" s="3" t="s">
        <v>6</v>
      </c>
      <c r="G364" s="3" t="s">
        <v>6</v>
      </c>
      <c r="H364" s="3">
        <v>60</v>
      </c>
      <c r="I364" s="95" t="s">
        <v>437</v>
      </c>
      <c r="J364" s="3" t="s">
        <v>6</v>
      </c>
      <c r="K364" s="230">
        <v>45086</v>
      </c>
      <c r="L364" s="3" t="s">
        <v>2737</v>
      </c>
      <c r="M364" s="3" t="s">
        <v>49</v>
      </c>
      <c r="N364" s="3" t="s">
        <v>6</v>
      </c>
      <c r="O364" s="225" t="s">
        <v>26</v>
      </c>
    </row>
    <row r="365" spans="1:15" x14ac:dyDescent="0.35">
      <c r="A365" s="3" t="s">
        <v>370</v>
      </c>
      <c r="B365" s="3" t="s">
        <v>550</v>
      </c>
      <c r="C365" s="3">
        <v>8</v>
      </c>
      <c r="D365" s="95" t="s">
        <v>535</v>
      </c>
      <c r="E365" s="3" t="s">
        <v>10</v>
      </c>
      <c r="F365" s="3" t="s">
        <v>6</v>
      </c>
      <c r="G365" s="3" t="s">
        <v>6</v>
      </c>
      <c r="H365" s="3">
        <v>1</v>
      </c>
      <c r="I365" s="95" t="s">
        <v>5</v>
      </c>
      <c r="J365" s="3" t="s">
        <v>10</v>
      </c>
      <c r="K365" s="230" t="s">
        <v>5</v>
      </c>
      <c r="L365" s="3" t="s">
        <v>2737</v>
      </c>
      <c r="M365" s="3" t="s">
        <v>49</v>
      </c>
      <c r="N365" s="3" t="s">
        <v>6</v>
      </c>
      <c r="O365" s="225" t="s">
        <v>51</v>
      </c>
    </row>
    <row r="366" spans="1:15" x14ac:dyDescent="0.35">
      <c r="A366" s="3" t="s">
        <v>393</v>
      </c>
      <c r="B366" s="3" t="s">
        <v>608</v>
      </c>
      <c r="C366" s="3">
        <v>3</v>
      </c>
      <c r="D366" s="95" t="s">
        <v>541</v>
      </c>
      <c r="E366" s="3" t="s">
        <v>10</v>
      </c>
      <c r="F366" s="3" t="s">
        <v>10</v>
      </c>
      <c r="G366" s="3" t="s">
        <v>6</v>
      </c>
      <c r="H366" s="3">
        <v>29</v>
      </c>
      <c r="I366" s="95" t="s">
        <v>5</v>
      </c>
      <c r="J366" s="3" t="s">
        <v>10</v>
      </c>
      <c r="K366" s="230" t="s">
        <v>5</v>
      </c>
      <c r="L366" s="3" t="s">
        <v>174</v>
      </c>
      <c r="M366" s="3" t="s">
        <v>651</v>
      </c>
      <c r="N366" s="3" t="s">
        <v>651</v>
      </c>
      <c r="O366" s="225" t="s">
        <v>651</v>
      </c>
    </row>
    <row r="367" spans="1:15" x14ac:dyDescent="0.35">
      <c r="A367" s="3" t="s">
        <v>393</v>
      </c>
      <c r="B367" s="3" t="s">
        <v>608</v>
      </c>
      <c r="C367" s="3">
        <v>3</v>
      </c>
      <c r="D367" s="95" t="s">
        <v>548</v>
      </c>
      <c r="E367" s="3" t="s">
        <v>6</v>
      </c>
      <c r="F367" s="3" t="s">
        <v>6</v>
      </c>
      <c r="G367" s="3" t="s">
        <v>10</v>
      </c>
      <c r="H367" s="3">
        <v>53</v>
      </c>
      <c r="I367" s="95" t="s">
        <v>437</v>
      </c>
      <c r="J367" s="3" t="s">
        <v>6</v>
      </c>
      <c r="K367" s="230">
        <v>42734</v>
      </c>
      <c r="L367" s="3" t="s">
        <v>2737</v>
      </c>
      <c r="M367" s="3" t="s">
        <v>49</v>
      </c>
      <c r="N367" s="3" t="s">
        <v>6</v>
      </c>
      <c r="O367" s="225" t="s">
        <v>26</v>
      </c>
    </row>
    <row r="368" spans="1:15" x14ac:dyDescent="0.35">
      <c r="A368" s="3" t="s">
        <v>393</v>
      </c>
      <c r="B368" s="3" t="s">
        <v>608</v>
      </c>
      <c r="C368" s="3">
        <v>3</v>
      </c>
      <c r="D368" s="95" t="s">
        <v>533</v>
      </c>
      <c r="E368" s="3" t="s">
        <v>10</v>
      </c>
      <c r="F368" s="3" t="s">
        <v>10</v>
      </c>
      <c r="G368" s="3" t="s">
        <v>6</v>
      </c>
      <c r="H368" s="3">
        <v>10</v>
      </c>
      <c r="I368" s="95" t="s">
        <v>5</v>
      </c>
      <c r="J368" s="3" t="s">
        <v>10</v>
      </c>
      <c r="K368" s="230" t="s">
        <v>5</v>
      </c>
      <c r="L368" s="3" t="s">
        <v>315</v>
      </c>
      <c r="M368" s="3" t="s">
        <v>651</v>
      </c>
      <c r="N368" s="3" t="s">
        <v>651</v>
      </c>
      <c r="O368" s="225" t="s">
        <v>651</v>
      </c>
    </row>
    <row r="369" spans="1:15" x14ac:dyDescent="0.35">
      <c r="A369" s="3" t="s">
        <v>393</v>
      </c>
      <c r="B369" s="3" t="s">
        <v>608</v>
      </c>
      <c r="C369" s="3">
        <v>3</v>
      </c>
      <c r="D369" s="95" t="s">
        <v>534</v>
      </c>
      <c r="E369" s="3" t="s">
        <v>10</v>
      </c>
      <c r="F369" s="3" t="s">
        <v>10</v>
      </c>
      <c r="G369" s="3" t="s">
        <v>6</v>
      </c>
      <c r="H369" s="3">
        <v>113</v>
      </c>
      <c r="I369" s="95" t="s">
        <v>5</v>
      </c>
      <c r="J369" s="3" t="s">
        <v>10</v>
      </c>
      <c r="K369" s="230" t="s">
        <v>5</v>
      </c>
      <c r="L369" s="3" t="s">
        <v>52</v>
      </c>
      <c r="M369" s="3" t="s">
        <v>651</v>
      </c>
      <c r="N369" s="3" t="s">
        <v>651</v>
      </c>
      <c r="O369" s="225" t="s">
        <v>651</v>
      </c>
    </row>
    <row r="370" spans="1:15" x14ac:dyDescent="0.35">
      <c r="A370" s="3" t="s">
        <v>393</v>
      </c>
      <c r="B370" s="3" t="s">
        <v>608</v>
      </c>
      <c r="C370" s="3">
        <v>3</v>
      </c>
      <c r="D370" s="95" t="s">
        <v>542</v>
      </c>
      <c r="E370" s="3" t="s">
        <v>10</v>
      </c>
      <c r="F370" s="3" t="s">
        <v>10</v>
      </c>
      <c r="G370" s="3" t="s">
        <v>6</v>
      </c>
      <c r="H370" s="3">
        <v>49</v>
      </c>
      <c r="I370" s="95" t="s">
        <v>5</v>
      </c>
      <c r="J370" s="3" t="s">
        <v>10</v>
      </c>
      <c r="K370" s="230" t="s">
        <v>5</v>
      </c>
      <c r="L370" s="3" t="s">
        <v>2737</v>
      </c>
      <c r="M370" s="3" t="s">
        <v>651</v>
      </c>
      <c r="N370" s="3" t="s">
        <v>651</v>
      </c>
      <c r="O370" s="225" t="s">
        <v>651</v>
      </c>
    </row>
    <row r="371" spans="1:15" x14ac:dyDescent="0.35">
      <c r="A371" s="3" t="s">
        <v>393</v>
      </c>
      <c r="B371" s="3" t="s">
        <v>608</v>
      </c>
      <c r="C371" s="3">
        <v>3</v>
      </c>
      <c r="D371" s="95" t="s">
        <v>537</v>
      </c>
      <c r="E371" s="3" t="s">
        <v>10</v>
      </c>
      <c r="F371" s="3" t="s">
        <v>10</v>
      </c>
      <c r="G371" s="3" t="s">
        <v>6</v>
      </c>
      <c r="H371" s="3">
        <v>156</v>
      </c>
      <c r="I371" s="95" t="s">
        <v>5</v>
      </c>
      <c r="J371" s="3" t="s">
        <v>10</v>
      </c>
      <c r="K371" s="230" t="s">
        <v>5</v>
      </c>
      <c r="L371" s="3" t="s">
        <v>2737</v>
      </c>
      <c r="M371" s="3" t="s">
        <v>651</v>
      </c>
      <c r="N371" s="3" t="s">
        <v>651</v>
      </c>
      <c r="O371" s="225" t="s">
        <v>651</v>
      </c>
    </row>
    <row r="372" spans="1:15" x14ac:dyDescent="0.35">
      <c r="A372" s="3" t="s">
        <v>393</v>
      </c>
      <c r="B372" s="3" t="s">
        <v>608</v>
      </c>
      <c r="C372" s="3">
        <v>3</v>
      </c>
      <c r="D372" s="95" t="s">
        <v>535</v>
      </c>
      <c r="E372" s="3" t="s">
        <v>10</v>
      </c>
      <c r="F372" s="3" t="s">
        <v>10</v>
      </c>
      <c r="G372" s="3" t="s">
        <v>6</v>
      </c>
      <c r="H372" s="3">
        <v>6</v>
      </c>
      <c r="I372" s="95" t="s">
        <v>5</v>
      </c>
      <c r="J372" s="3" t="s">
        <v>10</v>
      </c>
      <c r="K372" s="230" t="s">
        <v>5</v>
      </c>
      <c r="L372" s="3" t="s">
        <v>2737</v>
      </c>
      <c r="M372" s="3" t="s">
        <v>651</v>
      </c>
      <c r="N372" s="3" t="s">
        <v>651</v>
      </c>
      <c r="O372" s="225" t="s">
        <v>651</v>
      </c>
    </row>
    <row r="373" spans="1:15" x14ac:dyDescent="0.35">
      <c r="A373" s="3" t="s">
        <v>395</v>
      </c>
      <c r="B373" s="3" t="s">
        <v>551</v>
      </c>
      <c r="C373" s="3">
        <v>2</v>
      </c>
      <c r="D373" s="95" t="s">
        <v>541</v>
      </c>
      <c r="E373" s="3" t="s">
        <v>10</v>
      </c>
      <c r="F373" s="3" t="s">
        <v>6</v>
      </c>
      <c r="G373" s="3" t="s">
        <v>6</v>
      </c>
      <c r="H373" s="3">
        <v>3</v>
      </c>
      <c r="I373" s="95" t="s">
        <v>5</v>
      </c>
      <c r="J373" s="3" t="s">
        <v>10</v>
      </c>
      <c r="K373" s="230" t="s">
        <v>5</v>
      </c>
      <c r="L373" s="3" t="s">
        <v>174</v>
      </c>
      <c r="M373" s="3" t="s">
        <v>17</v>
      </c>
      <c r="N373" s="3" t="s">
        <v>6</v>
      </c>
      <c r="O373" s="225" t="s">
        <v>51</v>
      </c>
    </row>
    <row r="374" spans="1:15" x14ac:dyDescent="0.35">
      <c r="A374" s="3" t="s">
        <v>395</v>
      </c>
      <c r="B374" s="3" t="s">
        <v>551</v>
      </c>
      <c r="C374" s="3">
        <v>2</v>
      </c>
      <c r="D374" s="95" t="s">
        <v>548</v>
      </c>
      <c r="E374" s="3" t="s">
        <v>6</v>
      </c>
      <c r="F374" s="3" t="s">
        <v>6</v>
      </c>
      <c r="G374" s="3" t="s">
        <v>10</v>
      </c>
      <c r="H374" s="3">
        <v>2</v>
      </c>
      <c r="I374" s="95" t="s">
        <v>437</v>
      </c>
      <c r="J374" s="3" t="s">
        <v>6</v>
      </c>
      <c r="K374" s="230">
        <v>42734</v>
      </c>
      <c r="L374" s="3" t="s">
        <v>2737</v>
      </c>
      <c r="M374" s="3" t="s">
        <v>49</v>
      </c>
      <c r="N374" s="3" t="s">
        <v>6</v>
      </c>
      <c r="O374" s="225" t="s">
        <v>26</v>
      </c>
    </row>
    <row r="375" spans="1:15" x14ac:dyDescent="0.35">
      <c r="A375" s="3" t="s">
        <v>395</v>
      </c>
      <c r="B375" s="3" t="s">
        <v>551</v>
      </c>
      <c r="C375" s="3">
        <v>2</v>
      </c>
      <c r="D375" s="95" t="s">
        <v>533</v>
      </c>
      <c r="E375" s="3" t="s">
        <v>10</v>
      </c>
      <c r="F375" s="3" t="s">
        <v>10</v>
      </c>
      <c r="G375" s="3" t="s">
        <v>6</v>
      </c>
      <c r="H375" s="3">
        <v>0</v>
      </c>
      <c r="I375" s="95" t="s">
        <v>651</v>
      </c>
      <c r="J375" s="3" t="s">
        <v>651</v>
      </c>
      <c r="K375" s="230" t="s">
        <v>5</v>
      </c>
      <c r="L375" s="3" t="s">
        <v>315</v>
      </c>
      <c r="M375" s="3" t="s">
        <v>651</v>
      </c>
      <c r="N375" s="3" t="s">
        <v>651</v>
      </c>
      <c r="O375" s="225" t="s">
        <v>651</v>
      </c>
    </row>
    <row r="376" spans="1:15" x14ac:dyDescent="0.35">
      <c r="A376" s="3" t="s">
        <v>395</v>
      </c>
      <c r="B376" s="3" t="s">
        <v>551</v>
      </c>
      <c r="C376" s="3">
        <v>2</v>
      </c>
      <c r="D376" s="95" t="s">
        <v>534</v>
      </c>
      <c r="E376" s="3" t="s">
        <v>10</v>
      </c>
      <c r="F376" s="3" t="s">
        <v>10</v>
      </c>
      <c r="G376" s="3" t="s">
        <v>6</v>
      </c>
      <c r="H376" s="3">
        <v>0</v>
      </c>
      <c r="I376" s="95" t="s">
        <v>651</v>
      </c>
      <c r="J376" s="3" t="s">
        <v>651</v>
      </c>
      <c r="K376" s="230" t="s">
        <v>5</v>
      </c>
      <c r="L376" s="3" t="s">
        <v>52</v>
      </c>
      <c r="M376" s="3" t="s">
        <v>651</v>
      </c>
      <c r="N376" s="3" t="s">
        <v>651</v>
      </c>
      <c r="O376" s="225" t="s">
        <v>651</v>
      </c>
    </row>
    <row r="377" spans="1:15" x14ac:dyDescent="0.35">
      <c r="A377" s="3" t="s">
        <v>395</v>
      </c>
      <c r="B377" s="3" t="s">
        <v>551</v>
      </c>
      <c r="C377" s="3">
        <v>2</v>
      </c>
      <c r="D377" s="95" t="s">
        <v>542</v>
      </c>
      <c r="E377" s="3" t="s">
        <v>6</v>
      </c>
      <c r="F377" s="3" t="s">
        <v>10</v>
      </c>
      <c r="G377" s="3" t="s">
        <v>10</v>
      </c>
      <c r="H377" s="3">
        <v>0</v>
      </c>
      <c r="I377" s="95" t="s">
        <v>651</v>
      </c>
      <c r="J377" s="3" t="s">
        <v>651</v>
      </c>
      <c r="K377" s="230" t="s">
        <v>5</v>
      </c>
      <c r="L377" s="3" t="s">
        <v>2737</v>
      </c>
      <c r="M377" s="3" t="s">
        <v>651</v>
      </c>
      <c r="N377" s="3" t="s">
        <v>651</v>
      </c>
      <c r="O377" s="225" t="s">
        <v>651</v>
      </c>
    </row>
    <row r="378" spans="1:15" x14ac:dyDescent="0.35">
      <c r="A378" s="3" t="s">
        <v>395</v>
      </c>
      <c r="B378" s="3" t="s">
        <v>551</v>
      </c>
      <c r="C378" s="3">
        <v>2</v>
      </c>
      <c r="D378" s="95" t="s">
        <v>537</v>
      </c>
      <c r="E378" s="3" t="s">
        <v>10</v>
      </c>
      <c r="F378" s="3" t="s">
        <v>6</v>
      </c>
      <c r="G378" s="3" t="s">
        <v>6</v>
      </c>
      <c r="H378" s="3">
        <v>8</v>
      </c>
      <c r="I378" s="95" t="s">
        <v>437</v>
      </c>
      <c r="J378" s="3" t="s">
        <v>6</v>
      </c>
      <c r="K378" s="230">
        <v>44995</v>
      </c>
      <c r="L378" s="3" t="s">
        <v>2737</v>
      </c>
      <c r="M378" s="3" t="s">
        <v>49</v>
      </c>
      <c r="N378" s="3" t="s">
        <v>6</v>
      </c>
      <c r="O378" s="225" t="s">
        <v>26</v>
      </c>
    </row>
    <row r="379" spans="1:15" x14ac:dyDescent="0.35">
      <c r="A379" s="3" t="s">
        <v>395</v>
      </c>
      <c r="B379" s="3" t="s">
        <v>551</v>
      </c>
      <c r="C379" s="3">
        <v>2</v>
      </c>
      <c r="D379" s="95" t="s">
        <v>535</v>
      </c>
      <c r="E379" s="3" t="s">
        <v>6</v>
      </c>
      <c r="F379" s="3" t="s">
        <v>10</v>
      </c>
      <c r="G379" s="3" t="s">
        <v>10</v>
      </c>
      <c r="H379" s="3">
        <v>0</v>
      </c>
      <c r="I379" s="95" t="s">
        <v>651</v>
      </c>
      <c r="J379" s="3" t="s">
        <v>651</v>
      </c>
      <c r="K379" s="230" t="s">
        <v>5</v>
      </c>
      <c r="L379" s="3" t="s">
        <v>2737</v>
      </c>
      <c r="M379" s="3" t="s">
        <v>651</v>
      </c>
      <c r="N379" s="3" t="s">
        <v>651</v>
      </c>
      <c r="O379" s="225" t="s">
        <v>651</v>
      </c>
    </row>
    <row r="380" spans="1:15" x14ac:dyDescent="0.35">
      <c r="A380" s="3" t="s">
        <v>402</v>
      </c>
      <c r="B380" s="3" t="s">
        <v>609</v>
      </c>
      <c r="C380" s="3">
        <v>1</v>
      </c>
      <c r="D380" s="95" t="s">
        <v>541</v>
      </c>
      <c r="E380" s="3" t="s">
        <v>10</v>
      </c>
      <c r="F380" s="3" t="s">
        <v>10</v>
      </c>
      <c r="G380" s="3" t="s">
        <v>6</v>
      </c>
      <c r="H380" s="3">
        <v>0</v>
      </c>
      <c r="I380" s="95" t="s">
        <v>651</v>
      </c>
      <c r="J380" s="3" t="s">
        <v>651</v>
      </c>
      <c r="K380" s="230" t="s">
        <v>5</v>
      </c>
      <c r="L380" s="3" t="s">
        <v>174</v>
      </c>
      <c r="M380" s="3" t="s">
        <v>651</v>
      </c>
      <c r="N380" s="3" t="s">
        <v>651</v>
      </c>
      <c r="O380" s="225" t="s">
        <v>651</v>
      </c>
    </row>
    <row r="381" spans="1:15" x14ac:dyDescent="0.35">
      <c r="A381" s="3" t="s">
        <v>402</v>
      </c>
      <c r="B381" s="3" t="s">
        <v>609</v>
      </c>
      <c r="C381" s="3">
        <v>1</v>
      </c>
      <c r="D381" s="95" t="s">
        <v>548</v>
      </c>
      <c r="E381" s="3" t="s">
        <v>6</v>
      </c>
      <c r="F381" s="3" t="s">
        <v>6</v>
      </c>
      <c r="G381" s="3" t="s">
        <v>10</v>
      </c>
      <c r="H381" s="3">
        <v>6</v>
      </c>
      <c r="I381" s="95" t="s">
        <v>437</v>
      </c>
      <c r="J381" s="3" t="s">
        <v>6</v>
      </c>
      <c r="K381" s="230">
        <v>42734</v>
      </c>
      <c r="L381" s="3" t="s">
        <v>2737</v>
      </c>
      <c r="M381" s="3" t="s">
        <v>49</v>
      </c>
      <c r="N381" s="3" t="s">
        <v>6</v>
      </c>
      <c r="O381" s="225" t="s">
        <v>26</v>
      </c>
    </row>
    <row r="382" spans="1:15" x14ac:dyDescent="0.35">
      <c r="A382" s="3" t="s">
        <v>402</v>
      </c>
      <c r="B382" s="3" t="s">
        <v>609</v>
      </c>
      <c r="C382" s="3">
        <v>1</v>
      </c>
      <c r="D382" s="95" t="s">
        <v>533</v>
      </c>
      <c r="E382" s="3" t="s">
        <v>10</v>
      </c>
      <c r="F382" s="3" t="s">
        <v>10</v>
      </c>
      <c r="G382" s="3" t="s">
        <v>6</v>
      </c>
      <c r="H382" s="3">
        <v>0</v>
      </c>
      <c r="I382" s="95" t="s">
        <v>651</v>
      </c>
      <c r="J382" s="3" t="s">
        <v>651</v>
      </c>
      <c r="K382" s="230" t="s">
        <v>5</v>
      </c>
      <c r="L382" s="3" t="s">
        <v>315</v>
      </c>
      <c r="M382" s="3" t="s">
        <v>651</v>
      </c>
      <c r="N382" s="3" t="s">
        <v>651</v>
      </c>
      <c r="O382" s="225" t="s">
        <v>651</v>
      </c>
    </row>
    <row r="383" spans="1:15" x14ac:dyDescent="0.35">
      <c r="A383" s="3" t="s">
        <v>402</v>
      </c>
      <c r="B383" s="3" t="s">
        <v>609</v>
      </c>
      <c r="C383" s="3">
        <v>1</v>
      </c>
      <c r="D383" s="95" t="s">
        <v>534</v>
      </c>
      <c r="E383" s="3" t="s">
        <v>10</v>
      </c>
      <c r="F383" s="3" t="s">
        <v>10</v>
      </c>
      <c r="G383" s="3" t="s">
        <v>6</v>
      </c>
      <c r="H383" s="3">
        <v>15</v>
      </c>
      <c r="I383" s="95" t="s">
        <v>5</v>
      </c>
      <c r="J383" s="3" t="s">
        <v>10</v>
      </c>
      <c r="K383" s="230" t="s">
        <v>5</v>
      </c>
      <c r="L383" s="3" t="s">
        <v>52</v>
      </c>
      <c r="M383" s="3" t="s">
        <v>651</v>
      </c>
      <c r="N383" s="3" t="s">
        <v>651</v>
      </c>
      <c r="O383" s="225" t="s">
        <v>651</v>
      </c>
    </row>
    <row r="384" spans="1:15" x14ac:dyDescent="0.35">
      <c r="A384" s="3" t="s">
        <v>402</v>
      </c>
      <c r="B384" s="3" t="s">
        <v>609</v>
      </c>
      <c r="C384" s="3">
        <v>1</v>
      </c>
      <c r="D384" s="95" t="s">
        <v>542</v>
      </c>
      <c r="E384" s="3" t="s">
        <v>10</v>
      </c>
      <c r="F384" s="3" t="s">
        <v>10</v>
      </c>
      <c r="G384" s="3" t="s">
        <v>6</v>
      </c>
      <c r="H384" s="3">
        <v>0</v>
      </c>
      <c r="I384" s="95" t="s">
        <v>651</v>
      </c>
      <c r="J384" s="3" t="s">
        <v>651</v>
      </c>
      <c r="K384" s="230" t="s">
        <v>5</v>
      </c>
      <c r="L384" s="3" t="s">
        <v>2737</v>
      </c>
      <c r="M384" s="3" t="s">
        <v>651</v>
      </c>
      <c r="N384" s="3" t="s">
        <v>651</v>
      </c>
      <c r="O384" s="225" t="s">
        <v>651</v>
      </c>
    </row>
    <row r="385" spans="1:15" x14ac:dyDescent="0.35">
      <c r="A385" s="3" t="s">
        <v>402</v>
      </c>
      <c r="B385" s="3" t="s">
        <v>609</v>
      </c>
      <c r="C385" s="3">
        <v>1</v>
      </c>
      <c r="D385" s="95" t="s">
        <v>537</v>
      </c>
      <c r="E385" s="3" t="s">
        <v>10</v>
      </c>
      <c r="F385" s="3" t="s">
        <v>10</v>
      </c>
      <c r="G385" s="3" t="s">
        <v>6</v>
      </c>
      <c r="H385" s="3">
        <v>92</v>
      </c>
      <c r="I385" s="95" t="s">
        <v>3308</v>
      </c>
      <c r="J385" s="3" t="s">
        <v>6</v>
      </c>
      <c r="K385" s="230">
        <v>42248</v>
      </c>
      <c r="L385" s="3" t="s">
        <v>2737</v>
      </c>
      <c r="M385" s="3" t="s">
        <v>651</v>
      </c>
      <c r="N385" s="3" t="s">
        <v>651</v>
      </c>
      <c r="O385" s="225" t="s">
        <v>651</v>
      </c>
    </row>
    <row r="386" spans="1:15" x14ac:dyDescent="0.35">
      <c r="A386" s="3" t="s">
        <v>402</v>
      </c>
      <c r="B386" s="3" t="s">
        <v>609</v>
      </c>
      <c r="C386" s="3">
        <v>1</v>
      </c>
      <c r="D386" s="95" t="s">
        <v>535</v>
      </c>
      <c r="E386" s="3" t="s">
        <v>10</v>
      </c>
      <c r="F386" s="3" t="s">
        <v>10</v>
      </c>
      <c r="G386" s="3" t="s">
        <v>6</v>
      </c>
      <c r="H386" s="3">
        <v>34</v>
      </c>
      <c r="I386" s="95" t="s">
        <v>5</v>
      </c>
      <c r="J386" s="3" t="s">
        <v>10</v>
      </c>
      <c r="K386" s="230" t="s">
        <v>5</v>
      </c>
      <c r="L386" s="3" t="s">
        <v>2737</v>
      </c>
      <c r="M386" s="3" t="s">
        <v>651</v>
      </c>
      <c r="N386" s="3" t="s">
        <v>651</v>
      </c>
      <c r="O386" s="225" t="s">
        <v>651</v>
      </c>
    </row>
    <row r="387" spans="1:15" x14ac:dyDescent="0.35">
      <c r="A387" s="3" t="s">
        <v>406</v>
      </c>
      <c r="B387" s="3" t="s">
        <v>610</v>
      </c>
      <c r="C387" s="3">
        <v>10</v>
      </c>
      <c r="D387" s="95" t="s">
        <v>541</v>
      </c>
      <c r="E387" s="3" t="s">
        <v>10</v>
      </c>
      <c r="F387" s="3" t="s">
        <v>10</v>
      </c>
      <c r="G387" s="3" t="s">
        <v>6</v>
      </c>
      <c r="H387" s="3">
        <v>0</v>
      </c>
      <c r="I387" s="95" t="s">
        <v>651</v>
      </c>
      <c r="J387" s="3" t="s">
        <v>651</v>
      </c>
      <c r="K387" s="230" t="s">
        <v>5</v>
      </c>
      <c r="L387" s="3" t="s">
        <v>174</v>
      </c>
      <c r="M387" s="3" t="s">
        <v>651</v>
      </c>
      <c r="N387" s="3" t="s">
        <v>651</v>
      </c>
      <c r="O387" s="225" t="s">
        <v>651</v>
      </c>
    </row>
    <row r="388" spans="1:15" x14ac:dyDescent="0.35">
      <c r="A388" s="3" t="s">
        <v>406</v>
      </c>
      <c r="B388" s="3" t="s">
        <v>610</v>
      </c>
      <c r="C388" s="3">
        <v>10</v>
      </c>
      <c r="D388" s="95" t="s">
        <v>548</v>
      </c>
      <c r="E388" s="3" t="s">
        <v>6</v>
      </c>
      <c r="F388" s="3" t="s">
        <v>6</v>
      </c>
      <c r="G388" s="3" t="s">
        <v>10</v>
      </c>
      <c r="H388" s="3">
        <v>70</v>
      </c>
      <c r="I388" s="95" t="s">
        <v>437</v>
      </c>
      <c r="J388" s="3" t="s">
        <v>6</v>
      </c>
      <c r="K388" s="230">
        <v>42734</v>
      </c>
      <c r="L388" s="3" t="s">
        <v>2737</v>
      </c>
      <c r="M388" s="3" t="s">
        <v>49</v>
      </c>
      <c r="N388" s="3" t="s">
        <v>6</v>
      </c>
      <c r="O388" s="225" t="s">
        <v>26</v>
      </c>
    </row>
    <row r="389" spans="1:15" x14ac:dyDescent="0.35">
      <c r="A389" s="3" t="s">
        <v>406</v>
      </c>
      <c r="B389" s="3" t="s">
        <v>610</v>
      </c>
      <c r="C389" s="3">
        <v>10</v>
      </c>
      <c r="D389" s="95" t="s">
        <v>533</v>
      </c>
      <c r="E389" s="3" t="s">
        <v>10</v>
      </c>
      <c r="F389" s="3" t="s">
        <v>10</v>
      </c>
      <c r="G389" s="3" t="s">
        <v>6</v>
      </c>
      <c r="H389" s="3">
        <v>25</v>
      </c>
      <c r="I389" s="95" t="s">
        <v>2612</v>
      </c>
      <c r="J389" s="3" t="s">
        <v>6</v>
      </c>
      <c r="K389" s="230">
        <v>42753</v>
      </c>
      <c r="L389" s="3" t="s">
        <v>315</v>
      </c>
      <c r="M389" s="3" t="s">
        <v>651</v>
      </c>
      <c r="N389" s="3" t="s">
        <v>651</v>
      </c>
      <c r="O389" s="225" t="s">
        <v>651</v>
      </c>
    </row>
    <row r="390" spans="1:15" x14ac:dyDescent="0.35">
      <c r="A390" s="3" t="s">
        <v>406</v>
      </c>
      <c r="B390" s="3" t="s">
        <v>610</v>
      </c>
      <c r="C390" s="3">
        <v>10</v>
      </c>
      <c r="D390" s="95" t="s">
        <v>534</v>
      </c>
      <c r="E390" s="3" t="s">
        <v>10</v>
      </c>
      <c r="F390" s="3" t="s">
        <v>10</v>
      </c>
      <c r="G390" s="3" t="s">
        <v>6</v>
      </c>
      <c r="H390" s="3">
        <v>165</v>
      </c>
      <c r="I390" s="95" t="s">
        <v>2612</v>
      </c>
      <c r="J390" s="3" t="s">
        <v>6</v>
      </c>
      <c r="K390" s="230">
        <v>43678</v>
      </c>
      <c r="L390" s="3" t="s">
        <v>52</v>
      </c>
      <c r="M390" s="3" t="s">
        <v>651</v>
      </c>
      <c r="N390" s="3" t="s">
        <v>651</v>
      </c>
      <c r="O390" s="225" t="s">
        <v>651</v>
      </c>
    </row>
    <row r="391" spans="1:15" x14ac:dyDescent="0.35">
      <c r="A391" s="3" t="s">
        <v>406</v>
      </c>
      <c r="B391" s="3" t="s">
        <v>610</v>
      </c>
      <c r="C391" s="3">
        <v>10</v>
      </c>
      <c r="D391" s="95" t="s">
        <v>542</v>
      </c>
      <c r="E391" s="3" t="s">
        <v>10</v>
      </c>
      <c r="F391" s="3" t="s">
        <v>10</v>
      </c>
      <c r="G391" s="3" t="s">
        <v>6</v>
      </c>
      <c r="H391" s="3">
        <v>19</v>
      </c>
      <c r="I391" s="95" t="s">
        <v>2612</v>
      </c>
      <c r="J391" s="3" t="s">
        <v>6</v>
      </c>
      <c r="K391" s="230">
        <v>42370</v>
      </c>
      <c r="L391" s="3" t="s">
        <v>2737</v>
      </c>
      <c r="M391" s="3" t="s">
        <v>651</v>
      </c>
      <c r="N391" s="3" t="s">
        <v>651</v>
      </c>
      <c r="O391" s="225" t="s">
        <v>651</v>
      </c>
    </row>
    <row r="392" spans="1:15" x14ac:dyDescent="0.35">
      <c r="A392" s="3" t="s">
        <v>406</v>
      </c>
      <c r="B392" s="3" t="s">
        <v>610</v>
      </c>
      <c r="C392" s="3">
        <v>10</v>
      </c>
      <c r="D392" s="95" t="s">
        <v>537</v>
      </c>
      <c r="E392" s="3" t="s">
        <v>10</v>
      </c>
      <c r="F392" s="3" t="s">
        <v>10</v>
      </c>
      <c r="G392" s="3" t="s">
        <v>6</v>
      </c>
      <c r="H392" s="3">
        <v>398</v>
      </c>
      <c r="I392" s="95" t="s">
        <v>2612</v>
      </c>
      <c r="J392" s="3" t="s">
        <v>6</v>
      </c>
      <c r="K392" s="230">
        <v>42370</v>
      </c>
      <c r="L392" s="3" t="s">
        <v>2737</v>
      </c>
      <c r="M392" s="3" t="s">
        <v>651</v>
      </c>
      <c r="N392" s="3" t="s">
        <v>651</v>
      </c>
      <c r="O392" s="225" t="s">
        <v>651</v>
      </c>
    </row>
    <row r="393" spans="1:15" x14ac:dyDescent="0.35">
      <c r="A393" s="3" t="s">
        <v>406</v>
      </c>
      <c r="B393" s="3" t="s">
        <v>610</v>
      </c>
      <c r="C393" s="3">
        <v>10</v>
      </c>
      <c r="D393" s="95" t="s">
        <v>535</v>
      </c>
      <c r="E393" s="3" t="s">
        <v>10</v>
      </c>
      <c r="F393" s="3" t="s">
        <v>10</v>
      </c>
      <c r="G393" s="3" t="s">
        <v>6</v>
      </c>
      <c r="H393" s="3">
        <v>115</v>
      </c>
      <c r="I393" s="95" t="s">
        <v>2612</v>
      </c>
      <c r="J393" s="3" t="s">
        <v>6</v>
      </c>
      <c r="K393" s="230">
        <v>42370</v>
      </c>
      <c r="L393" s="3" t="s">
        <v>2737</v>
      </c>
      <c r="M393" s="3" t="s">
        <v>651</v>
      </c>
      <c r="N393" s="3" t="s">
        <v>651</v>
      </c>
      <c r="O393" s="225" t="s">
        <v>651</v>
      </c>
    </row>
    <row r="394" spans="1:15" x14ac:dyDescent="0.35">
      <c r="A394" s="3" t="s">
        <v>412</v>
      </c>
      <c r="B394" s="3" t="s">
        <v>1832</v>
      </c>
      <c r="C394" s="3">
        <v>5</v>
      </c>
      <c r="D394" s="95" t="s">
        <v>541</v>
      </c>
      <c r="E394" s="3" t="s">
        <v>10</v>
      </c>
      <c r="F394" s="3" t="s">
        <v>10</v>
      </c>
      <c r="G394" s="3" t="s">
        <v>6</v>
      </c>
      <c r="H394" s="3">
        <v>0</v>
      </c>
      <c r="I394" s="95" t="s">
        <v>651</v>
      </c>
      <c r="J394" s="3" t="s">
        <v>651</v>
      </c>
      <c r="K394" s="230" t="s">
        <v>5</v>
      </c>
      <c r="L394" s="3" t="s">
        <v>174</v>
      </c>
      <c r="M394" s="3" t="s">
        <v>651</v>
      </c>
      <c r="N394" s="3" t="s">
        <v>651</v>
      </c>
      <c r="O394" s="225" t="s">
        <v>651</v>
      </c>
    </row>
    <row r="395" spans="1:15" x14ac:dyDescent="0.35">
      <c r="A395" s="3" t="s">
        <v>412</v>
      </c>
      <c r="B395" s="3" t="s">
        <v>1832</v>
      </c>
      <c r="C395" s="3">
        <v>5</v>
      </c>
      <c r="D395" s="95" t="s">
        <v>548</v>
      </c>
      <c r="E395" s="3" t="s">
        <v>10</v>
      </c>
      <c r="F395" s="3" t="s">
        <v>10</v>
      </c>
      <c r="G395" s="3" t="s">
        <v>6</v>
      </c>
      <c r="H395" s="3">
        <v>577</v>
      </c>
      <c r="I395" s="95" t="s">
        <v>5</v>
      </c>
      <c r="J395" s="3" t="s">
        <v>10</v>
      </c>
      <c r="K395" s="230" t="s">
        <v>5</v>
      </c>
      <c r="L395" s="3" t="s">
        <v>2737</v>
      </c>
      <c r="M395" s="3" t="s">
        <v>651</v>
      </c>
      <c r="N395" s="3" t="s">
        <v>651</v>
      </c>
      <c r="O395" s="225" t="s">
        <v>651</v>
      </c>
    </row>
    <row r="396" spans="1:15" x14ac:dyDescent="0.35">
      <c r="A396" s="3" t="s">
        <v>412</v>
      </c>
      <c r="B396" s="3" t="s">
        <v>1832</v>
      </c>
      <c r="C396" s="3">
        <v>5</v>
      </c>
      <c r="D396" s="95" t="s">
        <v>533</v>
      </c>
      <c r="E396" s="3" t="s">
        <v>10</v>
      </c>
      <c r="F396" s="3" t="s">
        <v>10</v>
      </c>
      <c r="G396" s="3" t="s">
        <v>6</v>
      </c>
      <c r="H396" s="3">
        <v>14</v>
      </c>
      <c r="I396" s="95" t="s">
        <v>2640</v>
      </c>
      <c r="J396" s="3" t="s">
        <v>6</v>
      </c>
      <c r="K396" s="230">
        <v>42370</v>
      </c>
      <c r="L396" s="3" t="s">
        <v>315</v>
      </c>
      <c r="M396" s="3" t="s">
        <v>651</v>
      </c>
      <c r="N396" s="3" t="s">
        <v>651</v>
      </c>
      <c r="O396" s="225" t="s">
        <v>651</v>
      </c>
    </row>
    <row r="397" spans="1:15" x14ac:dyDescent="0.35">
      <c r="A397" s="3" t="s">
        <v>412</v>
      </c>
      <c r="B397" s="3" t="s">
        <v>1832</v>
      </c>
      <c r="C397" s="3">
        <v>5</v>
      </c>
      <c r="D397" s="95" t="s">
        <v>534</v>
      </c>
      <c r="E397" s="3" t="s">
        <v>10</v>
      </c>
      <c r="F397" s="3" t="s">
        <v>10</v>
      </c>
      <c r="G397" s="3" t="s">
        <v>6</v>
      </c>
      <c r="H397" s="3">
        <v>245</v>
      </c>
      <c r="I397" s="95" t="s">
        <v>2640</v>
      </c>
      <c r="J397" s="3" t="s">
        <v>6</v>
      </c>
      <c r="K397" s="230">
        <v>43101</v>
      </c>
      <c r="L397" s="3" t="s">
        <v>52</v>
      </c>
      <c r="M397" s="3" t="s">
        <v>651</v>
      </c>
      <c r="N397" s="3" t="s">
        <v>651</v>
      </c>
      <c r="O397" s="225" t="s">
        <v>651</v>
      </c>
    </row>
    <row r="398" spans="1:15" x14ac:dyDescent="0.35">
      <c r="A398" s="3" t="s">
        <v>412</v>
      </c>
      <c r="B398" s="3" t="s">
        <v>1832</v>
      </c>
      <c r="C398" s="3">
        <v>5</v>
      </c>
      <c r="D398" s="95" t="s">
        <v>542</v>
      </c>
      <c r="E398" s="3" t="s">
        <v>10</v>
      </c>
      <c r="F398" s="3" t="s">
        <v>10</v>
      </c>
      <c r="G398" s="3" t="s">
        <v>6</v>
      </c>
      <c r="H398" s="3">
        <v>27</v>
      </c>
      <c r="I398" s="95" t="s">
        <v>5</v>
      </c>
      <c r="J398" s="3" t="s">
        <v>10</v>
      </c>
      <c r="K398" s="230" t="s">
        <v>5</v>
      </c>
      <c r="L398" s="3" t="s">
        <v>2737</v>
      </c>
      <c r="M398" s="3" t="s">
        <v>651</v>
      </c>
      <c r="N398" s="3" t="s">
        <v>651</v>
      </c>
      <c r="O398" s="225" t="s">
        <v>651</v>
      </c>
    </row>
    <row r="399" spans="1:15" x14ac:dyDescent="0.35">
      <c r="A399" s="3" t="s">
        <v>412</v>
      </c>
      <c r="B399" s="3" t="s">
        <v>1832</v>
      </c>
      <c r="C399" s="3">
        <v>5</v>
      </c>
      <c r="D399" s="95" t="s">
        <v>537</v>
      </c>
      <c r="E399" s="3" t="s">
        <v>10</v>
      </c>
      <c r="F399" s="3" t="s">
        <v>10</v>
      </c>
      <c r="G399" s="3" t="s">
        <v>6</v>
      </c>
      <c r="H399" s="3">
        <v>577</v>
      </c>
      <c r="I399" s="95" t="s">
        <v>5</v>
      </c>
      <c r="J399" s="3" t="s">
        <v>10</v>
      </c>
      <c r="K399" s="230" t="s">
        <v>5</v>
      </c>
      <c r="L399" s="3" t="s">
        <v>2737</v>
      </c>
      <c r="M399" s="3" t="s">
        <v>651</v>
      </c>
      <c r="N399" s="3" t="s">
        <v>651</v>
      </c>
      <c r="O399" s="225" t="s">
        <v>651</v>
      </c>
    </row>
    <row r="400" spans="1:15" x14ac:dyDescent="0.35">
      <c r="A400" s="3" t="s">
        <v>412</v>
      </c>
      <c r="B400" s="3" t="s">
        <v>1832</v>
      </c>
      <c r="C400" s="3">
        <v>5</v>
      </c>
      <c r="D400" s="95" t="s">
        <v>535</v>
      </c>
      <c r="E400" s="3" t="s">
        <v>10</v>
      </c>
      <c r="F400" s="3" t="s">
        <v>10</v>
      </c>
      <c r="G400" s="3" t="s">
        <v>6</v>
      </c>
      <c r="H400" s="3">
        <v>485</v>
      </c>
      <c r="I400" s="95" t="s">
        <v>3309</v>
      </c>
      <c r="J400" s="3" t="s">
        <v>6</v>
      </c>
      <c r="K400" s="230">
        <v>42405</v>
      </c>
      <c r="L400" s="3" t="s">
        <v>2737</v>
      </c>
      <c r="M400" s="3" t="s">
        <v>651</v>
      </c>
      <c r="N400" s="3" t="s">
        <v>651</v>
      </c>
      <c r="O400" s="225" t="s">
        <v>651</v>
      </c>
    </row>
    <row r="401" spans="1:15" x14ac:dyDescent="0.35">
      <c r="A401" s="3" t="s">
        <v>611</v>
      </c>
      <c r="B401" s="3" t="s">
        <v>612</v>
      </c>
      <c r="C401" s="3">
        <v>3</v>
      </c>
      <c r="D401" s="95" t="s">
        <v>541</v>
      </c>
      <c r="E401" s="3" t="s">
        <v>10</v>
      </c>
      <c r="F401" s="3" t="s">
        <v>10</v>
      </c>
      <c r="G401" s="3" t="s">
        <v>6</v>
      </c>
      <c r="H401" s="3">
        <v>6</v>
      </c>
      <c r="I401" s="95" t="s">
        <v>5</v>
      </c>
      <c r="J401" s="3" t="s">
        <v>10</v>
      </c>
      <c r="K401" s="230" t="s">
        <v>5</v>
      </c>
      <c r="L401" s="3" t="s">
        <v>174</v>
      </c>
      <c r="M401" s="3" t="s">
        <v>651</v>
      </c>
      <c r="N401" s="3" t="s">
        <v>651</v>
      </c>
      <c r="O401" s="225" t="s">
        <v>651</v>
      </c>
    </row>
    <row r="402" spans="1:15" x14ac:dyDescent="0.35">
      <c r="A402" s="3" t="s">
        <v>611</v>
      </c>
      <c r="B402" s="3" t="s">
        <v>612</v>
      </c>
      <c r="C402" s="3">
        <v>3</v>
      </c>
      <c r="D402" s="95" t="s">
        <v>548</v>
      </c>
      <c r="E402" s="3" t="s">
        <v>6</v>
      </c>
      <c r="F402" s="3" t="s">
        <v>6</v>
      </c>
      <c r="G402" s="3" t="s">
        <v>10</v>
      </c>
      <c r="H402" s="3">
        <v>20</v>
      </c>
      <c r="I402" s="95" t="s">
        <v>437</v>
      </c>
      <c r="J402" s="3" t="s">
        <v>6</v>
      </c>
      <c r="K402" s="230">
        <v>42734</v>
      </c>
      <c r="L402" s="3" t="s">
        <v>2737</v>
      </c>
      <c r="M402" s="3" t="s">
        <v>49</v>
      </c>
      <c r="N402" s="3" t="s">
        <v>6</v>
      </c>
      <c r="O402" s="225" t="s">
        <v>26</v>
      </c>
    </row>
    <row r="403" spans="1:15" x14ac:dyDescent="0.35">
      <c r="A403" s="3" t="s">
        <v>611</v>
      </c>
      <c r="B403" s="3" t="s">
        <v>612</v>
      </c>
      <c r="C403" s="3">
        <v>3</v>
      </c>
      <c r="D403" s="95" t="s">
        <v>533</v>
      </c>
      <c r="E403" s="3" t="s">
        <v>10</v>
      </c>
      <c r="F403" s="3" t="s">
        <v>10</v>
      </c>
      <c r="G403" s="3" t="s">
        <v>6</v>
      </c>
      <c r="H403" s="3">
        <v>2</v>
      </c>
      <c r="I403" s="95" t="s">
        <v>5</v>
      </c>
      <c r="J403" s="3" t="s">
        <v>10</v>
      </c>
      <c r="K403" s="230" t="s">
        <v>5</v>
      </c>
      <c r="L403" s="3" t="s">
        <v>315</v>
      </c>
      <c r="M403" s="3" t="s">
        <v>651</v>
      </c>
      <c r="N403" s="3" t="s">
        <v>651</v>
      </c>
      <c r="O403" s="225" t="s">
        <v>651</v>
      </c>
    </row>
    <row r="404" spans="1:15" x14ac:dyDescent="0.35">
      <c r="A404" s="3" t="s">
        <v>611</v>
      </c>
      <c r="B404" s="3" t="s">
        <v>612</v>
      </c>
      <c r="C404" s="3">
        <v>3</v>
      </c>
      <c r="D404" s="95" t="s">
        <v>534</v>
      </c>
      <c r="E404" s="3" t="s">
        <v>10</v>
      </c>
      <c r="F404" s="3" t="s">
        <v>10</v>
      </c>
      <c r="G404" s="3" t="s">
        <v>6</v>
      </c>
      <c r="H404" s="3">
        <v>51</v>
      </c>
      <c r="I404" s="95" t="s">
        <v>5</v>
      </c>
      <c r="J404" s="3" t="s">
        <v>10</v>
      </c>
      <c r="K404" s="230" t="s">
        <v>5</v>
      </c>
      <c r="L404" s="3" t="s">
        <v>52</v>
      </c>
      <c r="M404" s="3" t="s">
        <v>651</v>
      </c>
      <c r="N404" s="3" t="s">
        <v>651</v>
      </c>
      <c r="O404" s="225" t="s">
        <v>651</v>
      </c>
    </row>
    <row r="405" spans="1:15" x14ac:dyDescent="0.35">
      <c r="A405" s="3" t="s">
        <v>611</v>
      </c>
      <c r="B405" s="3" t="s">
        <v>612</v>
      </c>
      <c r="C405" s="3">
        <v>3</v>
      </c>
      <c r="D405" s="95" t="s">
        <v>542</v>
      </c>
      <c r="E405" s="3" t="s">
        <v>10</v>
      </c>
      <c r="F405" s="3" t="s">
        <v>10</v>
      </c>
      <c r="G405" s="3" t="s">
        <v>6</v>
      </c>
      <c r="H405" s="3">
        <v>9</v>
      </c>
      <c r="I405" s="95" t="s">
        <v>5</v>
      </c>
      <c r="J405" s="3" t="s">
        <v>10</v>
      </c>
      <c r="K405" s="230" t="s">
        <v>5</v>
      </c>
      <c r="L405" s="3" t="s">
        <v>2737</v>
      </c>
      <c r="M405" s="3" t="s">
        <v>651</v>
      </c>
      <c r="N405" s="3" t="s">
        <v>651</v>
      </c>
      <c r="O405" s="225" t="s">
        <v>651</v>
      </c>
    </row>
    <row r="406" spans="1:15" x14ac:dyDescent="0.35">
      <c r="A406" s="3" t="s">
        <v>611</v>
      </c>
      <c r="B406" s="3" t="s">
        <v>612</v>
      </c>
      <c r="C406" s="3">
        <v>3</v>
      </c>
      <c r="D406" s="95" t="s">
        <v>537</v>
      </c>
      <c r="E406" s="3" t="s">
        <v>10</v>
      </c>
      <c r="F406" s="3" t="s">
        <v>10</v>
      </c>
      <c r="G406" s="3" t="s">
        <v>6</v>
      </c>
      <c r="H406" s="3">
        <v>614</v>
      </c>
      <c r="I406" s="95" t="s">
        <v>5</v>
      </c>
      <c r="J406" s="3" t="s">
        <v>10</v>
      </c>
      <c r="K406" s="230" t="s">
        <v>5</v>
      </c>
      <c r="L406" s="3" t="s">
        <v>2737</v>
      </c>
      <c r="M406" s="3" t="s">
        <v>651</v>
      </c>
      <c r="N406" s="3" t="s">
        <v>651</v>
      </c>
      <c r="O406" s="225" t="s">
        <v>651</v>
      </c>
    </row>
    <row r="407" spans="1:15" x14ac:dyDescent="0.35">
      <c r="A407" s="3" t="s">
        <v>611</v>
      </c>
      <c r="B407" s="3" t="s">
        <v>612</v>
      </c>
      <c r="C407" s="3">
        <v>3</v>
      </c>
      <c r="D407" s="95" t="s">
        <v>535</v>
      </c>
      <c r="E407" s="3" t="s">
        <v>10</v>
      </c>
      <c r="F407" s="3" t="s">
        <v>10</v>
      </c>
      <c r="G407" s="3" t="s">
        <v>6</v>
      </c>
      <c r="H407" s="3">
        <v>510</v>
      </c>
      <c r="I407" s="95" t="s">
        <v>5</v>
      </c>
      <c r="J407" s="3" t="s">
        <v>10</v>
      </c>
      <c r="K407" s="230" t="s">
        <v>5</v>
      </c>
      <c r="L407" s="3" t="s">
        <v>2737</v>
      </c>
      <c r="M407" s="3" t="s">
        <v>651</v>
      </c>
      <c r="N407" s="3" t="s">
        <v>651</v>
      </c>
      <c r="O407" s="225" t="s">
        <v>651</v>
      </c>
    </row>
    <row r="408" spans="1:15" x14ac:dyDescent="0.35">
      <c r="A408" s="3" t="s">
        <v>415</v>
      </c>
      <c r="B408" s="3" t="s">
        <v>613</v>
      </c>
      <c r="C408" s="3">
        <v>8</v>
      </c>
      <c r="D408" s="95" t="s">
        <v>541</v>
      </c>
      <c r="E408" s="3" t="s">
        <v>10</v>
      </c>
      <c r="F408" s="3" t="s">
        <v>10</v>
      </c>
      <c r="G408" s="3" t="s">
        <v>6</v>
      </c>
      <c r="H408" s="3">
        <v>0</v>
      </c>
      <c r="I408" s="95" t="s">
        <v>651</v>
      </c>
      <c r="J408" s="3" t="s">
        <v>651</v>
      </c>
      <c r="K408" s="230" t="s">
        <v>5</v>
      </c>
      <c r="L408" s="3" t="s">
        <v>174</v>
      </c>
      <c r="M408" s="3" t="s">
        <v>651</v>
      </c>
      <c r="N408" s="3" t="s">
        <v>651</v>
      </c>
      <c r="O408" s="225" t="s">
        <v>651</v>
      </c>
    </row>
    <row r="409" spans="1:15" x14ac:dyDescent="0.35">
      <c r="A409" s="3" t="s">
        <v>415</v>
      </c>
      <c r="B409" s="3" t="s">
        <v>613</v>
      </c>
      <c r="C409" s="3">
        <v>8</v>
      </c>
      <c r="D409" s="95" t="s">
        <v>548</v>
      </c>
      <c r="E409" s="3" t="s">
        <v>6</v>
      </c>
      <c r="F409" s="3" t="s">
        <v>6</v>
      </c>
      <c r="G409" s="3" t="s">
        <v>10</v>
      </c>
      <c r="H409" s="3">
        <v>10</v>
      </c>
      <c r="I409" s="95" t="s">
        <v>437</v>
      </c>
      <c r="J409" s="3" t="s">
        <v>6</v>
      </c>
      <c r="K409" s="230">
        <v>42734</v>
      </c>
      <c r="L409" s="3" t="s">
        <v>2737</v>
      </c>
      <c r="M409" s="3" t="s">
        <v>49</v>
      </c>
      <c r="N409" s="3" t="s">
        <v>6</v>
      </c>
      <c r="O409" s="225" t="s">
        <v>26</v>
      </c>
    </row>
    <row r="410" spans="1:15" x14ac:dyDescent="0.35">
      <c r="A410" s="3" t="s">
        <v>415</v>
      </c>
      <c r="B410" s="3" t="s">
        <v>613</v>
      </c>
      <c r="C410" s="3">
        <v>8</v>
      </c>
      <c r="D410" s="95" t="s">
        <v>533</v>
      </c>
      <c r="E410" s="3" t="s">
        <v>10</v>
      </c>
      <c r="F410" s="3" t="s">
        <v>10</v>
      </c>
      <c r="G410" s="3" t="s">
        <v>6</v>
      </c>
      <c r="H410" s="3">
        <v>46</v>
      </c>
      <c r="I410" s="95" t="s">
        <v>5</v>
      </c>
      <c r="J410" s="3" t="s">
        <v>10</v>
      </c>
      <c r="K410" s="230" t="s">
        <v>5</v>
      </c>
      <c r="L410" s="3" t="s">
        <v>315</v>
      </c>
      <c r="M410" s="3" t="s">
        <v>651</v>
      </c>
      <c r="N410" s="3" t="s">
        <v>651</v>
      </c>
      <c r="O410" s="225" t="s">
        <v>651</v>
      </c>
    </row>
    <row r="411" spans="1:15" x14ac:dyDescent="0.35">
      <c r="A411" s="3" t="s">
        <v>415</v>
      </c>
      <c r="B411" s="3" t="s">
        <v>613</v>
      </c>
      <c r="C411" s="3">
        <v>8</v>
      </c>
      <c r="D411" s="95" t="s">
        <v>534</v>
      </c>
      <c r="E411" s="3" t="s">
        <v>10</v>
      </c>
      <c r="F411" s="3" t="s">
        <v>10</v>
      </c>
      <c r="G411" s="3" t="s">
        <v>6</v>
      </c>
      <c r="H411" s="3">
        <v>2</v>
      </c>
      <c r="I411" s="95" t="s">
        <v>5</v>
      </c>
      <c r="J411" s="3" t="s">
        <v>10</v>
      </c>
      <c r="K411" s="230" t="s">
        <v>5</v>
      </c>
      <c r="L411" s="3" t="s">
        <v>52</v>
      </c>
      <c r="M411" s="3" t="s">
        <v>651</v>
      </c>
      <c r="N411" s="3" t="s">
        <v>651</v>
      </c>
      <c r="O411" s="225" t="s">
        <v>651</v>
      </c>
    </row>
    <row r="412" spans="1:15" x14ac:dyDescent="0.35">
      <c r="A412" s="3" t="s">
        <v>415</v>
      </c>
      <c r="B412" s="3" t="s">
        <v>613</v>
      </c>
      <c r="C412" s="3">
        <v>8</v>
      </c>
      <c r="D412" s="95" t="s">
        <v>542</v>
      </c>
      <c r="E412" s="3" t="s">
        <v>6</v>
      </c>
      <c r="F412" s="3" t="s">
        <v>6</v>
      </c>
      <c r="G412" s="3" t="s">
        <v>10</v>
      </c>
      <c r="H412" s="3">
        <v>5</v>
      </c>
      <c r="I412" s="95" t="s">
        <v>437</v>
      </c>
      <c r="J412" s="3" t="s">
        <v>6</v>
      </c>
      <c r="K412" s="230">
        <v>45310</v>
      </c>
      <c r="L412" s="3" t="s">
        <v>2737</v>
      </c>
      <c r="M412" s="3" t="s">
        <v>49</v>
      </c>
      <c r="N412" s="3" t="s">
        <v>6</v>
      </c>
      <c r="O412" s="225" t="s">
        <v>26</v>
      </c>
    </row>
    <row r="413" spans="1:15" x14ac:dyDescent="0.35">
      <c r="A413" s="3" t="s">
        <v>415</v>
      </c>
      <c r="B413" s="3" t="s">
        <v>613</v>
      </c>
      <c r="C413" s="3">
        <v>8</v>
      </c>
      <c r="D413" s="95" t="s">
        <v>537</v>
      </c>
      <c r="E413" s="3" t="s">
        <v>10</v>
      </c>
      <c r="F413" s="3" t="s">
        <v>10</v>
      </c>
      <c r="G413" s="3" t="s">
        <v>6</v>
      </c>
      <c r="H413" s="3">
        <v>78</v>
      </c>
      <c r="I413" s="95" t="s">
        <v>5</v>
      </c>
      <c r="J413" s="3" t="s">
        <v>10</v>
      </c>
      <c r="K413" s="230" t="s">
        <v>5</v>
      </c>
      <c r="L413" s="3" t="s">
        <v>2737</v>
      </c>
      <c r="M413" s="3" t="s">
        <v>651</v>
      </c>
      <c r="N413" s="3" t="s">
        <v>651</v>
      </c>
      <c r="O413" s="225" t="s">
        <v>651</v>
      </c>
    </row>
    <row r="414" spans="1:15" x14ac:dyDescent="0.35">
      <c r="A414" s="3" t="s">
        <v>415</v>
      </c>
      <c r="B414" s="3" t="s">
        <v>613</v>
      </c>
      <c r="C414" s="3">
        <v>8</v>
      </c>
      <c r="D414" s="95" t="s">
        <v>535</v>
      </c>
      <c r="E414" s="3" t="s">
        <v>6</v>
      </c>
      <c r="F414" s="3" t="s">
        <v>6</v>
      </c>
      <c r="G414" s="3" t="s">
        <v>10</v>
      </c>
      <c r="H414" s="3">
        <v>1</v>
      </c>
      <c r="I414" s="95" t="s">
        <v>5</v>
      </c>
      <c r="J414" s="3" t="s">
        <v>10</v>
      </c>
      <c r="K414" s="230" t="s">
        <v>5</v>
      </c>
      <c r="L414" s="3" t="s">
        <v>2737</v>
      </c>
      <c r="M414" s="3" t="s">
        <v>49</v>
      </c>
      <c r="N414" s="3" t="s">
        <v>6</v>
      </c>
      <c r="O414" s="225" t="s">
        <v>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vt:lpstr>
      <vt:lpstr>NeT Roadmap</vt:lpstr>
      <vt:lpstr>State &amp; Regional NeT GP View</vt:lpstr>
      <vt:lpstr>State &amp; Regional NeT PR View</vt:lpstr>
      <vt:lpstr>NeT GP View</vt:lpstr>
      <vt:lpstr>NeT PR View</vt:lpstr>
      <vt:lpstr>NeT GP Contacts</vt:lpstr>
      <vt:lpstr>NeT PR Contacts</vt:lpstr>
      <vt:lpstr>NeT GP Proxy Cards</vt:lpstr>
      <vt:lpstr>ELMS Categories</vt:lpstr>
      <vt:lpstr>NeT GP - table_export</vt:lpstr>
      <vt:lpstr>NeT PR - table_export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Carey</dc:creator>
  <cp:lastModifiedBy>Johnston, Carey</cp:lastModifiedBy>
  <dcterms:created xsi:type="dcterms:W3CDTF">2019-04-11T00:22:04Z</dcterms:created>
  <dcterms:modified xsi:type="dcterms:W3CDTF">2025-02-01T03:20:52Z</dcterms:modified>
</cp:coreProperties>
</file>