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dwerkema\OneDrive - Environmental Protection Agency (EPA)\env geofizz web site\drupal\tools\geophysical software utilities\"/>
    </mc:Choice>
  </mc:AlternateContent>
  <xr:revisionPtr revIDLastSave="0" documentId="8_{68ED4367-0E45-4F13-B064-D05A09A887D8}" xr6:coauthVersionLast="47" xr6:coauthVersionMax="47" xr10:uidLastSave="{00000000-0000-0000-0000-000000000000}"/>
  <bookViews>
    <workbookView xWindow="-27180" yWindow="90" windowWidth="25260" windowHeight="14985" tabRatio="676" xr2:uid="{00000000-000D-0000-FFFF-FFFF00000000}"/>
  </bookViews>
  <sheets>
    <sheet name="INTRO" sheetId="7" r:id="rId1"/>
    <sheet name="Units" sheetId="6" r:id="rId2"/>
    <sheet name="Slide(fresh)" sheetId="4" r:id="rId3"/>
    <sheet name="Slide(salty)" sheetId="1" r:id="rId4"/>
    <sheet name="All-in-One" sheetId="9" r:id="rId5"/>
    <sheet name="BulkRes-manual" sheetId="3" r:id="rId6"/>
    <sheet name="FlRes-manual" sheetId="5" r:id="rId7"/>
    <sheet name="Porosity-manual" sheetId="8" r:id="rId8"/>
    <sheet name="Resistivity" sheetId="11" r:id="rId9"/>
    <sheet name="Supporting information"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 localSheetId="5">'BulkRes-manual'!$G$11</definedName>
    <definedName name="a" localSheetId="6">'FlRes-manual'!$G$11</definedName>
    <definedName name="a" localSheetId="7">'Porosity-manual'!$G$11</definedName>
    <definedName name="a" localSheetId="2">'Slide(fresh)'!$G$19</definedName>
    <definedName name="a" localSheetId="9">'[1]Archie-Slide(salty)'!$G$18</definedName>
    <definedName name="a">'Slide(salty)'!$G$19</definedName>
    <definedName name="Aconstant">#REF!</definedName>
    <definedName name="Apower">[2]HVSR!$N$14</definedName>
    <definedName name="b_cement" localSheetId="5">'BulkRes-manual'!$G$13</definedName>
    <definedName name="b_cement" localSheetId="6">'FlRes-manual'!$G$13</definedName>
    <definedName name="b_cement" localSheetId="7">'Porosity-manual'!$G$13</definedName>
    <definedName name="b_cement" localSheetId="2">'Slide(fresh)'!$G$21</definedName>
    <definedName name="b_cement" localSheetId="9">'[1]Archie-Slide(salty)'!$G$20</definedName>
    <definedName name="b_cement">'Slide(salty)'!$G$21</definedName>
    <definedName name="Bcementation">#REF!</definedName>
    <definedName name="Bulk_res.__ohm_m" comment="This is the entered value for bulk resistivity">'[3]Bulk-Res-manual'!$G$8</definedName>
    <definedName name="BulkResistivityManual" localSheetId="7">'Porosity-manual'!$G$9</definedName>
    <definedName name="CConstant">[2]HVSR!$N$12</definedName>
    <definedName name="ComputedFlRes" localSheetId="9">'[1]Fl Res  -manual'!$D$21</definedName>
    <definedName name="ComputedFlRes">'FlRes-manual'!$D$22</definedName>
    <definedName name="Entered_Bulk_Res" localSheetId="9">'[1]Fl Res  -manual'!$G$6</definedName>
    <definedName name="Entered_Bulk_Res">'FlRes-manual'!$G$7</definedName>
    <definedName name="Entered_Fluid_Res" localSheetId="6">'FlRes-manual'!$G$7</definedName>
    <definedName name="Entered_Fluid_Res" localSheetId="7">'Porosity-manual'!$G$7</definedName>
    <definedName name="Entered_Fluid_Res" localSheetId="2">'[4]Archie manual entry override'!$G$6</definedName>
    <definedName name="Entered_Fluid_Res" localSheetId="9">'[1]Bulk Res-manual'!$G$6</definedName>
    <definedName name="Entered_Fluid_Res">'BulkRes-manual'!$G$7</definedName>
    <definedName name="Entered_Porosity" localSheetId="6">'FlRes-manual'!$G$9</definedName>
    <definedName name="Entered_Porosity" localSheetId="7">'Porosity-manual'!$G$9</definedName>
    <definedName name="Entered_Porosity" localSheetId="2">'[4]Archie manual entry override'!$G$8</definedName>
    <definedName name="Entered_Porosity" localSheetId="9">'[1]Bulk Res-manual'!$G$8</definedName>
    <definedName name="Entered_Porosity">'BulkRes-manual'!$G$9</definedName>
    <definedName name="Er" localSheetId="5">'BulkRes-manual'!#REF!</definedName>
    <definedName name="Er" localSheetId="6">'FlRes-manual'!#REF!</definedName>
    <definedName name="Er" localSheetId="7">'Porosity-manual'!#REF!</definedName>
    <definedName name="Er" localSheetId="8">Resistivity!#REF!</definedName>
    <definedName name="Er" localSheetId="2">'Slide(fresh)'!#REF!</definedName>
    <definedName name="Er" localSheetId="3">'Slide(salty)'!#REF!</definedName>
    <definedName name="Er">'[5]RADAR-Res-SC'!$J$16</definedName>
    <definedName name="Er_input" localSheetId="6">[6]RADAR!$B$10</definedName>
    <definedName name="Er_input" localSheetId="8">[7]RADAR!$B$10</definedName>
    <definedName name="Er_input">[8]RADAR!$B$10</definedName>
    <definedName name="Er_matrix" localSheetId="6">[6]RADAR!$D$47</definedName>
    <definedName name="Er_matrix" localSheetId="8">[7]RADAR!$D$47</definedName>
    <definedName name="Er_matrix">[8]RADAR!$D$47</definedName>
    <definedName name="Er_measured" localSheetId="6">[6]RADAR!$D$46</definedName>
    <definedName name="Er_measured" localSheetId="8">[7]RADAR!$D$46</definedName>
    <definedName name="Er_measured">[8]RADAR!$D$46</definedName>
    <definedName name="fl_a" localSheetId="7">#REF!</definedName>
    <definedName name="fl_a" localSheetId="9">#REF!</definedName>
    <definedName name="fl_a">#REF!</definedName>
    <definedName name="Fl_Res" localSheetId="5">'BulkRes-manual'!$G$7</definedName>
    <definedName name="Fl_Res" localSheetId="6">'FlRes-manual'!$G$7</definedName>
    <definedName name="Fl_Res" localSheetId="7">'Porosity-manual'!$G$7</definedName>
    <definedName name="Fl_Res" localSheetId="2">'Slide(fresh)'!$G$15</definedName>
    <definedName name="Fl_Res" localSheetId="9">'[1]Archie-Slide(salty)'!$G$14</definedName>
    <definedName name="Fl_Res">'Slide(salty)'!$G$15</definedName>
    <definedName name="FL_Res_2" localSheetId="7">#REF!</definedName>
    <definedName name="FL_Res_2" localSheetId="9">#REF!</definedName>
    <definedName name="FL_Res_2">#REF!</definedName>
    <definedName name="Fl_res_Er">'[9]RADAR-Res-SC'!$J$16</definedName>
    <definedName name="FL_Res_n" localSheetId="7">#REF!</definedName>
    <definedName name="FL_Res_n" localSheetId="9">#REF!</definedName>
    <definedName name="FL_Res_n">#REF!</definedName>
    <definedName name="Fl_Res_porosity" localSheetId="7">#REF!</definedName>
    <definedName name="Fl_Res_porosity" localSheetId="9">#REF!</definedName>
    <definedName name="Fl_Res_porosity">#REF!</definedName>
    <definedName name="FL_Res_Sw" localSheetId="7">#REF!</definedName>
    <definedName name="FL_Res_Sw" localSheetId="9">#REF!</definedName>
    <definedName name="FL_Res_Sw">#REF!</definedName>
    <definedName name="FluidRes">#REF!</definedName>
    <definedName name="n" localSheetId="5">'BulkRes-manual'!$G$17</definedName>
    <definedName name="n" localSheetId="6">'FlRes-manual'!$G$17</definedName>
    <definedName name="n" localSheetId="7">'Porosity-manual'!$G$17</definedName>
    <definedName name="n" localSheetId="2">'Slide(fresh)'!$G$25</definedName>
    <definedName name="n" localSheetId="9">'[1]Archie-Slide(salty)'!$G$24</definedName>
    <definedName name="n">'Slide(salty)'!$G$25</definedName>
    <definedName name="npower">#REF!</definedName>
    <definedName name="porosity" localSheetId="5">'BulkRes-manual'!$G$9</definedName>
    <definedName name="porosity" localSheetId="6">'FlRes-manual'!$G$9</definedName>
    <definedName name="porosity" localSheetId="7">'Porosity-manual'!$G$9</definedName>
    <definedName name="porosity" localSheetId="8">#REF!</definedName>
    <definedName name="porosity" localSheetId="2">'Slide(fresh)'!$G$17</definedName>
    <definedName name="porosity" localSheetId="9">'[1]Archie-Slide(salty)'!$G$16</definedName>
    <definedName name="porosity">'Slide(salty)'!$G$17</definedName>
    <definedName name="Res_input" localSheetId="6">[6]RADAR!$B$14</definedName>
    <definedName name="Res_input" localSheetId="8">[7]RADAR!$B$14</definedName>
    <definedName name="Res_input">[8]RADAR!$B$14</definedName>
    <definedName name="ResonanceF">[2]HVSR!$N$10</definedName>
    <definedName name="Sw" localSheetId="5">'BulkRes-manual'!$G$15</definedName>
    <definedName name="Sw" localSheetId="6">'FlRes-manual'!$G$15</definedName>
    <definedName name="Sw" localSheetId="7">'Porosity-manual'!$G$15</definedName>
    <definedName name="Sw" localSheetId="8">#REF!</definedName>
    <definedName name="Sw" localSheetId="2">'Slide(fresh)'!$G$23</definedName>
    <definedName name="Sw" localSheetId="9">'[1]Archie-Slide(salty)'!$G$22</definedName>
    <definedName name="Sw">'Slide(salty)'!$G$23</definedName>
    <definedName name="T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 i="9" l="1"/>
  <c r="G13" i="6"/>
  <c r="O13" i="9"/>
  <c r="L11" i="9" l="1"/>
  <c r="E19" i="9"/>
  <c r="G13" i="8"/>
  <c r="E17" i="9"/>
  <c r="J13" i="9" s="1"/>
  <c r="J14" i="9" s="1"/>
  <c r="F9" i="9" l="1"/>
  <c r="H11" i="9"/>
  <c r="N13" i="9"/>
  <c r="N9" i="9"/>
  <c r="L13" i="9"/>
  <c r="L9" i="9" l="1"/>
  <c r="O9" i="9"/>
  <c r="N11" i="9"/>
  <c r="O11" i="9"/>
  <c r="D18" i="6"/>
  <c r="G11" i="8" l="1"/>
  <c r="D22" i="8" s="1"/>
  <c r="G13" i="5"/>
  <c r="G13" i="3"/>
  <c r="G11" i="5"/>
  <c r="G11" i="3"/>
  <c r="D22" i="3" s="1"/>
  <c r="D22" i="5" l="1"/>
  <c r="H22" i="5" s="1"/>
  <c r="G22" i="8"/>
  <c r="F22" i="8"/>
  <c r="H22" i="8" l="1"/>
  <c r="E21" i="8" l="1"/>
  <c r="D23" i="3"/>
  <c r="F18" i="6"/>
  <c r="E18" i="6"/>
  <c r="B18" i="6"/>
  <c r="C18" i="6" s="1"/>
  <c r="G17" i="6"/>
  <c r="E17" i="6"/>
  <c r="D17" i="6"/>
  <c r="B17" i="6"/>
  <c r="C17" i="6" s="1"/>
  <c r="G16" i="6"/>
  <c r="F16" i="6"/>
  <c r="D16" i="6"/>
  <c r="B16" i="6"/>
  <c r="C16" i="6" s="1"/>
  <c r="F15" i="6"/>
  <c r="E15" i="6"/>
  <c r="G15" i="6" s="1"/>
  <c r="B15" i="6"/>
  <c r="C15" i="6" s="1"/>
  <c r="B14" i="6"/>
  <c r="E14" i="6" s="1"/>
  <c r="F13" i="6"/>
  <c r="E13" i="6"/>
  <c r="D13" i="6"/>
  <c r="C13" i="6"/>
  <c r="G14" i="6" l="1"/>
  <c r="F14" i="6"/>
  <c r="D14" i="6"/>
  <c r="F22" i="3"/>
  <c r="H22" i="3" s="1"/>
  <c r="G22" i="5" l="1"/>
  <c r="F22" i="5"/>
  <c r="D26" i="5" l="1"/>
  <c r="G21" i="4"/>
  <c r="G19" i="4"/>
  <c r="G17" i="4"/>
  <c r="G30" i="4" s="1"/>
  <c r="AM12" i="4"/>
  <c r="AN12" i="4" s="1"/>
  <c r="E12" i="4"/>
  <c r="G12" i="4" s="1"/>
  <c r="AM11" i="4"/>
  <c r="AN11" i="4" s="1"/>
  <c r="AM10" i="4"/>
  <c r="AN10" i="4" s="1"/>
  <c r="AM9" i="4"/>
  <c r="AN9" i="4" s="1"/>
  <c r="AM8" i="4"/>
  <c r="AN8" i="4" s="1"/>
  <c r="E11" i="4" l="1"/>
  <c r="G15" i="4"/>
  <c r="F30" i="4" s="1"/>
  <c r="H30" i="4" s="1"/>
  <c r="E13" i="4"/>
  <c r="G22" i="3"/>
  <c r="G21" i="1"/>
  <c r="G19" i="1"/>
  <c r="G17" i="1"/>
  <c r="G30" i="1" s="1"/>
  <c r="AF12" i="1"/>
  <c r="AG12" i="1" s="1"/>
  <c r="E12" i="1"/>
  <c r="G15" i="1" s="1"/>
  <c r="AF11" i="1"/>
  <c r="AG11" i="1" s="1"/>
  <c r="AF10" i="1"/>
  <c r="AG10" i="1" s="1"/>
  <c r="AF9" i="1"/>
  <c r="AG9" i="1" s="1"/>
  <c r="AF8" i="1"/>
  <c r="AG8" i="1" s="1"/>
  <c r="F30" i="1" l="1"/>
  <c r="H30" i="1" s="1"/>
  <c r="D30" i="1"/>
  <c r="D30" i="4"/>
  <c r="E13" i="1"/>
  <c r="E11" i="1"/>
  <c r="G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Lane</author>
  </authors>
  <commentList>
    <comment ref="AJ8" authorId="0" shapeId="0" xr:uid="{00000000-0006-0000-0100-000001000000}">
      <text>
        <r>
          <rPr>
            <b/>
            <sz val="8"/>
            <color indexed="81"/>
            <rFont val="Tahoma"/>
            <family val="2"/>
          </rPr>
          <t>John Lane:</t>
        </r>
        <r>
          <rPr>
            <sz val="8"/>
            <color indexed="81"/>
            <rFont val="Tahoma"/>
            <family val="2"/>
          </rPr>
          <t xml:space="preserve">
~ &lt; 800 mg/L</t>
        </r>
      </text>
    </comment>
    <comment ref="AJ9" authorId="0" shapeId="0" xr:uid="{00000000-0006-0000-0100-000002000000}">
      <text>
        <r>
          <rPr>
            <b/>
            <sz val="8"/>
            <color indexed="81"/>
            <rFont val="Tahoma"/>
            <family val="2"/>
          </rPr>
          <t>John Lane:</t>
        </r>
        <r>
          <rPr>
            <sz val="8"/>
            <color indexed="81"/>
            <rFont val="Tahoma"/>
            <family val="2"/>
          </rPr>
          <t xml:space="preserve">
~&lt;1,500 mg/L</t>
        </r>
      </text>
    </comment>
    <comment ref="AJ10" authorId="0" shapeId="0" xr:uid="{00000000-0006-0000-0100-000003000000}">
      <text>
        <r>
          <rPr>
            <b/>
            <sz val="8"/>
            <color indexed="81"/>
            <rFont val="Tahoma"/>
            <family val="2"/>
          </rPr>
          <t>John Lane:</t>
        </r>
        <r>
          <rPr>
            <sz val="8"/>
            <color indexed="81"/>
            <rFont val="Tahoma"/>
            <family val="2"/>
          </rPr>
          <t xml:space="preserve">
~ 3,000 mg/L</t>
        </r>
      </text>
    </comment>
    <comment ref="AJ11" authorId="0" shapeId="0" xr:uid="{00000000-0006-0000-0100-000004000000}">
      <text>
        <r>
          <rPr>
            <b/>
            <sz val="8"/>
            <color indexed="81"/>
            <rFont val="Tahoma"/>
            <family val="2"/>
          </rPr>
          <t>John Lane:</t>
        </r>
        <r>
          <rPr>
            <sz val="8"/>
            <color indexed="81"/>
            <rFont val="Tahoma"/>
            <family val="2"/>
          </rPr>
          <t xml:space="preserve">
&gt;5,000 mg/L</t>
        </r>
      </text>
    </comment>
    <comment ref="AJ12" authorId="0" shapeId="0" xr:uid="{00000000-0006-0000-0100-000005000000}">
      <text>
        <r>
          <rPr>
            <b/>
            <sz val="8"/>
            <color indexed="81"/>
            <rFont val="Tahoma"/>
            <family val="2"/>
          </rPr>
          <t>John Lane:</t>
        </r>
        <r>
          <rPr>
            <sz val="8"/>
            <color indexed="81"/>
            <rFont val="Tahoma"/>
            <family val="2"/>
          </rPr>
          <t xml:space="preserve">
&gt;50,000 mg/L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Lane</author>
  </authors>
  <commentList>
    <comment ref="AC8" authorId="0" shapeId="0" xr:uid="{00000000-0006-0000-0200-000001000000}">
      <text>
        <r>
          <rPr>
            <b/>
            <sz val="8"/>
            <color indexed="81"/>
            <rFont val="Tahoma"/>
            <family val="2"/>
          </rPr>
          <t>John Lane:</t>
        </r>
        <r>
          <rPr>
            <sz val="8"/>
            <color indexed="81"/>
            <rFont val="Tahoma"/>
            <family val="2"/>
          </rPr>
          <t xml:space="preserve">
~ &lt; 800 mg/L</t>
        </r>
      </text>
    </comment>
    <comment ref="AC9" authorId="0" shapeId="0" xr:uid="{00000000-0006-0000-0200-000002000000}">
      <text>
        <r>
          <rPr>
            <b/>
            <sz val="8"/>
            <color indexed="81"/>
            <rFont val="Tahoma"/>
            <family val="2"/>
          </rPr>
          <t>John Lane:</t>
        </r>
        <r>
          <rPr>
            <sz val="8"/>
            <color indexed="81"/>
            <rFont val="Tahoma"/>
            <family val="2"/>
          </rPr>
          <t xml:space="preserve">
~&lt;1,500 mg/L</t>
        </r>
      </text>
    </comment>
    <comment ref="AC10" authorId="0" shapeId="0" xr:uid="{00000000-0006-0000-0200-000003000000}">
      <text>
        <r>
          <rPr>
            <b/>
            <sz val="8"/>
            <color indexed="81"/>
            <rFont val="Tahoma"/>
            <family val="2"/>
          </rPr>
          <t>John Lane:</t>
        </r>
        <r>
          <rPr>
            <sz val="8"/>
            <color indexed="81"/>
            <rFont val="Tahoma"/>
            <family val="2"/>
          </rPr>
          <t xml:space="preserve">
~ 3,000 mg/L</t>
        </r>
      </text>
    </comment>
    <comment ref="AC11" authorId="0" shapeId="0" xr:uid="{00000000-0006-0000-0200-000004000000}">
      <text>
        <r>
          <rPr>
            <b/>
            <sz val="8"/>
            <color indexed="81"/>
            <rFont val="Tahoma"/>
            <family val="2"/>
          </rPr>
          <t>John Lane:</t>
        </r>
        <r>
          <rPr>
            <sz val="8"/>
            <color indexed="81"/>
            <rFont val="Tahoma"/>
            <family val="2"/>
          </rPr>
          <t xml:space="preserve">
&gt;5,000 mg/L</t>
        </r>
      </text>
    </comment>
    <comment ref="AC12" authorId="0" shapeId="0" xr:uid="{00000000-0006-0000-0200-000005000000}">
      <text>
        <r>
          <rPr>
            <b/>
            <sz val="8"/>
            <color indexed="81"/>
            <rFont val="Tahoma"/>
            <family val="2"/>
          </rPr>
          <t>John Lane:</t>
        </r>
        <r>
          <rPr>
            <sz val="8"/>
            <color indexed="81"/>
            <rFont val="Tahoma"/>
            <family val="2"/>
          </rPr>
          <t xml:space="preserve">
&gt;50,000 mg/L</t>
        </r>
      </text>
    </comment>
  </commentList>
</comments>
</file>

<file path=xl/sharedStrings.xml><?xml version="1.0" encoding="utf-8"?>
<sst xmlns="http://schemas.openxmlformats.org/spreadsheetml/2006/main" count="261" uniqueCount="126">
  <si>
    <t>Archies Law to explore bulk resistivity (ohm-m)</t>
  </si>
  <si>
    <t>Specific Conductance and Total Dissolved Solids at 25 Degrees Celcius</t>
  </si>
  <si>
    <t xml:space="preserve">TDS </t>
  </si>
  <si>
    <t xml:space="preserve">Specific </t>
  </si>
  <si>
    <t xml:space="preserve">Fluid </t>
  </si>
  <si>
    <t xml:space="preserve">  Fresh Water</t>
  </si>
  <si>
    <t>Salinity</t>
  </si>
  <si>
    <t>(mg/L)</t>
  </si>
  <si>
    <t>Cond.
(uS/cm)</t>
  </si>
  <si>
    <t>Res
(ohm-m)</t>
  </si>
  <si>
    <t>Fresh</t>
  </si>
  <si>
    <t>Brackish (slight)</t>
  </si>
  <si>
    <t>Brackish (moderate)</t>
  </si>
  <si>
    <t xml:space="preserve"> Fluid Resistivity    = </t>
  </si>
  <si>
    <t>ohm-m</t>
  </si>
  <si>
    <t>TDS</t>
  </si>
  <si>
    <t>Saline</t>
  </si>
  <si>
    <r>
      <t>SC at 25</t>
    </r>
    <r>
      <rPr>
        <b/>
        <vertAlign val="superscript"/>
        <sz val="10"/>
        <color rgb="FF0000FF"/>
        <rFont val="Verdana"/>
        <family val="2"/>
      </rPr>
      <t>o</t>
    </r>
    <r>
      <rPr>
        <b/>
        <sz val="10"/>
        <color rgb="FF0000FF"/>
        <rFont val="Verdana"/>
        <family val="2"/>
      </rPr>
      <t xml:space="preserve"> C = </t>
    </r>
  </si>
  <si>
    <t>uS/cm ---&gt;</t>
  </si>
  <si>
    <t>mg/L</t>
  </si>
  <si>
    <t>Hypersaline</t>
  </si>
  <si>
    <t>mS/m</t>
  </si>
  <si>
    <t xml:space="preserve">   Fluid Resistivity    = </t>
  </si>
  <si>
    <t>ohm-m  from slider above</t>
  </si>
  <si>
    <t xml:space="preserve">   Use sliders below to set parameters</t>
  </si>
  <si>
    <r>
      <t xml:space="preserve">  r</t>
    </r>
    <r>
      <rPr>
        <sz val="14"/>
        <rFont val="Arial"/>
        <family val="2"/>
      </rPr>
      <t xml:space="preserve"> = a </t>
    </r>
    <r>
      <rPr>
        <sz val="14"/>
        <rFont val="Symbol"/>
        <family val="1"/>
        <charset val="2"/>
      </rPr>
      <t>r</t>
    </r>
    <r>
      <rPr>
        <vertAlign val="subscript"/>
        <sz val="14"/>
        <rFont val="Arial"/>
        <family val="2"/>
      </rPr>
      <t>w</t>
    </r>
    <r>
      <rPr>
        <sz val="14"/>
        <rFont val="Arial"/>
        <family val="2"/>
      </rPr>
      <t xml:space="preserve"> </t>
    </r>
    <r>
      <rPr>
        <sz val="14"/>
        <rFont val="Symbol"/>
        <family val="1"/>
        <charset val="2"/>
      </rPr>
      <t>f</t>
    </r>
    <r>
      <rPr>
        <vertAlign val="superscript"/>
        <sz val="14"/>
        <rFont val="Arial"/>
        <family val="2"/>
      </rPr>
      <t xml:space="preserve">-b </t>
    </r>
    <r>
      <rPr>
        <sz val="14"/>
        <rFont val="Arial"/>
        <family val="2"/>
      </rPr>
      <t>S</t>
    </r>
    <r>
      <rPr>
        <vertAlign val="subscript"/>
        <sz val="14"/>
        <rFont val="Arial"/>
        <family val="2"/>
      </rPr>
      <t>w</t>
    </r>
    <r>
      <rPr>
        <vertAlign val="superscript"/>
        <sz val="14"/>
        <rFont val="Arial"/>
        <family val="2"/>
      </rPr>
      <t xml:space="preserve"> -n</t>
    </r>
  </si>
  <si>
    <r>
      <rPr>
        <b/>
        <sz val="11"/>
        <rFont val="Arial"/>
        <family val="2"/>
      </rPr>
      <t xml:space="preserve"> Porosity,</t>
    </r>
    <r>
      <rPr>
        <b/>
        <sz val="11"/>
        <rFont val="Symbol"/>
        <family val="1"/>
        <charset val="2"/>
      </rPr>
      <t xml:space="preserve"> f =   </t>
    </r>
  </si>
  <si>
    <t xml:space="preserve">  a = (0.4  to  2,  ~1)</t>
  </si>
  <si>
    <t xml:space="preserve">  b = (-1.3 to -2)</t>
  </si>
  <si>
    <t xml:space="preserve">cementation, b = </t>
  </si>
  <si>
    <t xml:space="preserve">  Sw, sat</t>
  </si>
  <si>
    <t xml:space="preserve">Sw = </t>
  </si>
  <si>
    <t xml:space="preserve">  n = -2</t>
  </si>
  <si>
    <t xml:space="preserve">n = </t>
  </si>
  <si>
    <t>fraction</t>
  </si>
  <si>
    <t>bulk resistivity</t>
  </si>
  <si>
    <t>water res</t>
  </si>
  <si>
    <t>porosity</t>
  </si>
  <si>
    <t>water cond (uS/cm)</t>
  </si>
  <si>
    <r>
      <t>r</t>
    </r>
    <r>
      <rPr>
        <b/>
        <vertAlign val="subscript"/>
        <sz val="14"/>
        <color theme="1"/>
        <rFont val="Arial"/>
        <family val="2"/>
      </rPr>
      <t>sw</t>
    </r>
  </si>
  <si>
    <t>f</t>
  </si>
  <si>
    <t>s</t>
  </si>
  <si>
    <t>ohm-m  ENTER</t>
  </si>
  <si>
    <t xml:space="preserve"> ENTER</t>
  </si>
  <si>
    <t>water resistivity</t>
  </si>
  <si>
    <r>
      <t>Archies Law to explore bulk resistivity (ohm-m) -</t>
    </r>
    <r>
      <rPr>
        <b/>
        <sz val="9"/>
        <rFont val="Verdana"/>
        <family val="2"/>
      </rPr>
      <t xml:space="preserve"> with Salinity (TDS) expanded to 5000 mg/L</t>
    </r>
  </si>
  <si>
    <t xml:space="preserve">   Bulk Resistivity    = </t>
  </si>
  <si>
    <t xml:space="preserve">  Sw, saturation</t>
  </si>
  <si>
    <t>fluid resistivity</t>
  </si>
  <si>
    <t xml:space="preserve">Conversion Worksheet </t>
  </si>
  <si>
    <t>cjohnson@usgs.gov</t>
  </si>
  <si>
    <t xml:space="preserve">and it will be converted to  the other units </t>
  </si>
  <si>
    <t>r</t>
  </si>
  <si>
    <t>QW-Stds and bh tools</t>
  </si>
  <si>
    <t>YSI</t>
  </si>
  <si>
    <t>EM-conductivity</t>
  </si>
  <si>
    <t>specific conductance</t>
  </si>
  <si>
    <t>Inductive terrain, EM-34</t>
  </si>
  <si>
    <t>Conductivity</t>
  </si>
  <si>
    <t>Resistivity</t>
  </si>
  <si>
    <t>uS/cm</t>
  </si>
  <si>
    <t>mS/cm</t>
  </si>
  <si>
    <t>m-mho/m</t>
  </si>
  <si>
    <t>mho/m</t>
  </si>
  <si>
    <t>m-mho/m  =   mS/m</t>
  </si>
  <si>
    <t>bulk resistivity (ohm-m)</t>
  </si>
  <si>
    <t>DO NOT DELETE</t>
  </si>
  <si>
    <r>
      <t xml:space="preserve">Archies Law to compute </t>
    </r>
    <r>
      <rPr>
        <b/>
        <u/>
        <sz val="12"/>
        <rFont val="Verdana"/>
        <family val="2"/>
      </rPr>
      <t>bulk resistivity</t>
    </r>
    <r>
      <rPr>
        <b/>
        <sz val="12"/>
        <rFont val="Verdana"/>
        <family val="2"/>
      </rPr>
      <t xml:space="preserve"> (ohm-m) </t>
    </r>
  </si>
  <si>
    <t xml:space="preserve">           Use sliders below to set parameters</t>
  </si>
  <si>
    <t xml:space="preserve">tortuosity, a = </t>
  </si>
  <si>
    <t>1 ohm-m   =   1/ (mho/m)</t>
  </si>
  <si>
    <t>1 ohm-m   =   1000 mS/m</t>
  </si>
  <si>
    <t xml:space="preserve">    1 ohm   =   1/ (mho)</t>
  </si>
  <si>
    <t xml:space="preserve">   mho/m   =   S/m</t>
  </si>
  <si>
    <t xml:space="preserve"> 1 mS/cm  =   100 mS/m = 1000 uS/cm</t>
  </si>
  <si>
    <t xml:space="preserve">  Archies Law</t>
  </si>
  <si>
    <r>
      <t>r</t>
    </r>
    <r>
      <rPr>
        <b/>
        <vertAlign val="subscript"/>
        <sz val="14"/>
        <color theme="1"/>
        <rFont val="Calibri"/>
        <family val="2"/>
        <scheme val="minor"/>
      </rPr>
      <t>b</t>
    </r>
    <r>
      <rPr>
        <b/>
        <vertAlign val="subscript"/>
        <sz val="14"/>
        <color theme="1"/>
        <rFont val="Symbol"/>
        <family val="1"/>
        <charset val="2"/>
      </rPr>
      <t xml:space="preserve"> </t>
    </r>
    <r>
      <rPr>
        <b/>
        <vertAlign val="subscript"/>
        <sz val="14"/>
        <color theme="1"/>
        <rFont val="Arial"/>
        <family val="2"/>
      </rPr>
      <t>(ohm-m)</t>
    </r>
  </si>
  <si>
    <r>
      <t>r</t>
    </r>
    <r>
      <rPr>
        <b/>
        <vertAlign val="subscript"/>
        <sz val="14"/>
        <color theme="1"/>
        <rFont val="Calibri"/>
        <family val="2"/>
        <scheme val="minor"/>
      </rPr>
      <t>bulk</t>
    </r>
  </si>
  <si>
    <t xml:space="preserve"> </t>
  </si>
  <si>
    <t xml:space="preserve">Bulk res. (ohm-m) = </t>
  </si>
  <si>
    <t>Bulk Res.</t>
  </si>
  <si>
    <t xml:space="preserve">Archies Law to compute porosity  with manual entry for  </t>
  </si>
  <si>
    <r>
      <t>r</t>
    </r>
    <r>
      <rPr>
        <b/>
        <vertAlign val="subscript"/>
        <sz val="14"/>
        <color theme="1"/>
        <rFont val="Arial"/>
        <family val="2"/>
      </rPr>
      <t>w</t>
    </r>
  </si>
  <si>
    <r>
      <t xml:space="preserve">  r</t>
    </r>
    <r>
      <rPr>
        <sz val="14"/>
        <rFont val="Arial"/>
        <family val="2"/>
      </rPr>
      <t xml:space="preserve"> = a </t>
    </r>
    <r>
      <rPr>
        <sz val="14"/>
        <rFont val="Symbol"/>
        <family val="1"/>
        <charset val="2"/>
      </rPr>
      <t>r</t>
    </r>
    <r>
      <rPr>
        <vertAlign val="subscript"/>
        <sz val="14"/>
        <rFont val="Arial"/>
        <family val="2"/>
      </rPr>
      <t>w</t>
    </r>
    <r>
      <rPr>
        <sz val="14"/>
        <rFont val="Arial"/>
        <family val="2"/>
      </rPr>
      <t xml:space="preserve"> </t>
    </r>
    <r>
      <rPr>
        <sz val="14"/>
        <rFont val="Symbol"/>
        <family val="1"/>
        <charset val="2"/>
      </rPr>
      <t>f</t>
    </r>
    <r>
      <rPr>
        <vertAlign val="superscript"/>
        <sz val="14"/>
        <rFont val="Arial"/>
        <family val="2"/>
      </rPr>
      <t xml:space="preserve">b </t>
    </r>
    <r>
      <rPr>
        <sz val="14"/>
        <rFont val="Arial"/>
        <family val="2"/>
      </rPr>
      <t>S</t>
    </r>
    <r>
      <rPr>
        <vertAlign val="subscript"/>
        <sz val="14"/>
        <rFont val="Arial"/>
        <family val="2"/>
      </rPr>
      <t>w</t>
    </r>
    <r>
      <rPr>
        <vertAlign val="superscript"/>
        <sz val="14"/>
        <rFont val="Arial"/>
        <family val="2"/>
      </rPr>
      <t xml:space="preserve"> n</t>
    </r>
  </si>
  <si>
    <r>
      <t xml:space="preserve">  </t>
    </r>
    <r>
      <rPr>
        <sz val="14"/>
        <rFont val="Arial"/>
        <family val="2"/>
      </rPr>
      <t xml:space="preserve"> </t>
    </r>
    <r>
      <rPr>
        <sz val="14"/>
        <rFont val="Symbol"/>
        <family val="1"/>
        <charset val="2"/>
      </rPr>
      <t>r</t>
    </r>
    <r>
      <rPr>
        <vertAlign val="subscript"/>
        <sz val="14"/>
        <rFont val="Arial"/>
        <family val="2"/>
      </rPr>
      <t>w</t>
    </r>
    <r>
      <rPr>
        <sz val="14"/>
        <rFont val="Arial"/>
        <family val="2"/>
      </rPr>
      <t>=</t>
    </r>
    <r>
      <rPr>
        <sz val="14"/>
        <rFont val="Symbol"/>
        <family val="1"/>
        <charset val="2"/>
      </rPr>
      <t>r</t>
    </r>
    <r>
      <rPr>
        <sz val="14"/>
        <rFont val="Arial"/>
        <family val="2"/>
      </rPr>
      <t xml:space="preserve">/(a </t>
    </r>
    <r>
      <rPr>
        <sz val="14"/>
        <rFont val="Symbol"/>
        <family val="1"/>
        <charset val="2"/>
      </rPr>
      <t>f</t>
    </r>
    <r>
      <rPr>
        <vertAlign val="superscript"/>
        <sz val="14"/>
        <rFont val="Arial"/>
        <family val="2"/>
      </rPr>
      <t xml:space="preserve">b </t>
    </r>
    <r>
      <rPr>
        <sz val="14"/>
        <rFont val="Arial"/>
        <family val="2"/>
      </rPr>
      <t>S</t>
    </r>
    <r>
      <rPr>
        <vertAlign val="subscript"/>
        <sz val="14"/>
        <rFont val="Arial"/>
        <family val="2"/>
      </rPr>
      <t>w</t>
    </r>
    <r>
      <rPr>
        <vertAlign val="superscript"/>
        <sz val="14"/>
        <rFont val="Arial"/>
        <family val="2"/>
      </rPr>
      <t>n</t>
    </r>
    <r>
      <rPr>
        <sz val="14"/>
        <rFont val="Arial"/>
        <family val="2"/>
      </rPr>
      <t>)</t>
    </r>
  </si>
  <si>
    <r>
      <t xml:space="preserve"> </t>
    </r>
    <r>
      <rPr>
        <sz val="12"/>
        <rFont val="Symbol"/>
        <family val="1"/>
        <charset val="2"/>
      </rPr>
      <t xml:space="preserve"> f</t>
    </r>
    <r>
      <rPr>
        <sz val="11"/>
        <rFont val="Arial"/>
        <family val="2"/>
      </rPr>
      <t xml:space="preserve"> = (a </t>
    </r>
    <r>
      <rPr>
        <sz val="11"/>
        <rFont val="Symbol"/>
        <family val="1"/>
        <charset val="2"/>
      </rPr>
      <t>r</t>
    </r>
    <r>
      <rPr>
        <vertAlign val="subscript"/>
        <sz val="11"/>
        <rFont val="Arial"/>
        <family val="2"/>
      </rPr>
      <t>w</t>
    </r>
    <r>
      <rPr>
        <sz val="11"/>
        <rFont val="Arial"/>
        <family val="2"/>
      </rPr>
      <t xml:space="preserve"> 1/</t>
    </r>
    <r>
      <rPr>
        <sz val="11"/>
        <rFont val="Symbol"/>
        <family val="1"/>
        <charset val="2"/>
      </rPr>
      <t>r</t>
    </r>
    <r>
      <rPr>
        <vertAlign val="superscript"/>
        <sz val="11"/>
        <rFont val="Arial"/>
        <family val="2"/>
      </rPr>
      <t xml:space="preserve"> </t>
    </r>
    <r>
      <rPr>
        <sz val="11"/>
        <rFont val="Arial"/>
        <family val="2"/>
      </rPr>
      <t>(S</t>
    </r>
    <r>
      <rPr>
        <vertAlign val="subscript"/>
        <sz val="11"/>
        <rFont val="Arial"/>
        <family val="2"/>
      </rPr>
      <t>w</t>
    </r>
    <r>
      <rPr>
        <vertAlign val="superscript"/>
        <sz val="11"/>
        <rFont val="Arial"/>
        <family val="2"/>
      </rPr>
      <t xml:space="preserve"> n</t>
    </r>
    <r>
      <rPr>
        <sz val="11"/>
        <rFont val="Arial"/>
        <family val="2"/>
      </rPr>
      <t>))^1/b</t>
    </r>
  </si>
  <si>
    <t xml:space="preserve">f </t>
  </si>
  <si>
    <t>(0.4 to 2)</t>
  </si>
  <si>
    <t>Fluid Res</t>
  </si>
  <si>
    <t>Bulk Res</t>
  </si>
  <si>
    <t xml:space="preserve">Porosity </t>
  </si>
  <si>
    <t>Bulk Cond.</t>
  </si>
  <si>
    <r>
      <rPr>
        <b/>
        <sz val="12"/>
        <rFont val="Symbol"/>
        <family val="1"/>
        <charset val="2"/>
      </rPr>
      <t>r</t>
    </r>
    <r>
      <rPr>
        <b/>
        <vertAlign val="subscript"/>
        <sz val="12"/>
        <rFont val="Arial"/>
        <family val="2"/>
      </rPr>
      <t>w</t>
    </r>
  </si>
  <si>
    <r>
      <rPr>
        <b/>
        <sz val="12"/>
        <rFont val="Symbol"/>
        <family val="1"/>
        <charset val="2"/>
      </rPr>
      <t>r</t>
    </r>
    <r>
      <rPr>
        <b/>
        <vertAlign val="subscript"/>
        <sz val="12"/>
        <rFont val="Arial"/>
        <family val="2"/>
      </rPr>
      <t>bulk</t>
    </r>
  </si>
  <si>
    <r>
      <rPr>
        <b/>
        <sz val="12"/>
        <rFont val="Symbol"/>
        <family val="1"/>
        <charset val="2"/>
      </rPr>
      <t>s</t>
    </r>
    <r>
      <rPr>
        <b/>
        <vertAlign val="subscript"/>
        <sz val="12"/>
        <rFont val="Arial"/>
        <family val="2"/>
      </rPr>
      <t>w</t>
    </r>
  </si>
  <si>
    <r>
      <rPr>
        <b/>
        <sz val="12"/>
        <rFont val="Symbol"/>
        <family val="1"/>
        <charset val="2"/>
      </rPr>
      <t>s</t>
    </r>
    <r>
      <rPr>
        <b/>
        <vertAlign val="subscript"/>
        <sz val="12"/>
        <rFont val="Arial"/>
        <family val="2"/>
      </rPr>
      <t>bulk</t>
    </r>
  </si>
  <si>
    <t>Fluid Cond.</t>
  </si>
  <si>
    <r>
      <t xml:space="preserve"> </t>
    </r>
    <r>
      <rPr>
        <sz val="14"/>
        <rFont val="Symbol"/>
        <family val="1"/>
        <charset val="2"/>
      </rPr>
      <t>r</t>
    </r>
    <r>
      <rPr>
        <vertAlign val="subscript"/>
        <sz val="14"/>
        <rFont val="Arial"/>
        <family val="2"/>
      </rPr>
      <t>bulk</t>
    </r>
    <r>
      <rPr>
        <sz val="14"/>
        <rFont val="Arial"/>
        <family val="2"/>
      </rPr>
      <t xml:space="preserve"> = a </t>
    </r>
    <r>
      <rPr>
        <sz val="14"/>
        <rFont val="Symbol"/>
        <family val="1"/>
        <charset val="2"/>
      </rPr>
      <t>r</t>
    </r>
    <r>
      <rPr>
        <vertAlign val="subscript"/>
        <sz val="14"/>
        <rFont val="Arial"/>
        <family val="2"/>
      </rPr>
      <t>w</t>
    </r>
    <r>
      <rPr>
        <sz val="14"/>
        <rFont val="Arial"/>
        <family val="2"/>
      </rPr>
      <t xml:space="preserve"> </t>
    </r>
    <r>
      <rPr>
        <sz val="14"/>
        <rFont val="Symbol"/>
        <family val="1"/>
        <charset val="2"/>
      </rPr>
      <t>f</t>
    </r>
    <r>
      <rPr>
        <vertAlign val="superscript"/>
        <sz val="14"/>
        <rFont val="Arial"/>
        <family val="2"/>
      </rPr>
      <t>b</t>
    </r>
    <r>
      <rPr>
        <sz val="14"/>
        <rFont val="Arial"/>
        <family val="2"/>
      </rPr>
      <t xml:space="preserve"> S</t>
    </r>
    <r>
      <rPr>
        <vertAlign val="subscript"/>
        <sz val="14"/>
        <rFont val="Arial"/>
        <family val="2"/>
      </rPr>
      <t>w</t>
    </r>
    <r>
      <rPr>
        <vertAlign val="superscript"/>
        <sz val="14"/>
        <rFont val="Arial"/>
        <family val="2"/>
      </rPr>
      <t>n</t>
    </r>
  </si>
  <si>
    <r>
      <rPr>
        <sz val="14"/>
        <rFont val="Symbol"/>
        <family val="1"/>
        <charset val="2"/>
      </rPr>
      <t xml:space="preserve"> r</t>
    </r>
    <r>
      <rPr>
        <vertAlign val="subscript"/>
        <sz val="14"/>
        <rFont val="Arial"/>
        <family val="2"/>
      </rPr>
      <t>w</t>
    </r>
    <r>
      <rPr>
        <sz val="14"/>
        <rFont val="Arial"/>
        <family val="2"/>
      </rPr>
      <t xml:space="preserve"> = </t>
    </r>
    <r>
      <rPr>
        <sz val="14"/>
        <rFont val="Symbol"/>
        <family val="1"/>
        <charset val="2"/>
      </rPr>
      <t>r</t>
    </r>
    <r>
      <rPr>
        <vertAlign val="subscript"/>
        <sz val="14"/>
        <rFont val="Arial"/>
        <family val="2"/>
      </rPr>
      <t>bulk</t>
    </r>
    <r>
      <rPr>
        <sz val="14"/>
        <rFont val="Arial"/>
        <family val="2"/>
      </rPr>
      <t xml:space="preserve">/(a </t>
    </r>
    <r>
      <rPr>
        <sz val="14"/>
        <rFont val="Symbol"/>
        <family val="1"/>
        <charset val="2"/>
      </rPr>
      <t>f</t>
    </r>
    <r>
      <rPr>
        <vertAlign val="superscript"/>
        <sz val="14"/>
        <rFont val="Arial"/>
        <family val="2"/>
      </rPr>
      <t>b</t>
    </r>
    <r>
      <rPr>
        <sz val="14"/>
        <rFont val="Arial"/>
        <family val="2"/>
      </rPr>
      <t xml:space="preserve"> S</t>
    </r>
    <r>
      <rPr>
        <vertAlign val="subscript"/>
        <sz val="14"/>
        <rFont val="Arial"/>
        <family val="2"/>
      </rPr>
      <t>w</t>
    </r>
    <r>
      <rPr>
        <vertAlign val="superscript"/>
        <sz val="14"/>
        <rFont val="Arial"/>
        <family val="2"/>
      </rPr>
      <t>n</t>
    </r>
    <r>
      <rPr>
        <sz val="14"/>
        <rFont val="Arial"/>
        <family val="2"/>
      </rPr>
      <t>)</t>
    </r>
  </si>
  <si>
    <r>
      <rPr>
        <sz val="14"/>
        <rFont val="Symbol"/>
        <family val="1"/>
        <charset val="2"/>
      </rPr>
      <t>f</t>
    </r>
    <r>
      <rPr>
        <sz val="14"/>
        <rFont val="Arial"/>
        <family val="2"/>
      </rPr>
      <t xml:space="preserve"> = (a </t>
    </r>
    <r>
      <rPr>
        <sz val="14"/>
        <rFont val="Symbol"/>
        <family val="1"/>
        <charset val="2"/>
      </rPr>
      <t>r</t>
    </r>
    <r>
      <rPr>
        <vertAlign val="subscript"/>
        <sz val="14"/>
        <rFont val="Arial"/>
        <family val="2"/>
      </rPr>
      <t>w</t>
    </r>
    <r>
      <rPr>
        <sz val="14"/>
        <rFont val="Arial"/>
        <family val="2"/>
      </rPr>
      <t xml:space="preserve"> 1/</t>
    </r>
    <r>
      <rPr>
        <sz val="14"/>
        <rFont val="Symbol"/>
        <family val="1"/>
        <charset val="2"/>
      </rPr>
      <t>r</t>
    </r>
    <r>
      <rPr>
        <vertAlign val="subscript"/>
        <sz val="14"/>
        <rFont val="Arial"/>
        <family val="2"/>
      </rPr>
      <t>bulk</t>
    </r>
    <r>
      <rPr>
        <sz val="14"/>
        <rFont val="Arial"/>
        <family val="2"/>
      </rPr>
      <t xml:space="preserve"> (S</t>
    </r>
    <r>
      <rPr>
        <vertAlign val="subscript"/>
        <sz val="14"/>
        <rFont val="Arial"/>
        <family val="2"/>
      </rPr>
      <t>w</t>
    </r>
    <r>
      <rPr>
        <vertAlign val="superscript"/>
        <sz val="14"/>
        <rFont val="Arial"/>
        <family val="2"/>
      </rPr>
      <t>n</t>
    </r>
    <r>
      <rPr>
        <sz val="14"/>
        <rFont val="Arial"/>
        <family val="2"/>
      </rPr>
      <t>))^</t>
    </r>
    <r>
      <rPr>
        <vertAlign val="superscript"/>
        <sz val="14"/>
        <rFont val="Arial"/>
        <family val="2"/>
      </rPr>
      <t>1/b</t>
    </r>
  </si>
  <si>
    <t>Archie's Law</t>
  </si>
  <si>
    <t>(-1.3 to -2.5)</t>
  </si>
  <si>
    <t>Need to add references for these.</t>
  </si>
  <si>
    <t xml:space="preserve">b = m = cementation </t>
  </si>
  <si>
    <t>a: is generally 1 for unconsolidated sediments.   It is a representation of totuosity</t>
  </si>
  <si>
    <t>typical values:   Glover a = .47 to .004 to 18 for sandstone</t>
  </si>
  <si>
    <t>worthington</t>
  </si>
  <si>
    <t>0.5-1.8</t>
  </si>
  <si>
    <t>a higher a is more or less tortuous???</t>
  </si>
  <si>
    <t xml:space="preserve"> 0.5 and 1.5   and it is the tortuosity of current flow. </t>
  </si>
  <si>
    <t xml:space="preserve">CHART: </t>
  </si>
  <si>
    <t>AFTER PLAACKY, 1989</t>
  </si>
  <si>
    <t xml:space="preserve">             with manual entry for  fluid resistivty and porosity values</t>
  </si>
  <si>
    <t xml:space="preserve">                 with manual entry for  bulk resistivty and porosity values</t>
  </si>
  <si>
    <t xml:space="preserve">            fluid resistivty values and  bulk resistivity (ohm-m) </t>
  </si>
  <si>
    <t xml:space="preserve">Please do not resize the fields, as this may effect the sliding scale bars. </t>
  </si>
  <si>
    <t>F</t>
  </si>
  <si>
    <r>
      <rPr>
        <b/>
        <sz val="12"/>
        <rFont val="Symbol"/>
        <family val="1"/>
        <charset val="2"/>
      </rPr>
      <t>s</t>
    </r>
    <r>
      <rPr>
        <b/>
        <vertAlign val="subscript"/>
        <sz val="12"/>
        <rFont val="Arial"/>
        <family val="2"/>
      </rPr>
      <t>bulk</t>
    </r>
    <r>
      <rPr>
        <b/>
        <sz val="12"/>
        <rFont val="Arial"/>
        <family val="1"/>
        <charset val="2"/>
      </rPr>
      <t>/</t>
    </r>
    <r>
      <rPr>
        <b/>
        <sz val="12"/>
        <rFont val="Symbol"/>
        <family val="1"/>
        <charset val="2"/>
      </rPr>
      <t>s</t>
    </r>
    <r>
      <rPr>
        <b/>
        <sz val="9"/>
        <rFont val="Arial"/>
        <family val="2"/>
      </rPr>
      <t>w</t>
    </r>
  </si>
  <si>
    <t>Fluid Cond
uS/cm</t>
  </si>
  <si>
    <t>Optional converstion:</t>
  </si>
  <si>
    <t>&gt;&gt;</t>
  </si>
  <si>
    <t>Fluid Res
ohm-m</t>
  </si>
  <si>
    <t xml:space="preserve">                                                                        s</t>
  </si>
  <si>
    <r>
      <t>Replace the bolded</t>
    </r>
    <r>
      <rPr>
        <b/>
        <sz val="12"/>
        <color indexed="12"/>
        <rFont val="Arial"/>
        <family val="2"/>
      </rPr>
      <t xml:space="preserve"> conductivity (blue) </t>
    </r>
    <r>
      <rPr>
        <b/>
        <sz val="12"/>
        <rFont val="Arial"/>
        <family val="2"/>
      </rPr>
      <t xml:space="preserve">or </t>
    </r>
    <r>
      <rPr>
        <b/>
        <sz val="12"/>
        <color rgb="FFC00000"/>
        <rFont val="Arial"/>
        <family val="2"/>
      </rPr>
      <t xml:space="preserve">resistivity (red) </t>
    </r>
  </si>
  <si>
    <r>
      <t xml:space="preserve">If you </t>
    </r>
    <r>
      <rPr>
        <b/>
        <sz val="12"/>
        <color rgb="FFC00000"/>
        <rFont val="Arial"/>
        <family val="2"/>
      </rPr>
      <t>know</t>
    </r>
    <r>
      <rPr>
        <b/>
        <sz val="12"/>
        <rFont val="Arial"/>
        <family val="2"/>
      </rPr>
      <t xml:space="preserve"> two, you can </t>
    </r>
    <r>
      <rPr>
        <b/>
        <sz val="12"/>
        <color rgb="FF0000FF"/>
        <rFont val="Arial"/>
        <family val="2"/>
      </rPr>
      <t>compute</t>
    </r>
    <r>
      <rPr>
        <b/>
        <sz val="12"/>
        <rFont val="Arial"/>
        <family val="2"/>
      </rPr>
      <t xml:space="preserve"> the third value </t>
    </r>
  </si>
  <si>
    <r>
      <t xml:space="preserve">Archies Law to compute </t>
    </r>
    <r>
      <rPr>
        <b/>
        <u/>
        <sz val="14"/>
        <color rgb="FFC00000"/>
        <rFont val="Verdana"/>
        <family val="2"/>
      </rPr>
      <t>fluid resistivity</t>
    </r>
    <r>
      <rPr>
        <b/>
        <sz val="14"/>
        <color rgb="FFC00000"/>
        <rFont val="Verdana"/>
        <family val="2"/>
      </rPr>
      <t xml:space="preserve"> (ohm-m)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</si>
</sst>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0_);_(* \(#,##0.0\);_(* &quot;-&quot;??_);_(@_)"/>
    <numFmt numFmtId="166" formatCode="0.000"/>
    <numFmt numFmtId="167" formatCode="#,##0.000"/>
    <numFmt numFmtId="168" formatCode="0.0000"/>
    <numFmt numFmtId="169" formatCode="#,##0.0"/>
    <numFmt numFmtId="170" formatCode="##&quot; %&quot;"/>
  </numFmts>
  <fonts count="78">
    <font>
      <sz val="10"/>
      <name val="Arial"/>
      <family val="2"/>
    </font>
    <font>
      <sz val="11"/>
      <color theme="1"/>
      <name val="Calibri"/>
      <family val="2"/>
      <scheme val="minor"/>
    </font>
    <font>
      <sz val="10"/>
      <name val="Arial"/>
      <family val="2"/>
    </font>
    <font>
      <b/>
      <sz val="10"/>
      <name val="Arial"/>
      <family val="2"/>
    </font>
    <font>
      <b/>
      <sz val="12"/>
      <name val="Verdana"/>
      <family val="2"/>
    </font>
    <font>
      <b/>
      <sz val="9"/>
      <name val="Arial"/>
      <family val="2"/>
    </font>
    <font>
      <b/>
      <sz val="10"/>
      <color rgb="FF0000FF"/>
      <name val="Verdana"/>
      <family val="2"/>
    </font>
    <font>
      <b/>
      <sz val="10"/>
      <name val="Verdana"/>
      <family val="2"/>
    </font>
    <font>
      <b/>
      <sz val="10"/>
      <color rgb="FFFFFFCC"/>
      <name val="Arial"/>
      <family val="2"/>
    </font>
    <font>
      <b/>
      <sz val="10"/>
      <color indexed="10"/>
      <name val="Arial"/>
      <family val="2"/>
    </font>
    <font>
      <b/>
      <sz val="10"/>
      <color rgb="FF0000FF"/>
      <name val="Arial"/>
      <family val="2"/>
    </font>
    <font>
      <b/>
      <i/>
      <sz val="11"/>
      <name val="Arial"/>
      <family val="2"/>
    </font>
    <font>
      <b/>
      <sz val="10"/>
      <color rgb="FFFF0000"/>
      <name val="Arial"/>
      <family val="2"/>
    </font>
    <font>
      <sz val="10"/>
      <color rgb="FFFFFFCC"/>
      <name val="Arial"/>
      <family val="2"/>
    </font>
    <font>
      <b/>
      <sz val="10"/>
      <color indexed="12"/>
      <name val="Arial"/>
      <family val="2"/>
    </font>
    <font>
      <b/>
      <vertAlign val="superscript"/>
      <sz val="10"/>
      <color rgb="FF0000FF"/>
      <name val="Verdana"/>
      <family val="2"/>
    </font>
    <font>
      <b/>
      <sz val="8"/>
      <color rgb="FF0000FF"/>
      <name val="Verdana"/>
      <family val="2"/>
    </font>
    <font>
      <b/>
      <sz val="9"/>
      <color rgb="FF0000FF"/>
      <name val="Verdana"/>
      <family val="2"/>
    </font>
    <font>
      <b/>
      <sz val="9"/>
      <color theme="1"/>
      <name val="Arial"/>
      <family val="2"/>
    </font>
    <font>
      <sz val="14"/>
      <name val="Symbol"/>
      <family val="1"/>
      <charset val="2"/>
    </font>
    <font>
      <sz val="14"/>
      <name val="Arial"/>
      <family val="2"/>
    </font>
    <font>
      <vertAlign val="subscript"/>
      <sz val="14"/>
      <name val="Arial"/>
      <family val="2"/>
    </font>
    <font>
      <vertAlign val="superscript"/>
      <sz val="14"/>
      <name val="Arial"/>
      <family val="2"/>
    </font>
    <font>
      <b/>
      <sz val="11"/>
      <name val="Symbol"/>
      <family val="1"/>
      <charset val="2"/>
    </font>
    <font>
      <b/>
      <sz val="11"/>
      <name val="Arial"/>
      <family val="2"/>
    </font>
    <font>
      <sz val="8"/>
      <color theme="0" tint="-4.9989318521683403E-2"/>
      <name val="Verdana"/>
      <family val="2"/>
    </font>
    <font>
      <b/>
      <sz val="12"/>
      <name val="Symbol"/>
      <family val="1"/>
      <charset val="2"/>
    </font>
    <font>
      <sz val="9"/>
      <name val="Arial"/>
      <family val="2"/>
    </font>
    <font>
      <b/>
      <sz val="10"/>
      <color theme="1"/>
      <name val="Arial"/>
      <family val="2"/>
    </font>
    <font>
      <b/>
      <sz val="14"/>
      <color theme="1"/>
      <name val="Symbol"/>
      <family val="1"/>
      <charset val="2"/>
    </font>
    <font>
      <b/>
      <vertAlign val="subscript"/>
      <sz val="14"/>
      <color theme="1"/>
      <name val="Symbol"/>
      <family val="1"/>
      <charset val="2"/>
    </font>
    <font>
      <b/>
      <vertAlign val="subscript"/>
      <sz val="14"/>
      <color theme="1"/>
      <name val="Arial"/>
      <family val="2"/>
    </font>
    <font>
      <b/>
      <sz val="14"/>
      <name val="Symbol"/>
      <family val="1"/>
      <charset val="2"/>
    </font>
    <font>
      <b/>
      <sz val="11"/>
      <color indexed="12"/>
      <name val="Arial"/>
      <family val="2"/>
    </font>
    <font>
      <sz val="9"/>
      <color indexed="23"/>
      <name val="Arial"/>
      <family val="2"/>
    </font>
    <font>
      <b/>
      <sz val="8"/>
      <color indexed="81"/>
      <name val="Tahoma"/>
      <family val="2"/>
    </font>
    <font>
      <sz val="8"/>
      <color indexed="81"/>
      <name val="Tahoma"/>
      <family val="2"/>
    </font>
    <font>
      <b/>
      <sz val="9"/>
      <name val="Verdana"/>
      <family val="2"/>
    </font>
    <font>
      <u/>
      <sz val="10"/>
      <color indexed="12"/>
      <name val="Arial"/>
      <family val="2"/>
    </font>
    <font>
      <b/>
      <sz val="12"/>
      <name val="Arial"/>
      <family val="2"/>
    </font>
    <font>
      <b/>
      <sz val="12"/>
      <color indexed="12"/>
      <name val="Arial"/>
      <family val="2"/>
    </font>
    <font>
      <b/>
      <sz val="14"/>
      <color indexed="12"/>
      <name val="Symbol"/>
      <family val="1"/>
      <charset val="2"/>
    </font>
    <font>
      <b/>
      <sz val="14"/>
      <color indexed="10"/>
      <name val="Symbol"/>
      <family val="1"/>
      <charset val="2"/>
    </font>
    <font>
      <b/>
      <sz val="9"/>
      <color indexed="12"/>
      <name val="Arial Narrow"/>
      <family val="2"/>
    </font>
    <font>
      <b/>
      <sz val="14"/>
      <color indexed="12"/>
      <name val="Arial Narrow"/>
      <family val="2"/>
    </font>
    <font>
      <b/>
      <sz val="10"/>
      <color indexed="12"/>
      <name val="Arial Narrow"/>
      <family val="2"/>
    </font>
    <font>
      <sz val="10"/>
      <color indexed="12"/>
      <name val="Arial Narrow"/>
      <family val="2"/>
    </font>
    <font>
      <b/>
      <u/>
      <sz val="12"/>
      <name val="Verdana"/>
      <family val="2"/>
    </font>
    <font>
      <b/>
      <sz val="8"/>
      <color theme="1"/>
      <name val="Arial"/>
      <family val="2"/>
    </font>
    <font>
      <b/>
      <vertAlign val="subscript"/>
      <sz val="14"/>
      <color theme="1"/>
      <name val="Calibri"/>
      <family val="2"/>
      <scheme val="minor"/>
    </font>
    <font>
      <b/>
      <sz val="11"/>
      <name val="Symbol"/>
      <family val="2"/>
      <charset val="2"/>
    </font>
    <font>
      <sz val="12"/>
      <name val="Symbol"/>
      <family val="1"/>
      <charset val="2"/>
    </font>
    <font>
      <sz val="11"/>
      <name val="Symbol"/>
      <family val="1"/>
      <charset val="2"/>
    </font>
    <font>
      <sz val="11"/>
      <name val="Arial"/>
      <family val="2"/>
    </font>
    <font>
      <vertAlign val="subscript"/>
      <sz val="11"/>
      <name val="Arial"/>
      <family val="2"/>
    </font>
    <font>
      <vertAlign val="superscript"/>
      <sz val="11"/>
      <name val="Arial"/>
      <family val="2"/>
    </font>
    <font>
      <sz val="10"/>
      <color theme="0"/>
      <name val="Arial"/>
      <family val="2"/>
    </font>
    <font>
      <b/>
      <sz val="11"/>
      <color rgb="FF0000FF"/>
      <name val="Arial"/>
      <family val="2"/>
    </font>
    <font>
      <sz val="14"/>
      <name val="Arial"/>
      <family val="1"/>
      <charset val="2"/>
    </font>
    <font>
      <sz val="8"/>
      <name val="Arial"/>
      <family val="2"/>
    </font>
    <font>
      <sz val="8"/>
      <color theme="2"/>
      <name val="Arial"/>
      <family val="2"/>
    </font>
    <font>
      <b/>
      <sz val="14"/>
      <name val="Arial"/>
      <family val="2"/>
    </font>
    <font>
      <b/>
      <sz val="12"/>
      <color rgb="FF0000FF"/>
      <name val="Arial"/>
      <family val="2"/>
    </font>
    <font>
      <b/>
      <sz val="12"/>
      <name val="Arial"/>
      <family val="1"/>
      <charset val="2"/>
    </font>
    <font>
      <b/>
      <vertAlign val="subscript"/>
      <sz val="12"/>
      <name val="Arial"/>
      <family val="2"/>
    </font>
    <font>
      <sz val="10"/>
      <color rgb="FF0000FF"/>
      <name val="Arial"/>
      <family val="2"/>
    </font>
    <font>
      <b/>
      <sz val="12"/>
      <color rgb="FFC00000"/>
      <name val="Arial"/>
      <family val="2"/>
    </font>
    <font>
      <b/>
      <sz val="14"/>
      <color rgb="FFC00000"/>
      <name val="Symbol"/>
      <family val="1"/>
      <charset val="2"/>
    </font>
    <font>
      <b/>
      <sz val="10"/>
      <color rgb="FFC00000"/>
      <name val="Arial Narrow"/>
      <family val="2"/>
    </font>
    <font>
      <b/>
      <sz val="10"/>
      <color rgb="FFC00000"/>
      <name val="Arial"/>
      <family val="2"/>
    </font>
    <font>
      <b/>
      <sz val="9"/>
      <color rgb="FFC00000"/>
      <name val="Verdana"/>
      <family val="2"/>
    </font>
    <font>
      <sz val="10"/>
      <color rgb="FFC00000"/>
      <name val="Arial"/>
      <family val="2"/>
    </font>
    <font>
      <b/>
      <sz val="14"/>
      <color rgb="FFC00000"/>
      <name val="Verdana"/>
      <family val="2"/>
    </font>
    <font>
      <b/>
      <u/>
      <sz val="14"/>
      <color rgb="FFC00000"/>
      <name val="Verdana"/>
      <family val="2"/>
    </font>
    <font>
      <b/>
      <sz val="11"/>
      <color rgb="FFC00000"/>
      <name val="Arial"/>
      <family val="2"/>
    </font>
    <font>
      <b/>
      <sz val="10"/>
      <color theme="6" tint="-0.499984740745262"/>
      <name val="Arial"/>
      <family val="2"/>
    </font>
    <font>
      <b/>
      <sz val="11"/>
      <color theme="6" tint="-0.499984740745262"/>
      <name val="Verdana"/>
      <family val="2"/>
    </font>
    <font>
      <b/>
      <sz val="10"/>
      <color theme="6" tint="-0.499984740745262"/>
      <name val="Verdana"/>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s>
  <cellStyleXfs count="5">
    <xf numFmtId="0" fontId="0" fillId="0" borderId="0"/>
    <xf numFmtId="43" fontId="2" fillId="0" borderId="0" applyFont="0" applyFill="0" applyBorder="0" applyAlignment="0" applyProtection="0"/>
    <xf numFmtId="0" fontId="2" fillId="0" borderId="0"/>
    <xf numFmtId="0" fontId="38" fillId="0" borderId="0" applyNumberFormat="0" applyFill="0" applyBorder="0" applyAlignment="0" applyProtection="0">
      <alignment vertical="top"/>
      <protection locked="0"/>
    </xf>
    <xf numFmtId="0" fontId="1" fillId="0" borderId="0"/>
  </cellStyleXfs>
  <cellXfs count="308">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3" fillId="3" borderId="0" xfId="0" applyFont="1" applyFill="1" applyBorder="1" applyProtection="1"/>
    <xf numFmtId="0" fontId="4" fillId="3" borderId="0" xfId="0" applyFont="1" applyFill="1" applyBorder="1" applyAlignment="1" applyProtection="1">
      <alignment horizontal="left"/>
    </xf>
    <xf numFmtId="0" fontId="0" fillId="3" borderId="0" xfId="0" applyFill="1" applyBorder="1" applyProtection="1"/>
    <xf numFmtId="0" fontId="0" fillId="3" borderId="0" xfId="0" applyFill="1" applyBorder="1"/>
    <xf numFmtId="0" fontId="0" fillId="3" borderId="5" xfId="0" applyFill="1" applyBorder="1"/>
    <xf numFmtId="0" fontId="3" fillId="3" borderId="0" xfId="0" applyFont="1" applyFill="1" applyBorder="1"/>
    <xf numFmtId="0" fontId="0" fillId="4" borderId="7" xfId="0" applyFill="1" applyBorder="1" applyProtection="1"/>
    <xf numFmtId="0" fontId="6" fillId="4" borderId="7" xfId="0" applyFont="1" applyFill="1" applyBorder="1" applyAlignment="1" applyProtection="1">
      <alignment horizontal="center"/>
    </xf>
    <xf numFmtId="0" fontId="0" fillId="4" borderId="8" xfId="0" applyFill="1" applyBorder="1" applyProtection="1"/>
    <xf numFmtId="0" fontId="0" fillId="4" borderId="0" xfId="0" applyFill="1" applyBorder="1" applyProtection="1"/>
    <xf numFmtId="0" fontId="3" fillId="4" borderId="0" xfId="0" applyFont="1" applyFill="1" applyBorder="1" applyProtection="1"/>
    <xf numFmtId="0" fontId="7" fillId="4" borderId="0" xfId="0" applyFont="1" applyFill="1" applyBorder="1" applyAlignment="1" applyProtection="1">
      <alignment horizontal="right"/>
    </xf>
    <xf numFmtId="0" fontId="0" fillId="4" borderId="10" xfId="0" applyFill="1" applyBorder="1" applyProtection="1"/>
    <xf numFmtId="0" fontId="0" fillId="0" borderId="11" xfId="0" applyBorder="1" applyAlignment="1">
      <alignment horizontal="center" wrapText="1"/>
    </xf>
    <xf numFmtId="0" fontId="0" fillId="0" borderId="11" xfId="0" applyBorder="1" applyAlignment="1">
      <alignment wrapText="1"/>
    </xf>
    <xf numFmtId="0" fontId="3" fillId="0" borderId="11" xfId="0" applyFont="1" applyBorder="1" applyAlignment="1">
      <alignment horizontal="center" wrapText="1"/>
    </xf>
    <xf numFmtId="0" fontId="3" fillId="0" borderId="11" xfId="0" applyFont="1" applyBorder="1" applyAlignment="1">
      <alignment wrapText="1"/>
    </xf>
    <xf numFmtId="0" fontId="0" fillId="4" borderId="0" xfId="0" applyFill="1" applyBorder="1" applyProtection="1">
      <protection locked="0"/>
    </xf>
    <xf numFmtId="1" fontId="10" fillId="2" borderId="0" xfId="0" applyNumberFormat="1" applyFont="1" applyFill="1" applyAlignment="1">
      <alignment horizontal="center"/>
    </xf>
    <xf numFmtId="2" fontId="10" fillId="2" borderId="0" xfId="0" applyNumberFormat="1" applyFont="1" applyFill="1" applyAlignment="1">
      <alignment horizontal="center"/>
    </xf>
    <xf numFmtId="0" fontId="0" fillId="4" borderId="9" xfId="0" applyFill="1" applyBorder="1" applyProtection="1"/>
    <xf numFmtId="0" fontId="11" fillId="4" borderId="0" xfId="0" applyFont="1" applyFill="1" applyBorder="1" applyProtection="1"/>
    <xf numFmtId="0" fontId="13" fillId="0" borderId="0" xfId="0" applyFont="1"/>
    <xf numFmtId="1" fontId="14" fillId="2" borderId="0" xfId="0" applyNumberFormat="1" applyFont="1" applyFill="1" applyAlignment="1">
      <alignment horizontal="center"/>
    </xf>
    <xf numFmtId="2" fontId="14" fillId="2" borderId="0" xfId="0" applyNumberFormat="1" applyFont="1" applyFill="1" applyAlignment="1">
      <alignment horizontal="center"/>
    </xf>
    <xf numFmtId="164" fontId="6" fillId="4" borderId="0" xfId="0" applyNumberFormat="1" applyFont="1" applyFill="1" applyBorder="1" applyAlignment="1" applyProtection="1">
      <alignment horizontal="center"/>
    </xf>
    <xf numFmtId="0" fontId="16" fillId="4" borderId="0" xfId="0" quotePrefix="1" applyFont="1" applyFill="1" applyBorder="1" applyAlignment="1" applyProtection="1">
      <alignment horizontal="left"/>
    </xf>
    <xf numFmtId="0" fontId="6" fillId="4" borderId="13" xfId="0" applyFont="1" applyFill="1" applyBorder="1" applyAlignment="1" applyProtection="1">
      <alignment horizontal="center"/>
    </xf>
    <xf numFmtId="0" fontId="17" fillId="4" borderId="13" xfId="0" applyFont="1" applyFill="1" applyBorder="1" applyProtection="1"/>
    <xf numFmtId="0" fontId="0" fillId="4" borderId="13" xfId="0" applyFill="1" applyBorder="1" applyProtection="1"/>
    <xf numFmtId="0" fontId="0" fillId="4" borderId="14" xfId="0" applyFill="1" applyBorder="1" applyProtection="1"/>
    <xf numFmtId="0" fontId="0" fillId="0" borderId="1" xfId="0" applyBorder="1"/>
    <xf numFmtId="0" fontId="0" fillId="0" borderId="3" xfId="0" applyBorder="1"/>
    <xf numFmtId="0" fontId="0" fillId="3" borderId="0" xfId="0" applyFont="1" applyFill="1" applyBorder="1"/>
    <xf numFmtId="0" fontId="3" fillId="3" borderId="0" xfId="0" applyFont="1" applyFill="1" applyBorder="1" applyAlignment="1" applyProtection="1">
      <alignment horizontal="right"/>
    </xf>
    <xf numFmtId="0" fontId="0" fillId="0" borderId="0" xfId="0" applyBorder="1"/>
    <xf numFmtId="0" fontId="0" fillId="2" borderId="0" xfId="0" applyFill="1" applyBorder="1"/>
    <xf numFmtId="0" fontId="0" fillId="0" borderId="4" xfId="0" applyBorder="1"/>
    <xf numFmtId="0" fontId="3" fillId="0" borderId="5" xfId="0" applyFont="1" applyBorder="1" applyAlignment="1">
      <alignment vertical="top"/>
    </xf>
    <xf numFmtId="0" fontId="19" fillId="0" borderId="4" xfId="0" applyFont="1" applyBorder="1" applyAlignment="1"/>
    <xf numFmtId="0" fontId="0" fillId="0" borderId="5" xfId="0" applyBorder="1" applyAlignment="1"/>
    <xf numFmtId="0" fontId="23" fillId="3" borderId="0" xfId="0" applyFont="1" applyFill="1" applyBorder="1" applyAlignment="1">
      <alignment horizontal="right"/>
    </xf>
    <xf numFmtId="0" fontId="25" fillId="3" borderId="5" xfId="0" applyFont="1" applyFill="1" applyBorder="1" applyAlignment="1" applyProtection="1">
      <alignment horizontal="center"/>
      <protection locked="0"/>
    </xf>
    <xf numFmtId="0" fontId="26" fillId="3" borderId="0" xfId="0" applyFont="1" applyFill="1" applyBorder="1" applyAlignment="1">
      <alignment horizontal="right"/>
    </xf>
    <xf numFmtId="0" fontId="0" fillId="3" borderId="4" xfId="0" applyFill="1" applyBorder="1" applyAlignment="1"/>
    <xf numFmtId="0" fontId="27" fillId="0" borderId="4" xfId="0" applyFont="1" applyBorder="1" applyAlignment="1"/>
    <xf numFmtId="0" fontId="3" fillId="3" borderId="0" xfId="0" applyFont="1" applyFill="1" applyBorder="1" applyAlignment="1">
      <alignment horizontal="right"/>
    </xf>
    <xf numFmtId="0" fontId="27" fillId="0" borderId="15" xfId="0" applyFont="1" applyBorder="1" applyAlignment="1"/>
    <xf numFmtId="0" fontId="0" fillId="0" borderId="16" xfId="0" applyBorder="1" applyAlignment="1"/>
    <xf numFmtId="0" fontId="3" fillId="3" borderId="0" xfId="0" applyFont="1" applyFill="1" applyBorder="1" applyAlignment="1">
      <alignment horizontal="center"/>
    </xf>
    <xf numFmtId="0" fontId="3" fillId="0" borderId="2" xfId="0" applyFont="1" applyBorder="1" applyAlignment="1">
      <alignment horizontal="center"/>
    </xf>
    <xf numFmtId="0" fontId="28" fillId="0" borderId="17" xfId="0" applyFont="1" applyBorder="1" applyAlignment="1">
      <alignment horizontal="center"/>
    </xf>
    <xf numFmtId="0" fontId="28" fillId="0" borderId="2" xfId="0" applyFont="1" applyBorder="1" applyAlignment="1">
      <alignment horizontal="center"/>
    </xf>
    <xf numFmtId="0" fontId="27" fillId="0" borderId="2" xfId="0" applyFont="1" applyBorder="1"/>
    <xf numFmtId="0" fontId="3" fillId="0" borderId="13" xfId="0" applyFont="1" applyBorder="1" applyAlignment="1">
      <alignment horizontal="center"/>
    </xf>
    <xf numFmtId="0" fontId="29" fillId="0" borderId="18" xfId="0" applyFont="1" applyBorder="1" applyAlignment="1">
      <alignment horizontal="center"/>
    </xf>
    <xf numFmtId="0" fontId="29" fillId="0" borderId="13" xfId="0" applyFont="1" applyBorder="1" applyAlignment="1">
      <alignment horizontal="center"/>
    </xf>
    <xf numFmtId="0" fontId="32" fillId="0" borderId="0" xfId="0" applyFont="1" applyBorder="1" applyAlignment="1">
      <alignment horizontal="center"/>
    </xf>
    <xf numFmtId="0" fontId="0" fillId="0" borderId="5" xfId="0" applyBorder="1"/>
    <xf numFmtId="165" fontId="33" fillId="0" borderId="15" xfId="1" applyNumberFormat="1" applyFont="1" applyBorder="1" applyAlignment="1">
      <alignment horizontal="center"/>
    </xf>
    <xf numFmtId="164" fontId="3" fillId="0" borderId="19" xfId="0" applyNumberFormat="1" applyFont="1" applyBorder="1" applyAlignment="1">
      <alignment horizontal="center"/>
    </xf>
    <xf numFmtId="2" fontId="10" fillId="2" borderId="20" xfId="0" applyNumberFormat="1" applyFont="1" applyFill="1" applyBorder="1" applyAlignment="1">
      <alignment horizontal="center"/>
    </xf>
    <xf numFmtId="2" fontId="10" fillId="2" borderId="19" xfId="0" applyNumberFormat="1" applyFont="1" applyFill="1" applyBorder="1" applyAlignment="1">
      <alignment horizontal="center"/>
    </xf>
    <xf numFmtId="164" fontId="14" fillId="0" borderId="21" xfId="0" applyNumberFormat="1" applyFont="1" applyBorder="1" applyAlignment="1">
      <alignment horizontal="center"/>
    </xf>
    <xf numFmtId="0" fontId="0" fillId="0" borderId="22" xfId="0" applyBorder="1"/>
    <xf numFmtId="0" fontId="34" fillId="3" borderId="4" xfId="0" applyFont="1" applyFill="1" applyBorder="1"/>
    <xf numFmtId="0" fontId="14" fillId="3" borderId="0" xfId="0" applyFont="1" applyFill="1" applyBorder="1" applyAlignment="1">
      <alignment horizontal="center"/>
    </xf>
    <xf numFmtId="0" fontId="0" fillId="3" borderId="15" xfId="0" applyFill="1" applyBorder="1"/>
    <xf numFmtId="0" fontId="0" fillId="3" borderId="19" xfId="0" applyFill="1" applyBorder="1"/>
    <xf numFmtId="0" fontId="0" fillId="3" borderId="16" xfId="0" applyFill="1" applyBorder="1"/>
    <xf numFmtId="164" fontId="8" fillId="4" borderId="0" xfId="0" applyNumberFormat="1" applyFont="1" applyFill="1" applyBorder="1" applyAlignment="1" applyProtection="1">
      <alignment horizontal="center"/>
      <protection locked="0"/>
    </xf>
    <xf numFmtId="0" fontId="29" fillId="0" borderId="4" xfId="0" applyFont="1" applyBorder="1" applyAlignment="1">
      <alignment horizontal="right"/>
    </xf>
    <xf numFmtId="0" fontId="5" fillId="0" borderId="2" xfId="0" applyFont="1" applyBorder="1"/>
    <xf numFmtId="0" fontId="5" fillId="4" borderId="7" xfId="0" applyFont="1" applyFill="1" applyBorder="1" applyProtection="1"/>
    <xf numFmtId="0" fontId="6" fillId="4" borderId="0" xfId="0" applyFont="1" applyFill="1" applyBorder="1" applyAlignment="1" applyProtection="1">
      <alignment horizontal="right"/>
    </xf>
    <xf numFmtId="0" fontId="6" fillId="4" borderId="13" xfId="0" applyFont="1" applyFill="1" applyBorder="1" applyAlignment="1" applyProtection="1">
      <alignment horizontal="right"/>
    </xf>
    <xf numFmtId="0" fontId="0" fillId="4" borderId="6" xfId="0" applyFill="1" applyBorder="1" applyProtection="1"/>
    <xf numFmtId="0" fontId="0" fillId="4" borderId="12" xfId="0" applyFill="1" applyBorder="1" applyProtection="1"/>
    <xf numFmtId="0" fontId="37" fillId="4" borderId="0" xfId="0" applyFont="1" applyFill="1" applyBorder="1" applyAlignment="1" applyProtection="1">
      <alignment horizontal="left"/>
    </xf>
    <xf numFmtId="0" fontId="5" fillId="4" borderId="6" xfId="0" applyFont="1" applyFill="1" applyBorder="1" applyProtection="1"/>
    <xf numFmtId="0" fontId="7" fillId="4" borderId="9" xfId="0" applyFont="1" applyFill="1" applyBorder="1" applyAlignment="1" applyProtection="1">
      <alignment horizontal="center"/>
    </xf>
    <xf numFmtId="0" fontId="0" fillId="4" borderId="9" xfId="0" applyFill="1" applyBorder="1" applyProtection="1">
      <protection locked="0"/>
    </xf>
    <xf numFmtId="164" fontId="8" fillId="4" borderId="10" xfId="0" applyNumberFormat="1" applyFont="1" applyFill="1" applyBorder="1" applyAlignment="1" applyProtection="1">
      <alignment horizontal="center"/>
      <protection locked="0"/>
    </xf>
    <xf numFmtId="0" fontId="0" fillId="3" borderId="10" xfId="0" applyFill="1" applyBorder="1"/>
    <xf numFmtId="0" fontId="6" fillId="4" borderId="9" xfId="0" applyFont="1" applyFill="1" applyBorder="1" applyAlignment="1" applyProtection="1">
      <alignment horizontal="right"/>
    </xf>
    <xf numFmtId="0" fontId="6" fillId="4" borderId="12" xfId="0" applyFont="1" applyFill="1" applyBorder="1" applyAlignment="1" applyProtection="1">
      <alignment horizontal="right"/>
    </xf>
    <xf numFmtId="0" fontId="0" fillId="5" borderId="1" xfId="0" applyFill="1" applyBorder="1"/>
    <xf numFmtId="0" fontId="0" fillId="5" borderId="2" xfId="0" applyFill="1" applyBorder="1"/>
    <xf numFmtId="0" fontId="0" fillId="5" borderId="3" xfId="0" applyFill="1" applyBorder="1"/>
    <xf numFmtId="0" fontId="0" fillId="5" borderId="4" xfId="0" applyFill="1" applyBorder="1"/>
    <xf numFmtId="0" fontId="3" fillId="5" borderId="0" xfId="0" applyFont="1" applyFill="1" applyBorder="1" applyProtection="1"/>
    <xf numFmtId="0" fontId="0" fillId="5" borderId="0" xfId="0" applyFill="1" applyBorder="1" applyProtection="1"/>
    <xf numFmtId="0" fontId="0" fillId="5" borderId="0" xfId="0" applyFill="1" applyBorder="1"/>
    <xf numFmtId="0" fontId="0" fillId="5" borderId="5" xfId="0" applyFill="1" applyBorder="1"/>
    <xf numFmtId="0" fontId="3" fillId="5" borderId="0" xfId="0" applyFont="1" applyFill="1" applyBorder="1"/>
    <xf numFmtId="0" fontId="0" fillId="0" borderId="6" xfId="0" applyBorder="1"/>
    <xf numFmtId="0" fontId="0" fillId="0" borderId="8" xfId="0" applyBorder="1"/>
    <xf numFmtId="0" fontId="0" fillId="5" borderId="0" xfId="0" applyFont="1" applyFill="1" applyBorder="1"/>
    <xf numFmtId="0" fontId="3" fillId="5" borderId="0" xfId="0" applyFont="1" applyFill="1" applyBorder="1" applyAlignment="1" applyProtection="1">
      <alignment horizontal="right"/>
    </xf>
    <xf numFmtId="0" fontId="0" fillId="0" borderId="9" xfId="0" applyBorder="1"/>
    <xf numFmtId="0" fontId="3" fillId="0" borderId="10" xfId="0" applyFont="1" applyBorder="1" applyAlignment="1">
      <alignment vertical="top"/>
    </xf>
    <xf numFmtId="2" fontId="18" fillId="5" borderId="0" xfId="0" applyNumberFormat="1" applyFont="1" applyFill="1" applyBorder="1" applyAlignment="1" applyProtection="1">
      <alignment horizontal="left"/>
    </xf>
    <xf numFmtId="0" fontId="19" fillId="0" borderId="9" xfId="0" applyFont="1" applyBorder="1" applyAlignment="1"/>
    <xf numFmtId="0" fontId="0" fillId="0" borderId="10" xfId="0" applyBorder="1" applyAlignment="1"/>
    <xf numFmtId="0" fontId="23" fillId="5" borderId="0" xfId="0" applyFont="1" applyFill="1" applyBorder="1" applyAlignment="1">
      <alignment horizontal="right"/>
    </xf>
    <xf numFmtId="0" fontId="0" fillId="0" borderId="7" xfId="0" applyBorder="1"/>
    <xf numFmtId="0" fontId="25" fillId="5" borderId="5" xfId="0" applyFont="1" applyFill="1" applyBorder="1" applyAlignment="1" applyProtection="1">
      <alignment horizontal="center"/>
      <protection locked="0"/>
    </xf>
    <xf numFmtId="0" fontId="26" fillId="5" borderId="0" xfId="0" applyFont="1" applyFill="1" applyBorder="1" applyAlignment="1">
      <alignment horizontal="right"/>
    </xf>
    <xf numFmtId="2" fontId="12" fillId="0" borderId="9" xfId="0" applyNumberFormat="1" applyFont="1" applyBorder="1" applyAlignment="1">
      <alignment horizontal="center"/>
    </xf>
    <xf numFmtId="0" fontId="0" fillId="0" borderId="10" xfId="0" applyBorder="1"/>
    <xf numFmtId="0" fontId="0" fillId="5" borderId="4" xfId="0" applyFill="1" applyBorder="1" applyAlignment="1"/>
    <xf numFmtId="0" fontId="27" fillId="0" borderId="9" xfId="0" applyFont="1" applyBorder="1" applyAlignment="1"/>
    <xf numFmtId="0" fontId="3" fillId="5" borderId="0" xfId="0" applyFont="1" applyFill="1" applyBorder="1" applyAlignment="1">
      <alignment horizontal="right"/>
    </xf>
    <xf numFmtId="0" fontId="9" fillId="2" borderId="9" xfId="0" applyFont="1" applyFill="1" applyBorder="1" applyAlignment="1">
      <alignment horizontal="center" vertical="center"/>
    </xf>
    <xf numFmtId="164" fontId="9" fillId="2" borderId="9" xfId="0" applyNumberFormat="1" applyFont="1" applyFill="1" applyBorder="1" applyAlignment="1">
      <alignment horizontal="center"/>
    </xf>
    <xf numFmtId="0" fontId="3" fillId="0" borderId="9" xfId="0" applyFont="1" applyFill="1" applyBorder="1" applyAlignment="1">
      <alignment horizontal="center"/>
    </xf>
    <xf numFmtId="0" fontId="27" fillId="0" borderId="12" xfId="0" applyFont="1" applyBorder="1" applyAlignment="1"/>
    <xf numFmtId="0" fontId="0" fillId="0" borderId="14" xfId="0" applyBorder="1" applyAlignment="1"/>
    <xf numFmtId="0" fontId="3" fillId="0" borderId="12" xfId="0" applyFont="1" applyFill="1" applyBorder="1" applyAlignment="1">
      <alignment horizontal="center"/>
    </xf>
    <xf numFmtId="0" fontId="0" fillId="0" borderId="13" xfId="0" applyBorder="1"/>
    <xf numFmtId="0" fontId="0" fillId="0" borderId="14" xfId="0" applyBorder="1"/>
    <xf numFmtId="0" fontId="3" fillId="5" borderId="0" xfId="0" applyFont="1" applyFill="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0" fontId="27" fillId="0" borderId="7" xfId="0" applyFont="1" applyBorder="1"/>
    <xf numFmtId="0" fontId="29" fillId="0" borderId="12" xfId="0" applyFont="1" applyBorder="1" applyAlignment="1">
      <alignment horizontal="center"/>
    </xf>
    <xf numFmtId="43" fontId="33" fillId="0" borderId="12" xfId="1" applyNumberFormat="1" applyFont="1" applyBorder="1" applyAlignment="1">
      <alignment horizontal="center"/>
    </xf>
    <xf numFmtId="2" fontId="10" fillId="2" borderId="13" xfId="0" applyNumberFormat="1" applyFont="1" applyFill="1" applyBorder="1" applyAlignment="1">
      <alignment horizontal="center"/>
    </xf>
    <xf numFmtId="164" fontId="14" fillId="0" borderId="25" xfId="0" applyNumberFormat="1" applyFont="1" applyBorder="1" applyAlignment="1">
      <alignment horizontal="center"/>
    </xf>
    <xf numFmtId="0" fontId="0" fillId="0" borderId="26" xfId="0" applyBorder="1"/>
    <xf numFmtId="0" fontId="34" fillId="5" borderId="4" xfId="0" applyFont="1" applyFill="1" applyBorder="1"/>
    <xf numFmtId="0" fontId="14" fillId="5" borderId="0" xfId="0" applyFont="1" applyFill="1" applyBorder="1" applyAlignment="1">
      <alignment horizontal="center"/>
    </xf>
    <xf numFmtId="0" fontId="0" fillId="5" borderId="15" xfId="0" applyFill="1" applyBorder="1"/>
    <xf numFmtId="0" fontId="0" fillId="5" borderId="19" xfId="0" applyFill="1" applyBorder="1"/>
    <xf numFmtId="0" fontId="0" fillId="5" borderId="16" xfId="0" applyFill="1" applyBorder="1"/>
    <xf numFmtId="43" fontId="33" fillId="0" borderId="15" xfId="1" applyNumberFormat="1" applyFont="1" applyBorder="1" applyAlignment="1">
      <alignment horizontal="center"/>
    </xf>
    <xf numFmtId="0" fontId="24" fillId="3" borderId="0" xfId="0" applyFont="1" applyFill="1" applyBorder="1" applyAlignment="1">
      <alignment vertical="center"/>
    </xf>
    <xf numFmtId="0" fontId="3" fillId="0" borderId="0" xfId="0" applyFont="1"/>
    <xf numFmtId="0" fontId="38" fillId="0" borderId="0" xfId="3" applyAlignment="1" applyProtection="1"/>
    <xf numFmtId="0" fontId="39" fillId="6" borderId="0" xfId="0" applyFont="1" applyFill="1"/>
    <xf numFmtId="0" fontId="3" fillId="6" borderId="0" xfId="0" applyFont="1" applyFill="1"/>
    <xf numFmtId="0" fontId="0" fillId="6" borderId="0" xfId="0" applyFill="1"/>
    <xf numFmtId="0" fontId="43" fillId="7" borderId="28" xfId="0" applyFont="1" applyFill="1" applyBorder="1" applyAlignment="1">
      <alignment horizontal="center"/>
    </xf>
    <xf numFmtId="0" fontId="44" fillId="7" borderId="13" xfId="0" applyFont="1" applyFill="1" applyBorder="1" applyAlignment="1">
      <alignment horizontal="center"/>
    </xf>
    <xf numFmtId="0" fontId="45" fillId="7" borderId="13" xfId="0" applyFont="1" applyFill="1" applyBorder="1" applyAlignment="1">
      <alignment horizontal="center"/>
    </xf>
    <xf numFmtId="0" fontId="41" fillId="7" borderId="13" xfId="0" applyFont="1" applyFill="1" applyBorder="1" applyAlignment="1">
      <alignment horizontal="center"/>
    </xf>
    <xf numFmtId="0" fontId="42" fillId="7" borderId="29" xfId="0" applyFont="1" applyFill="1" applyBorder="1" applyAlignment="1">
      <alignment horizontal="center"/>
    </xf>
    <xf numFmtId="0" fontId="45" fillId="7" borderId="4" xfId="0" applyFont="1" applyFill="1" applyBorder="1" applyAlignment="1">
      <alignment horizontal="center"/>
    </xf>
    <xf numFmtId="0" fontId="45" fillId="7" borderId="30" xfId="0" applyFont="1" applyFill="1" applyBorder="1" applyAlignment="1">
      <alignment horizontal="center"/>
    </xf>
    <xf numFmtId="0" fontId="46" fillId="7" borderId="30" xfId="0" applyFont="1" applyFill="1" applyBorder="1"/>
    <xf numFmtId="0" fontId="45" fillId="7" borderId="0" xfId="0" applyFont="1" applyFill="1" applyBorder="1" applyAlignment="1">
      <alignment horizontal="center"/>
    </xf>
    <xf numFmtId="0" fontId="14" fillId="7" borderId="32" xfId="0" applyFont="1" applyFill="1" applyBorder="1" applyAlignment="1">
      <alignment horizontal="center"/>
    </xf>
    <xf numFmtId="0" fontId="14" fillId="7" borderId="33" xfId="0" applyFont="1" applyFill="1" applyBorder="1" applyAlignment="1">
      <alignment horizontal="center"/>
    </xf>
    <xf numFmtId="0" fontId="14" fillId="7" borderId="34" xfId="0" applyFont="1" applyFill="1"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3" fontId="40" fillId="6" borderId="23" xfId="0" applyNumberFormat="1" applyFont="1" applyFill="1" applyBorder="1" applyAlignment="1">
      <alignment horizontal="center"/>
    </xf>
    <xf numFmtId="2" fontId="0" fillId="0" borderId="0" xfId="0" applyNumberFormat="1" applyBorder="1" applyAlignment="1">
      <alignment horizontal="center"/>
    </xf>
    <xf numFmtId="3" fontId="0" fillId="0" borderId="0" xfId="0" applyNumberFormat="1" applyBorder="1" applyAlignment="1">
      <alignment horizontal="center"/>
    </xf>
    <xf numFmtId="166" fontId="0" fillId="0" borderId="0" xfId="0" applyNumberFormat="1" applyBorder="1" applyAlignment="1">
      <alignment horizontal="center"/>
    </xf>
    <xf numFmtId="4" fontId="0" fillId="0" borderId="5" xfId="0" applyNumberFormat="1" applyBorder="1" applyAlignment="1">
      <alignment horizontal="center"/>
    </xf>
    <xf numFmtId="3" fontId="0" fillId="0" borderId="4" xfId="0" applyNumberFormat="1" applyBorder="1" applyAlignment="1">
      <alignment horizontal="center"/>
    </xf>
    <xf numFmtId="167" fontId="40" fillId="6" borderId="23" xfId="0" applyNumberFormat="1" applyFont="1" applyFill="1" applyBorder="1" applyAlignment="1">
      <alignment horizontal="center"/>
    </xf>
    <xf numFmtId="3" fontId="0" fillId="0" borderId="5" xfId="0" applyNumberFormat="1" applyBorder="1" applyAlignment="1">
      <alignment horizontal="center"/>
    </xf>
    <xf numFmtId="4" fontId="0" fillId="0" borderId="9" xfId="0" applyNumberFormat="1" applyBorder="1" applyAlignment="1">
      <alignment horizontal="center"/>
    </xf>
    <xf numFmtId="0" fontId="40" fillId="6" borderId="23" xfId="0" applyFont="1" applyFill="1" applyBorder="1" applyAlignment="1">
      <alignment horizontal="center"/>
    </xf>
    <xf numFmtId="168" fontId="0" fillId="0" borderId="0" xfId="0" applyNumberFormat="1" applyBorder="1" applyAlignment="1">
      <alignment horizontal="center"/>
    </xf>
    <xf numFmtId="0" fontId="0" fillId="0" borderId="15" xfId="0" applyBorder="1"/>
    <xf numFmtId="0" fontId="0" fillId="0" borderId="36" xfId="0" applyBorder="1"/>
    <xf numFmtId="0" fontId="0" fillId="0" borderId="19" xfId="0" applyBorder="1"/>
    <xf numFmtId="0" fontId="0" fillId="0" borderId="16" xfId="0" applyBorder="1"/>
    <xf numFmtId="169" fontId="0" fillId="0" borderId="5" xfId="0" applyNumberFormat="1" applyBorder="1" applyAlignment="1">
      <alignment horizontal="center"/>
    </xf>
    <xf numFmtId="0" fontId="28" fillId="0" borderId="1" xfId="0" applyFont="1" applyBorder="1" applyAlignment="1">
      <alignment horizontal="left"/>
    </xf>
    <xf numFmtId="4" fontId="0" fillId="0" borderId="0" xfId="0" applyNumberFormat="1" applyBorder="1" applyAlignment="1">
      <alignment horizontal="center"/>
    </xf>
    <xf numFmtId="164" fontId="9" fillId="2" borderId="9" xfId="0" applyNumberFormat="1" applyFont="1" applyFill="1" applyBorder="1" applyAlignment="1">
      <alignment horizontal="center" vertical="center"/>
    </xf>
    <xf numFmtId="0" fontId="0" fillId="2" borderId="8" xfId="0" applyFill="1" applyBorder="1"/>
    <xf numFmtId="2" fontId="18" fillId="3" borderId="9" xfId="0" applyNumberFormat="1" applyFont="1" applyFill="1" applyBorder="1" applyAlignment="1" applyProtection="1">
      <alignment horizontal="left"/>
    </xf>
    <xf numFmtId="0" fontId="0" fillId="3" borderId="9" xfId="0" applyFill="1" applyBorder="1"/>
    <xf numFmtId="2" fontId="48" fillId="2" borderId="39" xfId="0" applyNumberFormat="1" applyFont="1" applyFill="1" applyBorder="1" applyAlignment="1" applyProtection="1">
      <alignment horizontal="right"/>
    </xf>
    <xf numFmtId="0" fontId="28" fillId="8" borderId="24" xfId="0" applyFont="1" applyFill="1" applyBorder="1" applyAlignment="1">
      <alignment horizontal="center"/>
    </xf>
    <xf numFmtId="0" fontId="29" fillId="8" borderId="18" xfId="0" applyFont="1" applyFill="1" applyBorder="1" applyAlignment="1">
      <alignment horizontal="center"/>
    </xf>
    <xf numFmtId="2" fontId="10" fillId="8" borderId="18" xfId="0" applyNumberFormat="1" applyFont="1" applyFill="1" applyBorder="1" applyAlignment="1">
      <alignment horizontal="center"/>
    </xf>
    <xf numFmtId="0" fontId="28" fillId="0" borderId="0" xfId="0" applyFont="1" applyBorder="1" applyAlignment="1">
      <alignment horizontal="left"/>
    </xf>
    <xf numFmtId="0" fontId="50" fillId="2" borderId="4" xfId="0" applyFont="1" applyFill="1" applyBorder="1" applyAlignment="1">
      <alignment horizontal="right"/>
    </xf>
    <xf numFmtId="0" fontId="29" fillId="0" borderId="28" xfId="0" applyFont="1" applyBorder="1" applyAlignment="1">
      <alignment horizontal="center"/>
    </xf>
    <xf numFmtId="0" fontId="52" fillId="0" borderId="4" xfId="0" applyFont="1" applyBorder="1" applyAlignment="1"/>
    <xf numFmtId="0" fontId="0" fillId="9" borderId="1" xfId="0" applyFill="1" applyBorder="1"/>
    <xf numFmtId="0" fontId="0" fillId="9" borderId="4" xfId="0" applyFill="1" applyBorder="1"/>
    <xf numFmtId="0" fontId="0" fillId="9" borderId="4" xfId="0" applyFill="1" applyBorder="1" applyAlignment="1"/>
    <xf numFmtId="0" fontId="34" fillId="9" borderId="4" xfId="0" applyFont="1" applyFill="1" applyBorder="1"/>
    <xf numFmtId="0" fontId="0" fillId="9" borderId="15" xfId="0" applyFill="1" applyBorder="1"/>
    <xf numFmtId="0" fontId="0" fillId="9" borderId="2" xfId="0" applyFill="1" applyBorder="1"/>
    <xf numFmtId="0" fontId="0" fillId="9" borderId="3" xfId="0" applyFill="1" applyBorder="1"/>
    <xf numFmtId="0" fontId="3" fillId="9" borderId="0" xfId="0" applyFont="1" applyFill="1" applyBorder="1" applyProtection="1"/>
    <xf numFmtId="0" fontId="4" fillId="9" borderId="0" xfId="0" applyFont="1" applyFill="1" applyBorder="1" applyAlignment="1" applyProtection="1">
      <alignment horizontal="left"/>
    </xf>
    <xf numFmtId="0" fontId="0" fillId="9" borderId="0" xfId="0" applyFill="1" applyBorder="1" applyProtection="1"/>
    <xf numFmtId="0" fontId="0" fillId="9" borderId="0" xfId="0" applyFill="1" applyBorder="1"/>
    <xf numFmtId="0" fontId="0" fillId="9" borderId="5" xfId="0" applyFill="1" applyBorder="1"/>
    <xf numFmtId="0" fontId="3" fillId="9" borderId="0" xfId="0" applyFont="1" applyFill="1" applyBorder="1"/>
    <xf numFmtId="0" fontId="24" fillId="9" borderId="0" xfId="0" applyFont="1" applyFill="1" applyBorder="1" applyAlignment="1">
      <alignment vertical="center"/>
    </xf>
    <xf numFmtId="0" fontId="0" fillId="9" borderId="0" xfId="0" applyFont="1" applyFill="1" applyBorder="1"/>
    <xf numFmtId="0" fontId="3" fillId="9" borderId="0" xfId="0" applyFont="1" applyFill="1" applyBorder="1" applyAlignment="1" applyProtection="1">
      <alignment horizontal="right"/>
    </xf>
    <xf numFmtId="0" fontId="3" fillId="9" borderId="0" xfId="0" applyFont="1" applyFill="1" applyBorder="1" applyAlignment="1">
      <alignment horizontal="right"/>
    </xf>
    <xf numFmtId="0" fontId="26" fillId="9" borderId="0" xfId="0" applyFont="1" applyFill="1" applyBorder="1" applyAlignment="1">
      <alignment horizontal="right"/>
    </xf>
    <xf numFmtId="0" fontId="3" fillId="9" borderId="0" xfId="0" applyFont="1" applyFill="1" applyBorder="1" applyAlignment="1">
      <alignment horizontal="center"/>
    </xf>
    <xf numFmtId="0" fontId="0" fillId="9" borderId="19" xfId="0" applyFill="1" applyBorder="1"/>
    <xf numFmtId="0" fontId="0" fillId="9" borderId="9" xfId="0" applyFill="1" applyBorder="1"/>
    <xf numFmtId="0" fontId="0" fillId="9" borderId="10" xfId="0" applyFill="1" applyBorder="1"/>
    <xf numFmtId="0" fontId="25" fillId="9" borderId="5" xfId="0" applyFont="1" applyFill="1" applyBorder="1" applyAlignment="1" applyProtection="1">
      <alignment horizontal="center"/>
      <protection locked="0"/>
    </xf>
    <xf numFmtId="0" fontId="0" fillId="9" borderId="16" xfId="0" applyFill="1" applyBorder="1"/>
    <xf numFmtId="0" fontId="14" fillId="9" borderId="0" xfId="0" applyFont="1" applyFill="1" applyBorder="1" applyAlignment="1">
      <alignment horizontal="center"/>
    </xf>
    <xf numFmtId="170" fontId="10" fillId="0" borderId="13" xfId="0" applyNumberFormat="1" applyFont="1" applyBorder="1" applyAlignment="1">
      <alignment horizontal="center"/>
    </xf>
    <xf numFmtId="0" fontId="56" fillId="0" borderId="0" xfId="0" applyFont="1"/>
    <xf numFmtId="43" fontId="33" fillId="0" borderId="4" xfId="1" applyNumberFormat="1" applyFont="1" applyBorder="1" applyAlignment="1">
      <alignment horizontal="center"/>
    </xf>
    <xf numFmtId="0" fontId="28" fillId="0" borderId="3" xfId="0" applyFont="1" applyBorder="1" applyAlignment="1">
      <alignment horizontal="center"/>
    </xf>
    <xf numFmtId="0" fontId="29" fillId="0" borderId="40" xfId="0" applyFont="1" applyBorder="1" applyAlignment="1">
      <alignment horizontal="center"/>
    </xf>
    <xf numFmtId="2" fontId="10" fillId="2" borderId="16" xfId="0" applyNumberFormat="1" applyFont="1" applyFill="1" applyBorder="1" applyAlignment="1">
      <alignment horizontal="center"/>
    </xf>
    <xf numFmtId="0" fontId="3" fillId="0" borderId="3" xfId="0" applyFont="1" applyBorder="1" applyAlignment="1">
      <alignment horizontal="center"/>
    </xf>
    <xf numFmtId="0" fontId="3" fillId="0" borderId="40" xfId="0" applyFont="1" applyBorder="1" applyAlignment="1">
      <alignment horizontal="center"/>
    </xf>
    <xf numFmtId="164" fontId="3" fillId="0" borderId="5" xfId="0" applyNumberFormat="1" applyFont="1" applyBorder="1" applyAlignment="1">
      <alignment horizontal="center"/>
    </xf>
    <xf numFmtId="43" fontId="57" fillId="2" borderId="41" xfId="0" applyNumberFormat="1" applyFont="1" applyFill="1" applyBorder="1" applyAlignment="1">
      <alignment vertical="center"/>
    </xf>
    <xf numFmtId="0" fontId="0" fillId="2" borderId="22" xfId="0" applyFill="1" applyBorder="1"/>
    <xf numFmtId="0" fontId="0" fillId="10" borderId="0" xfId="0" applyFill="1" applyBorder="1"/>
    <xf numFmtId="0" fontId="26" fillId="10" borderId="0" xfId="0" applyFont="1" applyFill="1" applyBorder="1" applyAlignment="1">
      <alignment horizontal="right"/>
    </xf>
    <xf numFmtId="0" fontId="0" fillId="10" borderId="10" xfId="0" applyFill="1" applyBorder="1"/>
    <xf numFmtId="0" fontId="0" fillId="10" borderId="13" xfId="0" applyFill="1" applyBorder="1"/>
    <xf numFmtId="0" fontId="0" fillId="10" borderId="14" xfId="0" applyFill="1" applyBorder="1"/>
    <xf numFmtId="0" fontId="0" fillId="2" borderId="10" xfId="0" applyFill="1" applyBorder="1"/>
    <xf numFmtId="0" fontId="0" fillId="2" borderId="13" xfId="0" applyFill="1" applyBorder="1"/>
    <xf numFmtId="0" fontId="0" fillId="2" borderId="14" xfId="0" applyFill="1" applyBorder="1"/>
    <xf numFmtId="2" fontId="12" fillId="2" borderId="6" xfId="0" applyNumberFormat="1" applyFont="1" applyFill="1" applyBorder="1" applyAlignment="1">
      <alignment horizontal="center"/>
    </xf>
    <xf numFmtId="0" fontId="0" fillId="2" borderId="7" xfId="0" applyFill="1" applyBorder="1"/>
    <xf numFmtId="2" fontId="48" fillId="2" borderId="30" xfId="0" applyNumberFormat="1" applyFont="1" applyFill="1" applyBorder="1" applyAlignment="1" applyProtection="1">
      <alignment horizontal="right"/>
    </xf>
    <xf numFmtId="0" fontId="0" fillId="10" borderId="6" xfId="0" applyFill="1" applyBorder="1"/>
    <xf numFmtId="0" fontId="0" fillId="10" borderId="7" xfId="0" applyFill="1" applyBorder="1"/>
    <xf numFmtId="0" fontId="0" fillId="10" borderId="8" xfId="0" applyFill="1" applyBorder="1"/>
    <xf numFmtId="0" fontId="0" fillId="10" borderId="9" xfId="0" applyFill="1" applyBorder="1"/>
    <xf numFmtId="0" fontId="3" fillId="10" borderId="0" xfId="0" applyFont="1" applyFill="1" applyBorder="1"/>
    <xf numFmtId="2" fontId="10" fillId="10" borderId="0" xfId="0" applyNumberFormat="1" applyFont="1" applyFill="1" applyBorder="1" applyAlignment="1">
      <alignment horizontal="center" vertical="center"/>
    </xf>
    <xf numFmtId="2" fontId="57" fillId="10" borderId="0" xfId="0" applyNumberFormat="1" applyFont="1" applyFill="1" applyBorder="1" applyAlignment="1">
      <alignment horizontal="center" vertical="center"/>
    </xf>
    <xf numFmtId="0" fontId="0" fillId="10" borderId="12" xfId="0" applyFill="1" applyBorder="1"/>
    <xf numFmtId="0" fontId="0" fillId="10" borderId="0" xfId="0" applyFill="1" applyBorder="1" applyAlignment="1">
      <alignment vertical="center"/>
    </xf>
    <xf numFmtId="0" fontId="3" fillId="10" borderId="0" xfId="0" applyFont="1" applyFill="1" applyBorder="1" applyAlignment="1">
      <alignment horizontal="right"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58" fillId="10" borderId="0" xfId="0" applyFont="1" applyFill="1" applyBorder="1" applyAlignment="1">
      <alignment horizontal="right"/>
    </xf>
    <xf numFmtId="0" fontId="20" fillId="10" borderId="0" xfId="0" applyFont="1" applyFill="1" applyBorder="1"/>
    <xf numFmtId="0" fontId="20" fillId="10" borderId="0" xfId="0" applyFont="1" applyFill="1" applyBorder="1" applyAlignment="1">
      <alignment horizontal="right"/>
    </xf>
    <xf numFmtId="0" fontId="60" fillId="10" borderId="0" xfId="0" applyFont="1" applyFill="1" applyBorder="1"/>
    <xf numFmtId="0" fontId="39" fillId="10" borderId="0" xfId="0" applyFont="1" applyFill="1" applyBorder="1"/>
    <xf numFmtId="0" fontId="3" fillId="10" borderId="0" xfId="0" applyFont="1" applyFill="1" applyBorder="1" applyAlignment="1">
      <alignment horizontal="center" vertical="top"/>
    </xf>
    <xf numFmtId="0" fontId="0" fillId="10" borderId="0" xfId="0" applyFont="1" applyFill="1" applyBorder="1"/>
    <xf numFmtId="0" fontId="61" fillId="10" borderId="0" xfId="0" applyFont="1" applyFill="1" applyBorder="1"/>
    <xf numFmtId="0" fontId="27" fillId="2" borderId="0" xfId="0" applyFont="1" applyFill="1" applyBorder="1"/>
    <xf numFmtId="0" fontId="27" fillId="2" borderId="0" xfId="0" applyFont="1" applyFill="1" applyBorder="1" applyAlignment="1">
      <alignment horizontal="center"/>
    </xf>
    <xf numFmtId="0" fontId="3" fillId="10" borderId="0" xfId="0" applyFont="1" applyFill="1" applyBorder="1" applyAlignment="1">
      <alignment horizontal="center"/>
    </xf>
    <xf numFmtId="0" fontId="63" fillId="10" borderId="0" xfId="0" applyFont="1" applyFill="1" applyBorder="1" applyAlignment="1">
      <alignment horizontal="center"/>
    </xf>
    <xf numFmtId="0" fontId="39" fillId="10" borderId="0" xfId="0" applyFont="1" applyFill="1" applyBorder="1" applyAlignment="1">
      <alignment horizontal="center"/>
    </xf>
    <xf numFmtId="0" fontId="26" fillId="10" borderId="0" xfId="0" applyFont="1" applyFill="1" applyBorder="1" applyAlignment="1">
      <alignment horizontal="center"/>
    </xf>
    <xf numFmtId="0" fontId="59" fillId="10" borderId="13" xfId="0" applyFont="1" applyFill="1" applyBorder="1"/>
    <xf numFmtId="0" fontId="59" fillId="0" borderId="0" xfId="0" applyFont="1"/>
    <xf numFmtId="0" fontId="41" fillId="7" borderId="2" xfId="0" applyFont="1" applyFill="1" applyBorder="1" applyAlignment="1">
      <alignment horizontal="center"/>
    </xf>
    <xf numFmtId="0" fontId="3" fillId="0" borderId="0" xfId="0" applyFont="1" applyBorder="1" applyAlignment="1">
      <alignment horizontal="center" vertical="center" wrapText="1"/>
    </xf>
    <xf numFmtId="0" fontId="0" fillId="0" borderId="0" xfId="0" quotePrefix="1" applyBorder="1" applyAlignment="1">
      <alignment horizontal="center" vertical="center"/>
    </xf>
    <xf numFmtId="0" fontId="65" fillId="0" borderId="42" xfId="0" applyFont="1" applyBorder="1" applyAlignment="1">
      <alignment horizontal="center" vertical="center"/>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41" fillId="7" borderId="1" xfId="0" applyFont="1" applyFill="1" applyBorder="1" applyAlignment="1">
      <alignment horizontal="left"/>
    </xf>
    <xf numFmtId="0" fontId="67" fillId="7" borderId="27" xfId="0" applyFont="1" applyFill="1" applyBorder="1" applyAlignment="1">
      <alignment horizontal="center"/>
    </xf>
    <xf numFmtId="0" fontId="68" fillId="7" borderId="31" xfId="0" applyFont="1" applyFill="1" applyBorder="1" applyAlignment="1">
      <alignment horizontal="center"/>
    </xf>
    <xf numFmtId="0" fontId="69" fillId="7" borderId="35" xfId="0" applyFont="1" applyFill="1" applyBorder="1" applyAlignment="1">
      <alignment horizontal="center"/>
    </xf>
    <xf numFmtId="0" fontId="66" fillId="6" borderId="23" xfId="0" applyFont="1" applyFill="1" applyBorder="1" applyAlignment="1">
      <alignment horizontal="center"/>
    </xf>
    <xf numFmtId="0" fontId="69" fillId="4" borderId="9" xfId="0" applyFont="1" applyFill="1" applyBorder="1" applyAlignment="1" applyProtection="1">
      <alignment horizontal="right"/>
    </xf>
    <xf numFmtId="2" fontId="70" fillId="4" borderId="0" xfId="0" applyNumberFormat="1" applyFont="1" applyFill="1" applyBorder="1" applyAlignment="1" applyProtection="1">
      <alignment horizontal="center"/>
    </xf>
    <xf numFmtId="0" fontId="71" fillId="4" borderId="0" xfId="0" applyFont="1" applyFill="1" applyBorder="1" applyProtection="1"/>
    <xf numFmtId="2" fontId="70" fillId="2" borderId="6" xfId="0" applyNumberFormat="1" applyFont="1" applyFill="1" applyBorder="1" applyAlignment="1" applyProtection="1">
      <alignment horizontal="center"/>
    </xf>
    <xf numFmtId="2" fontId="69" fillId="0" borderId="9" xfId="0" applyNumberFormat="1" applyFont="1" applyBorder="1" applyAlignment="1">
      <alignment horizontal="center"/>
    </xf>
    <xf numFmtId="0" fontId="69" fillId="2" borderId="9" xfId="0" applyFont="1" applyFill="1" applyBorder="1" applyAlignment="1">
      <alignment horizontal="center" vertical="center"/>
    </xf>
    <xf numFmtId="164" fontId="69" fillId="2" borderId="9" xfId="0" applyNumberFormat="1" applyFont="1" applyFill="1" applyBorder="1" applyAlignment="1">
      <alignment horizontal="center"/>
    </xf>
    <xf numFmtId="0" fontId="69" fillId="4" borderId="0" xfId="0" applyFont="1" applyFill="1" applyBorder="1" applyAlignment="1" applyProtection="1">
      <alignment horizontal="right"/>
    </xf>
    <xf numFmtId="0" fontId="69" fillId="2" borderId="42" xfId="0" applyFont="1" applyFill="1" applyBorder="1" applyAlignment="1">
      <alignment horizontal="center" vertical="center"/>
    </xf>
    <xf numFmtId="2" fontId="69" fillId="2" borderId="42" xfId="0" applyNumberFormat="1" applyFont="1" applyFill="1" applyBorder="1" applyAlignment="1">
      <alignment horizontal="center" vertical="center"/>
    </xf>
    <xf numFmtId="164" fontId="69" fillId="2" borderId="9" xfId="0" applyNumberFormat="1" applyFont="1" applyFill="1" applyBorder="1" applyAlignment="1">
      <alignment horizontal="center" vertical="center"/>
    </xf>
    <xf numFmtId="0" fontId="71" fillId="0" borderId="42" xfId="0" applyFont="1" applyBorder="1" applyAlignment="1">
      <alignment horizontal="center" vertical="center"/>
    </xf>
    <xf numFmtId="2" fontId="70" fillId="4" borderId="37" xfId="0" applyNumberFormat="1" applyFont="1" applyFill="1" applyBorder="1" applyAlignment="1" applyProtection="1">
      <alignment horizontal="center"/>
    </xf>
    <xf numFmtId="2" fontId="69" fillId="4" borderId="38" xfId="0" applyNumberFormat="1" applyFont="1" applyFill="1" applyBorder="1" applyAlignment="1">
      <alignment horizontal="center"/>
    </xf>
    <xf numFmtId="0" fontId="72" fillId="5" borderId="0" xfId="0" applyFont="1" applyFill="1" applyBorder="1" applyAlignment="1" applyProtection="1">
      <alignment horizontal="left"/>
    </xf>
    <xf numFmtId="0" fontId="74" fillId="5" borderId="0" xfId="0" applyFont="1" applyFill="1" applyBorder="1" applyAlignment="1">
      <alignment vertical="center"/>
    </xf>
    <xf numFmtId="2" fontId="70" fillId="4" borderId="23" xfId="0" applyNumberFormat="1" applyFont="1" applyFill="1" applyBorder="1" applyAlignment="1" applyProtection="1">
      <alignment horizontal="center"/>
    </xf>
    <xf numFmtId="2" fontId="69" fillId="4" borderId="23" xfId="0" applyNumberFormat="1" applyFont="1" applyFill="1" applyBorder="1" applyAlignment="1">
      <alignment horizontal="center"/>
    </xf>
    <xf numFmtId="0" fontId="69" fillId="2" borderId="0" xfId="0" applyFont="1" applyFill="1" applyAlignment="1">
      <alignment horizontal="center"/>
    </xf>
    <xf numFmtId="0" fontId="75" fillId="4" borderId="0" xfId="0" applyFont="1" applyFill="1" applyBorder="1" applyAlignment="1" applyProtection="1">
      <alignment horizontal="center"/>
    </xf>
    <xf numFmtId="164" fontId="76" fillId="4" borderId="0" xfId="0" applyNumberFormat="1" applyFont="1" applyFill="1" applyBorder="1" applyAlignment="1" applyProtection="1">
      <alignment horizontal="center"/>
    </xf>
    <xf numFmtId="0" fontId="77" fillId="4" borderId="0" xfId="0" applyFont="1" applyFill="1" applyBorder="1" applyProtection="1"/>
  </cellXfs>
  <cellStyles count="5">
    <cellStyle name="Comma" xfId="1" builtinId="3"/>
    <cellStyle name="Hyperlink" xfId="3" builtinId="8"/>
    <cellStyle name="Normal" xfId="0" builtinId="0"/>
    <cellStyle name="Normal 2" xfId="2" xr:uid="{00000000-0005-0000-0000-000003000000}"/>
    <cellStyle name="Normal 3" xfId="4" xr:uid="{19CCCF90-8882-4588-9B7C-07C5955A1F2C}"/>
  </cellStyles>
  <dxfs count="80">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1"/>
      </font>
    </dxf>
    <dxf>
      <font>
        <condense val="0"/>
        <extend val="0"/>
        <color indexed="12"/>
      </font>
    </dxf>
    <dxf>
      <font>
        <condense val="0"/>
        <extend val="0"/>
        <color indexed="42"/>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1"/>
      </font>
    </dxf>
    <dxf>
      <font>
        <condense val="0"/>
        <extend val="0"/>
        <color indexed="12"/>
      </font>
    </dxf>
    <dxf>
      <font>
        <condense val="0"/>
        <extend val="0"/>
        <color indexed="42"/>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1"/>
      </font>
    </dxf>
    <dxf>
      <font>
        <condense val="0"/>
        <extend val="0"/>
        <color indexed="12"/>
      </font>
    </dxf>
    <dxf>
      <font>
        <condense val="0"/>
        <extend val="0"/>
        <color indexed="42"/>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1"/>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2"/>
      </font>
    </dxf>
    <dxf>
      <font>
        <condense val="0"/>
        <extend val="0"/>
        <color indexed="12"/>
      </font>
    </dxf>
    <dxf>
      <font>
        <condense val="0"/>
        <extend val="0"/>
        <color indexed="41"/>
      </font>
    </dxf>
    <dxf>
      <font>
        <condense val="0"/>
        <extend val="0"/>
        <color indexed="12"/>
      </font>
    </dxf>
    <dxf>
      <font>
        <condense val="0"/>
        <extend val="0"/>
        <color indexed="42"/>
      </font>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Scroll" dx="18" fmlaLink="$K$19" horiz="1" max="160" min="40" page="0" val="100"/>
</file>

<file path=xl/ctrlProps/ctrlProp10.xml><?xml version="1.0" encoding="utf-8"?>
<formControlPr xmlns="http://schemas.microsoft.com/office/spreadsheetml/2009/9/main" objectType="Scroll" dx="18" fmlaLink="$K$19" horiz="1" max="25" min="13" page="0" val="18"/>
</file>

<file path=xl/ctrlProps/ctrlProp11.xml><?xml version="1.0" encoding="utf-8"?>
<formControlPr xmlns="http://schemas.microsoft.com/office/spreadsheetml/2009/9/main" objectType="Scroll" dx="18" fmlaLink="$K$11" horiz="1" max="20" min="4" page="0" val="10"/>
</file>

<file path=xl/ctrlProps/ctrlProp12.xml><?xml version="1.0" encoding="utf-8"?>
<formControlPr xmlns="http://schemas.microsoft.com/office/spreadsheetml/2009/9/main" objectType="Scroll" dx="18" fmlaLink="$K$13" horiz="1" max="20" min="13" page="0" val="17"/>
</file>

<file path=xl/ctrlProps/ctrlProp13.xml><?xml version="1.0" encoding="utf-8"?>
<formControlPr xmlns="http://schemas.microsoft.com/office/spreadsheetml/2009/9/main" objectType="Scroll" dx="18" fmlaLink="$K$11" horiz="1" max="20" min="4" page="0" val="5"/>
</file>

<file path=xl/ctrlProps/ctrlProp14.xml><?xml version="1.0" encoding="utf-8"?>
<formControlPr xmlns="http://schemas.microsoft.com/office/spreadsheetml/2009/9/main" objectType="Scroll" dx="18" fmlaLink="$K$13" horiz="1" max="20" min="13" page="0" val="16"/>
</file>

<file path=xl/ctrlProps/ctrlProp15.xml><?xml version="1.0" encoding="utf-8"?>
<formControlPr xmlns="http://schemas.microsoft.com/office/spreadsheetml/2009/9/main" objectType="Scroll" dx="18" fmlaLink="$K$11" horiz="1" max="20" min="4" page="0" val="10"/>
</file>

<file path=xl/ctrlProps/ctrlProp16.xml><?xml version="1.0" encoding="utf-8"?>
<formControlPr xmlns="http://schemas.microsoft.com/office/spreadsheetml/2009/9/main" objectType="Scroll" dx="18" fmlaLink="$K$13" horiz="1" max="20" min="13" page="0" val="17"/>
</file>

<file path=xl/ctrlProps/ctrlProp2.xml><?xml version="1.0" encoding="utf-8"?>
<formControlPr xmlns="http://schemas.microsoft.com/office/spreadsheetml/2009/9/main" objectType="Scroll" dx="18" fmlaLink="$I$8" horiz="1" max="1200" min="1" page="10" val="204"/>
</file>

<file path=xl/ctrlProps/ctrlProp3.xml><?xml version="1.0" encoding="utf-8"?>
<formControlPr xmlns="http://schemas.microsoft.com/office/spreadsheetml/2009/9/main" objectType="Scroll" dx="18" fmlaLink="$K$21" horiz="1" max="70" min="1" page="0" val="36"/>
</file>

<file path=xl/ctrlProps/ctrlProp4.xml><?xml version="1.0" encoding="utf-8"?>
<formControlPr xmlns="http://schemas.microsoft.com/office/spreadsheetml/2009/9/main" objectType="Scroll" dx="18" fmlaLink="$K$17" horiz="1" max="100" page="0" val="69"/>
</file>

<file path=xl/ctrlProps/ctrlProp5.xml><?xml version="1.0" encoding="utf-8"?>
<formControlPr xmlns="http://schemas.microsoft.com/office/spreadsheetml/2009/9/main" objectType="Scroll" dx="18" fmlaLink="$N$19" horiz="1" max="160" min="40" page="0" val="100"/>
</file>

<file path=xl/ctrlProps/ctrlProp6.xml><?xml version="1.0" encoding="utf-8"?>
<formControlPr xmlns="http://schemas.microsoft.com/office/spreadsheetml/2009/9/main" objectType="Scroll" dx="18" fmlaLink="$L$8" horiz="1" max="7693" min="1" page="10" val="2244"/>
</file>

<file path=xl/ctrlProps/ctrlProp7.xml><?xml version="1.0" encoding="utf-8"?>
<formControlPr xmlns="http://schemas.microsoft.com/office/spreadsheetml/2009/9/main" objectType="Scroll" dx="18" fmlaLink="$N$21" horiz="1" max="70" min="1" page="0" val="47"/>
</file>

<file path=xl/ctrlProps/ctrlProp8.xml><?xml version="1.0" encoding="utf-8"?>
<formControlPr xmlns="http://schemas.microsoft.com/office/spreadsheetml/2009/9/main" objectType="Scroll" dx="18" fmlaLink="$N$17" horiz="1" max="100" page="0" val="75"/>
</file>

<file path=xl/ctrlProps/ctrlProp9.xml><?xml version="1.0" encoding="utf-8"?>
<formControlPr xmlns="http://schemas.microsoft.com/office/spreadsheetml/2009/9/main" objectType="Scroll" dx="18" fmlaLink="$K$17" horiz="1" max="20" min="4" page="0" val="1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40640</xdr:rowOff>
    </xdr:from>
    <xdr:to>
      <xdr:col>11</xdr:col>
      <xdr:colOff>428625</xdr:colOff>
      <xdr:row>39</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80975" y="202565"/>
          <a:ext cx="6524625" cy="6160135"/>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200" b="1">
            <a:solidFill>
              <a:schemeClr val="dk1"/>
            </a:solidFill>
            <a:effectLst/>
            <a:latin typeface="+mn-lt"/>
            <a:ea typeface="+mn-ea"/>
            <a:cs typeface="+mn-cs"/>
          </a:endParaRPr>
        </a:p>
        <a:p>
          <a:r>
            <a:rPr lang="en-US" sz="1200" b="1">
              <a:solidFill>
                <a:schemeClr val="dk1"/>
              </a:solidFill>
              <a:effectLst/>
              <a:latin typeface="+mn-lt"/>
              <a:ea typeface="+mn-ea"/>
              <a:cs typeface="+mn-cs"/>
            </a:rPr>
            <a:t>                                                                   Utility for Archie's</a:t>
          </a:r>
          <a:r>
            <a:rPr lang="en-US" sz="1200" b="1" baseline="0">
              <a:solidFill>
                <a:schemeClr val="dk1"/>
              </a:solidFill>
              <a:effectLst/>
              <a:latin typeface="+mn-lt"/>
              <a:ea typeface="+mn-ea"/>
              <a:cs typeface="+mn-cs"/>
            </a:rPr>
            <a:t> Law</a:t>
          </a:r>
        </a:p>
        <a:p>
          <a:endParaRPr lang="en-US">
            <a:effectLst/>
          </a:endParaRPr>
        </a:p>
        <a:p>
          <a:r>
            <a:rPr lang="en-US" sz="1100" baseline="0">
              <a:solidFill>
                <a:schemeClr val="dk1"/>
              </a:solidFill>
              <a:effectLst/>
              <a:latin typeface="+mn-lt"/>
              <a:ea typeface="+mn-ea"/>
              <a:cs typeface="+mn-cs"/>
            </a:rPr>
            <a:t>This Excel utility has several worksheets for exploring Archie's Law (Archie, 1942) that relates the bulk resistivity, porosity, and fluid resistivity using a formation factor and some assumptions about the porosity. Archie's law is based on studies of Gulf Coast sanstones that related the porosity to a formation factor. The porosity is typically in the range of 10-40% (0.1-0.4), and it assumes no infludence due to clay in the pore space.  </a:t>
          </a:r>
        </a:p>
        <a:p>
          <a:endParaRPr lang="en-US">
            <a:effectLst/>
          </a:endParaRPr>
        </a:p>
        <a:p>
          <a:pPr eaLnBrk="1" fontAlgn="auto" latinLnBrk="0" hangingPunct="1"/>
          <a:r>
            <a:rPr lang="en-US" sz="1100" baseline="0">
              <a:solidFill>
                <a:schemeClr val="dk1"/>
              </a:solidFill>
              <a:effectLst/>
              <a:latin typeface="+mn-lt"/>
              <a:ea typeface="+mn-ea"/>
              <a:cs typeface="+mn-cs"/>
            </a:rPr>
            <a:t> If you have measurements for all three parameters you can solve for and verify the formation factor for your site.   Alternately by assuming a formation factor and using measurements (or esitmates) of two of the three parameters in Archies law (bulk resistivity, fluid resistivity and porosity) the other parameter can be estimated.  The utilities in this Excel file can be used to explore and compute these values. </a:t>
          </a:r>
        </a:p>
        <a:p>
          <a:pPr eaLnBrk="1" fontAlgn="auto" latinLnBrk="0" hangingPunct="1"/>
          <a:endParaRPr lang="en-US">
            <a:effectLst/>
          </a:endParaRPr>
        </a:p>
        <a:p>
          <a:r>
            <a:rPr lang="en-US" sz="1100" b="1" u="sng" baseline="0">
              <a:solidFill>
                <a:schemeClr val="dk1"/>
              </a:solidFill>
              <a:effectLst/>
              <a:latin typeface="+mn-lt"/>
              <a:ea typeface="+mn-ea"/>
              <a:cs typeface="+mn-cs"/>
            </a:rPr>
            <a:t>There are multiple worksheets in this spreadsheet including:</a:t>
          </a:r>
        </a:p>
        <a:p>
          <a:endParaRPr lang="en-US" b="1" u="sng">
            <a:effectLst/>
          </a:endParaRPr>
        </a:p>
        <a:p>
          <a:r>
            <a:rPr lang="en-US" sz="1100" b="1" baseline="0">
              <a:solidFill>
                <a:schemeClr val="dk1"/>
              </a:solidFill>
              <a:effectLst/>
              <a:latin typeface="+mn-lt"/>
              <a:ea typeface="+mn-ea"/>
              <a:cs typeface="+mn-cs"/>
            </a:rPr>
            <a:t>Units: </a:t>
          </a:r>
          <a:r>
            <a:rPr lang="en-US" sz="1100" baseline="0">
              <a:solidFill>
                <a:schemeClr val="dk1"/>
              </a:solidFill>
              <a:effectLst/>
              <a:latin typeface="+mn-lt"/>
              <a:ea typeface="+mn-ea"/>
              <a:cs typeface="+mn-cs"/>
            </a:rPr>
            <a:t> allows you to convert between various electrical units of resistivity and conductivity</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Slide(fresh) </a:t>
          </a:r>
          <a:r>
            <a:rPr lang="en-US" sz="1100" baseline="0">
              <a:solidFill>
                <a:schemeClr val="dk1"/>
              </a:solidFill>
              <a:effectLst/>
              <a:latin typeface="+mn-lt"/>
              <a:ea typeface="+mn-ea"/>
              <a:cs typeface="+mn-cs"/>
            </a:rPr>
            <a:t>and </a:t>
          </a:r>
          <a:r>
            <a:rPr lang="en-US" sz="1100" b="1" baseline="0">
              <a:solidFill>
                <a:schemeClr val="dk1"/>
              </a:solidFill>
              <a:effectLst/>
              <a:latin typeface="+mn-lt"/>
              <a:ea typeface="+mn-ea"/>
              <a:cs typeface="+mn-cs"/>
            </a:rPr>
            <a:t>Slide(salty): </a:t>
          </a:r>
          <a:r>
            <a:rPr lang="en-US" sz="1100" baseline="0">
              <a:solidFill>
                <a:schemeClr val="dk1"/>
              </a:solidFill>
              <a:effectLst/>
              <a:latin typeface="+mn-lt"/>
              <a:ea typeface="+mn-ea"/>
              <a:cs typeface="+mn-cs"/>
            </a:rPr>
            <a:t>are worksheets that allow you to use slider bars for estimating fluid resistivity, and for exploring Archies law</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All-in-One: </a:t>
          </a:r>
          <a:r>
            <a:rPr lang="en-US" sz="1100" baseline="0">
              <a:solidFill>
                <a:schemeClr val="dk1"/>
              </a:solidFill>
              <a:effectLst/>
              <a:latin typeface="+mn-lt"/>
              <a:ea typeface="+mn-ea"/>
              <a:cs typeface="+mn-cs"/>
            </a:rPr>
            <a:t>puts all of the formulas in one sheet and you can enter the parameters manually</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BulkRes-manual</a:t>
          </a:r>
          <a:r>
            <a:rPr lang="en-US" sz="1100" baseline="0">
              <a:solidFill>
                <a:schemeClr val="dk1"/>
              </a:solidFill>
              <a:effectLst/>
              <a:latin typeface="+mn-lt"/>
              <a:ea typeface="+mn-ea"/>
              <a:cs typeface="+mn-cs"/>
            </a:rPr>
            <a:t>: allows you to solve for the bulk resistivity given fluid resistivity and porosity</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FlRes-manual</a:t>
          </a:r>
          <a:r>
            <a:rPr lang="en-US" sz="1100" baseline="0">
              <a:solidFill>
                <a:schemeClr val="dk1"/>
              </a:solidFill>
              <a:effectLst/>
              <a:latin typeface="+mn-lt"/>
              <a:ea typeface="+mn-ea"/>
              <a:cs typeface="+mn-cs"/>
            </a:rPr>
            <a:t>: allows you to solve for the fluid resistivity given bulk resistivity and porosity</a:t>
          </a:r>
          <a:endParaRPr lang="en-US">
            <a:effectLst/>
          </a:endParaRPr>
        </a:p>
        <a:p>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Porosity-manual</a:t>
          </a:r>
          <a:r>
            <a:rPr lang="en-US" sz="1100" baseline="0">
              <a:solidFill>
                <a:schemeClr val="dk1"/>
              </a:solidFill>
              <a:effectLst/>
              <a:latin typeface="+mn-lt"/>
              <a:ea typeface="+mn-ea"/>
              <a:cs typeface="+mn-cs"/>
            </a:rPr>
            <a:t>: allows you to solve for the porosity given the bulk resistivity and fluid resistivity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Resistivity: </a:t>
          </a:r>
          <a:r>
            <a:rPr lang="en-US" sz="1100" baseline="0">
              <a:solidFill>
                <a:schemeClr val="dk1"/>
              </a:solidFill>
              <a:effectLst/>
              <a:latin typeface="+mn-lt"/>
              <a:ea typeface="+mn-ea"/>
              <a:cs typeface="+mn-cs"/>
            </a:rPr>
            <a:t>provides a plot showing resistivity and conductivity of formations and fluids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Supporting information: </a:t>
          </a:r>
          <a:r>
            <a:rPr lang="en-US" sz="1100" baseline="0">
              <a:solidFill>
                <a:schemeClr val="dk1"/>
              </a:solidFill>
              <a:effectLst/>
              <a:latin typeface="+mn-lt"/>
              <a:ea typeface="+mn-ea"/>
              <a:cs typeface="+mn-cs"/>
            </a:rPr>
            <a:t>provides supporting informaiton and references.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Any use of trade, firm, or product names is for descriptive purposes only</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and does not imply endorsement by the U.S. Government.</a:t>
          </a:r>
          <a:endParaRPr lang="en-US">
            <a:effectLst/>
          </a:endParaRPr>
        </a:p>
        <a:p>
          <a:r>
            <a:rPr lang="en-US">
              <a:effectLst/>
            </a:rPr>
            <a:t>This utility</a:t>
          </a:r>
          <a:r>
            <a:rPr lang="en-US" baseline="0">
              <a:effectLst/>
            </a:rPr>
            <a:t> is for training purposes only.</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548640</xdr:colOff>
      <xdr:row>8</xdr:row>
      <xdr:rowOff>106680</xdr:rowOff>
    </xdr:from>
    <xdr:to>
      <xdr:col>7</xdr:col>
      <xdr:colOff>304800</xdr:colOff>
      <xdr:row>9</xdr:row>
      <xdr:rowOff>129540</xdr:rowOff>
    </xdr:to>
    <xdr:sp macro="" textlink="">
      <xdr:nvSpPr>
        <xdr:cNvPr id="2" name="Rectangle 1">
          <a:extLst>
            <a:ext uri="{FF2B5EF4-FFF2-40B4-BE49-F238E27FC236}">
              <a16:creationId xmlns:a16="http://schemas.microsoft.com/office/drawing/2014/main" id="{00000000-0008-0000-0200-000002000000}"/>
            </a:ext>
          </a:extLst>
        </xdr:cNvPr>
        <xdr:cNvSpPr/>
      </xdr:nvSpPr>
      <xdr:spPr bwMode="auto">
        <a:xfrm>
          <a:off x="3301365" y="1344930"/>
          <a:ext cx="1194435" cy="184785"/>
        </a:xfrm>
        <a:prstGeom prst="rect">
          <a:avLst/>
        </a:prstGeom>
        <a:solidFill>
          <a:schemeClr val="bg2">
            <a:lumMod val="50000"/>
            <a:alpha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Non-potable</a:t>
          </a:r>
        </a:p>
      </xdr:txBody>
    </xdr:sp>
    <xdr:clientData/>
  </xdr:twoCellAnchor>
  <xdr:twoCellAnchor>
    <xdr:from>
      <xdr:col>4</xdr:col>
      <xdr:colOff>60960</xdr:colOff>
      <xdr:row>8</xdr:row>
      <xdr:rowOff>106680</xdr:rowOff>
    </xdr:from>
    <xdr:to>
      <xdr:col>5</xdr:col>
      <xdr:colOff>518160</xdr:colOff>
      <xdr:row>9</xdr:row>
      <xdr:rowOff>137160</xdr:rowOff>
    </xdr:to>
    <xdr:sp macro="" textlink="">
      <xdr:nvSpPr>
        <xdr:cNvPr id="3" name="Rectangle 2">
          <a:extLst>
            <a:ext uri="{FF2B5EF4-FFF2-40B4-BE49-F238E27FC236}">
              <a16:creationId xmlns:a16="http://schemas.microsoft.com/office/drawing/2014/main" id="{00000000-0008-0000-0200-000003000000}"/>
            </a:ext>
          </a:extLst>
        </xdr:cNvPr>
        <xdr:cNvSpPr/>
      </xdr:nvSpPr>
      <xdr:spPr bwMode="auto">
        <a:xfrm>
          <a:off x="2127885" y="1344930"/>
          <a:ext cx="1143000" cy="192405"/>
        </a:xfrm>
        <a:prstGeom prst="rect">
          <a:avLst/>
        </a:prstGeom>
        <a:solidFill>
          <a:srgbClr val="FFC000">
            <a:alpha val="57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Salty</a:t>
          </a:r>
        </a:p>
      </xdr:txBody>
    </xdr:sp>
    <xdr:clientData/>
  </xdr:twoCellAnchor>
  <xdr:twoCellAnchor>
    <xdr:from>
      <xdr:col>3</xdr:col>
      <xdr:colOff>259080</xdr:colOff>
      <xdr:row>8</xdr:row>
      <xdr:rowOff>99060</xdr:rowOff>
    </xdr:from>
    <xdr:to>
      <xdr:col>4</xdr:col>
      <xdr:colOff>22860</xdr:colOff>
      <xdr:row>9</xdr:row>
      <xdr:rowOff>129540</xdr:rowOff>
    </xdr:to>
    <xdr:sp macro="" textlink="">
      <xdr:nvSpPr>
        <xdr:cNvPr id="4" name="Rectangle 3">
          <a:extLst>
            <a:ext uri="{FF2B5EF4-FFF2-40B4-BE49-F238E27FC236}">
              <a16:creationId xmlns:a16="http://schemas.microsoft.com/office/drawing/2014/main" id="{00000000-0008-0000-0200-000004000000}"/>
            </a:ext>
          </a:extLst>
        </xdr:cNvPr>
        <xdr:cNvSpPr/>
      </xdr:nvSpPr>
      <xdr:spPr bwMode="auto">
        <a:xfrm>
          <a:off x="1011555" y="1337310"/>
          <a:ext cx="1078230" cy="192405"/>
        </a:xfrm>
        <a:prstGeom prst="rect">
          <a:avLst/>
        </a:prstGeom>
        <a:solidFill>
          <a:srgbClr val="00B0F0">
            <a:alpha val="37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Fresh</a:t>
          </a:r>
        </a:p>
      </xdr:txBody>
    </xdr:sp>
    <xdr:clientData/>
  </xdr:twoCellAnchor>
  <xdr:twoCellAnchor>
    <xdr:from>
      <xdr:col>4</xdr:col>
      <xdr:colOff>144780</xdr:colOff>
      <xdr:row>6</xdr:row>
      <xdr:rowOff>7620</xdr:rowOff>
    </xdr:from>
    <xdr:to>
      <xdr:col>5</xdr:col>
      <xdr:colOff>693420</xdr:colOff>
      <xdr:row>7</xdr:row>
      <xdr:rowOff>30480</xdr:rowOff>
    </xdr:to>
    <xdr:sp macro="" textlink="">
      <xdr:nvSpPr>
        <xdr:cNvPr id="5" name="Rectangle 4">
          <a:extLst>
            <a:ext uri="{FF2B5EF4-FFF2-40B4-BE49-F238E27FC236}">
              <a16:creationId xmlns:a16="http://schemas.microsoft.com/office/drawing/2014/main" id="{00000000-0008-0000-0200-000005000000}"/>
            </a:ext>
          </a:extLst>
        </xdr:cNvPr>
        <xdr:cNvSpPr/>
      </xdr:nvSpPr>
      <xdr:spPr bwMode="auto">
        <a:xfrm>
          <a:off x="2211705" y="883920"/>
          <a:ext cx="1224915" cy="21336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1000" b="1">
              <a:latin typeface="Verdana" pitchFamily="34" charset="0"/>
            </a:rPr>
            <a:t>Brackish</a:t>
          </a:r>
          <a:endParaRPr lang="en-US" sz="900" b="1">
            <a:latin typeface="Verdana" pitchFamily="34" charset="0"/>
          </a:endParaRPr>
        </a:p>
      </xdr:txBody>
    </xdr:sp>
    <xdr:clientData/>
  </xdr:twoCellAnchor>
  <xdr:twoCellAnchor>
    <xdr:from>
      <xdr:col>11</xdr:col>
      <xdr:colOff>373380</xdr:colOff>
      <xdr:row>6</xdr:row>
      <xdr:rowOff>106680</xdr:rowOff>
    </xdr:from>
    <xdr:to>
      <xdr:col>17</xdr:col>
      <xdr:colOff>121920</xdr:colOff>
      <xdr:row>13</xdr:row>
      <xdr:rowOff>68580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421755" y="982980"/>
          <a:ext cx="3406140" cy="1285875"/>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This set of slider bars to the left</a:t>
          </a:r>
          <a:r>
            <a:rPr lang="en-US" sz="1100" baseline="0"/>
            <a:t> are</a:t>
          </a:r>
          <a:r>
            <a:rPr lang="en-US" sz="1100"/>
            <a:t> intended to help you identify the water</a:t>
          </a:r>
          <a:r>
            <a:rPr lang="en-US" sz="1100" baseline="0"/>
            <a:t> resistivity - using either the descriptions of fresh, brackish, saline, salty, or non potable, or by using known or estimated values for TDS, specific conductance, or resistivity.  The value selected with the slider bar will be used below in Archies relation. </a:t>
          </a:r>
          <a:endParaRPr lang="en-US" sz="1100"/>
        </a:p>
      </xdr:txBody>
    </xdr:sp>
    <xdr:clientData/>
  </xdr:twoCellAnchor>
  <xdr:twoCellAnchor>
    <xdr:from>
      <xdr:col>11</xdr:col>
      <xdr:colOff>396240</xdr:colOff>
      <xdr:row>16</xdr:row>
      <xdr:rowOff>15240</xdr:rowOff>
    </xdr:from>
    <xdr:to>
      <xdr:col>17</xdr:col>
      <xdr:colOff>152400</xdr:colOff>
      <xdr:row>24</xdr:row>
      <xdr:rowOff>7620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444615" y="2767965"/>
          <a:ext cx="3413760" cy="113538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Use  these</a:t>
          </a:r>
          <a:r>
            <a:rPr lang="en-US" sz="1100" baseline="0"/>
            <a:t> slider bars to set the values for porosity, a, and b.  Sw and n can be changed manually if needed.  </a:t>
          </a:r>
        </a:p>
        <a:p>
          <a:r>
            <a:rPr lang="en-US" sz="1100" baseline="0"/>
            <a:t>Below the Bulk Resistivity is computed.  </a:t>
          </a:r>
        </a:p>
        <a:p>
          <a:endParaRPr lang="en-US" sz="1100" baseline="0"/>
        </a:p>
        <a:p>
          <a:r>
            <a:rPr lang="en-US" sz="1100" baseline="0"/>
            <a:t>Use the sliders to observe the changes in Bulk resistivity.  </a:t>
          </a:r>
          <a:endParaRPr lang="en-US" sz="1100"/>
        </a:p>
      </xdr:txBody>
    </xdr:sp>
    <xdr:clientData/>
  </xdr:twoCellAnchor>
  <xdr:twoCellAnchor>
    <xdr:from>
      <xdr:col>6</xdr:col>
      <xdr:colOff>327660</xdr:colOff>
      <xdr:row>6</xdr:row>
      <xdr:rowOff>7620</xdr:rowOff>
    </xdr:from>
    <xdr:to>
      <xdr:col>7</xdr:col>
      <xdr:colOff>495300</xdr:colOff>
      <xdr:row>7</xdr:row>
      <xdr:rowOff>30480</xdr:rowOff>
    </xdr:to>
    <xdr:sp macro="" textlink="">
      <xdr:nvSpPr>
        <xdr:cNvPr id="8" name="Rectangle 7">
          <a:extLst>
            <a:ext uri="{FF2B5EF4-FFF2-40B4-BE49-F238E27FC236}">
              <a16:creationId xmlns:a16="http://schemas.microsoft.com/office/drawing/2014/main" id="{00000000-0008-0000-0200-000008000000}"/>
            </a:ext>
          </a:extLst>
        </xdr:cNvPr>
        <xdr:cNvSpPr/>
      </xdr:nvSpPr>
      <xdr:spPr bwMode="auto">
        <a:xfrm>
          <a:off x="3766185" y="883920"/>
          <a:ext cx="920115" cy="21336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1000" b="1">
              <a:latin typeface="Verdana" pitchFamily="34" charset="0"/>
            </a:rPr>
            <a:t>Saline</a:t>
          </a:r>
          <a:endParaRPr lang="en-US" sz="900" b="1">
            <a:latin typeface="Verdana" pitchFamily="34" charset="0"/>
          </a:endParaRPr>
        </a:p>
      </xdr:txBody>
    </xdr:sp>
    <xdr:clientData/>
  </xdr:twoCellAnchor>
  <xdr:twoCellAnchor editAs="oneCell">
    <xdr:from>
      <xdr:col>35</xdr:col>
      <xdr:colOff>38878</xdr:colOff>
      <xdr:row>14</xdr:row>
      <xdr:rowOff>0</xdr:rowOff>
    </xdr:from>
    <xdr:to>
      <xdr:col>41</xdr:col>
      <xdr:colOff>286770</xdr:colOff>
      <xdr:row>30</xdr:row>
      <xdr:rowOff>191821</xdr:rowOff>
    </xdr:to>
    <xdr:pic>
      <xdr:nvPicPr>
        <xdr:cNvPr id="9" name="Picture 4">
          <a:extLst>
            <a:ext uri="{FF2B5EF4-FFF2-40B4-BE49-F238E27FC236}">
              <a16:creationId xmlns:a16="http://schemas.microsoft.com/office/drawing/2014/main" id="{00000000-0008-0000-0200-000009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484082" y="2410408"/>
          <a:ext cx="4145367" cy="2913250"/>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7</xdr:col>
          <xdr:colOff>101600</xdr:colOff>
          <xdr:row>18</xdr:row>
          <xdr:rowOff>76200</xdr:rowOff>
        </xdr:from>
        <xdr:to>
          <xdr:col>9</xdr:col>
          <xdr:colOff>234950</xdr:colOff>
          <xdr:row>19</xdr:row>
          <xdr:rowOff>0</xdr:rowOff>
        </xdr:to>
        <xdr:sp macro="" textlink="">
          <xdr:nvSpPr>
            <xdr:cNvPr id="5121" name="Scroll Bar 1" descr="scroll bar"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69850</xdr:rowOff>
        </xdr:from>
        <xdr:to>
          <xdr:col>7</xdr:col>
          <xdr:colOff>571500</xdr:colOff>
          <xdr:row>8</xdr:row>
          <xdr:rowOff>82550</xdr:rowOff>
        </xdr:to>
        <xdr:sp macro="" textlink="">
          <xdr:nvSpPr>
            <xdr:cNvPr id="5122" name="Scroll Bar 2" descr="scroll bar"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20</xdr:row>
          <xdr:rowOff>31750</xdr:rowOff>
        </xdr:from>
        <xdr:to>
          <xdr:col>9</xdr:col>
          <xdr:colOff>234950</xdr:colOff>
          <xdr:row>21</xdr:row>
          <xdr:rowOff>0</xdr:rowOff>
        </xdr:to>
        <xdr:sp macro="" textlink="">
          <xdr:nvSpPr>
            <xdr:cNvPr id="5123" name="Scroll Bar 3" descr="scroll bar"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120650</xdr:rowOff>
        </xdr:from>
        <xdr:to>
          <xdr:col>9</xdr:col>
          <xdr:colOff>260350</xdr:colOff>
          <xdr:row>17</xdr:row>
          <xdr:rowOff>0</xdr:rowOff>
        </xdr:to>
        <xdr:sp macro="" textlink="">
          <xdr:nvSpPr>
            <xdr:cNvPr id="5124" name="Scroll Bar 4" descr="scroll bar"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628650</xdr:colOff>
      <xdr:row>8</xdr:row>
      <xdr:rowOff>114297</xdr:rowOff>
    </xdr:from>
    <xdr:to>
      <xdr:col>12</xdr:col>
      <xdr:colOff>209549</xdr:colOff>
      <xdr:row>9</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xdr:nvSpPr>
      <xdr:spPr bwMode="auto">
        <a:xfrm>
          <a:off x="1447800" y="1352547"/>
          <a:ext cx="5962649" cy="200027"/>
        </a:xfrm>
        <a:prstGeom prst="rect">
          <a:avLst/>
        </a:prstGeom>
        <a:solidFill>
          <a:schemeClr val="bg2">
            <a:lumMod val="50000"/>
            <a:alpha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Non-potable</a:t>
          </a:r>
        </a:p>
      </xdr:txBody>
    </xdr:sp>
    <xdr:clientData/>
  </xdr:twoCellAnchor>
  <xdr:twoCellAnchor>
    <xdr:from>
      <xdr:col>3</xdr:col>
      <xdr:colOff>356236</xdr:colOff>
      <xdr:row>8</xdr:row>
      <xdr:rowOff>116205</xdr:rowOff>
    </xdr:from>
    <xdr:to>
      <xdr:col>3</xdr:col>
      <xdr:colOff>593980</xdr:colOff>
      <xdr:row>9</xdr:row>
      <xdr:rowOff>142875</xdr:rowOff>
    </xdr:to>
    <xdr:sp macro="" textlink="">
      <xdr:nvSpPr>
        <xdr:cNvPr id="3" name="Rectangle 2">
          <a:extLst>
            <a:ext uri="{FF2B5EF4-FFF2-40B4-BE49-F238E27FC236}">
              <a16:creationId xmlns:a16="http://schemas.microsoft.com/office/drawing/2014/main" id="{00000000-0008-0000-0300-000003000000}"/>
            </a:ext>
          </a:extLst>
        </xdr:cNvPr>
        <xdr:cNvSpPr/>
      </xdr:nvSpPr>
      <xdr:spPr bwMode="auto">
        <a:xfrm>
          <a:off x="1175386" y="1354455"/>
          <a:ext cx="237744" cy="188595"/>
        </a:xfrm>
        <a:prstGeom prst="rect">
          <a:avLst/>
        </a:prstGeom>
        <a:solidFill>
          <a:srgbClr val="FFC000">
            <a:alpha val="57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800"/>
            <a:t>Salty</a:t>
          </a:r>
          <a:endParaRPr lang="en-US" sz="1050"/>
        </a:p>
      </xdr:txBody>
    </xdr:sp>
    <xdr:clientData/>
  </xdr:twoCellAnchor>
  <xdr:twoCellAnchor>
    <xdr:from>
      <xdr:col>2</xdr:col>
      <xdr:colOff>182880</xdr:colOff>
      <xdr:row>8</xdr:row>
      <xdr:rowOff>114298</xdr:rowOff>
    </xdr:from>
    <xdr:to>
      <xdr:col>3</xdr:col>
      <xdr:colOff>314325</xdr:colOff>
      <xdr:row>9</xdr:row>
      <xdr:rowOff>144397</xdr:rowOff>
    </xdr:to>
    <xdr:sp macro="" textlink="">
      <xdr:nvSpPr>
        <xdr:cNvPr id="4" name="Rectangle 3">
          <a:extLst>
            <a:ext uri="{FF2B5EF4-FFF2-40B4-BE49-F238E27FC236}">
              <a16:creationId xmlns:a16="http://schemas.microsoft.com/office/drawing/2014/main" id="{00000000-0008-0000-0300-000004000000}"/>
            </a:ext>
          </a:extLst>
        </xdr:cNvPr>
        <xdr:cNvSpPr/>
      </xdr:nvSpPr>
      <xdr:spPr bwMode="auto">
        <a:xfrm>
          <a:off x="773430" y="1352548"/>
          <a:ext cx="360045" cy="192024"/>
        </a:xfrm>
        <a:prstGeom prst="rect">
          <a:avLst/>
        </a:prstGeom>
        <a:solidFill>
          <a:srgbClr val="00B0F0">
            <a:alpha val="37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900"/>
            <a:t>Fresh</a:t>
          </a:r>
          <a:endParaRPr lang="en-US" sz="1100"/>
        </a:p>
      </xdr:txBody>
    </xdr:sp>
    <xdr:clientData/>
  </xdr:twoCellAnchor>
  <xdr:twoCellAnchor>
    <xdr:from>
      <xdr:col>4</xdr:col>
      <xdr:colOff>144780</xdr:colOff>
      <xdr:row>6</xdr:row>
      <xdr:rowOff>7620</xdr:rowOff>
    </xdr:from>
    <xdr:to>
      <xdr:col>5</xdr:col>
      <xdr:colOff>693420</xdr:colOff>
      <xdr:row>7</xdr:row>
      <xdr:rowOff>30480</xdr:rowOff>
    </xdr:to>
    <xdr:sp macro="" textlink="">
      <xdr:nvSpPr>
        <xdr:cNvPr id="5" name="Rectangle 4">
          <a:extLst>
            <a:ext uri="{FF2B5EF4-FFF2-40B4-BE49-F238E27FC236}">
              <a16:creationId xmlns:a16="http://schemas.microsoft.com/office/drawing/2014/main" id="{00000000-0008-0000-0300-000005000000}"/>
            </a:ext>
          </a:extLst>
        </xdr:cNvPr>
        <xdr:cNvSpPr/>
      </xdr:nvSpPr>
      <xdr:spPr bwMode="auto">
        <a:xfrm>
          <a:off x="2263140" y="914400"/>
          <a:ext cx="1226820" cy="22098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lang="en-US" sz="1000" b="1">
              <a:latin typeface="Verdana" pitchFamily="34" charset="0"/>
            </a:rPr>
            <a:t>Brackish</a:t>
          </a:r>
          <a:endParaRPr lang="en-US" sz="900" b="1">
            <a:latin typeface="Verdana" pitchFamily="34" charset="0"/>
          </a:endParaRPr>
        </a:p>
      </xdr:txBody>
    </xdr:sp>
    <xdr:clientData/>
  </xdr:twoCellAnchor>
  <xdr:twoCellAnchor>
    <xdr:from>
      <xdr:col>14</xdr:col>
      <xdr:colOff>373380</xdr:colOff>
      <xdr:row>6</xdr:row>
      <xdr:rowOff>106680</xdr:rowOff>
    </xdr:from>
    <xdr:to>
      <xdr:col>20</xdr:col>
      <xdr:colOff>121920</xdr:colOff>
      <xdr:row>13</xdr:row>
      <xdr:rowOff>68580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553200" y="1013460"/>
          <a:ext cx="3406140" cy="129540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This set of slider bars to the left</a:t>
          </a:r>
          <a:r>
            <a:rPr lang="en-US" sz="1100" baseline="0"/>
            <a:t> are</a:t>
          </a:r>
          <a:r>
            <a:rPr lang="en-US" sz="1100"/>
            <a:t> intended to help you identify the water</a:t>
          </a:r>
          <a:r>
            <a:rPr lang="en-US" sz="1100" baseline="0"/>
            <a:t> resistivity - using either the descriptions of fresh, brackish, saline, salty, or non potable, or by using known or estimated values for TDS, specific conductance, or resistivity.  The value selected with the slider bar will be used below in Archies relation. </a:t>
          </a:r>
          <a:endParaRPr lang="en-US" sz="1100"/>
        </a:p>
      </xdr:txBody>
    </xdr:sp>
    <xdr:clientData/>
  </xdr:twoCellAnchor>
  <xdr:twoCellAnchor>
    <xdr:from>
      <xdr:col>14</xdr:col>
      <xdr:colOff>396240</xdr:colOff>
      <xdr:row>16</xdr:row>
      <xdr:rowOff>15240</xdr:rowOff>
    </xdr:from>
    <xdr:to>
      <xdr:col>20</xdr:col>
      <xdr:colOff>152400</xdr:colOff>
      <xdr:row>24</xdr:row>
      <xdr:rowOff>7620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6576060" y="2819400"/>
          <a:ext cx="3413760" cy="114300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Use  these</a:t>
          </a:r>
          <a:r>
            <a:rPr lang="en-US" sz="1100" baseline="0"/>
            <a:t> slider bars to set the values for porosity, a, and b.  Sw and n can be changed manually if needed.  </a:t>
          </a:r>
        </a:p>
        <a:p>
          <a:r>
            <a:rPr lang="en-US" sz="1100" baseline="0"/>
            <a:t>Below the Bulk Resistivity is computed.  </a:t>
          </a:r>
        </a:p>
        <a:p>
          <a:endParaRPr lang="en-US" sz="1100" baseline="0"/>
        </a:p>
        <a:p>
          <a:r>
            <a:rPr lang="en-US" sz="1100" baseline="0"/>
            <a:t>Use the sliders to observe the changes in Bulk resistivity.  </a:t>
          </a:r>
          <a:endParaRPr lang="en-US" sz="1100"/>
        </a:p>
      </xdr:txBody>
    </xdr:sp>
    <xdr:clientData/>
  </xdr:twoCellAnchor>
  <xdr:twoCellAnchor>
    <xdr:from>
      <xdr:col>6</xdr:col>
      <xdr:colOff>327660</xdr:colOff>
      <xdr:row>6</xdr:row>
      <xdr:rowOff>7620</xdr:rowOff>
    </xdr:from>
    <xdr:to>
      <xdr:col>7</xdr:col>
      <xdr:colOff>495300</xdr:colOff>
      <xdr:row>7</xdr:row>
      <xdr:rowOff>30480</xdr:rowOff>
    </xdr:to>
    <xdr:sp macro="" textlink="">
      <xdr:nvSpPr>
        <xdr:cNvPr id="8" name="Rectangle 7">
          <a:extLst>
            <a:ext uri="{FF2B5EF4-FFF2-40B4-BE49-F238E27FC236}">
              <a16:creationId xmlns:a16="http://schemas.microsoft.com/office/drawing/2014/main" id="{00000000-0008-0000-0300-000008000000}"/>
            </a:ext>
          </a:extLst>
        </xdr:cNvPr>
        <xdr:cNvSpPr/>
      </xdr:nvSpPr>
      <xdr:spPr bwMode="auto">
        <a:xfrm>
          <a:off x="3825240" y="914400"/>
          <a:ext cx="937260" cy="22098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en-US" sz="1000" b="1">
              <a:latin typeface="Verdana" pitchFamily="34" charset="0"/>
            </a:rPr>
            <a:t>Saline</a:t>
          </a:r>
          <a:endParaRPr lang="en-US" sz="900" b="1">
            <a:latin typeface="Verdana" pitchFamily="34" charset="0"/>
          </a:endParaRPr>
        </a:p>
      </xdr:txBody>
    </xdr:sp>
    <xdr:clientData/>
  </xdr:twoCellAnchor>
  <xdr:twoCellAnchor editAs="oneCell">
    <xdr:from>
      <xdr:col>27</xdr:col>
      <xdr:colOff>0</xdr:colOff>
      <xdr:row>14</xdr:row>
      <xdr:rowOff>0</xdr:rowOff>
    </xdr:from>
    <xdr:to>
      <xdr:col>33</xdr:col>
      <xdr:colOff>247893</xdr:colOff>
      <xdr:row>30</xdr:row>
      <xdr:rowOff>209549</xdr:rowOff>
    </xdr:to>
    <xdr:pic>
      <xdr:nvPicPr>
        <xdr:cNvPr id="9" name="Picture 4">
          <a:extLst>
            <a:ext uri="{FF2B5EF4-FFF2-40B4-BE49-F238E27FC236}">
              <a16:creationId xmlns:a16="http://schemas.microsoft.com/office/drawing/2014/main" id="{00000000-0008-0000-0300-000009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104620" y="2415540"/>
          <a:ext cx="4202673" cy="2895599"/>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7</xdr:col>
          <xdr:colOff>101600</xdr:colOff>
          <xdr:row>18</xdr:row>
          <xdr:rowOff>76200</xdr:rowOff>
        </xdr:from>
        <xdr:to>
          <xdr:col>9</xdr:col>
          <xdr:colOff>82550</xdr:colOff>
          <xdr:row>19</xdr:row>
          <xdr:rowOff>0</xdr:rowOff>
        </xdr:to>
        <xdr:sp macro="" textlink="">
          <xdr:nvSpPr>
            <xdr:cNvPr id="1025" name="Scroll Bar 1" descr="scroll bar"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7</xdr:row>
          <xdr:rowOff>63500</xdr:rowOff>
        </xdr:from>
        <xdr:to>
          <xdr:col>12</xdr:col>
          <xdr:colOff>228600</xdr:colOff>
          <xdr:row>8</xdr:row>
          <xdr:rowOff>69850</xdr:rowOff>
        </xdr:to>
        <xdr:sp macro="" textlink="">
          <xdr:nvSpPr>
            <xdr:cNvPr id="1026" name="Scroll Bar 2" descr="scroll bar"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20</xdr:row>
          <xdr:rowOff>31750</xdr:rowOff>
        </xdr:from>
        <xdr:to>
          <xdr:col>9</xdr:col>
          <xdr:colOff>82550</xdr:colOff>
          <xdr:row>21</xdr:row>
          <xdr:rowOff>0</xdr:rowOff>
        </xdr:to>
        <xdr:sp macro="" textlink="">
          <xdr:nvSpPr>
            <xdr:cNvPr id="1027" name="Scroll Bar 3" descr="scroll bar"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120650</xdr:rowOff>
        </xdr:from>
        <xdr:to>
          <xdr:col>9</xdr:col>
          <xdr:colOff>107950</xdr:colOff>
          <xdr:row>17</xdr:row>
          <xdr:rowOff>0</xdr:rowOff>
        </xdr:to>
        <xdr:sp macro="" textlink="">
          <xdr:nvSpPr>
            <xdr:cNvPr id="1028" name="Scroll Bar 4" descr="scroll bar"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88900</xdr:colOff>
          <xdr:row>16</xdr:row>
          <xdr:rowOff>12700</xdr:rowOff>
        </xdr:from>
        <xdr:to>
          <xdr:col>9</xdr:col>
          <xdr:colOff>444500</xdr:colOff>
          <xdr:row>17</xdr:row>
          <xdr:rowOff>12700</xdr:rowOff>
        </xdr:to>
        <xdr:sp macro="" textlink="">
          <xdr:nvSpPr>
            <xdr:cNvPr id="11265" name="Scroll Bar 1" descr="scroll bar"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xdr:row>
          <xdr:rowOff>6350</xdr:rowOff>
        </xdr:from>
        <xdr:to>
          <xdr:col>9</xdr:col>
          <xdr:colOff>444500</xdr:colOff>
          <xdr:row>19</xdr:row>
          <xdr:rowOff>6350</xdr:rowOff>
        </xdr:to>
        <xdr:sp macro="" textlink="">
          <xdr:nvSpPr>
            <xdr:cNvPr id="11266" name="Scroll Bar 2" descr="scroll bar"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16</xdr:col>
      <xdr:colOff>136072</xdr:colOff>
      <xdr:row>8</xdr:row>
      <xdr:rowOff>0</xdr:rowOff>
    </xdr:from>
    <xdr:to>
      <xdr:col>21</xdr:col>
      <xdr:colOff>173899</xdr:colOff>
      <xdr:row>24</xdr:row>
      <xdr:rowOff>68036</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832612" y="1513795"/>
          <a:ext cx="2189457" cy="2866004"/>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General instructions:  </a:t>
          </a:r>
          <a:r>
            <a:rPr lang="en-US" sz="1100"/>
            <a:t>Enter the known</a:t>
          </a:r>
          <a:r>
            <a:rPr lang="en-US" sz="1100" baseline="0"/>
            <a:t> values (in the outlined boxes with red text), and</a:t>
          </a:r>
        </a:p>
        <a:p>
          <a:r>
            <a:rPr lang="en-US" sz="1100" baseline="0"/>
            <a:t>the other fields (in blue) will be computed using the tortuosity, cementation, and saturation values selected below. </a:t>
          </a:r>
        </a:p>
        <a:p>
          <a:endParaRPr lang="en-US" sz="1100" baseline="0"/>
        </a:p>
        <a:p>
          <a:r>
            <a:rPr lang="en-US" sz="1100"/>
            <a:t>Use  the</a:t>
          </a:r>
          <a:r>
            <a:rPr lang="en-US" sz="1100" baseline="0"/>
            <a:t> slider bars to set the values for porosity, a, and b (sometimes called m).  </a:t>
          </a:r>
          <a:br>
            <a:rPr lang="en-US" sz="1100" baseline="0"/>
          </a:br>
          <a:r>
            <a:rPr lang="en-US" sz="1100" baseline="0"/>
            <a:t>Sw and n can be changed manually, if needed. </a:t>
          </a:r>
        </a:p>
        <a:p>
          <a:endParaRPr lang="en-US" sz="1100" baseline="0"/>
        </a:p>
        <a:p>
          <a:r>
            <a:rPr lang="en-US" sz="1100" baseline="0"/>
            <a:t>Conversion from uS/cm to ohm-m is provided above. </a:t>
          </a:r>
        </a:p>
        <a:p>
          <a:r>
            <a:rPr lang="en-US" sz="1100" baseline="0"/>
            <a:t> </a:t>
          </a:r>
        </a:p>
      </xdr:txBody>
    </xdr:sp>
    <xdr:clientData/>
  </xdr:twoCellAnchor>
  <xdr:twoCellAnchor>
    <xdr:from>
      <xdr:col>1</xdr:col>
      <xdr:colOff>396240</xdr:colOff>
      <xdr:row>25</xdr:row>
      <xdr:rowOff>53341</xdr:rowOff>
    </xdr:from>
    <xdr:to>
      <xdr:col>13</xdr:col>
      <xdr:colOff>236220</xdr:colOff>
      <xdr:row>28</xdr:row>
      <xdr:rowOff>22861</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55320" y="4274821"/>
          <a:ext cx="5958840" cy="47244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Archie's Law is only an approximation for non-shale lithologies.  For shale/clay see the Waxman-Smits equation.  Future versions of this utility, may include that - but I do not have it now.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87629</xdr:colOff>
      <xdr:row>10</xdr:row>
      <xdr:rowOff>51435</xdr:rowOff>
    </xdr:from>
    <xdr:to>
      <xdr:col>16</xdr:col>
      <xdr:colOff>523874</xdr:colOff>
      <xdr:row>20</xdr:row>
      <xdr:rowOff>171450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164579" y="1699260"/>
          <a:ext cx="3484245" cy="157734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Use  these</a:t>
          </a:r>
          <a:r>
            <a:rPr lang="en-US" sz="1100" baseline="0"/>
            <a:t> slider bars to set the values for porosity, a, and b (sometimes called m).  </a:t>
          </a:r>
          <a:br>
            <a:rPr lang="en-US" sz="1100" baseline="0"/>
          </a:br>
          <a:r>
            <a:rPr lang="en-US" sz="1100" baseline="0"/>
            <a:t>Sw and n can be changed manually if needed. </a:t>
          </a:r>
        </a:p>
        <a:p>
          <a:r>
            <a:rPr lang="en-US" sz="1100" baseline="0"/>
            <a:t> </a:t>
          </a:r>
        </a:p>
        <a:p>
          <a:r>
            <a:rPr lang="en-US" sz="1100" baseline="0"/>
            <a:t>Below the Bulk Resistivity is computed.  </a:t>
          </a:r>
        </a:p>
        <a:p>
          <a:endParaRPr lang="en-US" sz="1100" baseline="0"/>
        </a:p>
        <a:p>
          <a:r>
            <a:rPr lang="en-US" sz="1100" baseline="0"/>
            <a:t>Use the sliders to observe the changes in Bulk resistivity.  </a:t>
          </a:r>
          <a:endParaRPr lang="en-US" sz="1100"/>
        </a:p>
      </xdr:txBody>
    </xdr:sp>
    <xdr:clientData/>
  </xdr:twoCellAnchor>
  <xdr:twoCellAnchor editAs="oneCell">
    <xdr:from>
      <xdr:col>24</xdr:col>
      <xdr:colOff>0</xdr:colOff>
      <xdr:row>6</xdr:row>
      <xdr:rowOff>0</xdr:rowOff>
    </xdr:from>
    <xdr:to>
      <xdr:col>30</xdr:col>
      <xdr:colOff>247893</xdr:colOff>
      <xdr:row>22</xdr:row>
      <xdr:rowOff>129540</xdr:rowOff>
    </xdr:to>
    <xdr:pic>
      <xdr:nvPicPr>
        <xdr:cNvPr id="9" name="Picture 4">
          <a:extLst>
            <a:ext uri="{FF2B5EF4-FFF2-40B4-BE49-F238E27FC236}">
              <a16:creationId xmlns:a16="http://schemas.microsoft.com/office/drawing/2014/main" id="{00000000-0008-0000-0500-000009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104620" y="2415540"/>
          <a:ext cx="4202673" cy="2895599"/>
        </a:xfrm>
        <a:prstGeom prst="rect">
          <a:avLst/>
        </a:prstGeom>
        <a:noFill/>
        <a:ln w="1">
          <a:noFill/>
          <a:miter lim="800000"/>
          <a:headEnd/>
          <a:tailEnd type="none" w="med" len="med"/>
        </a:ln>
        <a:effectLst/>
      </xdr:spPr>
    </xdr:pic>
    <xdr:clientData/>
  </xdr:twoCellAnchor>
  <xdr:twoCellAnchor>
    <xdr:from>
      <xdr:col>11</xdr:col>
      <xdr:colOff>91440</xdr:colOff>
      <xdr:row>6</xdr:row>
      <xdr:rowOff>7620</xdr:rowOff>
    </xdr:from>
    <xdr:to>
      <xdr:col>16</xdr:col>
      <xdr:colOff>457200</xdr:colOff>
      <xdr:row>7</xdr:row>
      <xdr:rowOff>144780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271260" y="876300"/>
          <a:ext cx="3413760" cy="31242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Fluid</a:t>
          </a:r>
          <a:r>
            <a:rPr lang="en-US" sz="1100" baseline="0"/>
            <a:t> resistivity and Porosity are entered manually.  </a:t>
          </a:r>
          <a:endParaRPr lang="en-US" sz="1100"/>
        </a:p>
      </xdr:txBody>
    </xdr:sp>
    <xdr:clientData/>
  </xdr:twoCellAnchor>
  <xdr:twoCellAnchor>
    <xdr:from>
      <xdr:col>11</xdr:col>
      <xdr:colOff>114300</xdr:colOff>
      <xdr:row>22</xdr:row>
      <xdr:rowOff>129540</xdr:rowOff>
    </xdr:from>
    <xdr:to>
      <xdr:col>16</xdr:col>
      <xdr:colOff>480060</xdr:colOff>
      <xdr:row>23</xdr:row>
      <xdr:rowOff>144780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6294120" y="3688080"/>
          <a:ext cx="3413760" cy="31242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See worksheet on supporting information, if needed. </a:t>
          </a:r>
        </a:p>
      </xdr:txBody>
    </xdr:sp>
    <xdr:clientData/>
  </xdr:twoCellAnchor>
  <mc:AlternateContent xmlns:mc="http://schemas.openxmlformats.org/markup-compatibility/2006">
    <mc:Choice xmlns:a14="http://schemas.microsoft.com/office/drawing/2010/main" Requires="a14">
      <xdr:twoCellAnchor editAs="oneCell">
        <xdr:from>
          <xdr:col>7</xdr:col>
          <xdr:colOff>101600</xdr:colOff>
          <xdr:row>10</xdr:row>
          <xdr:rowOff>76200</xdr:rowOff>
        </xdr:from>
        <xdr:to>
          <xdr:col>9</xdr:col>
          <xdr:colOff>234950</xdr:colOff>
          <xdr:row>11</xdr:row>
          <xdr:rowOff>0</xdr:rowOff>
        </xdr:to>
        <xdr:sp macro="" textlink="">
          <xdr:nvSpPr>
            <xdr:cNvPr id="2049" name="Scroll Bar 1" descr="scroll bar"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31750</xdr:rowOff>
        </xdr:from>
        <xdr:to>
          <xdr:col>9</xdr:col>
          <xdr:colOff>234950</xdr:colOff>
          <xdr:row>13</xdr:row>
          <xdr:rowOff>25400</xdr:rowOff>
        </xdr:to>
        <xdr:sp macro="" textlink="">
          <xdr:nvSpPr>
            <xdr:cNvPr id="2051" name="Scroll Bar 3" descr="scroll bar"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106680</xdr:colOff>
      <xdr:row>8</xdr:row>
      <xdr:rowOff>180975</xdr:rowOff>
    </xdr:from>
    <xdr:to>
      <xdr:col>12</xdr:col>
      <xdr:colOff>0</xdr:colOff>
      <xdr:row>20</xdr:row>
      <xdr:rowOff>123825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6183630" y="1447800"/>
          <a:ext cx="3474720" cy="1743075"/>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Use  these</a:t>
          </a:r>
          <a:r>
            <a:rPr lang="en-US" sz="1100" baseline="0"/>
            <a:t> slider bars to set the values for porosity, a, and b (sometimes denoted as  m).  </a:t>
          </a:r>
          <a:br>
            <a:rPr lang="en-US" sz="1100" baseline="0"/>
          </a:br>
          <a:br>
            <a:rPr lang="en-US" sz="1100" baseline="0"/>
          </a:br>
          <a:r>
            <a:rPr lang="en-US" sz="1100" baseline="0"/>
            <a:t>Sw and n can be changed manually , if needed.  </a:t>
          </a:r>
        </a:p>
        <a:p>
          <a:r>
            <a:rPr lang="en-US" sz="1100" baseline="0"/>
            <a:t>Below the Fluid Resistivity is computed.  </a:t>
          </a:r>
        </a:p>
        <a:p>
          <a:endParaRPr lang="en-US" sz="1100" baseline="0"/>
        </a:p>
        <a:p>
          <a:r>
            <a:rPr lang="en-US" sz="1100" baseline="0"/>
            <a:t>Use the sliders to observe the changes in Fluid  resistivity.  </a:t>
          </a:r>
          <a:endParaRPr lang="en-US" sz="1100"/>
        </a:p>
      </xdr:txBody>
    </xdr:sp>
    <xdr:clientData/>
  </xdr:twoCellAnchor>
  <xdr:twoCellAnchor editAs="oneCell">
    <xdr:from>
      <xdr:col>19</xdr:col>
      <xdr:colOff>0</xdr:colOff>
      <xdr:row>6</xdr:row>
      <xdr:rowOff>0</xdr:rowOff>
    </xdr:from>
    <xdr:to>
      <xdr:col>25</xdr:col>
      <xdr:colOff>247893</xdr:colOff>
      <xdr:row>22</xdr:row>
      <xdr:rowOff>106679</xdr:rowOff>
    </xdr:to>
    <xdr:pic>
      <xdr:nvPicPr>
        <xdr:cNvPr id="3" name="Picture 4">
          <a:extLst>
            <a:ext uri="{FF2B5EF4-FFF2-40B4-BE49-F238E27FC236}">
              <a16:creationId xmlns:a16="http://schemas.microsoft.com/office/drawing/2014/main" id="{00000000-0008-0000-0600-000003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25550" y="876300"/>
          <a:ext cx="4134093" cy="2882264"/>
        </a:xfrm>
        <a:prstGeom prst="rect">
          <a:avLst/>
        </a:prstGeom>
        <a:noFill/>
        <a:ln w="1">
          <a:noFill/>
          <a:miter lim="800000"/>
          <a:headEnd/>
          <a:tailEnd type="none" w="med" len="med"/>
        </a:ln>
        <a:effectLst/>
      </xdr:spPr>
    </xdr:pic>
    <xdr:clientData/>
  </xdr:twoCellAnchor>
  <xdr:twoCellAnchor>
    <xdr:from>
      <xdr:col>11</xdr:col>
      <xdr:colOff>91440</xdr:colOff>
      <xdr:row>3</xdr:row>
      <xdr:rowOff>219075</xdr:rowOff>
    </xdr:from>
    <xdr:to>
      <xdr:col>12</xdr:col>
      <xdr:colOff>0</xdr:colOff>
      <xdr:row>7</xdr:row>
      <xdr:rowOff>144780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6168390" y="533400"/>
          <a:ext cx="3489960" cy="65913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Bulk </a:t>
          </a:r>
          <a:r>
            <a:rPr lang="en-US" sz="1100" baseline="0"/>
            <a:t> resistivity (from borehole logs or surface geophyiscal methods) and Porosity (from logs or text book values) are entered manually.  </a:t>
          </a:r>
          <a:endParaRPr lang="en-US" sz="1100"/>
        </a:p>
      </xdr:txBody>
    </xdr:sp>
    <xdr:clientData/>
  </xdr:twoCellAnchor>
  <xdr:twoCellAnchor>
    <xdr:from>
      <xdr:col>11</xdr:col>
      <xdr:colOff>114300</xdr:colOff>
      <xdr:row>21</xdr:row>
      <xdr:rowOff>81915</xdr:rowOff>
    </xdr:from>
    <xdr:to>
      <xdr:col>12</xdr:col>
      <xdr:colOff>0</xdr:colOff>
      <xdr:row>22</xdr:row>
      <xdr:rowOff>201930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6191250" y="3415665"/>
          <a:ext cx="3467100" cy="310515"/>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See worksheet on supporting information, if needed. </a:t>
          </a:r>
        </a:p>
      </xdr:txBody>
    </xdr:sp>
    <xdr:clientData/>
  </xdr:twoCellAnchor>
  <mc:AlternateContent xmlns:mc="http://schemas.openxmlformats.org/markup-compatibility/2006">
    <mc:Choice xmlns:a14="http://schemas.microsoft.com/office/drawing/2010/main" Requires="a14">
      <xdr:twoCellAnchor editAs="oneCell">
        <xdr:from>
          <xdr:col>7</xdr:col>
          <xdr:colOff>101600</xdr:colOff>
          <xdr:row>10</xdr:row>
          <xdr:rowOff>76200</xdr:rowOff>
        </xdr:from>
        <xdr:to>
          <xdr:col>9</xdr:col>
          <xdr:colOff>234950</xdr:colOff>
          <xdr:row>11</xdr:row>
          <xdr:rowOff>0</xdr:rowOff>
        </xdr:to>
        <xdr:sp macro="" textlink="">
          <xdr:nvSpPr>
            <xdr:cNvPr id="9217" name="Scroll Bar 1" descr="scroll bar"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xdr:row>
          <xdr:rowOff>31750</xdr:rowOff>
        </xdr:from>
        <xdr:to>
          <xdr:col>9</xdr:col>
          <xdr:colOff>234950</xdr:colOff>
          <xdr:row>13</xdr:row>
          <xdr:rowOff>31750</xdr:rowOff>
        </xdr:to>
        <xdr:sp macro="" textlink="">
          <xdr:nvSpPr>
            <xdr:cNvPr id="9218" name="Scroll Bar 2" descr="scroll bar"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87629</xdr:colOff>
      <xdr:row>10</xdr:row>
      <xdr:rowOff>51435</xdr:rowOff>
    </xdr:from>
    <xdr:to>
      <xdr:col>16</xdr:col>
      <xdr:colOff>523874</xdr:colOff>
      <xdr:row>20</xdr:row>
      <xdr:rowOff>171450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6320789" y="1765935"/>
          <a:ext cx="3484245" cy="1621155"/>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Use  these</a:t>
          </a:r>
          <a:r>
            <a:rPr lang="en-US" sz="1100" baseline="0"/>
            <a:t> slider bars to set the values for porosity, a, and b (sometimes called m).  </a:t>
          </a:r>
          <a:br>
            <a:rPr lang="en-US" sz="1100" baseline="0"/>
          </a:br>
          <a:r>
            <a:rPr lang="en-US" sz="1100" baseline="0"/>
            <a:t>Sw and n can be changed manually if needed. </a:t>
          </a:r>
        </a:p>
        <a:p>
          <a:r>
            <a:rPr lang="en-US" sz="1100" baseline="0"/>
            <a:t> </a:t>
          </a:r>
        </a:p>
        <a:p>
          <a:r>
            <a:rPr lang="en-US" sz="1100" baseline="0"/>
            <a:t>Below the Bulk Resistivity is computed.  </a:t>
          </a:r>
        </a:p>
        <a:p>
          <a:endParaRPr lang="en-US" sz="1100" baseline="0"/>
        </a:p>
        <a:p>
          <a:r>
            <a:rPr lang="en-US" sz="1100" baseline="0"/>
            <a:t>Use the sliders to observe the changes in Bulk resistivity.  </a:t>
          </a:r>
          <a:endParaRPr lang="en-US" sz="1100"/>
        </a:p>
      </xdr:txBody>
    </xdr:sp>
    <xdr:clientData/>
  </xdr:twoCellAnchor>
  <xdr:twoCellAnchor editAs="oneCell">
    <xdr:from>
      <xdr:col>24</xdr:col>
      <xdr:colOff>0</xdr:colOff>
      <xdr:row>6</xdr:row>
      <xdr:rowOff>0</xdr:rowOff>
    </xdr:from>
    <xdr:to>
      <xdr:col>30</xdr:col>
      <xdr:colOff>244083</xdr:colOff>
      <xdr:row>22</xdr:row>
      <xdr:rowOff>171450</xdr:rowOff>
    </xdr:to>
    <xdr:pic>
      <xdr:nvPicPr>
        <xdr:cNvPr id="3" name="Picture 4">
          <a:extLst>
            <a:ext uri="{FF2B5EF4-FFF2-40B4-BE49-F238E27FC236}">
              <a16:creationId xmlns:a16="http://schemas.microsoft.com/office/drawing/2014/main" id="{00000000-0008-0000-0700-000003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157960" y="914400"/>
          <a:ext cx="4210293" cy="2880359"/>
        </a:xfrm>
        <a:prstGeom prst="rect">
          <a:avLst/>
        </a:prstGeom>
        <a:noFill/>
        <a:ln w="1">
          <a:noFill/>
          <a:miter lim="800000"/>
          <a:headEnd/>
          <a:tailEnd type="none" w="med" len="med"/>
        </a:ln>
        <a:effectLst/>
      </xdr:spPr>
    </xdr:pic>
    <xdr:clientData/>
  </xdr:twoCellAnchor>
  <xdr:twoCellAnchor>
    <xdr:from>
      <xdr:col>11</xdr:col>
      <xdr:colOff>91440</xdr:colOff>
      <xdr:row>6</xdr:row>
      <xdr:rowOff>7620</xdr:rowOff>
    </xdr:from>
    <xdr:to>
      <xdr:col>17</xdr:col>
      <xdr:colOff>236220</xdr:colOff>
      <xdr:row>7</xdr:row>
      <xdr:rowOff>144780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6355080" y="922020"/>
          <a:ext cx="3802380" cy="31242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Fluid</a:t>
          </a:r>
          <a:r>
            <a:rPr lang="en-US" sz="1100" baseline="0"/>
            <a:t> resistivity and Bulk Resistivity are entered manually.  </a:t>
          </a:r>
          <a:endParaRPr lang="en-US" sz="1100"/>
        </a:p>
      </xdr:txBody>
    </xdr:sp>
    <xdr:clientData/>
  </xdr:twoCellAnchor>
  <xdr:twoCellAnchor>
    <xdr:from>
      <xdr:col>11</xdr:col>
      <xdr:colOff>114300</xdr:colOff>
      <xdr:row>22</xdr:row>
      <xdr:rowOff>129540</xdr:rowOff>
    </xdr:from>
    <xdr:to>
      <xdr:col>16</xdr:col>
      <xdr:colOff>480060</xdr:colOff>
      <xdr:row>23</xdr:row>
      <xdr:rowOff>144780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6347460" y="3794760"/>
          <a:ext cx="3413760" cy="312420"/>
        </a:xfrm>
        <a:prstGeom prst="rect">
          <a:avLst/>
        </a:prstGeom>
        <a:solidFill>
          <a:schemeClr val="lt1"/>
        </a:solidFill>
        <a:ln w="9525" cmpd="sng">
          <a:solidFill>
            <a:srgbClr val="0000FF"/>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See worksheet on supporting information, if needed. </a:t>
          </a:r>
        </a:p>
      </xdr:txBody>
    </xdr:sp>
    <xdr:clientData/>
  </xdr:twoCellAnchor>
  <mc:AlternateContent xmlns:mc="http://schemas.openxmlformats.org/markup-compatibility/2006">
    <mc:Choice xmlns:a14="http://schemas.microsoft.com/office/drawing/2010/main" Requires="a14">
      <xdr:twoCellAnchor editAs="oneCell">
        <xdr:from>
          <xdr:col>7</xdr:col>
          <xdr:colOff>101600</xdr:colOff>
          <xdr:row>10</xdr:row>
          <xdr:rowOff>76200</xdr:rowOff>
        </xdr:from>
        <xdr:to>
          <xdr:col>9</xdr:col>
          <xdr:colOff>234950</xdr:colOff>
          <xdr:row>11</xdr:row>
          <xdr:rowOff>0</xdr:rowOff>
        </xdr:to>
        <xdr:sp macro="" textlink="">
          <xdr:nvSpPr>
            <xdr:cNvPr id="10241" name="Scroll Bar 1" descr="scroll bar"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31750</xdr:rowOff>
        </xdr:from>
        <xdr:to>
          <xdr:col>9</xdr:col>
          <xdr:colOff>234950</xdr:colOff>
          <xdr:row>13</xdr:row>
          <xdr:rowOff>25400</xdr:rowOff>
        </xdr:to>
        <xdr:sp macro="" textlink="">
          <xdr:nvSpPr>
            <xdr:cNvPr id="10242" name="Scroll Bar 2" descr="scroll bar"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16421</xdr:colOff>
      <xdr:row>3</xdr:row>
      <xdr:rowOff>112188</xdr:rowOff>
    </xdr:from>
    <xdr:to>
      <xdr:col>13</xdr:col>
      <xdr:colOff>307369</xdr:colOff>
      <xdr:row>29</xdr:row>
      <xdr:rowOff>135107</xdr:rowOff>
    </xdr:to>
    <xdr:grpSp>
      <xdr:nvGrpSpPr>
        <xdr:cNvPr id="8" name="Group 7">
          <a:extLst>
            <a:ext uri="{FF2B5EF4-FFF2-40B4-BE49-F238E27FC236}">
              <a16:creationId xmlns:a16="http://schemas.microsoft.com/office/drawing/2014/main" id="{00000000-0008-0000-0800-000008000000}"/>
            </a:ext>
            <a:ext uri="{C183D7F6-B498-43B3-948B-1728B52AA6E4}">
              <adec:decorative xmlns:adec="http://schemas.microsoft.com/office/drawing/2017/decorative" val="1"/>
            </a:ext>
          </a:extLst>
        </xdr:cNvPr>
        <xdr:cNvGrpSpPr/>
      </xdr:nvGrpSpPr>
      <xdr:grpSpPr>
        <a:xfrm>
          <a:off x="273596" y="597963"/>
          <a:ext cx="7606148" cy="4232969"/>
          <a:chOff x="1219200" y="838201"/>
          <a:chExt cx="7626645" cy="4610100"/>
        </a:xfrm>
      </xdr:grpSpPr>
      <xdr:sp macro="" textlink="">
        <xdr:nvSpPr>
          <xdr:cNvPr id="9" name="Rectangle 8">
            <a:extLst>
              <a:ext uri="{FF2B5EF4-FFF2-40B4-BE49-F238E27FC236}">
                <a16:creationId xmlns:a16="http://schemas.microsoft.com/office/drawing/2014/main" id="{00000000-0008-0000-0800-000009000000}"/>
              </a:ext>
            </a:extLst>
          </xdr:cNvPr>
          <xdr:cNvSpPr/>
        </xdr:nvSpPr>
        <xdr:spPr>
          <a:xfrm>
            <a:off x="1219200" y="838201"/>
            <a:ext cx="7626645" cy="4610100"/>
          </a:xfrm>
          <a:prstGeom prst="rect">
            <a:avLst/>
          </a:prstGeom>
          <a:solidFill>
            <a:srgbClr val="FFFB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00000000-0008-0000-0800-00000A000000}"/>
              </a:ext>
            </a:extLst>
          </xdr:cNvPr>
          <xdr:cNvPicPr>
            <a:picLocks noChangeAspect="1"/>
          </xdr:cNvPicPr>
        </xdr:nvPicPr>
        <xdr:blipFill rotWithShape="1">
          <a:blip xmlns:r="http://schemas.openxmlformats.org/officeDocument/2006/relationships" r:embed="rId1"/>
          <a:srcRect l="865" t="2936" r="865" b="5587"/>
          <a:stretch/>
        </xdr:blipFill>
        <xdr:spPr>
          <a:xfrm>
            <a:off x="1463040" y="1356360"/>
            <a:ext cx="6916133" cy="3505200"/>
          </a:xfrm>
          <a:prstGeom prst="rect">
            <a:avLst/>
          </a:prstGeom>
        </xdr:spPr>
      </xdr:pic>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2430780" y="982980"/>
            <a:ext cx="487680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cap="all" baseline="0">
                <a:solidFill>
                  <a:schemeClr val="tx1">
                    <a:lumMod val="65000"/>
                    <a:lumOff val="35000"/>
                  </a:schemeClr>
                </a:solidFill>
              </a:rPr>
              <a:t>RESISTIVITY in Ohm-Meters</a:t>
            </a:r>
          </a:p>
        </xdr:txBody>
      </xdr:sp>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407920" y="4892040"/>
            <a:ext cx="487680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cap="all" baseline="0">
                <a:solidFill>
                  <a:schemeClr val="tx1">
                    <a:lumMod val="65000"/>
                    <a:lumOff val="35000"/>
                  </a:schemeClr>
                </a:solidFill>
              </a:rPr>
              <a:t>CONDUCTIVITY in MilliSiemens/Meter</a:t>
            </a:r>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15</xdr:row>
      <xdr:rowOff>77045</xdr:rowOff>
    </xdr:from>
    <xdr:ext cx="4521638" cy="3295024"/>
    <xdr:pic>
      <xdr:nvPicPr>
        <xdr:cNvPr id="2" name="Picture 10" descr="equation">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400" y="2553545"/>
          <a:ext cx="4521638" cy="3295024"/>
        </a:xfrm>
        <a:prstGeom prst="rect">
          <a:avLst/>
        </a:prstGeom>
        <a:noFill/>
        <a:ln w="1">
          <a:solidFill>
            <a:schemeClr val="tx1"/>
          </a:solidFill>
          <a:miter lim="800000"/>
          <a:headEnd/>
          <a:tailEnd type="none" w="med" len="med"/>
        </a:ln>
        <a:effectLst/>
      </xdr:spPr>
    </xdr:pic>
    <xdr:clientData/>
  </xdr:oneCellAnchor>
  <xdr:oneCellAnchor>
    <xdr:from>
      <xdr:col>0</xdr:col>
      <xdr:colOff>592844</xdr:colOff>
      <xdr:row>4</xdr:row>
      <xdr:rowOff>67178</xdr:rowOff>
    </xdr:from>
    <xdr:ext cx="4563796" cy="1514618"/>
    <xdr:pic>
      <xdr:nvPicPr>
        <xdr:cNvPr id="3" name="Picture 10" descr="cemented sandstone scal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7884" y="728848"/>
          <a:ext cx="4563796" cy="1514618"/>
        </a:xfrm>
        <a:prstGeom prst="rect">
          <a:avLst/>
        </a:prstGeom>
        <a:noFill/>
        <a:ln w="1">
          <a:solidFill>
            <a:schemeClr val="tx1"/>
          </a:solidFill>
          <a:miter lim="800000"/>
          <a:headEnd/>
          <a:tailEnd type="none" w="med" len="med"/>
        </a:ln>
        <a:effectLst/>
      </xdr:spPr>
    </xdr:pic>
    <xdr:clientData/>
  </xdr:oneCellAnchor>
  <xdr:oneCellAnchor>
    <xdr:from>
      <xdr:col>4</xdr:col>
      <xdr:colOff>121887</xdr:colOff>
      <xdr:row>4</xdr:row>
      <xdr:rowOff>63323</xdr:rowOff>
    </xdr:from>
    <xdr:ext cx="7746581" cy="6505642"/>
    <xdr:pic>
      <xdr:nvPicPr>
        <xdr:cNvPr id="4" name="Picture 11" descr="graph">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038817" y="726263"/>
          <a:ext cx="7746581" cy="6505642"/>
        </a:xfrm>
        <a:prstGeom prst="rect">
          <a:avLst/>
        </a:prstGeom>
        <a:noFill/>
        <a:ln w="1">
          <a:solidFill>
            <a:schemeClr val="tx1"/>
          </a:solidFill>
          <a:miter lim="800000"/>
          <a:headEnd/>
          <a:tailEnd type="none" w="med" len="med"/>
        </a:ln>
        <a:effectLst/>
      </xdr:spPr>
    </xdr:pic>
    <xdr:clientData/>
  </xdr:oneCellAnchor>
  <xdr:oneCellAnchor>
    <xdr:from>
      <xdr:col>0</xdr:col>
      <xdr:colOff>457200</xdr:colOff>
      <xdr:row>44</xdr:row>
      <xdr:rowOff>78609</xdr:rowOff>
    </xdr:from>
    <xdr:ext cx="4907455" cy="3613603"/>
    <xdr:pic>
      <xdr:nvPicPr>
        <xdr:cNvPr id="5" name="Picture 4" descr="formation factor">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4"/>
        <a:stretch>
          <a:fillRect/>
        </a:stretch>
      </xdr:blipFill>
      <xdr:spPr>
        <a:xfrm>
          <a:off x="279400" y="7343009"/>
          <a:ext cx="4907455" cy="3613603"/>
        </a:xfrm>
        <a:prstGeom prst="rect">
          <a:avLst/>
        </a:prstGeom>
      </xdr:spPr>
    </xdr:pic>
    <xdr:clientData/>
  </xdr:oneCellAnchor>
  <xdr:twoCellAnchor>
    <xdr:from>
      <xdr:col>1</xdr:col>
      <xdr:colOff>27926</xdr:colOff>
      <xdr:row>0</xdr:row>
      <xdr:rowOff>75529</xdr:rowOff>
    </xdr:from>
    <xdr:to>
      <xdr:col>4</xdr:col>
      <xdr:colOff>7752650</xdr:colOff>
      <xdr:row>3</xdr:row>
      <xdr:rowOff>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308596" y="75529"/>
          <a:ext cx="13359714" cy="419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Archie, G.E. (1942). "The electrical resistivity log as an aid in determining some reservoir characteristics". </a:t>
          </a:r>
          <a:r>
            <a:rPr lang="en-US" sz="1400" b="1" i="1">
              <a:solidFill>
                <a:schemeClr val="dk1"/>
              </a:solidFill>
              <a:effectLst/>
              <a:latin typeface="+mn-lt"/>
              <a:ea typeface="+mn-ea"/>
              <a:cs typeface="+mn-cs"/>
            </a:rPr>
            <a:t>Petroleum Transactions of AIME</a:t>
          </a:r>
          <a:r>
            <a:rPr lang="en-US" sz="1400" b="1" i="0">
              <a:solidFill>
                <a:schemeClr val="dk1"/>
              </a:solidFill>
              <a:effectLst/>
              <a:latin typeface="+mn-lt"/>
              <a:ea typeface="+mn-ea"/>
              <a:cs typeface="+mn-cs"/>
            </a:rPr>
            <a:t>. 146: 54–62. </a:t>
          </a:r>
          <a:r>
            <a:rPr lang="en-US" sz="1400" b="1" i="0" u="none" strike="noStrike">
              <a:solidFill>
                <a:schemeClr val="dk1"/>
              </a:solidFill>
              <a:effectLst/>
              <a:latin typeface="+mn-lt"/>
              <a:ea typeface="+mn-ea"/>
              <a:cs typeface="+mn-cs"/>
              <a:hlinkClick xmlns:r="http://schemas.openxmlformats.org/officeDocument/2006/relationships" r:id=""/>
            </a:rPr>
            <a:t>doi</a:t>
          </a:r>
          <a:r>
            <a:rPr lang="en-US" sz="1400" b="1" i="0">
              <a:solidFill>
                <a:schemeClr val="dk1"/>
              </a:solidFill>
              <a:effectLst/>
              <a:latin typeface="+mn-lt"/>
              <a:ea typeface="+mn-ea"/>
              <a:cs typeface="+mn-cs"/>
            </a:rPr>
            <a:t>:</a:t>
          </a:r>
          <a:r>
            <a:rPr lang="en-US" sz="1400" b="1" i="0" u="none" strike="noStrike">
              <a:solidFill>
                <a:schemeClr val="dk1"/>
              </a:solidFill>
              <a:effectLst/>
              <a:latin typeface="+mn-lt"/>
              <a:ea typeface="+mn-ea"/>
              <a:cs typeface="+mn-cs"/>
              <a:hlinkClick xmlns:r="http://schemas.openxmlformats.org/officeDocument/2006/relationships" r:id=""/>
            </a:rPr>
            <a:t>10.2118/942054-g</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chie-w-expanded%20TDS%20sca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5_DATA\Utilities\SomeUtilitie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ulk-Res-manual"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Training\2015_Training%20Crs%20April2015\Support%20Info\Archie-for-JW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cjohnson\Desktop\India-holding\Slide-ruler-new.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cjohnson\Desktop\India-holding\rules-of-thumb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35_DATA\Utilities\rules-of-thumb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cjohnson\Desktop\India-holding\rules-of-thumb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Users\cjohnson\Desktop\India-holding\Slide-ruler-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 val="Archie-Slide(fresh)"/>
      <sheetName val="Archie-Slide(salty)"/>
      <sheetName val="Bulk Res-manual"/>
      <sheetName val="Fl Res  -manual"/>
      <sheetName val="Supporting information"/>
    </sheetNames>
    <sheetDataSet>
      <sheetData sheetId="0" refreshError="1"/>
      <sheetData sheetId="1" refreshError="1"/>
      <sheetData sheetId="2">
        <row r="14">
          <cell r="G14">
            <v>2.4372410431391667</v>
          </cell>
        </row>
        <row r="16">
          <cell r="G16">
            <v>0.29099999999999998</v>
          </cell>
        </row>
        <row r="18">
          <cell r="G18">
            <v>1.2</v>
          </cell>
        </row>
        <row r="20">
          <cell r="G20">
            <v>-1.53</v>
          </cell>
        </row>
        <row r="22">
          <cell r="G22">
            <v>1</v>
          </cell>
        </row>
        <row r="24">
          <cell r="G24">
            <v>-2</v>
          </cell>
        </row>
      </sheetData>
      <sheetData sheetId="3">
        <row r="6">
          <cell r="G6">
            <v>12.5</v>
          </cell>
        </row>
        <row r="8">
          <cell r="G8">
            <v>0.35</v>
          </cell>
        </row>
      </sheetData>
      <sheetData sheetId="4">
        <row r="6">
          <cell r="G6">
            <v>48</v>
          </cell>
        </row>
        <row r="21">
          <cell r="D21">
            <v>14.344175302293252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TROLLING and Volume"/>
      <sheetName val="WL2FLOW"/>
      <sheetName val="HVSR"/>
      <sheetName val="Time"/>
      <sheetName val="K-converter"/>
      <sheetName val="CondConversion"/>
      <sheetName val="RADAR-slide"/>
      <sheetName val="Res-SC-Slide"/>
      <sheetName val="NMR-log-est"/>
      <sheetName val="logging speeds"/>
      <sheetName val="Ghyben-Herzburg"/>
    </sheetNames>
    <sheetDataSet>
      <sheetData sheetId="0" refreshError="1"/>
      <sheetData sheetId="1" refreshError="1"/>
      <sheetData sheetId="2" refreshError="1"/>
      <sheetData sheetId="3">
        <row r="10">
          <cell r="N10">
            <v>0.31</v>
          </cell>
        </row>
        <row r="12">
          <cell r="N12">
            <v>90.52</v>
          </cell>
        </row>
        <row r="14">
          <cell r="N14">
            <v>-1</v>
          </cell>
        </row>
      </sheetData>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Res-manua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e-Slider"/>
      <sheetName val="Supporting information"/>
      <sheetName val="Archie manual entry override"/>
    </sheetNames>
    <sheetDataSet>
      <sheetData sheetId="0"/>
      <sheetData sheetId="1"/>
      <sheetData sheetId="2">
        <row r="6">
          <cell r="G6">
            <v>200</v>
          </cell>
        </row>
        <row r="8">
          <cell r="G8">
            <v>0.38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DAR-Res-SC"/>
      <sheetName val="ArchieSlider"/>
      <sheetName val="Archie manual entry override"/>
      <sheetName val="Archie Support info"/>
    </sheetNames>
    <sheetDataSet>
      <sheetData sheetId="0">
        <row r="16">
          <cell r="J16">
            <v>6.9155158587257617</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
      <sheetName val="Vollume"/>
      <sheetName val="DTS"/>
      <sheetName val="TROLLING and Volume"/>
      <sheetName val="Misc-stuff"/>
      <sheetName val="K-converter"/>
      <sheetName val="CSP-CNV"/>
      <sheetName val="SEISMIC"/>
      <sheetName val="logging speed"/>
      <sheetName val="Seismic V res"/>
      <sheetName val="EM"/>
      <sheetName val="fonts"/>
      <sheetName val="H-V"/>
      <sheetName val="Porosity"/>
      <sheetName val="RADAR"/>
      <sheetName val="Slider"/>
      <sheetName val="Misc"/>
      <sheetName val="2D-RES"/>
      <sheetName val="typical values"/>
      <sheetName val="salt spike"/>
      <sheetName val="volume"/>
      <sheetName val="Time"/>
      <sheetName val="conductivity-cn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B10">
            <v>8</v>
          </cell>
        </row>
        <row r="14">
          <cell r="B14">
            <v>10</v>
          </cell>
        </row>
        <row r="46">
          <cell r="D46">
            <v>10</v>
          </cell>
        </row>
        <row r="47">
          <cell r="D47">
            <v>8</v>
          </cell>
        </row>
      </sheetData>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grees"/>
      <sheetName val="DTS"/>
      <sheetName val="EXP"/>
      <sheetName val="Cond-cnv"/>
      <sheetName val="CSP-CNV"/>
      <sheetName val="EM"/>
      <sheetName val="fonts"/>
      <sheetName val="K-cnv"/>
      <sheetName val="log speed"/>
      <sheetName val="HVSR"/>
      <sheetName val="Misc-stuff"/>
      <sheetName val="Mag"/>
      <sheetName val="NMR"/>
      <sheetName val="Porosity"/>
      <sheetName val="reminders"/>
      <sheetName val="SEISMIC"/>
      <sheetName val="Seis V res"/>
      <sheetName val="Slider"/>
      <sheetName val="TEM"/>
      <sheetName val="RADAR"/>
      <sheetName val="2D-RES"/>
      <sheetName val="Troll-Vol"/>
      <sheetName val="typical values"/>
      <sheetName val="salt spike"/>
      <sheetName val="volume"/>
      <sheetName val="Volume2"/>
      <sheetName val="Tim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0">
          <cell r="B10">
            <v>5</v>
          </cell>
        </row>
        <row r="14">
          <cell r="B14">
            <v>20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
      <sheetName val="Vollume"/>
      <sheetName val="DTS"/>
      <sheetName val="TROLLING and Volume"/>
      <sheetName val="Misc-stuff"/>
      <sheetName val="K-converter"/>
      <sheetName val="CSP-CNV"/>
      <sheetName val="SEISMIC"/>
      <sheetName val="logging speed"/>
      <sheetName val="Seismic V res"/>
      <sheetName val="EM"/>
      <sheetName val="fonts"/>
      <sheetName val="H-V"/>
      <sheetName val="Porosity"/>
      <sheetName val="RADAR"/>
      <sheetName val="Slider"/>
      <sheetName val="Misc"/>
      <sheetName val="2D-RES"/>
      <sheetName val="typical values"/>
      <sheetName val="salt spike"/>
      <sheetName val="volume"/>
      <sheetName val="Time"/>
      <sheetName val="conductivity-cn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B10">
            <v>8</v>
          </cell>
        </row>
        <row r="14">
          <cell r="B14">
            <v>10</v>
          </cell>
        </row>
        <row r="46">
          <cell r="D46">
            <v>10</v>
          </cell>
        </row>
        <row r="47">
          <cell r="D47">
            <v>8</v>
          </cell>
        </row>
      </sheetData>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DAR-Res-SC"/>
      <sheetName val="ArchieSlider"/>
      <sheetName val="Archie manual entry override"/>
      <sheetName val="Archie Support info"/>
    </sheetNames>
    <sheetDataSet>
      <sheetData sheetId="0">
        <row r="16">
          <cell r="J16">
            <v>6.9155158587257617</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johnson@usgs.gov" TargetMode="Externa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5693-15CE-4AB4-ABAC-544CD67C8913}">
  <dimension ref="A1"/>
  <sheetViews>
    <sheetView showGridLines="0" tabSelected="1" workbookViewId="0">
      <selection activeCell="S13" sqref="S13"/>
    </sheetView>
  </sheetViews>
  <sheetFormatPr defaultRowHeight="12.5"/>
  <cols>
    <col min="1" max="1" width="2.6328125" customWidth="1"/>
  </cols>
  <sheetData/>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59ED-E57E-4832-B670-7CB104BFC52D}">
  <dimension ref="B4:D43"/>
  <sheetViews>
    <sheetView showGridLines="0" zoomScale="87" zoomScaleNormal="87" workbookViewId="0">
      <selection activeCell="E48" sqref="E48"/>
    </sheetView>
  </sheetViews>
  <sheetFormatPr defaultRowHeight="12.5"/>
  <cols>
    <col min="1" max="1" width="4.08984375" customWidth="1"/>
    <col min="3" max="3" width="67.453125" customWidth="1"/>
    <col min="4" max="4" width="5.90625" customWidth="1"/>
    <col min="5" max="5" width="119" customWidth="1"/>
  </cols>
  <sheetData>
    <row r="4" spans="4:4">
      <c r="D4" t="s">
        <v>102</v>
      </c>
    </row>
    <row r="37" spans="2:3" ht="13">
      <c r="B37" s="143" t="s">
        <v>103</v>
      </c>
    </row>
    <row r="38" spans="2:3" ht="13">
      <c r="B38" s="143" t="s">
        <v>104</v>
      </c>
    </row>
    <row r="39" spans="2:3" ht="13">
      <c r="B39" s="143" t="s">
        <v>105</v>
      </c>
    </row>
    <row r="40" spans="2:3" ht="13">
      <c r="B40" s="143" t="s">
        <v>106</v>
      </c>
    </row>
    <row r="41" spans="2:3" ht="13">
      <c r="B41" s="143"/>
      <c r="C41" s="143" t="s">
        <v>107</v>
      </c>
    </row>
    <row r="42" spans="2:3" ht="13">
      <c r="B42" s="143"/>
      <c r="C42" s="143" t="s">
        <v>108</v>
      </c>
    </row>
    <row r="43" spans="2:3" ht="13">
      <c r="C43" s="143" t="s">
        <v>109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B1:G26"/>
  <sheetViews>
    <sheetView showGridLines="0" topLeftCell="A2" workbookViewId="0">
      <selection activeCell="K22" sqref="K22"/>
    </sheetView>
  </sheetViews>
  <sheetFormatPr defaultRowHeight="12.5"/>
  <cols>
    <col min="1" max="1" width="1.54296875" customWidth="1"/>
    <col min="2" max="3" width="18.08984375" customWidth="1"/>
    <col min="4" max="4" width="17.6328125" customWidth="1"/>
    <col min="5" max="5" width="18" customWidth="1"/>
    <col min="6" max="6" width="17.6328125" customWidth="1"/>
    <col min="7" max="7" width="17" customWidth="1"/>
    <col min="257" max="257" width="1.54296875" customWidth="1"/>
    <col min="258" max="259" width="18.08984375" customWidth="1"/>
    <col min="260" max="260" width="17.6328125" customWidth="1"/>
    <col min="261" max="261" width="18" customWidth="1"/>
    <col min="262" max="262" width="17.6328125" customWidth="1"/>
    <col min="263" max="263" width="17" customWidth="1"/>
    <col min="513" max="513" width="1.54296875" customWidth="1"/>
    <col min="514" max="515" width="18.08984375" customWidth="1"/>
    <col min="516" max="516" width="17.6328125" customWidth="1"/>
    <col min="517" max="517" width="18" customWidth="1"/>
    <col min="518" max="518" width="17.6328125" customWidth="1"/>
    <col min="519" max="519" width="17" customWidth="1"/>
    <col min="769" max="769" width="1.54296875" customWidth="1"/>
    <col min="770" max="771" width="18.08984375" customWidth="1"/>
    <col min="772" max="772" width="17.6328125" customWidth="1"/>
    <col min="773" max="773" width="18" customWidth="1"/>
    <col min="774" max="774" width="17.6328125" customWidth="1"/>
    <col min="775" max="775" width="17" customWidth="1"/>
    <col min="1025" max="1025" width="1.54296875" customWidth="1"/>
    <col min="1026" max="1027" width="18.08984375" customWidth="1"/>
    <col min="1028" max="1028" width="17.6328125" customWidth="1"/>
    <col min="1029" max="1029" width="18" customWidth="1"/>
    <col min="1030" max="1030" width="17.6328125" customWidth="1"/>
    <col min="1031" max="1031" width="17" customWidth="1"/>
    <col min="1281" max="1281" width="1.54296875" customWidth="1"/>
    <col min="1282" max="1283" width="18.08984375" customWidth="1"/>
    <col min="1284" max="1284" width="17.6328125" customWidth="1"/>
    <col min="1285" max="1285" width="18" customWidth="1"/>
    <col min="1286" max="1286" width="17.6328125" customWidth="1"/>
    <col min="1287" max="1287" width="17" customWidth="1"/>
    <col min="1537" max="1537" width="1.54296875" customWidth="1"/>
    <col min="1538" max="1539" width="18.08984375" customWidth="1"/>
    <col min="1540" max="1540" width="17.6328125" customWidth="1"/>
    <col min="1541" max="1541" width="18" customWidth="1"/>
    <col min="1542" max="1542" width="17.6328125" customWidth="1"/>
    <col min="1543" max="1543" width="17" customWidth="1"/>
    <col min="1793" max="1793" width="1.54296875" customWidth="1"/>
    <col min="1794" max="1795" width="18.08984375" customWidth="1"/>
    <col min="1796" max="1796" width="17.6328125" customWidth="1"/>
    <col min="1797" max="1797" width="18" customWidth="1"/>
    <col min="1798" max="1798" width="17.6328125" customWidth="1"/>
    <col min="1799" max="1799" width="17" customWidth="1"/>
    <col min="2049" max="2049" width="1.54296875" customWidth="1"/>
    <col min="2050" max="2051" width="18.08984375" customWidth="1"/>
    <col min="2052" max="2052" width="17.6328125" customWidth="1"/>
    <col min="2053" max="2053" width="18" customWidth="1"/>
    <col min="2054" max="2054" width="17.6328125" customWidth="1"/>
    <col min="2055" max="2055" width="17" customWidth="1"/>
    <col min="2305" max="2305" width="1.54296875" customWidth="1"/>
    <col min="2306" max="2307" width="18.08984375" customWidth="1"/>
    <col min="2308" max="2308" width="17.6328125" customWidth="1"/>
    <col min="2309" max="2309" width="18" customWidth="1"/>
    <col min="2310" max="2310" width="17.6328125" customWidth="1"/>
    <col min="2311" max="2311" width="17" customWidth="1"/>
    <col min="2561" max="2561" width="1.54296875" customWidth="1"/>
    <col min="2562" max="2563" width="18.08984375" customWidth="1"/>
    <col min="2564" max="2564" width="17.6328125" customWidth="1"/>
    <col min="2565" max="2565" width="18" customWidth="1"/>
    <col min="2566" max="2566" width="17.6328125" customWidth="1"/>
    <col min="2567" max="2567" width="17" customWidth="1"/>
    <col min="2817" max="2817" width="1.54296875" customWidth="1"/>
    <col min="2818" max="2819" width="18.08984375" customWidth="1"/>
    <col min="2820" max="2820" width="17.6328125" customWidth="1"/>
    <col min="2821" max="2821" width="18" customWidth="1"/>
    <col min="2822" max="2822" width="17.6328125" customWidth="1"/>
    <col min="2823" max="2823" width="17" customWidth="1"/>
    <col min="3073" max="3073" width="1.54296875" customWidth="1"/>
    <col min="3074" max="3075" width="18.08984375" customWidth="1"/>
    <col min="3076" max="3076" width="17.6328125" customWidth="1"/>
    <col min="3077" max="3077" width="18" customWidth="1"/>
    <col min="3078" max="3078" width="17.6328125" customWidth="1"/>
    <col min="3079" max="3079" width="17" customWidth="1"/>
    <col min="3329" max="3329" width="1.54296875" customWidth="1"/>
    <col min="3330" max="3331" width="18.08984375" customWidth="1"/>
    <col min="3332" max="3332" width="17.6328125" customWidth="1"/>
    <col min="3333" max="3333" width="18" customWidth="1"/>
    <col min="3334" max="3334" width="17.6328125" customWidth="1"/>
    <col min="3335" max="3335" width="17" customWidth="1"/>
    <col min="3585" max="3585" width="1.54296875" customWidth="1"/>
    <col min="3586" max="3587" width="18.08984375" customWidth="1"/>
    <col min="3588" max="3588" width="17.6328125" customWidth="1"/>
    <col min="3589" max="3589" width="18" customWidth="1"/>
    <col min="3590" max="3590" width="17.6328125" customWidth="1"/>
    <col min="3591" max="3591" width="17" customWidth="1"/>
    <col min="3841" max="3841" width="1.54296875" customWidth="1"/>
    <col min="3842" max="3843" width="18.08984375" customWidth="1"/>
    <col min="3844" max="3844" width="17.6328125" customWidth="1"/>
    <col min="3845" max="3845" width="18" customWidth="1"/>
    <col min="3846" max="3846" width="17.6328125" customWidth="1"/>
    <col min="3847" max="3847" width="17" customWidth="1"/>
    <col min="4097" max="4097" width="1.54296875" customWidth="1"/>
    <col min="4098" max="4099" width="18.08984375" customWidth="1"/>
    <col min="4100" max="4100" width="17.6328125" customWidth="1"/>
    <col min="4101" max="4101" width="18" customWidth="1"/>
    <col min="4102" max="4102" width="17.6328125" customWidth="1"/>
    <col min="4103" max="4103" width="17" customWidth="1"/>
    <col min="4353" max="4353" width="1.54296875" customWidth="1"/>
    <col min="4354" max="4355" width="18.08984375" customWidth="1"/>
    <col min="4356" max="4356" width="17.6328125" customWidth="1"/>
    <col min="4357" max="4357" width="18" customWidth="1"/>
    <col min="4358" max="4358" width="17.6328125" customWidth="1"/>
    <col min="4359" max="4359" width="17" customWidth="1"/>
    <col min="4609" max="4609" width="1.54296875" customWidth="1"/>
    <col min="4610" max="4611" width="18.08984375" customWidth="1"/>
    <col min="4612" max="4612" width="17.6328125" customWidth="1"/>
    <col min="4613" max="4613" width="18" customWidth="1"/>
    <col min="4614" max="4614" width="17.6328125" customWidth="1"/>
    <col min="4615" max="4615" width="17" customWidth="1"/>
    <col min="4865" max="4865" width="1.54296875" customWidth="1"/>
    <col min="4866" max="4867" width="18.08984375" customWidth="1"/>
    <col min="4868" max="4868" width="17.6328125" customWidth="1"/>
    <col min="4869" max="4869" width="18" customWidth="1"/>
    <col min="4870" max="4870" width="17.6328125" customWidth="1"/>
    <col min="4871" max="4871" width="17" customWidth="1"/>
    <col min="5121" max="5121" width="1.54296875" customWidth="1"/>
    <col min="5122" max="5123" width="18.08984375" customWidth="1"/>
    <col min="5124" max="5124" width="17.6328125" customWidth="1"/>
    <col min="5125" max="5125" width="18" customWidth="1"/>
    <col min="5126" max="5126" width="17.6328125" customWidth="1"/>
    <col min="5127" max="5127" width="17" customWidth="1"/>
    <col min="5377" max="5377" width="1.54296875" customWidth="1"/>
    <col min="5378" max="5379" width="18.08984375" customWidth="1"/>
    <col min="5380" max="5380" width="17.6328125" customWidth="1"/>
    <col min="5381" max="5381" width="18" customWidth="1"/>
    <col min="5382" max="5382" width="17.6328125" customWidth="1"/>
    <col min="5383" max="5383" width="17" customWidth="1"/>
    <col min="5633" max="5633" width="1.54296875" customWidth="1"/>
    <col min="5634" max="5635" width="18.08984375" customWidth="1"/>
    <col min="5636" max="5636" width="17.6328125" customWidth="1"/>
    <col min="5637" max="5637" width="18" customWidth="1"/>
    <col min="5638" max="5638" width="17.6328125" customWidth="1"/>
    <col min="5639" max="5639" width="17" customWidth="1"/>
    <col min="5889" max="5889" width="1.54296875" customWidth="1"/>
    <col min="5890" max="5891" width="18.08984375" customWidth="1"/>
    <col min="5892" max="5892" width="17.6328125" customWidth="1"/>
    <col min="5893" max="5893" width="18" customWidth="1"/>
    <col min="5894" max="5894" width="17.6328125" customWidth="1"/>
    <col min="5895" max="5895" width="17" customWidth="1"/>
    <col min="6145" max="6145" width="1.54296875" customWidth="1"/>
    <col min="6146" max="6147" width="18.08984375" customWidth="1"/>
    <col min="6148" max="6148" width="17.6328125" customWidth="1"/>
    <col min="6149" max="6149" width="18" customWidth="1"/>
    <col min="6150" max="6150" width="17.6328125" customWidth="1"/>
    <col min="6151" max="6151" width="17" customWidth="1"/>
    <col min="6401" max="6401" width="1.54296875" customWidth="1"/>
    <col min="6402" max="6403" width="18.08984375" customWidth="1"/>
    <col min="6404" max="6404" width="17.6328125" customWidth="1"/>
    <col min="6405" max="6405" width="18" customWidth="1"/>
    <col min="6406" max="6406" width="17.6328125" customWidth="1"/>
    <col min="6407" max="6407" width="17" customWidth="1"/>
    <col min="6657" max="6657" width="1.54296875" customWidth="1"/>
    <col min="6658" max="6659" width="18.08984375" customWidth="1"/>
    <col min="6660" max="6660" width="17.6328125" customWidth="1"/>
    <col min="6661" max="6661" width="18" customWidth="1"/>
    <col min="6662" max="6662" width="17.6328125" customWidth="1"/>
    <col min="6663" max="6663" width="17" customWidth="1"/>
    <col min="6913" max="6913" width="1.54296875" customWidth="1"/>
    <col min="6914" max="6915" width="18.08984375" customWidth="1"/>
    <col min="6916" max="6916" width="17.6328125" customWidth="1"/>
    <col min="6917" max="6917" width="18" customWidth="1"/>
    <col min="6918" max="6918" width="17.6328125" customWidth="1"/>
    <col min="6919" max="6919" width="17" customWidth="1"/>
    <col min="7169" max="7169" width="1.54296875" customWidth="1"/>
    <col min="7170" max="7171" width="18.08984375" customWidth="1"/>
    <col min="7172" max="7172" width="17.6328125" customWidth="1"/>
    <col min="7173" max="7173" width="18" customWidth="1"/>
    <col min="7174" max="7174" width="17.6328125" customWidth="1"/>
    <col min="7175" max="7175" width="17" customWidth="1"/>
    <col min="7425" max="7425" width="1.54296875" customWidth="1"/>
    <col min="7426" max="7427" width="18.08984375" customWidth="1"/>
    <col min="7428" max="7428" width="17.6328125" customWidth="1"/>
    <col min="7429" max="7429" width="18" customWidth="1"/>
    <col min="7430" max="7430" width="17.6328125" customWidth="1"/>
    <col min="7431" max="7431" width="17" customWidth="1"/>
    <col min="7681" max="7681" width="1.54296875" customWidth="1"/>
    <col min="7682" max="7683" width="18.08984375" customWidth="1"/>
    <col min="7684" max="7684" width="17.6328125" customWidth="1"/>
    <col min="7685" max="7685" width="18" customWidth="1"/>
    <col min="7686" max="7686" width="17.6328125" customWidth="1"/>
    <col min="7687" max="7687" width="17" customWidth="1"/>
    <col min="7937" max="7937" width="1.54296875" customWidth="1"/>
    <col min="7938" max="7939" width="18.08984375" customWidth="1"/>
    <col min="7940" max="7940" width="17.6328125" customWidth="1"/>
    <col min="7941" max="7941" width="18" customWidth="1"/>
    <col min="7942" max="7942" width="17.6328125" customWidth="1"/>
    <col min="7943" max="7943" width="17" customWidth="1"/>
    <col min="8193" max="8193" width="1.54296875" customWidth="1"/>
    <col min="8194" max="8195" width="18.08984375" customWidth="1"/>
    <col min="8196" max="8196" width="17.6328125" customWidth="1"/>
    <col min="8197" max="8197" width="18" customWidth="1"/>
    <col min="8198" max="8198" width="17.6328125" customWidth="1"/>
    <col min="8199" max="8199" width="17" customWidth="1"/>
    <col min="8449" max="8449" width="1.54296875" customWidth="1"/>
    <col min="8450" max="8451" width="18.08984375" customWidth="1"/>
    <col min="8452" max="8452" width="17.6328125" customWidth="1"/>
    <col min="8453" max="8453" width="18" customWidth="1"/>
    <col min="8454" max="8454" width="17.6328125" customWidth="1"/>
    <col min="8455" max="8455" width="17" customWidth="1"/>
    <col min="8705" max="8705" width="1.54296875" customWidth="1"/>
    <col min="8706" max="8707" width="18.08984375" customWidth="1"/>
    <col min="8708" max="8708" width="17.6328125" customWidth="1"/>
    <col min="8709" max="8709" width="18" customWidth="1"/>
    <col min="8710" max="8710" width="17.6328125" customWidth="1"/>
    <col min="8711" max="8711" width="17" customWidth="1"/>
    <col min="8961" max="8961" width="1.54296875" customWidth="1"/>
    <col min="8962" max="8963" width="18.08984375" customWidth="1"/>
    <col min="8964" max="8964" width="17.6328125" customWidth="1"/>
    <col min="8965" max="8965" width="18" customWidth="1"/>
    <col min="8966" max="8966" width="17.6328125" customWidth="1"/>
    <col min="8967" max="8967" width="17" customWidth="1"/>
    <col min="9217" max="9217" width="1.54296875" customWidth="1"/>
    <col min="9218" max="9219" width="18.08984375" customWidth="1"/>
    <col min="9220" max="9220" width="17.6328125" customWidth="1"/>
    <col min="9221" max="9221" width="18" customWidth="1"/>
    <col min="9222" max="9222" width="17.6328125" customWidth="1"/>
    <col min="9223" max="9223" width="17" customWidth="1"/>
    <col min="9473" max="9473" width="1.54296875" customWidth="1"/>
    <col min="9474" max="9475" width="18.08984375" customWidth="1"/>
    <col min="9476" max="9476" width="17.6328125" customWidth="1"/>
    <col min="9477" max="9477" width="18" customWidth="1"/>
    <col min="9478" max="9478" width="17.6328125" customWidth="1"/>
    <col min="9479" max="9479" width="17" customWidth="1"/>
    <col min="9729" max="9729" width="1.54296875" customWidth="1"/>
    <col min="9730" max="9731" width="18.08984375" customWidth="1"/>
    <col min="9732" max="9732" width="17.6328125" customWidth="1"/>
    <col min="9733" max="9733" width="18" customWidth="1"/>
    <col min="9734" max="9734" width="17.6328125" customWidth="1"/>
    <col min="9735" max="9735" width="17" customWidth="1"/>
    <col min="9985" max="9985" width="1.54296875" customWidth="1"/>
    <col min="9986" max="9987" width="18.08984375" customWidth="1"/>
    <col min="9988" max="9988" width="17.6328125" customWidth="1"/>
    <col min="9989" max="9989" width="18" customWidth="1"/>
    <col min="9990" max="9990" width="17.6328125" customWidth="1"/>
    <col min="9991" max="9991" width="17" customWidth="1"/>
    <col min="10241" max="10241" width="1.54296875" customWidth="1"/>
    <col min="10242" max="10243" width="18.08984375" customWidth="1"/>
    <col min="10244" max="10244" width="17.6328125" customWidth="1"/>
    <col min="10245" max="10245" width="18" customWidth="1"/>
    <col min="10246" max="10246" width="17.6328125" customWidth="1"/>
    <col min="10247" max="10247" width="17" customWidth="1"/>
    <col min="10497" max="10497" width="1.54296875" customWidth="1"/>
    <col min="10498" max="10499" width="18.08984375" customWidth="1"/>
    <col min="10500" max="10500" width="17.6328125" customWidth="1"/>
    <col min="10501" max="10501" width="18" customWidth="1"/>
    <col min="10502" max="10502" width="17.6328125" customWidth="1"/>
    <col min="10503" max="10503" width="17" customWidth="1"/>
    <col min="10753" max="10753" width="1.54296875" customWidth="1"/>
    <col min="10754" max="10755" width="18.08984375" customWidth="1"/>
    <col min="10756" max="10756" width="17.6328125" customWidth="1"/>
    <col min="10757" max="10757" width="18" customWidth="1"/>
    <col min="10758" max="10758" width="17.6328125" customWidth="1"/>
    <col min="10759" max="10759" width="17" customWidth="1"/>
    <col min="11009" max="11009" width="1.54296875" customWidth="1"/>
    <col min="11010" max="11011" width="18.08984375" customWidth="1"/>
    <col min="11012" max="11012" width="17.6328125" customWidth="1"/>
    <col min="11013" max="11013" width="18" customWidth="1"/>
    <col min="11014" max="11014" width="17.6328125" customWidth="1"/>
    <col min="11015" max="11015" width="17" customWidth="1"/>
    <col min="11265" max="11265" width="1.54296875" customWidth="1"/>
    <col min="11266" max="11267" width="18.08984375" customWidth="1"/>
    <col min="11268" max="11268" width="17.6328125" customWidth="1"/>
    <col min="11269" max="11269" width="18" customWidth="1"/>
    <col min="11270" max="11270" width="17.6328125" customWidth="1"/>
    <col min="11271" max="11271" width="17" customWidth="1"/>
    <col min="11521" max="11521" width="1.54296875" customWidth="1"/>
    <col min="11522" max="11523" width="18.08984375" customWidth="1"/>
    <col min="11524" max="11524" width="17.6328125" customWidth="1"/>
    <col min="11525" max="11525" width="18" customWidth="1"/>
    <col min="11526" max="11526" width="17.6328125" customWidth="1"/>
    <col min="11527" max="11527" width="17" customWidth="1"/>
    <col min="11777" max="11777" width="1.54296875" customWidth="1"/>
    <col min="11778" max="11779" width="18.08984375" customWidth="1"/>
    <col min="11780" max="11780" width="17.6328125" customWidth="1"/>
    <col min="11781" max="11781" width="18" customWidth="1"/>
    <col min="11782" max="11782" width="17.6328125" customWidth="1"/>
    <col min="11783" max="11783" width="17" customWidth="1"/>
    <col min="12033" max="12033" width="1.54296875" customWidth="1"/>
    <col min="12034" max="12035" width="18.08984375" customWidth="1"/>
    <col min="12036" max="12036" width="17.6328125" customWidth="1"/>
    <col min="12037" max="12037" width="18" customWidth="1"/>
    <col min="12038" max="12038" width="17.6328125" customWidth="1"/>
    <col min="12039" max="12039" width="17" customWidth="1"/>
    <col min="12289" max="12289" width="1.54296875" customWidth="1"/>
    <col min="12290" max="12291" width="18.08984375" customWidth="1"/>
    <col min="12292" max="12292" width="17.6328125" customWidth="1"/>
    <col min="12293" max="12293" width="18" customWidth="1"/>
    <col min="12294" max="12294" width="17.6328125" customWidth="1"/>
    <col min="12295" max="12295" width="17" customWidth="1"/>
    <col min="12545" max="12545" width="1.54296875" customWidth="1"/>
    <col min="12546" max="12547" width="18.08984375" customWidth="1"/>
    <col min="12548" max="12548" width="17.6328125" customWidth="1"/>
    <col min="12549" max="12549" width="18" customWidth="1"/>
    <col min="12550" max="12550" width="17.6328125" customWidth="1"/>
    <col min="12551" max="12551" width="17" customWidth="1"/>
    <col min="12801" max="12801" width="1.54296875" customWidth="1"/>
    <col min="12802" max="12803" width="18.08984375" customWidth="1"/>
    <col min="12804" max="12804" width="17.6328125" customWidth="1"/>
    <col min="12805" max="12805" width="18" customWidth="1"/>
    <col min="12806" max="12806" width="17.6328125" customWidth="1"/>
    <col min="12807" max="12807" width="17" customWidth="1"/>
    <col min="13057" max="13057" width="1.54296875" customWidth="1"/>
    <col min="13058" max="13059" width="18.08984375" customWidth="1"/>
    <col min="13060" max="13060" width="17.6328125" customWidth="1"/>
    <col min="13061" max="13061" width="18" customWidth="1"/>
    <col min="13062" max="13062" width="17.6328125" customWidth="1"/>
    <col min="13063" max="13063" width="17" customWidth="1"/>
    <col min="13313" max="13313" width="1.54296875" customWidth="1"/>
    <col min="13314" max="13315" width="18.08984375" customWidth="1"/>
    <col min="13316" max="13316" width="17.6328125" customWidth="1"/>
    <col min="13317" max="13317" width="18" customWidth="1"/>
    <col min="13318" max="13318" width="17.6328125" customWidth="1"/>
    <col min="13319" max="13319" width="17" customWidth="1"/>
    <col min="13569" max="13569" width="1.54296875" customWidth="1"/>
    <col min="13570" max="13571" width="18.08984375" customWidth="1"/>
    <col min="13572" max="13572" width="17.6328125" customWidth="1"/>
    <col min="13573" max="13573" width="18" customWidth="1"/>
    <col min="13574" max="13574" width="17.6328125" customWidth="1"/>
    <col min="13575" max="13575" width="17" customWidth="1"/>
    <col min="13825" max="13825" width="1.54296875" customWidth="1"/>
    <col min="13826" max="13827" width="18.08984375" customWidth="1"/>
    <col min="13828" max="13828" width="17.6328125" customWidth="1"/>
    <col min="13829" max="13829" width="18" customWidth="1"/>
    <col min="13830" max="13830" width="17.6328125" customWidth="1"/>
    <col min="13831" max="13831" width="17" customWidth="1"/>
    <col min="14081" max="14081" width="1.54296875" customWidth="1"/>
    <col min="14082" max="14083" width="18.08984375" customWidth="1"/>
    <col min="14084" max="14084" width="17.6328125" customWidth="1"/>
    <col min="14085" max="14085" width="18" customWidth="1"/>
    <col min="14086" max="14086" width="17.6328125" customWidth="1"/>
    <col min="14087" max="14087" width="17" customWidth="1"/>
    <col min="14337" max="14337" width="1.54296875" customWidth="1"/>
    <col min="14338" max="14339" width="18.08984375" customWidth="1"/>
    <col min="14340" max="14340" width="17.6328125" customWidth="1"/>
    <col min="14341" max="14341" width="18" customWidth="1"/>
    <col min="14342" max="14342" width="17.6328125" customWidth="1"/>
    <col min="14343" max="14343" width="17" customWidth="1"/>
    <col min="14593" max="14593" width="1.54296875" customWidth="1"/>
    <col min="14594" max="14595" width="18.08984375" customWidth="1"/>
    <col min="14596" max="14596" width="17.6328125" customWidth="1"/>
    <col min="14597" max="14597" width="18" customWidth="1"/>
    <col min="14598" max="14598" width="17.6328125" customWidth="1"/>
    <col min="14599" max="14599" width="17" customWidth="1"/>
    <col min="14849" max="14849" width="1.54296875" customWidth="1"/>
    <col min="14850" max="14851" width="18.08984375" customWidth="1"/>
    <col min="14852" max="14852" width="17.6328125" customWidth="1"/>
    <col min="14853" max="14853" width="18" customWidth="1"/>
    <col min="14854" max="14854" width="17.6328125" customWidth="1"/>
    <col min="14855" max="14855" width="17" customWidth="1"/>
    <col min="15105" max="15105" width="1.54296875" customWidth="1"/>
    <col min="15106" max="15107" width="18.08984375" customWidth="1"/>
    <col min="15108" max="15108" width="17.6328125" customWidth="1"/>
    <col min="15109" max="15109" width="18" customWidth="1"/>
    <col min="15110" max="15110" width="17.6328125" customWidth="1"/>
    <col min="15111" max="15111" width="17" customWidth="1"/>
    <col min="15361" max="15361" width="1.54296875" customWidth="1"/>
    <col min="15362" max="15363" width="18.08984375" customWidth="1"/>
    <col min="15364" max="15364" width="17.6328125" customWidth="1"/>
    <col min="15365" max="15365" width="18" customWidth="1"/>
    <col min="15366" max="15366" width="17.6328125" customWidth="1"/>
    <col min="15367" max="15367" width="17" customWidth="1"/>
    <col min="15617" max="15617" width="1.54296875" customWidth="1"/>
    <col min="15618" max="15619" width="18.08984375" customWidth="1"/>
    <col min="15620" max="15620" width="17.6328125" customWidth="1"/>
    <col min="15621" max="15621" width="18" customWidth="1"/>
    <col min="15622" max="15622" width="17.6328125" customWidth="1"/>
    <col min="15623" max="15623" width="17" customWidth="1"/>
    <col min="15873" max="15873" width="1.54296875" customWidth="1"/>
    <col min="15874" max="15875" width="18.08984375" customWidth="1"/>
    <col min="15876" max="15876" width="17.6328125" customWidth="1"/>
    <col min="15877" max="15877" width="18" customWidth="1"/>
    <col min="15878" max="15878" width="17.6328125" customWidth="1"/>
    <col min="15879" max="15879" width="17" customWidth="1"/>
    <col min="16129" max="16129" width="1.54296875" customWidth="1"/>
    <col min="16130" max="16131" width="18.08984375" customWidth="1"/>
    <col min="16132" max="16132" width="17.6328125" customWidth="1"/>
    <col min="16133" max="16133" width="18" customWidth="1"/>
    <col min="16134" max="16134" width="17.6328125" customWidth="1"/>
    <col min="16135" max="16135" width="17" customWidth="1"/>
  </cols>
  <sheetData>
    <row r="1" spans="2:7" ht="13">
      <c r="D1" s="143" t="s">
        <v>49</v>
      </c>
      <c r="F1" s="144" t="s">
        <v>50</v>
      </c>
    </row>
    <row r="2" spans="2:7" ht="13">
      <c r="D2" s="143"/>
      <c r="F2" s="144"/>
    </row>
    <row r="3" spans="2:7" ht="13">
      <c r="D3" s="143"/>
      <c r="F3" s="144"/>
    </row>
    <row r="4" spans="2:7" ht="13">
      <c r="D4" s="143"/>
      <c r="F4" s="144"/>
    </row>
    <row r="5" spans="2:7" ht="15.5">
      <c r="B5" s="145" t="s">
        <v>123</v>
      </c>
      <c r="C5" s="145"/>
      <c r="D5" s="146"/>
      <c r="E5" s="147"/>
      <c r="F5" s="144"/>
    </row>
    <row r="6" spans="2:7" ht="15.5">
      <c r="B6" s="145" t="s">
        <v>51</v>
      </c>
      <c r="C6" s="145"/>
      <c r="D6" s="147"/>
      <c r="E6" s="147"/>
    </row>
    <row r="7" spans="2:7" ht="13" thickBot="1"/>
    <row r="8" spans="2:7" ht="18">
      <c r="B8" s="281" t="s">
        <v>122</v>
      </c>
      <c r="C8" s="269"/>
      <c r="D8" s="269"/>
      <c r="E8" s="269"/>
      <c r="F8" s="269"/>
      <c r="G8" s="282" t="s">
        <v>52</v>
      </c>
    </row>
    <row r="9" spans="2:7" ht="18">
      <c r="B9" s="148" t="s">
        <v>53</v>
      </c>
      <c r="C9" s="149" t="s">
        <v>54</v>
      </c>
      <c r="D9" s="150" t="s">
        <v>55</v>
      </c>
      <c r="E9" s="151"/>
      <c r="F9" s="151"/>
      <c r="G9" s="152"/>
    </row>
    <row r="10" spans="2:7" ht="13">
      <c r="B10" s="153" t="s">
        <v>56</v>
      </c>
      <c r="C10" s="154" t="s">
        <v>56</v>
      </c>
      <c r="D10" s="155" t="s">
        <v>57</v>
      </c>
      <c r="E10" s="154" t="s">
        <v>58</v>
      </c>
      <c r="F10" s="156" t="s">
        <v>58</v>
      </c>
      <c r="G10" s="283" t="s">
        <v>59</v>
      </c>
    </row>
    <row r="11" spans="2:7" ht="13.5" thickBot="1">
      <c r="B11" s="157" t="s">
        <v>60</v>
      </c>
      <c r="C11" s="158" t="s">
        <v>61</v>
      </c>
      <c r="D11" s="158" t="s">
        <v>21</v>
      </c>
      <c r="E11" s="158" t="s">
        <v>62</v>
      </c>
      <c r="F11" s="159" t="s">
        <v>63</v>
      </c>
      <c r="G11" s="284" t="s">
        <v>14</v>
      </c>
    </row>
    <row r="12" spans="2:7" ht="6.75" customHeight="1" thickTop="1" thickBot="1">
      <c r="B12" s="160"/>
      <c r="C12" s="161"/>
      <c r="D12" s="162"/>
      <c r="E12" s="162"/>
      <c r="F12" s="162"/>
      <c r="G12" s="163"/>
    </row>
    <row r="13" spans="2:7" ht="16" thickBot="1">
      <c r="B13" s="164">
        <v>250</v>
      </c>
      <c r="C13" s="165">
        <f>+B13/1000</f>
        <v>0.25</v>
      </c>
      <c r="D13" s="166">
        <f>+B13/10</f>
        <v>25</v>
      </c>
      <c r="E13" s="166">
        <f>+B13/10</f>
        <v>25</v>
      </c>
      <c r="F13" s="167">
        <f>+B13/10000</f>
        <v>2.5000000000000001E-2</v>
      </c>
      <c r="G13" s="168">
        <f>(B13/10000)^-1</f>
        <v>40</v>
      </c>
    </row>
    <row r="14" spans="2:7" ht="16" thickBot="1">
      <c r="B14" s="169">
        <f>+C14*1000</f>
        <v>2000</v>
      </c>
      <c r="C14" s="170">
        <v>2</v>
      </c>
      <c r="D14" s="166">
        <f>+B14/10</f>
        <v>200</v>
      </c>
      <c r="E14" s="166">
        <f>+B14/10</f>
        <v>200</v>
      </c>
      <c r="F14" s="167">
        <f>+B14/10000</f>
        <v>0.2</v>
      </c>
      <c r="G14" s="171">
        <f>(B14/10000)^-1</f>
        <v>5</v>
      </c>
    </row>
    <row r="15" spans="2:7" ht="16" thickBot="1">
      <c r="B15" s="169">
        <f>+D15*10</f>
        <v>800</v>
      </c>
      <c r="C15" s="172">
        <f>+B15/1000</f>
        <v>0.8</v>
      </c>
      <c r="D15" s="164">
        <v>80</v>
      </c>
      <c r="E15" s="166">
        <f>+D15*1</f>
        <v>80</v>
      </c>
      <c r="F15" s="162">
        <f>+D15/1000</f>
        <v>0.08</v>
      </c>
      <c r="G15" s="171">
        <f>(E15/1000)^-1</f>
        <v>12.5</v>
      </c>
    </row>
    <row r="16" spans="2:7" ht="16" thickBot="1">
      <c r="B16" s="169">
        <f>+E16*10</f>
        <v>4000</v>
      </c>
      <c r="C16" s="172">
        <f>+B16/1000</f>
        <v>4</v>
      </c>
      <c r="D16" s="166">
        <f>+E16*1</f>
        <v>400</v>
      </c>
      <c r="E16" s="164">
        <v>400</v>
      </c>
      <c r="F16" s="162">
        <f>+E16/1000</f>
        <v>0.4</v>
      </c>
      <c r="G16" s="179">
        <f>(E16/1000)^-1</f>
        <v>2.5</v>
      </c>
    </row>
    <row r="17" spans="2:7" ht="16" thickBot="1">
      <c r="B17" s="169">
        <f>+F17*10000</f>
        <v>50000</v>
      </c>
      <c r="C17" s="172">
        <f>+B17/1000</f>
        <v>50</v>
      </c>
      <c r="D17" s="166">
        <f>+F17*1000</f>
        <v>5000</v>
      </c>
      <c r="E17" s="166">
        <f>+F17*1000</f>
        <v>5000</v>
      </c>
      <c r="F17" s="173">
        <v>5</v>
      </c>
      <c r="G17" s="163">
        <f>1/F17</f>
        <v>0.2</v>
      </c>
    </row>
    <row r="18" spans="2:7" ht="16" thickBot="1">
      <c r="B18" s="169">
        <f>1/G18*10^4</f>
        <v>3333.333333333333</v>
      </c>
      <c r="C18" s="172">
        <f>+B18/1000</f>
        <v>3.333333333333333</v>
      </c>
      <c r="D18" s="181">
        <f>1/G18*1000</f>
        <v>333.33333333333331</v>
      </c>
      <c r="E18" s="181">
        <f>1/G18*1000</f>
        <v>333.33333333333331</v>
      </c>
      <c r="F18" s="174">
        <f>1/G18</f>
        <v>0.33333333333333331</v>
      </c>
      <c r="G18" s="285">
        <v>3</v>
      </c>
    </row>
    <row r="19" spans="2:7" ht="13" thickBot="1">
      <c r="B19" s="175"/>
      <c r="C19" s="176"/>
      <c r="D19" s="177"/>
      <c r="E19" s="177"/>
      <c r="F19" s="177"/>
      <c r="G19" s="178"/>
    </row>
    <row r="21" spans="2:7" ht="13">
      <c r="D21" s="143" t="s">
        <v>70</v>
      </c>
    </row>
    <row r="22" spans="2:7" ht="13">
      <c r="D22" s="143" t="s">
        <v>71</v>
      </c>
    </row>
    <row r="23" spans="2:7" ht="13">
      <c r="D23" s="143" t="s">
        <v>72</v>
      </c>
    </row>
    <row r="24" spans="2:7" ht="13">
      <c r="D24" s="143" t="s">
        <v>73</v>
      </c>
    </row>
    <row r="25" spans="2:7" ht="13">
      <c r="D25" s="143" t="s">
        <v>64</v>
      </c>
    </row>
    <row r="26" spans="2:7" ht="13">
      <c r="D26" s="143" t="s">
        <v>74</v>
      </c>
    </row>
  </sheetData>
  <dataValidations count="8">
    <dataValidation type="decimal" operator="greaterThan" allowBlank="1" showInputMessage="1" showErrorMessage="1" errorTitle="CONDUCTIVITY" error="VALUE MUST BE POSITIVE" promptTitle="input value" prompt="enter the CONDUCTIVITY in millimho/m for which you want converted values"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xr:uid="{00000000-0002-0000-0000-000000000000}">
      <formula1>0</formula1>
    </dataValidation>
    <dataValidation type="decimal" operator="greaterThan" allowBlank="1" showInputMessage="1" showErrorMessage="1" errorTitle="CONDUCTIVITY" error="VALUE MUST BE POSITIVE" promptTitle="input value" prompt="enter the CONDUCTIVITY in milliSiemens/m for which you want converted values"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000-000001000000}">
      <formula1>0</formula1>
    </dataValidation>
    <dataValidation type="decimal" operator="greaterThan" allowBlank="1" showInputMessage="1" showErrorMessage="1" errorTitle="CONDUCTIVITY" error="VALUE MUST BE POSITIVE" promptTitle="input value" prompt="enter the CONDUCTIVITY in milliSiemens/cm for which you want converted values"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00000000-0002-0000-0000-000002000000}">
      <formula1>0</formula1>
    </dataValidation>
    <dataValidation type="decimal" operator="greaterThan" allowBlank="1" showInputMessage="1" showErrorMessage="1" errorTitle="CONDUCTIVITY" error="VALUE MUST BE POSITIVE" promptTitle="input value" prompt="enter the CONDUCTIVITY in microSiemens/cm for which you want converted values"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0000-000003000000}">
      <formula1>0</formula1>
    </dataValidation>
    <dataValidation type="decimal" operator="greaterThan" allowBlank="1" showInputMessage="1" showErrorMessage="1" errorTitle="CONDUCTIVITY" error="VALUE MUST BE POSITIVE" promptTitle="input value" prompt="enter the CONDUCTIVITY in mho/m for which you want converted values" sqref="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4000000}">
      <formula1>0</formula1>
    </dataValidation>
    <dataValidation type="decimal" operator="greaterThan" allowBlank="1" showInputMessage="1" showErrorMessage="1" errorTitle="RESISTIVITY" error="This value must be greater than zero!_x000a__x000a_Try again, Bubba." promptTitle="input value" prompt="enter the RESISTIVITY in ohm-meters for which you want conductivity values"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xr:uid="{00000000-0002-0000-0000-000005000000}">
      <formula1>0</formula1>
    </dataValidation>
    <dataValidation allowBlank="1" showInputMessage="1" showErrorMessage="1" promptTitle="computed value " prompt="please do not change" sqref="B14:B18" xr:uid="{7439E5F2-B006-473B-A177-85539EDF8EF1}"/>
    <dataValidation allowBlank="1" showInputMessage="1" showErrorMessage="1" promptTitle="Computed value " prompt="please do not change_x000a_" sqref="C13 C15 C16:D16 D13:D14 E13:E15 C17:E17 F13:F16 C18:F18 G13:G17" xr:uid="{7113466C-8B4D-4E11-B7EC-65D4F5BB26B1}"/>
  </dataValidations>
  <hyperlinks>
    <hyperlink ref="F1" r:id="rId1" xr:uid="{00000000-0004-0000-0000-000000000000}"/>
  </hyperlinks>
  <pageMargins left="0.75" right="0.75" top="1" bottom="1" header="0.5" footer="0.5"/>
  <pageSetup orientation="landscape" horizontalDpi="4294967292" verticalDpi="4294967292" r:id="rId2"/>
  <headerFooter alignWithMargins="0">
    <oddHeader>&amp;Lcjohnson@usgs.gov&amp;R&amp;F</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AN32"/>
  <sheetViews>
    <sheetView showGridLines="0" zoomScale="98" zoomScaleNormal="98" workbookViewId="0">
      <selection activeCell="C32" sqref="C32"/>
    </sheetView>
  </sheetViews>
  <sheetFormatPr defaultRowHeight="12.5"/>
  <cols>
    <col min="1" max="1" width="3.6328125" customWidth="1"/>
    <col min="2" max="2" width="5.08984375" customWidth="1"/>
    <col min="3" max="3" width="2.453125" customWidth="1"/>
    <col min="4" max="4" width="19.6328125" customWidth="1"/>
    <col min="5" max="5" width="10.90625" customWidth="1"/>
    <col min="6" max="6" width="10.36328125" customWidth="1"/>
    <col min="7" max="7" width="11.36328125" customWidth="1"/>
    <col min="8" max="8" width="13.6328125" customWidth="1"/>
    <col min="9" max="9" width="3.6328125" customWidth="1"/>
    <col min="10" max="10" width="6.6328125" customWidth="1"/>
    <col min="11" max="11" width="3.6328125" customWidth="1"/>
    <col min="36" max="36" width="17.08984375" customWidth="1"/>
    <col min="37" max="37" width="1.453125" customWidth="1"/>
    <col min="38" max="38" width="10.36328125" customWidth="1"/>
    <col min="39" max="39" width="11.08984375" customWidth="1"/>
  </cols>
  <sheetData>
    <row r="1" spans="2:40">
      <c r="B1" s="268" t="s">
        <v>115</v>
      </c>
    </row>
    <row r="2" spans="2:40" ht="13" thickBot="1">
      <c r="B2" s="1"/>
      <c r="C2" s="1"/>
      <c r="D2" s="1"/>
      <c r="E2" s="1"/>
      <c r="F2" s="1"/>
      <c r="G2" s="1"/>
      <c r="H2" s="1"/>
      <c r="I2" s="1"/>
    </row>
    <row r="3" spans="2:40" ht="11.4" customHeight="1">
      <c r="B3" s="2"/>
      <c r="C3" s="3"/>
      <c r="D3" s="3"/>
      <c r="E3" s="3"/>
      <c r="F3" s="3"/>
      <c r="G3" s="3"/>
      <c r="H3" s="3"/>
      <c r="I3" s="3"/>
      <c r="J3" s="3"/>
      <c r="K3" s="4"/>
    </row>
    <row r="4" spans="2:40" ht="15">
      <c r="B4" s="5"/>
      <c r="C4" s="6"/>
      <c r="D4" s="7" t="s">
        <v>0</v>
      </c>
      <c r="E4" s="6"/>
      <c r="F4" s="8"/>
      <c r="G4" s="8"/>
      <c r="H4" s="8"/>
      <c r="I4" s="8"/>
      <c r="J4" s="9"/>
      <c r="K4" s="10"/>
    </row>
    <row r="5" spans="2:40" ht="13">
      <c r="B5" s="5"/>
      <c r="C5" s="11"/>
      <c r="D5" s="9"/>
      <c r="E5" s="8"/>
      <c r="F5" s="8"/>
      <c r="G5" s="8"/>
      <c r="H5" s="8"/>
      <c r="I5" s="8"/>
      <c r="J5" s="9"/>
      <c r="K5" s="10"/>
      <c r="AJ5" t="s">
        <v>66</v>
      </c>
    </row>
    <row r="6" spans="2:40" ht="17" customHeight="1">
      <c r="B6" s="5"/>
      <c r="C6" s="9"/>
      <c r="D6" s="85" t="s">
        <v>1</v>
      </c>
      <c r="E6" s="12"/>
      <c r="F6" s="13"/>
      <c r="G6" s="12"/>
      <c r="H6" s="12"/>
      <c r="I6" s="14"/>
      <c r="J6" s="9"/>
      <c r="K6" s="10"/>
      <c r="AL6" t="s">
        <v>2</v>
      </c>
      <c r="AM6" t="s">
        <v>3</v>
      </c>
      <c r="AN6" t="s">
        <v>4</v>
      </c>
    </row>
    <row r="7" spans="2:40" ht="15.65" customHeight="1" thickBot="1">
      <c r="B7" s="5"/>
      <c r="C7" s="9"/>
      <c r="D7" s="86" t="s">
        <v>5</v>
      </c>
      <c r="E7" s="15"/>
      <c r="F7" s="16"/>
      <c r="G7" s="17"/>
      <c r="H7" s="15"/>
      <c r="I7" s="18"/>
      <c r="J7" s="9"/>
      <c r="K7" s="10"/>
      <c r="AJ7" s="19" t="s">
        <v>6</v>
      </c>
      <c r="AK7" s="20"/>
      <c r="AL7" s="21" t="s">
        <v>7</v>
      </c>
      <c r="AM7" s="22" t="s">
        <v>8</v>
      </c>
      <c r="AN7" s="21" t="s">
        <v>9</v>
      </c>
    </row>
    <row r="8" spans="2:40" ht="13.5" thickTop="1">
      <c r="B8" s="5"/>
      <c r="C8" s="9"/>
      <c r="D8" s="87"/>
      <c r="E8" s="23"/>
      <c r="F8" s="23"/>
      <c r="G8" s="23"/>
      <c r="H8" s="23"/>
      <c r="I8" s="88">
        <v>204</v>
      </c>
      <c r="J8" s="9"/>
      <c r="K8" s="10"/>
      <c r="AJ8" t="s">
        <v>10</v>
      </c>
      <c r="AL8" s="304">
        <v>400</v>
      </c>
      <c r="AM8" s="24">
        <f>AL8/0.65</f>
        <v>615.38461538461536</v>
      </c>
      <c r="AN8" s="25">
        <f>10000/AM8</f>
        <v>16.25</v>
      </c>
    </row>
    <row r="9" spans="2:40" ht="13.25" customHeight="1">
      <c r="B9" s="5"/>
      <c r="C9" s="9"/>
      <c r="D9" s="26"/>
      <c r="E9" s="15"/>
      <c r="F9" s="27"/>
      <c r="G9" s="15"/>
      <c r="H9" s="15"/>
      <c r="I9" s="18"/>
      <c r="J9" s="9"/>
      <c r="K9" s="10"/>
      <c r="AJ9" t="s">
        <v>11</v>
      </c>
      <c r="AL9" s="304">
        <v>1100</v>
      </c>
      <c r="AM9" s="24">
        <f>AL9/0.65</f>
        <v>1692.3076923076922</v>
      </c>
      <c r="AN9" s="25">
        <f>10000/AM9</f>
        <v>5.9090909090909101</v>
      </c>
    </row>
    <row r="10" spans="2:40" ht="20.399999999999999" customHeight="1">
      <c r="B10" s="5"/>
      <c r="C10" s="9"/>
      <c r="D10" s="26"/>
      <c r="E10" s="15"/>
      <c r="F10" s="15"/>
      <c r="G10" s="15"/>
      <c r="H10" s="15"/>
      <c r="I10" s="18"/>
      <c r="J10" s="9"/>
      <c r="K10" s="10"/>
      <c r="AJ10" t="s">
        <v>12</v>
      </c>
      <c r="AL10" s="304">
        <v>3000</v>
      </c>
      <c r="AM10" s="24">
        <f>AL10/0.65</f>
        <v>4615.3846153846152</v>
      </c>
      <c r="AN10" s="25">
        <f>10000/AM10</f>
        <v>2.1666666666666665</v>
      </c>
    </row>
    <row r="11" spans="2:40" ht="13">
      <c r="B11" s="5"/>
      <c r="C11" s="89"/>
      <c r="D11" s="286" t="s">
        <v>13</v>
      </c>
      <c r="E11" s="287">
        <f>+(1/E12)*10^4</f>
        <v>49.019607843137251</v>
      </c>
      <c r="F11" s="288" t="s">
        <v>14</v>
      </c>
      <c r="G11" s="305" t="s">
        <v>15</v>
      </c>
      <c r="H11" s="15"/>
      <c r="I11" s="18"/>
      <c r="J11" s="9"/>
      <c r="K11" s="10"/>
      <c r="N11" s="28"/>
      <c r="AJ11" t="s">
        <v>16</v>
      </c>
      <c r="AL11" s="304">
        <v>6500</v>
      </c>
      <c r="AM11" s="29">
        <f>AL11/0.65</f>
        <v>10000</v>
      </c>
      <c r="AN11" s="30">
        <f>10000/AM11</f>
        <v>1</v>
      </c>
    </row>
    <row r="12" spans="2:40" ht="14.5">
      <c r="B12" s="5"/>
      <c r="C12" s="9"/>
      <c r="D12" s="90" t="s">
        <v>17</v>
      </c>
      <c r="E12" s="31">
        <f>+$I$8</f>
        <v>204</v>
      </c>
      <c r="F12" s="32" t="s">
        <v>18</v>
      </c>
      <c r="G12" s="306">
        <f>0.65*E12</f>
        <v>132.6</v>
      </c>
      <c r="H12" s="307" t="s">
        <v>19</v>
      </c>
      <c r="I12" s="18"/>
      <c r="J12" s="9"/>
      <c r="K12" s="10"/>
      <c r="AJ12" t="s">
        <v>20</v>
      </c>
      <c r="AL12" s="304">
        <v>55000</v>
      </c>
      <c r="AM12" s="29">
        <f>AL12/0.65</f>
        <v>84615.38461538461</v>
      </c>
      <c r="AN12" s="30">
        <f>10000/AM12</f>
        <v>0.11818181818181819</v>
      </c>
    </row>
    <row r="13" spans="2:40" ht="14.5">
      <c r="B13" s="5"/>
      <c r="C13" s="9"/>
      <c r="D13" s="91" t="s">
        <v>17</v>
      </c>
      <c r="E13" s="33">
        <f>+E12/10</f>
        <v>20.399999999999999</v>
      </c>
      <c r="F13" s="34" t="s">
        <v>21</v>
      </c>
      <c r="G13" s="35"/>
      <c r="H13" s="35"/>
      <c r="I13" s="36"/>
      <c r="J13" s="9"/>
      <c r="K13" s="10"/>
      <c r="AM13" s="1"/>
      <c r="AN13" s="1"/>
    </row>
    <row r="14" spans="2:40" ht="13" thickBot="1">
      <c r="B14" s="5"/>
      <c r="C14" s="9"/>
      <c r="D14" s="9"/>
      <c r="E14" s="9"/>
      <c r="F14" s="9"/>
      <c r="G14" s="9"/>
      <c r="H14" s="9"/>
      <c r="I14" s="9"/>
      <c r="J14" s="9"/>
      <c r="K14" s="10"/>
    </row>
    <row r="15" spans="2:40" ht="15" customHeight="1">
      <c r="B15" s="5"/>
      <c r="C15" s="37"/>
      <c r="D15" s="38"/>
      <c r="E15" s="39"/>
      <c r="F15" s="40" t="s">
        <v>22</v>
      </c>
      <c r="G15" s="289">
        <f>+(1/E12)*10^4</f>
        <v>49.019607843137251</v>
      </c>
      <c r="H15" s="111" t="s">
        <v>23</v>
      </c>
      <c r="I15" s="111"/>
      <c r="J15" s="183"/>
      <c r="K15" s="10"/>
    </row>
    <row r="16" spans="2:40" ht="17.399999999999999" customHeight="1">
      <c r="B16" s="5"/>
      <c r="C16" s="43"/>
      <c r="D16" s="44" t="s">
        <v>75</v>
      </c>
      <c r="E16" s="39"/>
      <c r="F16" s="40"/>
      <c r="G16" s="184" t="s">
        <v>24</v>
      </c>
      <c r="H16" s="9"/>
      <c r="I16" s="9"/>
      <c r="J16" s="89"/>
      <c r="K16" s="10"/>
    </row>
    <row r="17" spans="2:11" ht="22">
      <c r="B17" s="5"/>
      <c r="C17" s="45" t="s">
        <v>25</v>
      </c>
      <c r="D17" s="46"/>
      <c r="E17" s="9"/>
      <c r="F17" s="47" t="s">
        <v>26</v>
      </c>
      <c r="G17" s="290">
        <f>+((K17/2)/100)+0.001</f>
        <v>0.34599999999999997</v>
      </c>
      <c r="H17" s="41"/>
      <c r="I17" s="41"/>
      <c r="J17" s="115"/>
      <c r="K17" s="48">
        <v>69</v>
      </c>
    </row>
    <row r="18" spans="2:11" ht="5.4" customHeight="1">
      <c r="B18" s="5"/>
      <c r="C18" s="45"/>
      <c r="D18" s="46"/>
      <c r="E18" s="9"/>
      <c r="F18" s="49"/>
      <c r="G18" s="290"/>
      <c r="H18" s="41"/>
      <c r="I18" s="41"/>
      <c r="J18" s="115"/>
      <c r="K18" s="48"/>
    </row>
    <row r="19" spans="2:11" ht="19.25" customHeight="1">
      <c r="B19" s="50"/>
      <c r="C19" s="51" t="s">
        <v>27</v>
      </c>
      <c r="D19" s="46"/>
      <c r="E19" s="9"/>
      <c r="F19" s="52" t="s">
        <v>69</v>
      </c>
      <c r="G19" s="291">
        <f>+K19/100</f>
        <v>1</v>
      </c>
      <c r="H19" s="41"/>
      <c r="I19" s="41"/>
      <c r="J19" s="115"/>
      <c r="K19" s="48">
        <v>100</v>
      </c>
    </row>
    <row r="20" spans="2:11" ht="6" customHeight="1">
      <c r="B20" s="50"/>
      <c r="C20" s="51"/>
      <c r="D20" s="46"/>
      <c r="E20" s="9"/>
      <c r="F20" s="52"/>
      <c r="G20" s="291"/>
      <c r="H20" s="41"/>
      <c r="I20" s="41"/>
      <c r="J20" s="115"/>
      <c r="K20" s="48"/>
    </row>
    <row r="21" spans="2:11" ht="13">
      <c r="B21" s="50"/>
      <c r="C21" s="51" t="s">
        <v>28</v>
      </c>
      <c r="D21" s="46"/>
      <c r="E21" s="9"/>
      <c r="F21" s="52" t="s">
        <v>29</v>
      </c>
      <c r="G21" s="292">
        <f>+(K21/100)+-2</f>
        <v>-1.6400000000000001</v>
      </c>
      <c r="H21" s="41"/>
      <c r="I21" s="41"/>
      <c r="J21" s="115"/>
      <c r="K21" s="48">
        <v>36</v>
      </c>
    </row>
    <row r="22" spans="2:11" ht="7.25" customHeight="1">
      <c r="B22" s="50"/>
      <c r="C22" s="51"/>
      <c r="D22" s="46"/>
      <c r="E22" s="9"/>
      <c r="F22" s="52"/>
      <c r="G22" s="120"/>
      <c r="H22" s="41"/>
      <c r="I22" s="41"/>
      <c r="J22" s="115"/>
      <c r="K22" s="48"/>
    </row>
    <row r="23" spans="2:11" ht="13">
      <c r="B23" s="50"/>
      <c r="C23" s="51" t="s">
        <v>30</v>
      </c>
      <c r="D23" s="46"/>
      <c r="E23" s="9"/>
      <c r="F23" s="52" t="s">
        <v>31</v>
      </c>
      <c r="G23" s="121">
        <v>1</v>
      </c>
      <c r="H23" s="41"/>
      <c r="I23" s="41"/>
      <c r="J23" s="115"/>
      <c r="K23" s="10"/>
    </row>
    <row r="24" spans="2:11" ht="5.4" customHeight="1">
      <c r="B24" s="50"/>
      <c r="C24" s="51"/>
      <c r="D24" s="46"/>
      <c r="E24" s="9"/>
      <c r="F24" s="52"/>
      <c r="G24" s="121"/>
      <c r="H24" s="41"/>
      <c r="I24" s="41"/>
      <c r="J24" s="115"/>
      <c r="K24" s="10"/>
    </row>
    <row r="25" spans="2:11" ht="13.5" thickBot="1">
      <c r="B25" s="50"/>
      <c r="C25" s="53" t="s">
        <v>32</v>
      </c>
      <c r="D25" s="54"/>
      <c r="E25" s="9"/>
      <c r="F25" s="52" t="s">
        <v>33</v>
      </c>
      <c r="G25" s="124">
        <v>-2</v>
      </c>
      <c r="H25" s="125"/>
      <c r="I25" s="125"/>
      <c r="J25" s="126"/>
      <c r="K25" s="10"/>
    </row>
    <row r="26" spans="2:11">
      <c r="B26" s="50"/>
      <c r="C26" s="9"/>
      <c r="D26" s="9"/>
      <c r="E26" s="9"/>
      <c r="F26" s="9"/>
      <c r="G26" s="9"/>
      <c r="H26" s="9"/>
      <c r="I26" s="9"/>
      <c r="J26" s="9"/>
      <c r="K26" s="10"/>
    </row>
    <row r="27" spans="2:11" ht="13.5" thickBot="1">
      <c r="B27" s="5"/>
      <c r="C27" s="9"/>
      <c r="D27" s="9"/>
      <c r="E27" s="9"/>
      <c r="F27" s="55" t="s">
        <v>14</v>
      </c>
      <c r="G27" s="55" t="s">
        <v>34</v>
      </c>
      <c r="H27" s="9"/>
      <c r="I27" s="9"/>
      <c r="J27" s="9"/>
      <c r="K27" s="10"/>
    </row>
    <row r="28" spans="2:11" ht="13">
      <c r="B28" s="50"/>
      <c r="C28" s="9"/>
      <c r="D28" s="180" t="s">
        <v>65</v>
      </c>
      <c r="E28" s="56"/>
      <c r="F28" s="57" t="s">
        <v>36</v>
      </c>
      <c r="G28" s="58" t="s">
        <v>37</v>
      </c>
      <c r="H28" s="59" t="s">
        <v>38</v>
      </c>
      <c r="I28" s="38"/>
      <c r="J28" s="9"/>
      <c r="K28" s="10"/>
    </row>
    <row r="29" spans="2:11" ht="20.5">
      <c r="B29" s="5"/>
      <c r="C29" s="9"/>
      <c r="D29" s="77" t="s">
        <v>77</v>
      </c>
      <c r="E29" s="60"/>
      <c r="F29" s="61" t="s">
        <v>39</v>
      </c>
      <c r="G29" s="62" t="s">
        <v>40</v>
      </c>
      <c r="H29" s="63" t="s">
        <v>41</v>
      </c>
      <c r="I29" s="64"/>
      <c r="J29" s="9"/>
      <c r="K29" s="10"/>
    </row>
    <row r="30" spans="2:11" ht="14.5" thickBot="1">
      <c r="B30" s="5"/>
      <c r="C30" s="9"/>
      <c r="D30" s="65">
        <f>(a*Fl_Res)*porosity^b_cement*(Sw^n)</f>
        <v>279.43772091605467</v>
      </c>
      <c r="E30" s="66"/>
      <c r="F30" s="67">
        <f>+$G$15</f>
        <v>49.019607843137251</v>
      </c>
      <c r="G30" s="68">
        <f>+$G$17</f>
        <v>0.34599999999999997</v>
      </c>
      <c r="H30" s="69">
        <f>1/F30*10^4</f>
        <v>204.00000000000003</v>
      </c>
      <c r="I30" s="70"/>
      <c r="J30" s="9"/>
      <c r="K30" s="10"/>
    </row>
    <row r="31" spans="2:11" ht="23.4" customHeight="1">
      <c r="B31" s="71"/>
      <c r="C31" s="9"/>
      <c r="D31" s="9"/>
      <c r="E31" s="9"/>
      <c r="F31" s="9"/>
      <c r="G31" s="9"/>
      <c r="H31" s="72"/>
      <c r="I31" s="9"/>
      <c r="J31" s="9"/>
      <c r="K31" s="10"/>
    </row>
    <row r="32" spans="2:11" ht="13" thickBot="1">
      <c r="B32" s="73"/>
      <c r="C32" s="74" t="s">
        <v>78</v>
      </c>
      <c r="D32" s="74"/>
      <c r="E32" s="74"/>
      <c r="F32" s="74"/>
      <c r="G32" s="74"/>
      <c r="H32" s="74"/>
      <c r="I32" s="74"/>
      <c r="J32" s="74"/>
      <c r="K32" s="75"/>
    </row>
  </sheetData>
  <sheetProtection formatCells="0" formatColumns="0" formatRows="0" insertColumns="0" insertRows="0" deleteColumns="0" deleteRows="0"/>
  <conditionalFormatting sqref="AM8">
    <cfRule type="expression" dxfId="79" priority="39" stopIfTrue="1">
      <formula>$E$8=0</formula>
    </cfRule>
    <cfRule type="cellIs" dxfId="78" priority="40" stopIfTrue="1" operator="greaterThan">
      <formula>0</formula>
    </cfRule>
  </conditionalFormatting>
  <conditionalFormatting sqref="AN8">
    <cfRule type="expression" dxfId="77" priority="37" stopIfTrue="1">
      <formula>$E$8=0</formula>
    </cfRule>
    <cfRule type="cellIs" dxfId="76" priority="38" stopIfTrue="1" operator="greaterThan">
      <formula>0</formula>
    </cfRule>
  </conditionalFormatting>
  <conditionalFormatting sqref="AM9">
    <cfRule type="expression" dxfId="75" priority="35" stopIfTrue="1">
      <formula>$E$9=0</formula>
    </cfRule>
    <cfRule type="cellIs" dxfId="74" priority="36" stopIfTrue="1" operator="greaterThan">
      <formula>0</formula>
    </cfRule>
  </conditionalFormatting>
  <conditionalFormatting sqref="AM10">
    <cfRule type="expression" dxfId="73" priority="33" stopIfTrue="1">
      <formula>$E$10=0</formula>
    </cfRule>
    <cfRule type="cellIs" dxfId="72" priority="34" stopIfTrue="1" operator="greaterThan">
      <formula>0</formula>
    </cfRule>
  </conditionalFormatting>
  <conditionalFormatting sqref="AM11">
    <cfRule type="expression" dxfId="71" priority="31" stopIfTrue="1">
      <formula>$E$11=0</formula>
    </cfRule>
    <cfRule type="cellIs" dxfId="70" priority="32" stopIfTrue="1" operator="greaterThan">
      <formula>0</formula>
    </cfRule>
  </conditionalFormatting>
  <conditionalFormatting sqref="AM12">
    <cfRule type="expression" dxfId="69" priority="29" stopIfTrue="1">
      <formula>$E$12=0</formula>
    </cfRule>
    <cfRule type="cellIs" dxfId="68" priority="30" stopIfTrue="1" operator="greaterThan">
      <formula>0</formula>
    </cfRule>
  </conditionalFormatting>
  <conditionalFormatting sqref="AN9">
    <cfRule type="expression" dxfId="67" priority="27" stopIfTrue="1">
      <formula>$E$9=0</formula>
    </cfRule>
    <cfRule type="cellIs" dxfId="66" priority="28" stopIfTrue="1" operator="greaterThan">
      <formula>0</formula>
    </cfRule>
  </conditionalFormatting>
  <conditionalFormatting sqref="AN10">
    <cfRule type="expression" dxfId="65" priority="25" stopIfTrue="1">
      <formula>$E$10=0</formula>
    </cfRule>
    <cfRule type="cellIs" dxfId="64" priority="26" stopIfTrue="1" operator="greaterThan">
      <formula>0</formula>
    </cfRule>
  </conditionalFormatting>
  <conditionalFormatting sqref="AN11">
    <cfRule type="expression" dxfId="63" priority="23" stopIfTrue="1">
      <formula>$E$11=0</formula>
    </cfRule>
    <cfRule type="cellIs" dxfId="62" priority="24" stopIfTrue="1" operator="greaterThan">
      <formula>0</formula>
    </cfRule>
  </conditionalFormatting>
  <conditionalFormatting sqref="AN12">
    <cfRule type="expression" dxfId="61" priority="21" stopIfTrue="1">
      <formula>$E$12=0</formula>
    </cfRule>
    <cfRule type="cellIs" dxfId="60" priority="22" stopIfTrue="1" operator="greaterThan">
      <formula>0</formula>
    </cfRule>
  </conditionalFormatting>
  <conditionalFormatting sqref="AM8">
    <cfRule type="expression" dxfId="59" priority="19" stopIfTrue="1">
      <formula>$E$8=0</formula>
    </cfRule>
    <cfRule type="cellIs" dxfId="58" priority="20" stopIfTrue="1" operator="greaterThan">
      <formula>0</formula>
    </cfRule>
  </conditionalFormatting>
  <conditionalFormatting sqref="AN8">
    <cfRule type="expression" dxfId="57" priority="17" stopIfTrue="1">
      <formula>$E$8=0</formula>
    </cfRule>
    <cfRule type="cellIs" dxfId="56" priority="18" stopIfTrue="1" operator="greaterThan">
      <formula>0</formula>
    </cfRule>
  </conditionalFormatting>
  <conditionalFormatting sqref="AM9">
    <cfRule type="expression" dxfId="55" priority="15" stopIfTrue="1">
      <formula>$E$9=0</formula>
    </cfRule>
    <cfRule type="cellIs" dxfId="54" priority="16" stopIfTrue="1" operator="greaterThan">
      <formula>0</formula>
    </cfRule>
  </conditionalFormatting>
  <conditionalFormatting sqref="AM10">
    <cfRule type="expression" dxfId="53" priority="13" stopIfTrue="1">
      <formula>$E$10=0</formula>
    </cfRule>
    <cfRule type="cellIs" dxfId="52" priority="14" stopIfTrue="1" operator="greaterThan">
      <formula>0</formula>
    </cfRule>
  </conditionalFormatting>
  <conditionalFormatting sqref="AM11">
    <cfRule type="expression" dxfId="51" priority="11" stopIfTrue="1">
      <formula>$E$11=0</formula>
    </cfRule>
    <cfRule type="cellIs" dxfId="50" priority="12" stopIfTrue="1" operator="greaterThan">
      <formula>0</formula>
    </cfRule>
  </conditionalFormatting>
  <conditionalFormatting sqref="AM12">
    <cfRule type="expression" dxfId="49" priority="9" stopIfTrue="1">
      <formula>$E$12=0</formula>
    </cfRule>
    <cfRule type="cellIs" dxfId="48" priority="10" stopIfTrue="1" operator="greaterThan">
      <formula>0</formula>
    </cfRule>
  </conditionalFormatting>
  <conditionalFormatting sqref="AN9">
    <cfRule type="expression" dxfId="47" priority="7" stopIfTrue="1">
      <formula>$E$9=0</formula>
    </cfRule>
    <cfRule type="cellIs" dxfId="46" priority="8" stopIfTrue="1" operator="greaterThan">
      <formula>0</formula>
    </cfRule>
  </conditionalFormatting>
  <conditionalFormatting sqref="AN10">
    <cfRule type="expression" dxfId="45" priority="5" stopIfTrue="1">
      <formula>$E$10=0</formula>
    </cfRule>
    <cfRule type="cellIs" dxfId="44" priority="6" stopIfTrue="1" operator="greaterThan">
      <formula>0</formula>
    </cfRule>
  </conditionalFormatting>
  <conditionalFormatting sqref="AN11">
    <cfRule type="expression" dxfId="43" priority="3" stopIfTrue="1">
      <formula>$E$11=0</formula>
    </cfRule>
    <cfRule type="cellIs" dxfId="42" priority="4" stopIfTrue="1" operator="greaterThan">
      <formula>0</formula>
    </cfRule>
  </conditionalFormatting>
  <conditionalFormatting sqref="AN12">
    <cfRule type="expression" dxfId="41" priority="1" stopIfTrue="1">
      <formula>$E$12=0</formula>
    </cfRule>
    <cfRule type="cellIs" dxfId="40" priority="2" stopIfTrue="1" operator="greaterThan">
      <formula>0</formula>
    </cfRule>
  </conditionalFormatting>
  <dataValidations count="14">
    <dataValidation allowBlank="1" showInputMessage="1" showErrorMessage="1" promptTitle="Fluid Resistivity" prompt="Do not change - this is controled by slider bar above. _x000a_Slide the bar to fit the description or a known TDS, specific conductance, or fluid resistivity" sqref="G15" xr:uid="{00000000-0002-0000-0100-000000000000}"/>
    <dataValidation allowBlank="1" showInputMessage="1" showErrorMessage="1" promptTitle="do not change" prompt="These are calculated values" sqref="D30:H30" xr:uid="{00000000-0002-0000-0100-000001000000}"/>
    <dataValidation allowBlank="1" showInputMessage="1" showErrorMessage="1" errorTitle="Do not change" promptTitle="Calculated field " prompt="Do not change this cell - value is automatically calculated from entered TDS value." sqref="AM8:AN12" xr:uid="{00000000-0002-0000-0100-000002000000}"/>
    <dataValidation type="decimal" errorStyle="warning" allowBlank="1" showInputMessage="1" showErrorMessage="1" errorTitle="Out of range" error="Out of the typical range of values. Check your entry. Hit yes to keep or no and enter a new value." promptTitle="TDS for saline water" prompt="Enter the TDS value for your site" sqref="AL11" xr:uid="{00000000-0002-0000-0100-000003000000}">
      <formula1>4000</formula1>
      <formula2>50001</formula2>
    </dataValidation>
    <dataValidation type="decimal" errorStyle="warning" allowBlank="1" showInputMessage="1" showErrorMessage="1" errorTitle="Out of range" error="Out of the typical range of values. Check your entry. Hit yes to keep or no and enter a new value." promptTitle="TDS: moderately brackish water" prompt="Enter the TDS value for your site" sqref="AL10" xr:uid="{00000000-0002-0000-0100-000004000000}">
      <formula1>1500.1</formula1>
      <formula2>3000</formula2>
    </dataValidation>
    <dataValidation type="decimal" errorStyle="warning" allowBlank="1" showInputMessage="1" showErrorMessage="1" errorTitle="Out of range" error="Out of the typical range of values. Check your entry. Hit yes to keep or no and enter a new value." promptTitle="TDS for slightly brackish water" prompt="Enter the TDS value for your site" sqref="AL9" xr:uid="{00000000-0002-0000-0100-000005000000}">
      <formula1>800</formula1>
      <formula2>1500</formula2>
    </dataValidation>
    <dataValidation type="decimal" errorStyle="warning" allowBlank="1" showInputMessage="1" showErrorMessage="1" errorTitle="Out of range" error="Out of the typical range of values. Check your entry. Hit yes to keep or no and enter a new value." promptTitle="TDS for fresh water" prompt="Enter the TDS value for your site" sqref="AL8" xr:uid="{00000000-0002-0000-0100-000006000000}">
      <formula1>0</formula1>
      <formula2>800</formula2>
    </dataValidation>
    <dataValidation type="decimal" errorStyle="warning" operator="greaterThan" allowBlank="1" showInputMessage="1" showErrorMessage="1" errorTitle="Out of range" error="Out of the typical range of values. Check your entry. Hit yes to keep or no and enter a new value." promptTitle="TDS for  Hypersaline water" prompt="Enter the TDS value for your site" sqref="AL12" xr:uid="{00000000-0002-0000-0100-000007000000}">
      <formula1>50000</formula1>
    </dataValidation>
    <dataValidation allowBlank="1" showInputMessage="1" showErrorMessage="1" promptTitle="Porosity" prompt="Use the slider to the right to set this value.  Please do not type in this cell." sqref="G17" xr:uid="{8A636638-31D9-4466-B7DE-F083ECEEAD54}"/>
    <dataValidation allowBlank="1" showInputMessage="1" showErrorMessage="1" promptTitle="a" prompt="Use the slider to the right to set this value.  Please do not type in this cell." sqref="G19" xr:uid="{490068A2-E54F-4698-988E-4C34EB55EB44}"/>
    <dataValidation allowBlank="1" showInputMessage="1" showErrorMessage="1" promptTitle="b" prompt="Use the slider to the right to set this value.  Please do not type in this cell." sqref="G21" xr:uid="{8CA85F22-1842-4269-A015-ABFBD8075C5F}"/>
    <dataValidation type="whole" operator="equal" allowBlank="1" showInputMessage="1" showErrorMessage="1" errorTitle="Saturation " error="should be one." prompt="This assumes full saturation. Please do not change" sqref="G23" xr:uid="{AEF28B95-69B3-4453-8422-B8E58CC9CD90}">
      <formula1>1</formula1>
    </dataValidation>
    <dataValidation allowBlank="1" showInputMessage="1" showErrorMessage="1" promptTitle="controlled by slider above" prompt="Please do not change this cell directly.  It is controlled by the slider bar above.   See the worksheets for &quot;manual&quot; entry." sqref="E11:E13 G12" xr:uid="{F14CDE13-E7BB-416B-8426-CD12854E5001}"/>
    <dataValidation type="decimal" errorStyle="warning" operator="equal" allowBlank="1" showInputMessage="1" showErrorMessage="1" errorTitle="usually -2" error="Please do not change. " promptTitle="Assumed to be -2" prompt="please do not change" sqref="G25" xr:uid="{22454167-CECD-4F3D-AB92-0503302FD8E1}">
      <formula1>-2</formula1>
    </dataValidation>
  </dataValidations>
  <pageMargins left="0.75" right="0.75" top="1" bottom="1" header="0.5" footer="0.5"/>
  <pageSetup paperSize="256" orientation="landscape"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Scroll Bar 1">
              <controlPr locked="0" defaultSize="0" autoPict="0" altText="scroll bar">
                <anchor moveWithCells="1">
                  <from>
                    <xdr:col>7</xdr:col>
                    <xdr:colOff>101600</xdr:colOff>
                    <xdr:row>18</xdr:row>
                    <xdr:rowOff>76200</xdr:rowOff>
                  </from>
                  <to>
                    <xdr:col>9</xdr:col>
                    <xdr:colOff>234950</xdr:colOff>
                    <xdr:row>19</xdr:row>
                    <xdr:rowOff>0</xdr:rowOff>
                  </to>
                </anchor>
              </controlPr>
            </control>
          </mc:Choice>
        </mc:AlternateContent>
        <mc:AlternateContent xmlns:mc="http://schemas.openxmlformats.org/markup-compatibility/2006">
          <mc:Choice Requires="x14">
            <control shapeId="5122" r:id="rId5" name="Scroll Bar 2">
              <controlPr locked="0" defaultSize="0" autoPict="0" altText="scroll bar">
                <anchor moveWithCells="1">
                  <from>
                    <xdr:col>3</xdr:col>
                    <xdr:colOff>76200</xdr:colOff>
                    <xdr:row>7</xdr:row>
                    <xdr:rowOff>69850</xdr:rowOff>
                  </from>
                  <to>
                    <xdr:col>7</xdr:col>
                    <xdr:colOff>571500</xdr:colOff>
                    <xdr:row>8</xdr:row>
                    <xdr:rowOff>82550</xdr:rowOff>
                  </to>
                </anchor>
              </controlPr>
            </control>
          </mc:Choice>
        </mc:AlternateContent>
        <mc:AlternateContent xmlns:mc="http://schemas.openxmlformats.org/markup-compatibility/2006">
          <mc:Choice Requires="x14">
            <control shapeId="5123" r:id="rId6" name="Scroll Bar 3">
              <controlPr locked="0" defaultSize="0" autoPict="0" altText="scroll bar">
                <anchor moveWithCells="1">
                  <from>
                    <xdr:col>7</xdr:col>
                    <xdr:colOff>107950</xdr:colOff>
                    <xdr:row>20</xdr:row>
                    <xdr:rowOff>31750</xdr:rowOff>
                  </from>
                  <to>
                    <xdr:col>9</xdr:col>
                    <xdr:colOff>234950</xdr:colOff>
                    <xdr:row>21</xdr:row>
                    <xdr:rowOff>0</xdr:rowOff>
                  </to>
                </anchor>
              </controlPr>
            </control>
          </mc:Choice>
        </mc:AlternateContent>
        <mc:AlternateContent xmlns:mc="http://schemas.openxmlformats.org/markup-compatibility/2006">
          <mc:Choice Requires="x14">
            <control shapeId="5124" r:id="rId7" name="Scroll Bar 4">
              <controlPr locked="0" defaultSize="0" autoPict="0" altText="scroll bar">
                <anchor moveWithCells="1">
                  <from>
                    <xdr:col>7</xdr:col>
                    <xdr:colOff>114300</xdr:colOff>
                    <xdr:row>16</xdr:row>
                    <xdr:rowOff>120650</xdr:rowOff>
                  </from>
                  <to>
                    <xdr:col>9</xdr:col>
                    <xdr:colOff>260350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B1:AG32"/>
  <sheetViews>
    <sheetView showGridLines="0" zoomScale="94" zoomScaleNormal="94" workbookViewId="0">
      <selection activeCell="C32" sqref="C32"/>
    </sheetView>
  </sheetViews>
  <sheetFormatPr defaultRowHeight="12.5"/>
  <cols>
    <col min="1" max="1" width="3.6328125" customWidth="1"/>
    <col min="2" max="2" width="5.08984375" customWidth="1"/>
    <col min="3" max="3" width="3.453125" customWidth="1"/>
    <col min="4" max="4" width="19.6328125" customWidth="1"/>
    <col min="5" max="5" width="16" customWidth="1"/>
    <col min="6" max="6" width="15.6328125" customWidth="1"/>
    <col min="7" max="7" width="13.453125" customWidth="1"/>
    <col min="8" max="8" width="13.6328125" customWidth="1"/>
    <col min="9" max="9" width="6" customWidth="1"/>
    <col min="10" max="12" width="3.6328125" customWidth="1"/>
    <col min="13" max="13" width="6.6328125" customWidth="1"/>
    <col min="14" max="14" width="3.6328125" customWidth="1"/>
    <col min="29" max="29" width="17.08984375" customWidth="1"/>
    <col min="30" max="30" width="1.453125" customWidth="1"/>
    <col min="31" max="31" width="10.36328125" customWidth="1"/>
    <col min="32" max="32" width="11.08984375" customWidth="1"/>
  </cols>
  <sheetData>
    <row r="1" spans="2:33">
      <c r="B1" s="268" t="s">
        <v>115</v>
      </c>
    </row>
    <row r="2" spans="2:33" ht="13" thickBot="1">
      <c r="B2" s="1"/>
      <c r="C2" s="1"/>
      <c r="D2" s="1"/>
      <c r="E2" s="1"/>
      <c r="F2" s="1"/>
      <c r="G2" s="1"/>
      <c r="H2" s="1"/>
      <c r="I2" s="1"/>
      <c r="J2" s="1"/>
      <c r="K2" s="1"/>
      <c r="L2" s="1"/>
    </row>
    <row r="3" spans="2:33" ht="11.4" customHeight="1">
      <c r="B3" s="2"/>
      <c r="C3" s="3"/>
      <c r="D3" s="3"/>
      <c r="E3" s="3"/>
      <c r="F3" s="3"/>
      <c r="G3" s="3"/>
      <c r="H3" s="3"/>
      <c r="I3" s="3"/>
      <c r="J3" s="3"/>
      <c r="K3" s="3"/>
      <c r="L3" s="3"/>
      <c r="M3" s="3"/>
      <c r="N3" s="4"/>
      <c r="AC3" t="s">
        <v>66</v>
      </c>
    </row>
    <row r="4" spans="2:33" ht="15">
      <c r="B4" s="5"/>
      <c r="C4" s="7" t="s">
        <v>45</v>
      </c>
      <c r="D4" s="9"/>
      <c r="E4" s="6"/>
      <c r="F4" s="8"/>
      <c r="G4" s="8"/>
      <c r="H4" s="8"/>
      <c r="I4" s="8"/>
      <c r="J4" s="8"/>
      <c r="K4" s="8"/>
      <c r="L4" s="8"/>
      <c r="M4" s="9"/>
      <c r="N4" s="10"/>
    </row>
    <row r="5" spans="2:33" ht="13">
      <c r="B5" s="5"/>
      <c r="C5" s="11"/>
      <c r="D5" s="11"/>
      <c r="E5" s="8"/>
      <c r="F5" s="8"/>
      <c r="G5" s="8"/>
      <c r="H5" s="8"/>
      <c r="I5" s="8"/>
      <c r="J5" s="8"/>
      <c r="K5" s="8"/>
      <c r="L5" s="8"/>
      <c r="M5" s="9"/>
      <c r="N5" s="10"/>
    </row>
    <row r="6" spans="2:33" ht="17" customHeight="1">
      <c r="B6" s="5"/>
      <c r="C6" s="82"/>
      <c r="D6" s="79" t="s">
        <v>1</v>
      </c>
      <c r="E6" s="12"/>
      <c r="F6" s="13"/>
      <c r="G6" s="12"/>
      <c r="H6" s="12"/>
      <c r="I6" s="12"/>
      <c r="J6" s="12"/>
      <c r="K6" s="12"/>
      <c r="L6" s="12"/>
      <c r="M6" s="14"/>
      <c r="N6" s="10"/>
      <c r="AE6" t="s">
        <v>2</v>
      </c>
      <c r="AF6" t="s">
        <v>3</v>
      </c>
      <c r="AG6" t="s">
        <v>4</v>
      </c>
    </row>
    <row r="7" spans="2:33" ht="15.65" customHeight="1" thickBot="1">
      <c r="B7" s="5"/>
      <c r="C7" s="26"/>
      <c r="D7" s="84" t="s">
        <v>5</v>
      </c>
      <c r="E7" s="15"/>
      <c r="F7" s="16"/>
      <c r="G7" s="17"/>
      <c r="H7" s="15"/>
      <c r="I7" s="15"/>
      <c r="J7" s="15"/>
      <c r="K7" s="15"/>
      <c r="L7" s="15"/>
      <c r="M7" s="18"/>
      <c r="N7" s="10"/>
      <c r="AC7" s="19" t="s">
        <v>6</v>
      </c>
      <c r="AD7" s="20"/>
      <c r="AE7" s="21" t="s">
        <v>7</v>
      </c>
      <c r="AF7" s="22" t="s">
        <v>8</v>
      </c>
      <c r="AG7" s="21" t="s">
        <v>9</v>
      </c>
    </row>
    <row r="8" spans="2:33" ht="13.5" thickTop="1">
      <c r="B8" s="5"/>
      <c r="C8" s="26"/>
      <c r="D8" s="23"/>
      <c r="E8" s="23"/>
      <c r="F8" s="23"/>
      <c r="G8" s="23"/>
      <c r="H8" s="23"/>
      <c r="I8" s="76"/>
      <c r="J8" s="76"/>
      <c r="K8" s="76"/>
      <c r="L8" s="76">
        <v>2244</v>
      </c>
      <c r="M8" s="18"/>
      <c r="N8" s="10"/>
      <c r="AC8" t="s">
        <v>10</v>
      </c>
      <c r="AE8" s="304">
        <v>400</v>
      </c>
      <c r="AF8" s="24">
        <f>AE8/0.65</f>
        <v>615.38461538461536</v>
      </c>
      <c r="AG8" s="25">
        <f>10000/AF8</f>
        <v>16.25</v>
      </c>
    </row>
    <row r="9" spans="2:33" ht="13.25" customHeight="1">
      <c r="B9" s="5"/>
      <c r="C9" s="26"/>
      <c r="D9" s="15"/>
      <c r="E9" s="15"/>
      <c r="F9" s="27"/>
      <c r="G9" s="15"/>
      <c r="H9" s="15"/>
      <c r="I9" s="15"/>
      <c r="J9" s="15"/>
      <c r="K9" s="15"/>
      <c r="L9" s="15"/>
      <c r="M9" s="18"/>
      <c r="N9" s="10"/>
      <c r="AC9" t="s">
        <v>11</v>
      </c>
      <c r="AE9" s="304">
        <v>1100</v>
      </c>
      <c r="AF9" s="24">
        <f>AE9/0.65</f>
        <v>1692.3076923076922</v>
      </c>
      <c r="AG9" s="25">
        <f>10000/AF9</f>
        <v>5.9090909090909101</v>
      </c>
    </row>
    <row r="10" spans="2:33" ht="20.399999999999999" customHeight="1">
      <c r="B10" s="5"/>
      <c r="C10" s="26"/>
      <c r="D10" s="15"/>
      <c r="E10" s="15"/>
      <c r="F10" s="15"/>
      <c r="G10" s="15"/>
      <c r="H10" s="15"/>
      <c r="I10" s="15"/>
      <c r="J10" s="15"/>
      <c r="K10" s="15"/>
      <c r="L10" s="15"/>
      <c r="M10" s="18"/>
      <c r="N10" s="10"/>
      <c r="AC10" t="s">
        <v>12</v>
      </c>
      <c r="AE10" s="304">
        <v>3000</v>
      </c>
      <c r="AF10" s="24">
        <f>AE10/0.65</f>
        <v>4615.3846153846152</v>
      </c>
      <c r="AG10" s="25">
        <f>10000/AF10</f>
        <v>2.1666666666666665</v>
      </c>
    </row>
    <row r="11" spans="2:33" ht="13">
      <c r="B11" s="5"/>
      <c r="C11" s="26"/>
      <c r="D11" s="293" t="s">
        <v>13</v>
      </c>
      <c r="E11" s="287">
        <f>+(1/E12)*10^4</f>
        <v>4.4563279857397502</v>
      </c>
      <c r="F11" s="288" t="s">
        <v>14</v>
      </c>
      <c r="G11" s="305" t="s">
        <v>15</v>
      </c>
      <c r="H11" s="15"/>
      <c r="I11" s="15"/>
      <c r="J11" s="15"/>
      <c r="K11" s="15"/>
      <c r="L11" s="15"/>
      <c r="M11" s="18"/>
      <c r="N11" s="10"/>
      <c r="Q11" s="28"/>
      <c r="AC11" t="s">
        <v>16</v>
      </c>
      <c r="AE11" s="304">
        <v>6500</v>
      </c>
      <c r="AF11" s="29">
        <f>AE11/0.65</f>
        <v>10000</v>
      </c>
      <c r="AG11" s="30">
        <f>10000/AF11</f>
        <v>1</v>
      </c>
    </row>
    <row r="12" spans="2:33" ht="14.5">
      <c r="B12" s="5"/>
      <c r="C12" s="26"/>
      <c r="D12" s="80" t="s">
        <v>17</v>
      </c>
      <c r="E12" s="31">
        <f>+$L$8</f>
        <v>2244</v>
      </c>
      <c r="F12" s="32" t="s">
        <v>18</v>
      </c>
      <c r="G12" s="306">
        <f>0.65*E12</f>
        <v>1458.6000000000001</v>
      </c>
      <c r="H12" s="307" t="s">
        <v>19</v>
      </c>
      <c r="I12" s="15"/>
      <c r="J12" s="15"/>
      <c r="K12" s="15"/>
      <c r="L12" s="15"/>
      <c r="M12" s="18"/>
      <c r="N12" s="10"/>
      <c r="AC12" t="s">
        <v>20</v>
      </c>
      <c r="AE12" s="304">
        <v>55000</v>
      </c>
      <c r="AF12" s="29">
        <f>AE12/0.65</f>
        <v>84615.38461538461</v>
      </c>
      <c r="AG12" s="30">
        <f>10000/AF12</f>
        <v>0.11818181818181819</v>
      </c>
    </row>
    <row r="13" spans="2:33" ht="14.5">
      <c r="B13" s="5"/>
      <c r="C13" s="83"/>
      <c r="D13" s="81" t="s">
        <v>17</v>
      </c>
      <c r="E13" s="33">
        <f>+E12/10</f>
        <v>224.4</v>
      </c>
      <c r="F13" s="34" t="s">
        <v>21</v>
      </c>
      <c r="G13" s="35"/>
      <c r="H13" s="35"/>
      <c r="I13" s="35"/>
      <c r="J13" s="35"/>
      <c r="K13" s="35"/>
      <c r="L13" s="35"/>
      <c r="M13" s="36"/>
      <c r="N13" s="10"/>
      <c r="AF13" s="1"/>
      <c r="AG13" s="1"/>
    </row>
    <row r="14" spans="2:33" ht="13" thickBot="1">
      <c r="B14" s="5"/>
      <c r="C14" s="9"/>
      <c r="D14" s="9"/>
      <c r="E14" s="9"/>
      <c r="F14" s="9"/>
      <c r="G14" s="9"/>
      <c r="H14" s="9"/>
      <c r="I14" s="9"/>
      <c r="J14" s="9"/>
      <c r="K14" s="9"/>
      <c r="L14" s="9"/>
      <c r="M14" s="9"/>
      <c r="N14" s="10"/>
    </row>
    <row r="15" spans="2:33" ht="13">
      <c r="B15" s="5"/>
      <c r="C15" s="37"/>
      <c r="D15" s="38"/>
      <c r="E15" s="39"/>
      <c r="F15" s="40" t="s">
        <v>22</v>
      </c>
      <c r="G15" s="289">
        <f>+(1/E12)*10^4</f>
        <v>4.4563279857397502</v>
      </c>
      <c r="H15" s="111" t="s">
        <v>23</v>
      </c>
      <c r="I15" s="111"/>
      <c r="J15" s="111"/>
      <c r="K15" s="102"/>
      <c r="L15" s="9"/>
      <c r="M15" s="9"/>
      <c r="N15" s="10"/>
    </row>
    <row r="16" spans="2:33" ht="17.399999999999999" customHeight="1">
      <c r="B16" s="5"/>
      <c r="C16" s="43"/>
      <c r="D16" s="44" t="s">
        <v>75</v>
      </c>
      <c r="E16" s="39"/>
      <c r="F16" s="40"/>
      <c r="G16" s="184" t="s">
        <v>68</v>
      </c>
      <c r="H16" s="9"/>
      <c r="I16" s="9"/>
      <c r="J16" s="9"/>
      <c r="K16" s="89"/>
      <c r="L16" s="9"/>
      <c r="M16" s="9"/>
      <c r="N16" s="10"/>
    </row>
    <row r="17" spans="2:14" ht="22">
      <c r="B17" s="5"/>
      <c r="C17" s="45" t="s">
        <v>83</v>
      </c>
      <c r="D17" s="46"/>
      <c r="E17" s="9"/>
      <c r="F17" s="47" t="s">
        <v>26</v>
      </c>
      <c r="G17" s="290">
        <f>+((N17/2)/100)+0.001</f>
        <v>0.376</v>
      </c>
      <c r="H17" s="41"/>
      <c r="I17" s="41"/>
      <c r="J17" s="41"/>
      <c r="K17" s="115"/>
      <c r="L17" s="9"/>
      <c r="M17" s="9"/>
      <c r="N17" s="48">
        <v>75</v>
      </c>
    </row>
    <row r="18" spans="2:14" ht="5.4" customHeight="1">
      <c r="B18" s="5"/>
      <c r="C18" s="45"/>
      <c r="D18" s="46"/>
      <c r="E18" s="9"/>
      <c r="F18" s="49"/>
      <c r="G18" s="290"/>
      <c r="H18" s="41"/>
      <c r="I18" s="41"/>
      <c r="J18" s="41"/>
      <c r="K18" s="115"/>
      <c r="L18" s="9"/>
      <c r="M18" s="9"/>
      <c r="N18" s="48"/>
    </row>
    <row r="19" spans="2:14" ht="19.25" customHeight="1">
      <c r="B19" s="50"/>
      <c r="C19" s="51" t="s">
        <v>27</v>
      </c>
      <c r="D19" s="46"/>
      <c r="E19" s="9"/>
      <c r="F19" s="52" t="s">
        <v>69</v>
      </c>
      <c r="G19" s="291">
        <f>+N19/100</f>
        <v>1</v>
      </c>
      <c r="H19" s="41"/>
      <c r="I19" s="41"/>
      <c r="J19" s="41"/>
      <c r="K19" s="115"/>
      <c r="L19" s="9"/>
      <c r="M19" s="9"/>
      <c r="N19" s="48">
        <v>100</v>
      </c>
    </row>
    <row r="20" spans="2:14" ht="6" customHeight="1">
      <c r="B20" s="50"/>
      <c r="C20" s="51"/>
      <c r="D20" s="46"/>
      <c r="E20" s="9"/>
      <c r="F20" s="52"/>
      <c r="G20" s="291"/>
      <c r="H20" s="41"/>
      <c r="I20" s="41"/>
      <c r="J20" s="41"/>
      <c r="K20" s="115"/>
      <c r="L20" s="9"/>
      <c r="M20" s="9"/>
      <c r="N20" s="48"/>
    </row>
    <row r="21" spans="2:14" ht="13">
      <c r="B21" s="50"/>
      <c r="C21" s="51" t="s">
        <v>28</v>
      </c>
      <c r="D21" s="46"/>
      <c r="E21" s="9"/>
      <c r="F21" s="52" t="s">
        <v>29</v>
      </c>
      <c r="G21" s="292">
        <f>+(N21/100)+-2</f>
        <v>-1.53</v>
      </c>
      <c r="H21" s="41"/>
      <c r="I21" s="41"/>
      <c r="J21" s="41"/>
      <c r="K21" s="115"/>
      <c r="L21" s="9"/>
      <c r="M21" s="9"/>
      <c r="N21" s="48">
        <v>47</v>
      </c>
    </row>
    <row r="22" spans="2:14" ht="7.25" customHeight="1">
      <c r="B22" s="50"/>
      <c r="C22" s="51"/>
      <c r="D22" s="46"/>
      <c r="E22" s="9"/>
      <c r="F22" s="52"/>
      <c r="G22" s="120"/>
      <c r="H22" s="41"/>
      <c r="I22" s="41"/>
      <c r="J22" s="41"/>
      <c r="K22" s="115"/>
      <c r="L22" s="9"/>
      <c r="M22" s="9"/>
      <c r="N22" s="48"/>
    </row>
    <row r="23" spans="2:14" ht="13">
      <c r="B23" s="50"/>
      <c r="C23" s="51" t="s">
        <v>30</v>
      </c>
      <c r="D23" s="46"/>
      <c r="E23" s="9"/>
      <c r="F23" s="52" t="s">
        <v>31</v>
      </c>
      <c r="G23" s="121">
        <v>1</v>
      </c>
      <c r="H23" s="41"/>
      <c r="I23" s="41"/>
      <c r="J23" s="41"/>
      <c r="K23" s="115"/>
      <c r="L23" s="9"/>
      <c r="M23" s="9"/>
      <c r="N23" s="10"/>
    </row>
    <row r="24" spans="2:14" ht="5.4" customHeight="1">
      <c r="B24" s="50"/>
      <c r="C24" s="51"/>
      <c r="D24" s="46"/>
      <c r="E24" s="9"/>
      <c r="F24" s="52"/>
      <c r="G24" s="121"/>
      <c r="H24" s="41"/>
      <c r="I24" s="41"/>
      <c r="J24" s="41"/>
      <c r="K24" s="115"/>
      <c r="L24" s="9"/>
      <c r="M24" s="9"/>
      <c r="N24" s="10"/>
    </row>
    <row r="25" spans="2:14" ht="13.5" thickBot="1">
      <c r="B25" s="50"/>
      <c r="C25" s="53" t="s">
        <v>32</v>
      </c>
      <c r="D25" s="54"/>
      <c r="E25" s="9"/>
      <c r="F25" s="52" t="s">
        <v>33</v>
      </c>
      <c r="G25" s="124">
        <v>-2</v>
      </c>
      <c r="H25" s="125"/>
      <c r="I25" s="125"/>
      <c r="J25" s="125"/>
      <c r="K25" s="126"/>
      <c r="L25" s="9"/>
      <c r="M25" s="9"/>
      <c r="N25" s="10"/>
    </row>
    <row r="26" spans="2:14">
      <c r="B26" s="50"/>
      <c r="C26" s="9"/>
      <c r="D26" s="9"/>
      <c r="E26" s="9"/>
      <c r="F26" s="9"/>
      <c r="G26" s="9"/>
      <c r="H26" s="9"/>
      <c r="I26" s="9"/>
      <c r="J26" s="9"/>
      <c r="K26" s="9"/>
      <c r="L26" s="9"/>
      <c r="M26" s="9"/>
      <c r="N26" s="10"/>
    </row>
    <row r="27" spans="2:14" ht="13.5" thickBot="1">
      <c r="B27" s="5"/>
      <c r="C27" s="9"/>
      <c r="D27" s="9"/>
      <c r="E27" s="9"/>
      <c r="F27" s="55" t="s">
        <v>14</v>
      </c>
      <c r="G27" s="55" t="s">
        <v>34</v>
      </c>
      <c r="H27" s="9"/>
      <c r="I27" s="9"/>
      <c r="J27" s="9"/>
      <c r="K27" s="9"/>
      <c r="L27" s="9"/>
      <c r="M27" s="9"/>
      <c r="N27" s="10"/>
    </row>
    <row r="28" spans="2:14" ht="13">
      <c r="B28" s="50"/>
      <c r="C28" s="9"/>
      <c r="D28" s="180" t="s">
        <v>65</v>
      </c>
      <c r="E28" s="56"/>
      <c r="F28" s="57" t="s">
        <v>44</v>
      </c>
      <c r="G28" s="58" t="s">
        <v>37</v>
      </c>
      <c r="H28" s="78" t="s">
        <v>38</v>
      </c>
      <c r="I28" s="38"/>
      <c r="J28" s="9"/>
      <c r="K28" s="9"/>
      <c r="L28" s="9"/>
      <c r="M28" s="9"/>
      <c r="N28" s="10"/>
    </row>
    <row r="29" spans="2:14" ht="20.5">
      <c r="B29" s="5"/>
      <c r="C29" s="9"/>
      <c r="D29" s="77" t="s">
        <v>77</v>
      </c>
      <c r="E29" s="60"/>
      <c r="F29" s="61" t="s">
        <v>39</v>
      </c>
      <c r="G29" s="62" t="s">
        <v>40</v>
      </c>
      <c r="H29" s="63" t="s">
        <v>41</v>
      </c>
      <c r="I29" s="64"/>
      <c r="J29" s="9"/>
      <c r="K29" s="9"/>
      <c r="L29" s="9"/>
      <c r="M29" s="9"/>
      <c r="N29" s="10"/>
    </row>
    <row r="30" spans="2:14" ht="14.5" thickBot="1">
      <c r="B30" s="5"/>
      <c r="C30" s="9"/>
      <c r="D30" s="65">
        <f>(a*Fl_Res)*(porosity^b_cement)*(Sw^n)</f>
        <v>19.903971661360966</v>
      </c>
      <c r="E30" s="66"/>
      <c r="F30" s="67">
        <f>+$G$15</f>
        <v>4.4563279857397502</v>
      </c>
      <c r="G30" s="68">
        <f>+$G$17</f>
        <v>0.376</v>
      </c>
      <c r="H30" s="69">
        <f>1/F30*10^4</f>
        <v>2244</v>
      </c>
      <c r="I30" s="70"/>
      <c r="J30" s="9"/>
      <c r="K30" s="9"/>
      <c r="L30" s="9"/>
      <c r="M30" s="9"/>
      <c r="N30" s="10"/>
    </row>
    <row r="31" spans="2:14" ht="23.4" customHeight="1">
      <c r="B31" s="71"/>
      <c r="C31" s="9"/>
      <c r="D31" s="9"/>
      <c r="E31" s="9"/>
      <c r="F31" s="9"/>
      <c r="G31" s="9"/>
      <c r="H31" s="72"/>
      <c r="I31" s="9"/>
      <c r="J31" s="9"/>
      <c r="K31" s="9"/>
      <c r="L31" s="9"/>
      <c r="M31" s="9"/>
      <c r="N31" s="10"/>
    </row>
    <row r="32" spans="2:14" ht="13" thickBot="1">
      <c r="B32" s="73"/>
      <c r="C32" s="74" t="s">
        <v>78</v>
      </c>
      <c r="D32" s="74"/>
      <c r="E32" s="74"/>
      <c r="F32" s="74"/>
      <c r="G32" s="74"/>
      <c r="H32" s="74"/>
      <c r="I32" s="74"/>
      <c r="J32" s="74"/>
      <c r="K32" s="74"/>
      <c r="L32" s="74"/>
      <c r="M32" s="74"/>
      <c r="N32" s="75"/>
    </row>
  </sheetData>
  <sheetProtection formatCells="0" formatColumns="0" formatRows="0" insertColumns="0" insertRows="0" deleteColumns="0" deleteRows="0"/>
  <conditionalFormatting sqref="AF8">
    <cfRule type="expression" dxfId="39" priority="39" stopIfTrue="1">
      <formula>$E$8=0</formula>
    </cfRule>
    <cfRule type="cellIs" dxfId="38" priority="40" stopIfTrue="1" operator="greaterThan">
      <formula>0</formula>
    </cfRule>
  </conditionalFormatting>
  <conditionalFormatting sqref="AG8">
    <cfRule type="expression" dxfId="37" priority="37" stopIfTrue="1">
      <formula>$E$8=0</formula>
    </cfRule>
    <cfRule type="cellIs" dxfId="36" priority="38" stopIfTrue="1" operator="greaterThan">
      <formula>0</formula>
    </cfRule>
  </conditionalFormatting>
  <conditionalFormatting sqref="AF9">
    <cfRule type="expression" dxfId="35" priority="35" stopIfTrue="1">
      <formula>$E$9=0</formula>
    </cfRule>
    <cfRule type="cellIs" dxfId="34" priority="36" stopIfTrue="1" operator="greaterThan">
      <formula>0</formula>
    </cfRule>
  </conditionalFormatting>
  <conditionalFormatting sqref="AF10">
    <cfRule type="expression" dxfId="33" priority="33" stopIfTrue="1">
      <formula>$E$10=0</formula>
    </cfRule>
    <cfRule type="cellIs" dxfId="32" priority="34" stopIfTrue="1" operator="greaterThan">
      <formula>0</formula>
    </cfRule>
  </conditionalFormatting>
  <conditionalFormatting sqref="AF11">
    <cfRule type="expression" dxfId="31" priority="31" stopIfTrue="1">
      <formula>$E$11=0</formula>
    </cfRule>
    <cfRule type="cellIs" dxfId="30" priority="32" stopIfTrue="1" operator="greaterThan">
      <formula>0</formula>
    </cfRule>
  </conditionalFormatting>
  <conditionalFormatting sqref="AF12">
    <cfRule type="expression" dxfId="29" priority="29" stopIfTrue="1">
      <formula>$E$12=0</formula>
    </cfRule>
    <cfRule type="cellIs" dxfId="28" priority="30" stopIfTrue="1" operator="greaterThan">
      <formula>0</formula>
    </cfRule>
  </conditionalFormatting>
  <conditionalFormatting sqref="AG9">
    <cfRule type="expression" dxfId="27" priority="27" stopIfTrue="1">
      <formula>$E$9=0</formula>
    </cfRule>
    <cfRule type="cellIs" dxfId="26" priority="28" stopIfTrue="1" operator="greaterThan">
      <formula>0</formula>
    </cfRule>
  </conditionalFormatting>
  <conditionalFormatting sqref="AG10">
    <cfRule type="expression" dxfId="25" priority="25" stopIfTrue="1">
      <formula>$E$10=0</formula>
    </cfRule>
    <cfRule type="cellIs" dxfId="24" priority="26" stopIfTrue="1" operator="greaterThan">
      <formula>0</formula>
    </cfRule>
  </conditionalFormatting>
  <conditionalFormatting sqref="AG11">
    <cfRule type="expression" dxfId="23" priority="23" stopIfTrue="1">
      <formula>$E$11=0</formula>
    </cfRule>
    <cfRule type="cellIs" dxfId="22" priority="24" stopIfTrue="1" operator="greaterThan">
      <formula>0</formula>
    </cfRule>
  </conditionalFormatting>
  <conditionalFormatting sqref="AG12">
    <cfRule type="expression" dxfId="21" priority="21" stopIfTrue="1">
      <formula>$E$12=0</formula>
    </cfRule>
    <cfRule type="cellIs" dxfId="20" priority="22" stopIfTrue="1" operator="greaterThan">
      <formula>0</formula>
    </cfRule>
  </conditionalFormatting>
  <conditionalFormatting sqref="AF8">
    <cfRule type="expression" dxfId="19" priority="19" stopIfTrue="1">
      <formula>$E$8=0</formula>
    </cfRule>
    <cfRule type="cellIs" dxfId="18" priority="20" stopIfTrue="1" operator="greaterThan">
      <formula>0</formula>
    </cfRule>
  </conditionalFormatting>
  <conditionalFormatting sqref="AG8">
    <cfRule type="expression" dxfId="17" priority="17" stopIfTrue="1">
      <formula>$E$8=0</formula>
    </cfRule>
    <cfRule type="cellIs" dxfId="16" priority="18" stopIfTrue="1" operator="greaterThan">
      <formula>0</formula>
    </cfRule>
  </conditionalFormatting>
  <conditionalFormatting sqref="AF9">
    <cfRule type="expression" dxfId="15" priority="15" stopIfTrue="1">
      <formula>$E$9=0</formula>
    </cfRule>
    <cfRule type="cellIs" dxfId="14" priority="16" stopIfTrue="1" operator="greaterThan">
      <formula>0</formula>
    </cfRule>
  </conditionalFormatting>
  <conditionalFormatting sqref="AF10">
    <cfRule type="expression" dxfId="13" priority="13" stopIfTrue="1">
      <formula>$E$10=0</formula>
    </cfRule>
    <cfRule type="cellIs" dxfId="12" priority="14" stopIfTrue="1" operator="greaterThan">
      <formula>0</formula>
    </cfRule>
  </conditionalFormatting>
  <conditionalFormatting sqref="AF11">
    <cfRule type="expression" dxfId="11" priority="11" stopIfTrue="1">
      <formula>$E$11=0</formula>
    </cfRule>
    <cfRule type="cellIs" dxfId="10" priority="12" stopIfTrue="1" operator="greaterThan">
      <formula>0</formula>
    </cfRule>
  </conditionalFormatting>
  <conditionalFormatting sqref="AF12">
    <cfRule type="expression" dxfId="9" priority="9" stopIfTrue="1">
      <formula>$E$12=0</formula>
    </cfRule>
    <cfRule type="cellIs" dxfId="8" priority="10" stopIfTrue="1" operator="greaterThan">
      <formula>0</formula>
    </cfRule>
  </conditionalFormatting>
  <conditionalFormatting sqref="AG9">
    <cfRule type="expression" dxfId="7" priority="7" stopIfTrue="1">
      <formula>$E$9=0</formula>
    </cfRule>
    <cfRule type="cellIs" dxfId="6" priority="8" stopIfTrue="1" operator="greaterThan">
      <formula>0</formula>
    </cfRule>
  </conditionalFormatting>
  <conditionalFormatting sqref="AG10">
    <cfRule type="expression" dxfId="5" priority="5" stopIfTrue="1">
      <formula>$E$10=0</formula>
    </cfRule>
    <cfRule type="cellIs" dxfId="4" priority="6" stopIfTrue="1" operator="greaterThan">
      <formula>0</formula>
    </cfRule>
  </conditionalFormatting>
  <conditionalFormatting sqref="AG11">
    <cfRule type="expression" dxfId="3" priority="3" stopIfTrue="1">
      <formula>$E$11=0</formula>
    </cfRule>
    <cfRule type="cellIs" dxfId="2" priority="4" stopIfTrue="1" operator="greaterThan">
      <formula>0</formula>
    </cfRule>
  </conditionalFormatting>
  <conditionalFormatting sqref="AG12">
    <cfRule type="expression" dxfId="1" priority="1" stopIfTrue="1">
      <formula>$E$12=0</formula>
    </cfRule>
    <cfRule type="cellIs" dxfId="0" priority="2" stopIfTrue="1" operator="greaterThan">
      <formula>0</formula>
    </cfRule>
  </conditionalFormatting>
  <dataValidations count="12">
    <dataValidation type="decimal" errorStyle="warning" operator="greaterThan" allowBlank="1" showInputMessage="1" showErrorMessage="1" errorTitle="Out of range" error="Out of the typical range of values. Check your entry. Hit yes to keep or no and enter a new value." promptTitle="TDS for  Hypersaline water" prompt="Enter the TDS value for your site" sqref="AE12" xr:uid="{00000000-0002-0000-0200-000000000000}">
      <formula1>50000</formula1>
    </dataValidation>
    <dataValidation type="decimal" errorStyle="warning" allowBlank="1" showInputMessage="1" showErrorMessage="1" errorTitle="Out of range" error="Out of the typical range of values. Check your entry. Hit yes to keep or no and enter a new value." promptTitle="TDS for fresh water" prompt="Enter the TDS value for your site" sqref="AE8" xr:uid="{00000000-0002-0000-0200-000001000000}">
      <formula1>0</formula1>
      <formula2>800</formula2>
    </dataValidation>
    <dataValidation type="decimal" errorStyle="warning" allowBlank="1" showInputMessage="1" showErrorMessage="1" errorTitle="Out of range" error="Out of the typical range of values. Check your entry. Hit yes to keep or no and enter a new value." promptTitle="TDS for slightly brackish water" prompt="Enter the TDS value for your site" sqref="AE9" xr:uid="{00000000-0002-0000-0200-000002000000}">
      <formula1>800</formula1>
      <formula2>1500</formula2>
    </dataValidation>
    <dataValidation type="decimal" errorStyle="warning" allowBlank="1" showInputMessage="1" showErrorMessage="1" errorTitle="Out of range" error="Out of the typical range of values. Check your entry. Hit yes to keep or no and enter a new value." promptTitle="TDS: moderately brackish water" prompt="Enter the TDS value for your site" sqref="AE10" xr:uid="{00000000-0002-0000-0200-000003000000}">
      <formula1>1500.1</formula1>
      <formula2>3000</formula2>
    </dataValidation>
    <dataValidation type="decimal" errorStyle="warning" allowBlank="1" showInputMessage="1" showErrorMessage="1" errorTitle="Out of range" error="Out of the typical range of values. Check your entry. Hit yes to keep or no and enter a new value." promptTitle="TDS for saline water" prompt="Enter the TDS value for your site" sqref="AE11" xr:uid="{00000000-0002-0000-0200-000004000000}">
      <formula1>4000</formula1>
      <formula2>50001</formula2>
    </dataValidation>
    <dataValidation allowBlank="1" showInputMessage="1" showErrorMessage="1" errorTitle="Do not change" promptTitle="Calculated field " prompt="Do not change this cell - value is automatically calculated from entered TDS value." sqref="AF8:AG12" xr:uid="{00000000-0002-0000-0200-000005000000}"/>
    <dataValidation allowBlank="1" showInputMessage="1" showErrorMessage="1" promptTitle="do not change" prompt="These are calculated values" sqref="D30:H30" xr:uid="{00000000-0002-0000-0200-000006000000}"/>
    <dataValidation allowBlank="1" showInputMessage="1" showErrorMessage="1" promptTitle="Fluid Resistivity" prompt="Do not change - this is controled by slider bar above. _x000a_Slide the bar to fit the description or a known TDS, specific conductance, or fluid resistivity" sqref="G15" xr:uid="{00000000-0002-0000-0200-000007000000}"/>
    <dataValidation allowBlank="1" showInputMessage="1" showErrorMessage="1" prompt="computed value - based on slider bar to right" sqref="G17 G19 G21" xr:uid="{00000000-0002-0000-0200-000008000000}"/>
    <dataValidation type="whole" operator="equal" allowBlank="1" showInputMessage="1" showErrorMessage="1" errorTitle="Saturation " error="should be one." prompt="This assumes full saturation. Please do not change" sqref="G23" xr:uid="{609C844F-041A-4A6E-A46B-A7344C5D726A}">
      <formula1>1</formula1>
    </dataValidation>
    <dataValidation type="decimal" errorStyle="warning" operator="equal" allowBlank="1" showInputMessage="1" showErrorMessage="1" errorTitle="usually -2" error="Please do not change. " promptTitle="Assumed to be -2" prompt="please do not change" sqref="G25" xr:uid="{09588F44-488E-49E8-A7A3-A0ABC50AC55B}">
      <formula1>-2</formula1>
    </dataValidation>
    <dataValidation allowBlank="1" showInputMessage="1" showErrorMessage="1" promptTitle="Controlled by slider above" prompt=" please do not change this.  It is controlled by the slider above.  See manual entry." sqref="E11:E13 G12" xr:uid="{B7CC7759-D20D-44F3-AB42-8E37194D76BC}"/>
  </dataValidations>
  <pageMargins left="0.75" right="0.75" top="1" bottom="1" header="0.5" footer="0.5"/>
  <pageSetup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locked="0" defaultSize="0" autoPict="0" altText="scroll bar">
                <anchor moveWithCells="1">
                  <from>
                    <xdr:col>7</xdr:col>
                    <xdr:colOff>101600</xdr:colOff>
                    <xdr:row>18</xdr:row>
                    <xdr:rowOff>76200</xdr:rowOff>
                  </from>
                  <to>
                    <xdr:col>9</xdr:col>
                    <xdr:colOff>82550</xdr:colOff>
                    <xdr:row>19</xdr:row>
                    <xdr:rowOff>0</xdr:rowOff>
                  </to>
                </anchor>
              </controlPr>
            </control>
          </mc:Choice>
        </mc:AlternateContent>
        <mc:AlternateContent xmlns:mc="http://schemas.openxmlformats.org/markup-compatibility/2006">
          <mc:Choice Requires="x14">
            <control shapeId="1026" r:id="rId5" name="Scroll Bar 2">
              <controlPr locked="0" defaultSize="0" autoPict="0" altText="scroll bar">
                <anchor moveWithCells="1">
                  <from>
                    <xdr:col>2</xdr:col>
                    <xdr:colOff>196850</xdr:colOff>
                    <xdr:row>7</xdr:row>
                    <xdr:rowOff>63500</xdr:rowOff>
                  </from>
                  <to>
                    <xdr:col>12</xdr:col>
                    <xdr:colOff>228600</xdr:colOff>
                    <xdr:row>8</xdr:row>
                    <xdr:rowOff>69850</xdr:rowOff>
                  </to>
                </anchor>
              </controlPr>
            </control>
          </mc:Choice>
        </mc:AlternateContent>
        <mc:AlternateContent xmlns:mc="http://schemas.openxmlformats.org/markup-compatibility/2006">
          <mc:Choice Requires="x14">
            <control shapeId="1027" r:id="rId6" name="Scroll Bar 3">
              <controlPr locked="0" defaultSize="0" autoPict="0" altText="scroll bar">
                <anchor moveWithCells="1">
                  <from>
                    <xdr:col>7</xdr:col>
                    <xdr:colOff>107950</xdr:colOff>
                    <xdr:row>20</xdr:row>
                    <xdr:rowOff>31750</xdr:rowOff>
                  </from>
                  <to>
                    <xdr:col>9</xdr:col>
                    <xdr:colOff>82550</xdr:colOff>
                    <xdr:row>21</xdr:row>
                    <xdr:rowOff>0</xdr:rowOff>
                  </to>
                </anchor>
              </controlPr>
            </control>
          </mc:Choice>
        </mc:AlternateContent>
        <mc:AlternateContent xmlns:mc="http://schemas.openxmlformats.org/markup-compatibility/2006">
          <mc:Choice Requires="x14">
            <control shapeId="1028" r:id="rId7" name="Scroll Bar 4">
              <controlPr locked="0" defaultSize="0" autoPict="0" altText="scroll bar">
                <anchor moveWithCells="1">
                  <from>
                    <xdr:col>7</xdr:col>
                    <xdr:colOff>114300</xdr:colOff>
                    <xdr:row>16</xdr:row>
                    <xdr:rowOff>120650</xdr:rowOff>
                  </from>
                  <to>
                    <xdr:col>9</xdr:col>
                    <xdr:colOff>107950</xdr:colOff>
                    <xdr:row>17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3B759-D169-490E-82FC-6BBA22BF1544}">
  <sheetPr>
    <tabColor rgb="FFFFC000"/>
  </sheetPr>
  <dimension ref="B1:V24"/>
  <sheetViews>
    <sheetView showGridLines="0" zoomScale="112" zoomScaleNormal="112" workbookViewId="0">
      <selection activeCell="O26" sqref="O26"/>
    </sheetView>
  </sheetViews>
  <sheetFormatPr defaultRowHeight="12.5"/>
  <cols>
    <col min="1" max="1" width="3.81640625" customWidth="1"/>
    <col min="3" max="3" width="19.90625" customWidth="1"/>
    <col min="4" max="4" width="3.90625" customWidth="1"/>
    <col min="5" max="5" width="8.453125" customWidth="1"/>
    <col min="7" max="7" width="2.6328125" customWidth="1"/>
    <col min="9" max="9" width="2.6328125" customWidth="1"/>
    <col min="10" max="10" width="10.6328125" customWidth="1"/>
    <col min="11" max="11" width="3.1796875" customWidth="1"/>
    <col min="13" max="13" width="2.1796875" customWidth="1"/>
    <col min="16" max="16" width="1.54296875" customWidth="1"/>
    <col min="17" max="17" width="2.08984375" customWidth="1"/>
    <col min="18" max="18" width="2" customWidth="1"/>
    <col min="19" max="19" width="11.453125" customWidth="1"/>
    <col min="20" max="20" width="4.08984375" customWidth="1"/>
    <col min="21" max="21" width="11.6328125" customWidth="1"/>
    <col min="22" max="22" width="2.6328125" customWidth="1"/>
  </cols>
  <sheetData>
    <row r="1" spans="2:22">
      <c r="B1" s="268" t="s">
        <v>115</v>
      </c>
    </row>
    <row r="3" spans="2:22" ht="12.65" customHeight="1">
      <c r="B3" s="241"/>
      <c r="C3" s="242"/>
      <c r="D3" s="242"/>
      <c r="E3" s="242"/>
      <c r="F3" s="242"/>
      <c r="G3" s="242"/>
      <c r="H3" s="242"/>
      <c r="I3" s="242"/>
      <c r="J3" s="242"/>
      <c r="K3" s="242"/>
      <c r="L3" s="242"/>
      <c r="M3" s="242"/>
      <c r="N3" s="242"/>
      <c r="O3" s="242"/>
      <c r="P3" s="243"/>
      <c r="R3" s="273"/>
      <c r="S3" s="274" t="s">
        <v>119</v>
      </c>
      <c r="T3" s="274"/>
      <c r="U3" s="274"/>
      <c r="V3" s="275"/>
    </row>
    <row r="4" spans="2:22" ht="18">
      <c r="B4" s="244"/>
      <c r="C4" s="260" t="s">
        <v>100</v>
      </c>
      <c r="D4" s="230"/>
      <c r="E4" s="230"/>
      <c r="F4" s="257" t="s">
        <v>124</v>
      </c>
      <c r="G4" s="230"/>
      <c r="H4" s="230"/>
      <c r="I4" s="230"/>
      <c r="J4" s="230"/>
      <c r="K4" s="230"/>
      <c r="L4" s="230"/>
      <c r="M4" s="230"/>
      <c r="N4" s="230"/>
      <c r="O4" s="230"/>
      <c r="P4" s="232"/>
      <c r="R4" s="276"/>
      <c r="S4" s="41"/>
      <c r="T4" s="41"/>
      <c r="U4" s="41"/>
      <c r="V4" s="277"/>
    </row>
    <row r="5" spans="2:22" ht="27.65" customHeight="1">
      <c r="B5" s="244"/>
      <c r="C5" s="230"/>
      <c r="D5" s="230"/>
      <c r="E5" s="230"/>
      <c r="F5" s="263" t="s">
        <v>88</v>
      </c>
      <c r="G5" s="263"/>
      <c r="H5" s="263" t="s">
        <v>89</v>
      </c>
      <c r="I5" s="263"/>
      <c r="J5" s="263" t="s">
        <v>90</v>
      </c>
      <c r="K5" s="263"/>
      <c r="L5" s="263" t="s">
        <v>96</v>
      </c>
      <c r="M5" s="263"/>
      <c r="N5" s="263" t="s">
        <v>91</v>
      </c>
      <c r="O5" s="263"/>
      <c r="P5" s="232"/>
      <c r="R5" s="276"/>
      <c r="S5" s="270" t="s">
        <v>118</v>
      </c>
      <c r="T5" s="41"/>
      <c r="U5" s="270" t="s">
        <v>121</v>
      </c>
      <c r="V5" s="277"/>
    </row>
    <row r="6" spans="2:22" ht="15.65" customHeight="1">
      <c r="B6" s="244"/>
      <c r="C6" s="230"/>
      <c r="D6" s="230"/>
      <c r="E6" s="230"/>
      <c r="F6" s="264" t="s">
        <v>92</v>
      </c>
      <c r="G6" s="265"/>
      <c r="H6" s="264" t="s">
        <v>93</v>
      </c>
      <c r="I6" s="265"/>
      <c r="J6" s="266" t="s">
        <v>86</v>
      </c>
      <c r="K6" s="257"/>
      <c r="L6" s="264" t="s">
        <v>94</v>
      </c>
      <c r="M6" s="257"/>
      <c r="N6" s="264" t="s">
        <v>95</v>
      </c>
      <c r="O6" s="264" t="s">
        <v>117</v>
      </c>
      <c r="P6" s="232"/>
      <c r="R6" s="276"/>
      <c r="S6" s="297">
        <v>250</v>
      </c>
      <c r="T6" s="271" t="s">
        <v>120</v>
      </c>
      <c r="U6" s="272">
        <f>(S6/10000)^-1</f>
        <v>40</v>
      </c>
      <c r="V6" s="277"/>
    </row>
    <row r="7" spans="2:22" ht="13">
      <c r="B7" s="244"/>
      <c r="C7" s="230"/>
      <c r="D7" s="230"/>
      <c r="E7" s="230"/>
      <c r="F7" s="258" t="s">
        <v>14</v>
      </c>
      <c r="G7" s="258"/>
      <c r="H7" s="258" t="s">
        <v>14</v>
      </c>
      <c r="I7" s="258"/>
      <c r="J7" s="258" t="s">
        <v>34</v>
      </c>
      <c r="K7" s="259"/>
      <c r="L7" s="258" t="s">
        <v>60</v>
      </c>
      <c r="M7" s="259"/>
      <c r="N7" s="258" t="s">
        <v>21</v>
      </c>
      <c r="O7" s="258" t="s">
        <v>116</v>
      </c>
      <c r="P7" s="232"/>
      <c r="R7" s="278"/>
      <c r="S7" s="279"/>
      <c r="T7" s="279"/>
      <c r="U7" s="279"/>
      <c r="V7" s="280"/>
    </row>
    <row r="8" spans="2:22" ht="5.4" customHeight="1">
      <c r="B8" s="244"/>
      <c r="C8" s="230"/>
      <c r="D8" s="230"/>
      <c r="E8" s="230"/>
      <c r="F8" s="258"/>
      <c r="G8" s="258"/>
      <c r="H8" s="258"/>
      <c r="I8" s="258"/>
      <c r="J8" s="258"/>
      <c r="K8" s="259"/>
      <c r="L8" s="258"/>
      <c r="M8" s="259"/>
      <c r="N8" s="258"/>
      <c r="O8" s="258"/>
      <c r="P8" s="232"/>
    </row>
    <row r="9" spans="2:22" ht="20.399999999999999" customHeight="1">
      <c r="B9" s="244"/>
      <c r="C9" s="230"/>
      <c r="D9" s="253" t="s">
        <v>98</v>
      </c>
      <c r="E9" s="230"/>
      <c r="F9" s="247">
        <f>'All-in-One'!H9/('All-in-One'!E17*'All-in-One'!J9^'All-in-One'!E19*('All-in-One'!E21^'All-in-One'!E23))</f>
        <v>48.04497735925726</v>
      </c>
      <c r="G9" s="230"/>
      <c r="H9" s="294">
        <v>250</v>
      </c>
      <c r="I9" s="245"/>
      <c r="J9" s="295">
        <v>0.4</v>
      </c>
      <c r="K9" s="230"/>
      <c r="L9" s="246">
        <f>1/F9*10^4</f>
        <v>208.13830185046822</v>
      </c>
      <c r="M9" s="230"/>
      <c r="N9" s="246">
        <f>1/H9*1000</f>
        <v>4</v>
      </c>
      <c r="O9" s="246">
        <f>+H9/F9</f>
        <v>5.2034575462617063</v>
      </c>
      <c r="P9" s="232"/>
    </row>
    <row r="10" spans="2:22" ht="12" customHeight="1">
      <c r="B10" s="244"/>
      <c r="C10" s="230"/>
      <c r="D10" s="254"/>
      <c r="E10" s="230"/>
      <c r="F10" s="230"/>
      <c r="G10" s="230"/>
      <c r="H10" s="230"/>
      <c r="I10" s="230"/>
      <c r="J10" s="230"/>
      <c r="K10" s="230"/>
      <c r="L10" s="230"/>
      <c r="M10" s="230"/>
      <c r="N10" s="230"/>
      <c r="O10" s="230"/>
      <c r="P10" s="232"/>
    </row>
    <row r="11" spans="2:22" ht="19.75" customHeight="1">
      <c r="B11" s="244"/>
      <c r="C11" s="230"/>
      <c r="D11" s="255" t="s">
        <v>97</v>
      </c>
      <c r="E11" s="230"/>
      <c r="F11" s="294">
        <v>6.89</v>
      </c>
      <c r="G11" s="230"/>
      <c r="H11" s="247">
        <f>(E17*F11)*(J11^E19)*(E21^E23)</f>
        <v>72.738517678467332</v>
      </c>
      <c r="I11" s="230"/>
      <c r="J11" s="295">
        <v>0.27</v>
      </c>
      <c r="K11" s="230"/>
      <c r="L11" s="246">
        <f>1/F11*10^4</f>
        <v>1451.3788098693758</v>
      </c>
      <c r="M11" s="230"/>
      <c r="N11" s="246">
        <f>1/H11*1000</f>
        <v>13.747874330081769</v>
      </c>
      <c r="O11" s="246">
        <f>+H11/F11</f>
        <v>10.557114321983649</v>
      </c>
      <c r="P11" s="232"/>
    </row>
    <row r="12" spans="2:22" ht="13.25" customHeight="1">
      <c r="B12" s="244"/>
      <c r="C12" s="230"/>
      <c r="D12" s="254"/>
      <c r="E12" s="230"/>
      <c r="F12" s="245"/>
      <c r="G12" s="230"/>
      <c r="H12" s="230"/>
      <c r="I12" s="230"/>
      <c r="J12" s="230"/>
      <c r="K12" s="230"/>
      <c r="L12" s="230"/>
      <c r="M12" s="230"/>
      <c r="N12" s="230"/>
      <c r="O12" s="230"/>
      <c r="P12" s="232"/>
    </row>
    <row r="13" spans="2:22" ht="21" customHeight="1">
      <c r="B13" s="244"/>
      <c r="C13" s="230"/>
      <c r="D13" s="253" t="s">
        <v>99</v>
      </c>
      <c r="E13" s="230"/>
      <c r="F13" s="294">
        <v>1</v>
      </c>
      <c r="G13" s="230"/>
      <c r="H13" s="294">
        <v>10</v>
      </c>
      <c r="I13" s="230"/>
      <c r="J13" s="247">
        <f>+(H13/(E17*F13*(E21^E23)))^(1/E19)</f>
        <v>0.27825594022071237</v>
      </c>
      <c r="K13" s="230"/>
      <c r="L13" s="246">
        <f>1/F13*10^4</f>
        <v>10000</v>
      </c>
      <c r="M13" s="230"/>
      <c r="N13" s="246">
        <f>1/H13*1000</f>
        <v>100</v>
      </c>
      <c r="O13" s="246">
        <f>+H13/F13</f>
        <v>10</v>
      </c>
      <c r="P13" s="232"/>
    </row>
    <row r="14" spans="2:22">
      <c r="B14" s="244"/>
      <c r="C14" s="230"/>
      <c r="D14" s="230"/>
      <c r="E14" s="230"/>
      <c r="F14" s="230"/>
      <c r="G14" s="230"/>
      <c r="H14" s="230"/>
      <c r="I14" s="230"/>
      <c r="J14" s="230" t="str">
        <f>+IF(J13&gt;0.55,"Check your numbers","")</f>
        <v/>
      </c>
      <c r="K14" s="230"/>
      <c r="L14" s="230"/>
      <c r="M14" s="230"/>
      <c r="N14" s="230"/>
      <c r="O14" s="230"/>
      <c r="P14" s="232"/>
    </row>
    <row r="15" spans="2:22">
      <c r="B15" s="244"/>
      <c r="C15" s="230"/>
      <c r="D15" s="230"/>
      <c r="E15" s="230"/>
      <c r="F15" s="230"/>
      <c r="G15" s="230"/>
      <c r="H15" s="230"/>
      <c r="I15" s="230"/>
      <c r="J15" s="230"/>
      <c r="K15" s="230"/>
      <c r="L15" s="230"/>
      <c r="M15" s="230"/>
      <c r="N15" s="230"/>
      <c r="O15" s="230"/>
      <c r="P15" s="232"/>
    </row>
    <row r="16" spans="2:22" ht="15.5">
      <c r="B16" s="244"/>
      <c r="C16" s="230"/>
      <c r="D16" s="231"/>
      <c r="E16" s="238"/>
      <c r="F16" s="239"/>
      <c r="G16" s="239"/>
      <c r="H16" s="239"/>
      <c r="I16" s="239"/>
      <c r="J16" s="240" t="s">
        <v>24</v>
      </c>
      <c r="K16" s="230"/>
      <c r="L16" s="230"/>
      <c r="M16" s="230"/>
      <c r="N16" s="230"/>
      <c r="O16" s="230"/>
      <c r="P16" s="232"/>
    </row>
    <row r="17" spans="2:16" ht="13">
      <c r="B17" s="244"/>
      <c r="C17" s="249"/>
      <c r="D17" s="250" t="s">
        <v>69</v>
      </c>
      <c r="E17" s="296">
        <f>+K17/10</f>
        <v>1</v>
      </c>
      <c r="F17" s="262" t="s">
        <v>87</v>
      </c>
      <c r="G17" s="42"/>
      <c r="H17" s="42"/>
      <c r="I17" s="42"/>
      <c r="J17" s="235"/>
      <c r="K17" s="256">
        <v>10</v>
      </c>
      <c r="L17" s="230"/>
      <c r="M17" s="230"/>
      <c r="N17" s="230"/>
      <c r="O17" s="230"/>
      <c r="P17" s="232"/>
    </row>
    <row r="18" spans="2:16" ht="7.25" customHeight="1">
      <c r="B18" s="244"/>
      <c r="C18" s="249"/>
      <c r="D18" s="250"/>
      <c r="E18" s="119"/>
      <c r="F18" s="42"/>
      <c r="G18" s="42"/>
      <c r="H18" s="42"/>
      <c r="I18" s="42"/>
      <c r="J18" s="235"/>
      <c r="K18" s="230"/>
      <c r="L18" s="230"/>
      <c r="M18" s="230"/>
      <c r="N18" s="230"/>
      <c r="O18" s="230"/>
      <c r="P18" s="232"/>
    </row>
    <row r="19" spans="2:16" ht="13">
      <c r="B19" s="244"/>
      <c r="C19" s="249"/>
      <c r="D19" s="250" t="s">
        <v>29</v>
      </c>
      <c r="E19" s="296">
        <f>+($K$19/10)*(-1)</f>
        <v>-1.8</v>
      </c>
      <c r="F19" s="261" t="s">
        <v>101</v>
      </c>
      <c r="G19" s="42"/>
      <c r="H19" s="42"/>
      <c r="I19" s="42"/>
      <c r="J19" s="235"/>
      <c r="K19" s="256">
        <v>18</v>
      </c>
      <c r="L19" s="230"/>
      <c r="M19" s="230"/>
      <c r="N19" s="230"/>
      <c r="O19" s="230"/>
      <c r="P19" s="232"/>
    </row>
    <row r="20" spans="2:16" ht="7.75" customHeight="1">
      <c r="B20" s="244"/>
      <c r="C20" s="249"/>
      <c r="D20" s="250"/>
      <c r="E20" s="182"/>
      <c r="F20" s="42"/>
      <c r="G20" s="42"/>
      <c r="H20" s="42"/>
      <c r="I20" s="42"/>
      <c r="J20" s="235"/>
      <c r="K20" s="230"/>
      <c r="L20" s="230"/>
      <c r="M20" s="230"/>
      <c r="N20" s="230"/>
      <c r="O20" s="230"/>
      <c r="P20" s="232"/>
    </row>
    <row r="21" spans="2:16" ht="13">
      <c r="B21" s="244"/>
      <c r="C21" s="249"/>
      <c r="D21" s="250" t="s">
        <v>31</v>
      </c>
      <c r="E21" s="251">
        <v>1</v>
      </c>
      <c r="F21" s="42"/>
      <c r="G21" s="42"/>
      <c r="H21" s="42"/>
      <c r="I21" s="42"/>
      <c r="J21" s="235"/>
      <c r="K21" s="230"/>
      <c r="L21" s="230"/>
      <c r="M21" s="230"/>
      <c r="N21" s="230"/>
      <c r="O21" s="230"/>
      <c r="P21" s="232"/>
    </row>
    <row r="22" spans="2:16" ht="9.65" customHeight="1">
      <c r="B22" s="244"/>
      <c r="C22" s="249"/>
      <c r="D22" s="250"/>
      <c r="E22" s="251"/>
      <c r="F22" s="42"/>
      <c r="G22" s="42"/>
      <c r="H22" s="42"/>
      <c r="I22" s="42"/>
      <c r="J22" s="235"/>
      <c r="K22" s="230"/>
      <c r="L22" s="230"/>
      <c r="M22" s="230"/>
      <c r="N22" s="230"/>
      <c r="O22" s="230"/>
      <c r="P22" s="232"/>
    </row>
    <row r="23" spans="2:16" ht="15" customHeight="1">
      <c r="B23" s="244"/>
      <c r="C23" s="249"/>
      <c r="D23" s="250" t="s">
        <v>33</v>
      </c>
      <c r="E23" s="252">
        <v>-2</v>
      </c>
      <c r="F23" s="236"/>
      <c r="G23" s="236"/>
      <c r="H23" s="236"/>
      <c r="I23" s="236"/>
      <c r="J23" s="237"/>
      <c r="K23" s="230"/>
      <c r="L23" s="230"/>
      <c r="M23" s="230"/>
      <c r="N23" s="230"/>
      <c r="O23" s="230"/>
      <c r="P23" s="232"/>
    </row>
    <row r="24" spans="2:16" ht="15" customHeight="1">
      <c r="B24" s="248"/>
      <c r="C24" s="233"/>
      <c r="D24" s="233"/>
      <c r="E24" s="233"/>
      <c r="F24" s="233"/>
      <c r="G24" s="233"/>
      <c r="H24" s="233"/>
      <c r="I24" s="233"/>
      <c r="J24" s="233"/>
      <c r="K24" s="233"/>
      <c r="L24" s="267" t="s">
        <v>78</v>
      </c>
      <c r="M24" s="233"/>
      <c r="N24" s="233"/>
      <c r="O24" s="233"/>
      <c r="P24" s="234"/>
    </row>
  </sheetData>
  <dataValidations count="10">
    <dataValidation allowBlank="1" showInputMessage="1" showErrorMessage="1" promptTitle="cementation " prompt="value computed based on slider bar to right" sqref="E19" xr:uid="{9C2EBF30-FC51-4DFC-B149-3AF314AFB466}"/>
    <dataValidation type="decimal" errorStyle="warning" allowBlank="1" showInputMessage="1" showErrorMessage="1" errorTitle="a" error="this tortuosity value is generally between 0.4 and 2" promptTitle="a, tortuosity value" prompt="is  computed based on slider bar to right" sqref="E17" xr:uid="{E7907986-FD7D-40BE-9CA2-145B1F3E3557}">
      <formula1>0.4</formula1>
      <formula2>2</formula2>
    </dataValidation>
    <dataValidation type="whole" operator="equal" allowBlank="1" showInputMessage="1" showErrorMessage="1" errorTitle="Saturation " error="should be one." prompt="This assumes full saturation. Please do not change" sqref="E21" xr:uid="{6C1E190B-04C8-48DE-B5BF-43D84513CCC9}">
      <formula1>1</formula1>
    </dataValidation>
    <dataValidation type="decimal" errorStyle="warning" operator="equal" allowBlank="1" showInputMessage="1" showErrorMessage="1" errorTitle="usually -2" error="Please do not change. " promptTitle="Assumed to be -2" prompt="please do not change" sqref="E23" xr:uid="{57EC74C2-AAF7-4918-B35A-CA1D2319408D}">
      <formula1>-2</formula1>
    </dataValidation>
    <dataValidation allowBlank="1" showInputMessage="1" showErrorMessage="1" promptTitle="computed field " prompt="Please do not change" sqref="F9 H11 J13" xr:uid="{BF83FC60-B457-4C31-8875-DB4759F6507C}"/>
    <dataValidation type="decimal" allowBlank="1" showInputMessage="1" showErrorMessage="1" errorTitle="oops" error="be sure this is a fraction (0 to 1.0)" promptTitle="enter porosity" prompt="as a fraction" sqref="J9 J11" xr:uid="{A6CB7D9F-DE4C-468F-9357-E937BFD82DB0}">
      <formula1>0</formula1>
      <formula2>1</formula2>
    </dataValidation>
    <dataValidation type="decimal" operator="greaterThan" allowBlank="1" showInputMessage="1" showErrorMessage="1" errorTitle="ooops" error="Be sure this is greater than 0" promptTitle="enter bulk resistivity" prompt="in ohm-meters" sqref="H9 H13" xr:uid="{5E4F9DA7-F4DB-4B3B-A365-323A4E5D8ADC}">
      <formula1>0</formula1>
    </dataValidation>
    <dataValidation type="decimal" operator="greaterThan" allowBlank="1" showInputMessage="1" showErrorMessage="1" errorTitle="oops" error="Be sure this value is greater than 0_x000a_" promptTitle="enter fluid resistivity" prompt="in ohm-meters" sqref="F11 F13" xr:uid="{47B48171-190F-4D9C-A39A-C9310915A0A7}">
      <formula1>0</formula1>
    </dataValidation>
    <dataValidation allowBlank="1" showInputMessage="1" showErrorMessage="1" promptTitle="Computed value" prompt="please do not change" sqref="L9:O9 L11:O11 L13:O13" xr:uid="{59089FDF-2C04-49DE-AFDB-62D8C4F77B96}"/>
    <dataValidation type="decimal" operator="greaterThan" allowBlank="1" showInputMessage="1" showErrorMessage="1" errorTitle="Conductivity &gt; 0" error="Please enter a number greater than zero_x000a_" sqref="S6" xr:uid="{613ABA7B-CA2E-4C40-8159-9A1F09550577}">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Scroll Bar 1">
              <controlPr locked="0" defaultSize="0" autoPict="0" altText="scroll bar">
                <anchor moveWithCells="1">
                  <from>
                    <xdr:col>6</xdr:col>
                    <xdr:colOff>88900</xdr:colOff>
                    <xdr:row>16</xdr:row>
                    <xdr:rowOff>12700</xdr:rowOff>
                  </from>
                  <to>
                    <xdr:col>9</xdr:col>
                    <xdr:colOff>444500</xdr:colOff>
                    <xdr:row>17</xdr:row>
                    <xdr:rowOff>12700</xdr:rowOff>
                  </to>
                </anchor>
              </controlPr>
            </control>
          </mc:Choice>
        </mc:AlternateContent>
        <mc:AlternateContent xmlns:mc="http://schemas.openxmlformats.org/markup-compatibility/2006">
          <mc:Choice Requires="x14">
            <control shapeId="11266" r:id="rId5" name="Scroll Bar 2">
              <controlPr locked="0" defaultSize="0" autoPict="0" altText="scroll bar">
                <anchor moveWithCells="1">
                  <from>
                    <xdr:col>6</xdr:col>
                    <xdr:colOff>88900</xdr:colOff>
                    <xdr:row>18</xdr:row>
                    <xdr:rowOff>6350</xdr:rowOff>
                  </from>
                  <to>
                    <xdr:col>9</xdr:col>
                    <xdr:colOff>444500</xdr:colOff>
                    <xdr:row>19</xdr:row>
                    <xdr:rowOff>6350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B1:K24"/>
  <sheetViews>
    <sheetView showGridLines="0" zoomScale="118" zoomScaleNormal="118" workbookViewId="0">
      <selection activeCell="G28" sqref="G28"/>
    </sheetView>
  </sheetViews>
  <sheetFormatPr defaultRowHeight="12.5"/>
  <cols>
    <col min="1" max="1" width="3.6328125" customWidth="1"/>
    <col min="2" max="2" width="5.08984375" customWidth="1"/>
    <col min="3" max="3" width="2.453125" customWidth="1"/>
    <col min="4" max="4" width="19.6328125" customWidth="1"/>
    <col min="5" max="5" width="10.6328125" customWidth="1"/>
    <col min="6" max="6" width="10.36328125" customWidth="1"/>
    <col min="7" max="7" width="11.36328125" customWidth="1"/>
    <col min="8" max="8" width="13.6328125" customWidth="1"/>
    <col min="9" max="9" width="3.6328125" customWidth="1"/>
    <col min="10" max="10" width="6.6328125" customWidth="1"/>
    <col min="11" max="11" width="3.6328125" customWidth="1"/>
    <col min="26" max="26" width="17.08984375" customWidth="1"/>
    <col min="27" max="27" width="1.453125" customWidth="1"/>
    <col min="28" max="28" width="10.36328125" customWidth="1"/>
    <col min="29" max="29" width="11.08984375" customWidth="1"/>
  </cols>
  <sheetData>
    <row r="1" spans="2:11">
      <c r="B1" s="268" t="s">
        <v>115</v>
      </c>
    </row>
    <row r="2" spans="2:11" ht="13" thickBot="1">
      <c r="B2" s="1"/>
      <c r="C2" s="1"/>
      <c r="D2" s="1"/>
      <c r="E2" s="1"/>
      <c r="F2" s="1"/>
      <c r="G2" s="1"/>
      <c r="H2" s="1"/>
      <c r="I2" s="1"/>
    </row>
    <row r="3" spans="2:11" ht="11.4" customHeight="1">
      <c r="B3" s="2"/>
      <c r="C3" s="3"/>
      <c r="D3" s="3"/>
      <c r="E3" s="3"/>
      <c r="F3" s="3"/>
      <c r="G3" s="3"/>
      <c r="H3" s="3"/>
      <c r="I3" s="3"/>
      <c r="J3" s="3"/>
      <c r="K3" s="4"/>
    </row>
    <row r="4" spans="2:11" ht="15">
      <c r="B4" s="5"/>
      <c r="C4" s="6"/>
      <c r="D4" s="7" t="s">
        <v>67</v>
      </c>
      <c r="E4" s="6"/>
      <c r="F4" s="8"/>
      <c r="G4" s="8"/>
      <c r="H4" s="8"/>
      <c r="I4" s="8"/>
      <c r="J4" s="9"/>
      <c r="K4" s="10"/>
    </row>
    <row r="5" spans="2:11" ht="17.25" customHeight="1">
      <c r="B5" s="5"/>
      <c r="C5" s="11"/>
      <c r="D5" s="142" t="s">
        <v>112</v>
      </c>
      <c r="E5" s="8"/>
      <c r="F5" s="8"/>
      <c r="G5" s="8"/>
      <c r="H5" s="8"/>
      <c r="I5" s="8"/>
      <c r="J5" s="9"/>
      <c r="K5" s="10"/>
    </row>
    <row r="6" spans="2:11" ht="13" thickBot="1">
      <c r="B6" s="5"/>
      <c r="C6" s="9"/>
      <c r="D6" s="9"/>
      <c r="E6" s="9"/>
      <c r="F6" s="9"/>
      <c r="G6" s="9"/>
      <c r="H6" s="9"/>
      <c r="I6" s="9"/>
      <c r="J6" s="9"/>
      <c r="K6" s="10"/>
    </row>
    <row r="7" spans="2:11" ht="13.5" thickBot="1">
      <c r="B7" s="5"/>
      <c r="C7" s="37"/>
      <c r="D7" s="38"/>
      <c r="E7" s="39"/>
      <c r="F7" s="40" t="s">
        <v>22</v>
      </c>
      <c r="G7" s="298">
        <v>50</v>
      </c>
      <c r="H7" s="111" t="s">
        <v>42</v>
      </c>
      <c r="I7" s="111"/>
      <c r="J7" s="183"/>
      <c r="K7" s="10"/>
    </row>
    <row r="8" spans="2:11" ht="14.25" customHeight="1" thickBot="1">
      <c r="B8" s="5"/>
      <c r="C8" s="43"/>
      <c r="D8" s="44" t="s">
        <v>75</v>
      </c>
      <c r="E8" s="39"/>
      <c r="F8" s="40"/>
      <c r="G8" s="185"/>
      <c r="H8" s="9"/>
      <c r="I8" s="9"/>
      <c r="J8" s="89"/>
      <c r="K8" s="10"/>
    </row>
    <row r="9" spans="2:11" ht="22.5" thickBot="1">
      <c r="B9" s="5"/>
      <c r="C9" s="45" t="s">
        <v>83</v>
      </c>
      <c r="D9" s="46"/>
      <c r="E9" s="9"/>
      <c r="F9" s="47" t="s">
        <v>26</v>
      </c>
      <c r="G9" s="299">
        <v>0.37</v>
      </c>
      <c r="H9" s="41" t="s">
        <v>43</v>
      </c>
      <c r="I9" s="41"/>
      <c r="J9" s="115"/>
      <c r="K9" s="48">
        <v>96</v>
      </c>
    </row>
    <row r="10" spans="2:11" ht="14.25" customHeight="1">
      <c r="B10" s="5"/>
      <c r="C10" s="45"/>
      <c r="D10" s="46"/>
      <c r="E10" s="9"/>
      <c r="F10" s="49"/>
      <c r="G10" s="114"/>
      <c r="H10" s="41"/>
      <c r="I10" s="41"/>
      <c r="J10" s="186" t="s">
        <v>24</v>
      </c>
      <c r="K10" s="48"/>
    </row>
    <row r="11" spans="2:11" ht="19.25" customHeight="1">
      <c r="B11" s="50"/>
      <c r="C11" s="51" t="s">
        <v>27</v>
      </c>
      <c r="D11" s="46"/>
      <c r="E11" s="9"/>
      <c r="F11" s="52" t="s">
        <v>69</v>
      </c>
      <c r="G11" s="296">
        <f>+K11/10</f>
        <v>1</v>
      </c>
      <c r="H11" s="41"/>
      <c r="I11" s="41"/>
      <c r="J11" s="115"/>
      <c r="K11" s="48">
        <v>10</v>
      </c>
    </row>
    <row r="12" spans="2:11" ht="6" customHeight="1">
      <c r="B12" s="50"/>
      <c r="C12" s="51"/>
      <c r="D12" s="46"/>
      <c r="E12" s="9"/>
      <c r="F12" s="52"/>
      <c r="G12" s="119"/>
      <c r="H12" s="41"/>
      <c r="I12" s="41"/>
      <c r="J12" s="115"/>
      <c r="K12" s="48"/>
    </row>
    <row r="13" spans="2:11" ht="13">
      <c r="B13" s="50"/>
      <c r="C13" s="51" t="s">
        <v>28</v>
      </c>
      <c r="D13" s="46"/>
      <c r="E13" s="9"/>
      <c r="F13" s="52" t="s">
        <v>29</v>
      </c>
      <c r="G13" s="292">
        <f>+(K13/10)*(-1)</f>
        <v>-1.7</v>
      </c>
      <c r="H13" s="41"/>
      <c r="I13" s="41"/>
      <c r="J13" s="115"/>
      <c r="K13" s="48">
        <v>17</v>
      </c>
    </row>
    <row r="14" spans="2:11" ht="7.25" customHeight="1">
      <c r="B14" s="50"/>
      <c r="C14" s="51"/>
      <c r="D14" s="46"/>
      <c r="E14" s="9"/>
      <c r="F14" s="52"/>
      <c r="G14" s="120"/>
      <c r="H14" s="41"/>
      <c r="I14" s="41"/>
      <c r="J14" s="115"/>
      <c r="K14" s="48"/>
    </row>
    <row r="15" spans="2:11" ht="13">
      <c r="B15" s="50"/>
      <c r="C15" s="51" t="s">
        <v>30</v>
      </c>
      <c r="D15" s="46"/>
      <c r="E15" s="9"/>
      <c r="F15" s="52" t="s">
        <v>31</v>
      </c>
      <c r="G15" s="121">
        <v>1</v>
      </c>
      <c r="H15" s="41"/>
      <c r="I15" s="41"/>
      <c r="J15" s="115"/>
      <c r="K15" s="10"/>
    </row>
    <row r="16" spans="2:11" ht="5.4" customHeight="1">
      <c r="B16" s="50"/>
      <c r="C16" s="51"/>
      <c r="D16" s="46"/>
      <c r="E16" s="9"/>
      <c r="F16" s="52"/>
      <c r="G16" s="121"/>
      <c r="H16" s="41"/>
      <c r="I16" s="41"/>
      <c r="J16" s="115"/>
      <c r="K16" s="10"/>
    </row>
    <row r="17" spans="2:11" ht="13.5" thickBot="1">
      <c r="B17" s="50"/>
      <c r="C17" s="53" t="s">
        <v>32</v>
      </c>
      <c r="D17" s="54"/>
      <c r="E17" s="9"/>
      <c r="F17" s="52" t="s">
        <v>33</v>
      </c>
      <c r="G17" s="124">
        <v>-2</v>
      </c>
      <c r="H17" s="125"/>
      <c r="I17" s="125"/>
      <c r="J17" s="126"/>
      <c r="K17" s="10"/>
    </row>
    <row r="18" spans="2:11">
      <c r="B18" s="50"/>
      <c r="C18" s="9"/>
      <c r="D18" s="9"/>
      <c r="E18" s="9"/>
      <c r="F18" s="9"/>
      <c r="G18" s="9"/>
      <c r="H18" s="9"/>
      <c r="I18" s="9"/>
      <c r="J18" s="9"/>
      <c r="K18" s="10"/>
    </row>
    <row r="19" spans="2:11" ht="13.5" thickBot="1">
      <c r="B19" s="5"/>
      <c r="C19" s="9"/>
      <c r="D19" s="9"/>
      <c r="E19" s="9"/>
      <c r="F19" s="55" t="s">
        <v>14</v>
      </c>
      <c r="G19" s="55" t="s">
        <v>34</v>
      </c>
      <c r="H19" s="9"/>
      <c r="I19" s="9"/>
      <c r="J19" s="9"/>
      <c r="K19" s="10"/>
    </row>
    <row r="20" spans="2:11" ht="13">
      <c r="B20" s="50"/>
      <c r="C20" s="9"/>
      <c r="D20" s="180" t="s">
        <v>65</v>
      </c>
      <c r="E20" s="225"/>
      <c r="F20" s="222" t="s">
        <v>36</v>
      </c>
      <c r="G20" s="58" t="s">
        <v>37</v>
      </c>
      <c r="H20" s="59" t="s">
        <v>38</v>
      </c>
      <c r="I20" s="38"/>
      <c r="J20" s="9"/>
      <c r="K20" s="10"/>
    </row>
    <row r="21" spans="2:11" ht="20.5">
      <c r="B21" s="5"/>
      <c r="C21" s="9"/>
      <c r="D21" s="77" t="s">
        <v>77</v>
      </c>
      <c r="E21" s="226"/>
      <c r="F21" s="223" t="s">
        <v>82</v>
      </c>
      <c r="G21" s="62" t="s">
        <v>40</v>
      </c>
      <c r="H21" s="63" t="s">
        <v>41</v>
      </c>
      <c r="I21" s="64"/>
      <c r="J21" s="9"/>
      <c r="K21" s="10"/>
    </row>
    <row r="22" spans="2:11" ht="14.5" thickBot="1">
      <c r="B22" s="5"/>
      <c r="C22" s="9"/>
      <c r="D22" s="221">
        <f>(a*Entered_Fluid_Res)*(Entered_Porosity^b_cement)*(Sw^n)</f>
        <v>271.03605874088885</v>
      </c>
      <c r="E22" s="227"/>
      <c r="F22" s="224">
        <f>+$G$7</f>
        <v>50</v>
      </c>
      <c r="G22" s="68">
        <f>+$G$9</f>
        <v>0.37</v>
      </c>
      <c r="H22" s="69">
        <f>1/F22*10^4</f>
        <v>200</v>
      </c>
      <c r="I22" s="70"/>
      <c r="J22" s="9"/>
      <c r="K22" s="10"/>
    </row>
    <row r="23" spans="2:11" ht="23.4" customHeight="1" thickBot="1">
      <c r="B23" s="71"/>
      <c r="C23" s="9"/>
      <c r="D23" s="228">
        <f>1/D22*1000</f>
        <v>3.6895459764488479</v>
      </c>
      <c r="E23" s="229" t="s">
        <v>21</v>
      </c>
      <c r="F23" s="9"/>
      <c r="G23" s="9"/>
      <c r="H23" s="72"/>
      <c r="I23" s="9"/>
      <c r="J23" s="9"/>
      <c r="K23" s="10"/>
    </row>
    <row r="24" spans="2:11" ht="13" thickBot="1">
      <c r="B24" s="73"/>
      <c r="C24" s="74" t="s">
        <v>78</v>
      </c>
      <c r="D24" s="74"/>
      <c r="E24" s="74"/>
      <c r="F24" s="74"/>
      <c r="G24" s="74"/>
      <c r="H24" s="74"/>
      <c r="I24" s="74"/>
      <c r="J24" s="74"/>
      <c r="K24" s="75"/>
    </row>
  </sheetData>
  <sheetProtection formatCells="0" formatColumns="0" formatRows="0" insertColumns="0" insertRows="0" deleteColumns="0" deleteRows="0"/>
  <dataValidations count="7">
    <dataValidation type="decimal" operator="greaterThan" allowBlank="1" showInputMessage="1" showErrorMessage="1" promptTitle="Fluid Resistivity" prompt="Enter Fluid Resistivity" sqref="G7" xr:uid="{00000000-0002-0000-0300-000000000000}">
      <formula1>0</formula1>
    </dataValidation>
    <dataValidation allowBlank="1" showInputMessage="1" showErrorMessage="1" promptTitle="do not change" prompt="These are calculated values" sqref="D22:H22" xr:uid="{00000000-0002-0000-0300-000001000000}"/>
    <dataValidation type="decimal" allowBlank="1" showInputMessage="1" showErrorMessage="1" errorTitle="Porosity" error="should be a decimal value between 0 and 1.0" promptTitle="Porosity" prompt="Enter porosity as a decimal value between 0 and 1" sqref="G9" xr:uid="{00000000-0002-0000-0300-000002000000}">
      <formula1>0</formula1>
      <formula2>1</formula2>
    </dataValidation>
    <dataValidation allowBlank="1" showInputMessage="1" showErrorMessage="1" promptTitle="cementation " prompt="value computed based on slider bar to right" sqref="G13" xr:uid="{00000000-0002-0000-0300-000003000000}"/>
    <dataValidation type="decimal" errorStyle="warning" allowBlank="1" showInputMessage="1" showErrorMessage="1" errorTitle="a" error="this tortuosity value is generally between 0.4 and 2" promptTitle="a, tortuosity value" prompt="is  computed based on slider bar to right" sqref="G11" xr:uid="{278B76B1-036A-4045-B375-AB7610B3EDB8}">
      <formula1>0.4</formula1>
      <formula2>2</formula2>
    </dataValidation>
    <dataValidation type="whole" operator="equal" allowBlank="1" showInputMessage="1" showErrorMessage="1" errorTitle="Saturation " error="should be one." prompt="This assumes full saturation. Please do not change" sqref="G15" xr:uid="{8254C0B9-47A0-4126-86DB-59F9433EA542}">
      <formula1>1</formula1>
    </dataValidation>
    <dataValidation type="decimal" errorStyle="warning" operator="equal" allowBlank="1" showInputMessage="1" showErrorMessage="1" errorTitle="usually -2" error="Please do not change. " promptTitle="Assumed to be -2" prompt="please do not change" sqref="G17" xr:uid="{00F9EBB3-FCC0-4321-94D2-22C4C4EC7A3B}">
      <formula1>-2</formula1>
    </dataValidation>
  </dataValidation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Scroll Bar 1">
              <controlPr locked="0" defaultSize="0" autoPict="0" altText="scroll bar">
                <anchor moveWithCells="1">
                  <from>
                    <xdr:col>7</xdr:col>
                    <xdr:colOff>101600</xdr:colOff>
                    <xdr:row>10</xdr:row>
                    <xdr:rowOff>76200</xdr:rowOff>
                  </from>
                  <to>
                    <xdr:col>9</xdr:col>
                    <xdr:colOff>234950</xdr:colOff>
                    <xdr:row>11</xdr:row>
                    <xdr:rowOff>0</xdr:rowOff>
                  </to>
                </anchor>
              </controlPr>
            </control>
          </mc:Choice>
        </mc:AlternateContent>
        <mc:AlternateContent xmlns:mc="http://schemas.openxmlformats.org/markup-compatibility/2006">
          <mc:Choice Requires="x14">
            <control shapeId="2051" r:id="rId5" name="Scroll Bar 3">
              <controlPr locked="0" defaultSize="0" autoPict="0" altText="scroll bar">
                <anchor moveWithCells="1">
                  <from>
                    <xdr:col>7</xdr:col>
                    <xdr:colOff>76200</xdr:colOff>
                    <xdr:row>12</xdr:row>
                    <xdr:rowOff>31750</xdr:rowOff>
                  </from>
                  <to>
                    <xdr:col>9</xdr:col>
                    <xdr:colOff>234950</xdr:colOff>
                    <xdr:row>13</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B1:K26"/>
  <sheetViews>
    <sheetView showGridLines="0" zoomScale="118" zoomScaleNormal="118" workbookViewId="0">
      <selection activeCell="F28" sqref="F28"/>
    </sheetView>
  </sheetViews>
  <sheetFormatPr defaultRowHeight="12.5"/>
  <cols>
    <col min="1" max="1" width="3.6328125" customWidth="1"/>
    <col min="2" max="2" width="5.08984375" customWidth="1"/>
    <col min="3" max="3" width="2.453125" customWidth="1"/>
    <col min="4" max="4" width="19.6328125" customWidth="1"/>
    <col min="5" max="5" width="5.54296875" customWidth="1"/>
    <col min="6" max="6" width="15.453125" customWidth="1"/>
    <col min="7" max="7" width="11.36328125" customWidth="1"/>
    <col min="8" max="8" width="13.6328125" customWidth="1"/>
    <col min="9" max="9" width="3.6328125" customWidth="1"/>
    <col min="10" max="10" width="6.6328125" customWidth="1"/>
    <col min="11" max="11" width="3.6328125" customWidth="1"/>
    <col min="12" max="12" width="53.6328125" customWidth="1"/>
    <col min="21" max="21" width="17.08984375" customWidth="1"/>
    <col min="22" max="22" width="1.453125" customWidth="1"/>
    <col min="23" max="23" width="10.36328125" customWidth="1"/>
    <col min="24" max="24" width="11.08984375" customWidth="1"/>
  </cols>
  <sheetData>
    <row r="1" spans="2:11">
      <c r="B1" s="268" t="s">
        <v>115</v>
      </c>
    </row>
    <row r="2" spans="2:11" ht="13" thickBot="1">
      <c r="B2" s="1"/>
      <c r="C2" s="1"/>
      <c r="D2" s="1"/>
      <c r="E2" s="1"/>
      <c r="F2" s="1"/>
      <c r="G2" s="1"/>
      <c r="H2" s="1"/>
      <c r="I2" s="1"/>
    </row>
    <row r="3" spans="2:11" ht="11.4" customHeight="1">
      <c r="B3" s="92"/>
      <c r="C3" s="93"/>
      <c r="D3" s="93"/>
      <c r="E3" s="93"/>
      <c r="F3" s="93"/>
      <c r="G3" s="93"/>
      <c r="H3" s="93"/>
      <c r="I3" s="93"/>
      <c r="J3" s="93"/>
      <c r="K3" s="94"/>
    </row>
    <row r="4" spans="2:11" ht="17.5">
      <c r="B4" s="95"/>
      <c r="C4" s="96"/>
      <c r="D4" s="300" t="s">
        <v>125</v>
      </c>
      <c r="E4" s="96"/>
      <c r="F4" s="97"/>
      <c r="G4" s="97"/>
      <c r="H4" s="97"/>
      <c r="I4" s="97"/>
      <c r="J4" s="98"/>
      <c r="K4" s="99"/>
    </row>
    <row r="5" spans="2:11" ht="14">
      <c r="B5" s="95"/>
      <c r="C5" s="100"/>
      <c r="D5" s="301" t="s">
        <v>113</v>
      </c>
      <c r="E5" s="97"/>
      <c r="F5" s="97"/>
      <c r="G5" s="97"/>
      <c r="H5" s="97"/>
      <c r="I5" s="97"/>
      <c r="J5" s="98"/>
      <c r="K5" s="99"/>
    </row>
    <row r="6" spans="2:11" ht="13" thickBot="1">
      <c r="B6" s="95"/>
      <c r="C6" s="98"/>
      <c r="D6" s="98"/>
      <c r="E6" s="98"/>
      <c r="F6" s="98"/>
      <c r="G6" s="98"/>
      <c r="H6" s="98"/>
      <c r="I6" s="98"/>
      <c r="J6" s="98"/>
      <c r="K6" s="99"/>
    </row>
    <row r="7" spans="2:11" ht="13.5" thickBot="1">
      <c r="B7" s="95"/>
      <c r="C7" s="101"/>
      <c r="D7" s="102"/>
      <c r="E7" s="103"/>
      <c r="F7" s="104" t="s">
        <v>46</v>
      </c>
      <c r="G7" s="302">
        <v>3000</v>
      </c>
      <c r="H7" s="41" t="s">
        <v>42</v>
      </c>
      <c r="I7" s="41"/>
      <c r="J7" s="42"/>
      <c r="K7" s="99"/>
    </row>
    <row r="8" spans="2:11" ht="17.399999999999999" customHeight="1" thickBot="1">
      <c r="B8" s="95"/>
      <c r="C8" s="105"/>
      <c r="D8" s="106" t="s">
        <v>75</v>
      </c>
      <c r="E8" s="103"/>
      <c r="F8" s="104"/>
      <c r="G8" s="107"/>
      <c r="H8" s="98"/>
      <c r="I8" s="98"/>
      <c r="J8" s="98"/>
      <c r="K8" s="99"/>
    </row>
    <row r="9" spans="2:11" ht="22.5" thickBot="1">
      <c r="B9" s="95"/>
      <c r="C9" s="108" t="s">
        <v>84</v>
      </c>
      <c r="D9" s="109"/>
      <c r="E9" s="98"/>
      <c r="F9" s="110" t="s">
        <v>26</v>
      </c>
      <c r="G9" s="303">
        <v>0.05</v>
      </c>
      <c r="H9" s="111" t="s">
        <v>43</v>
      </c>
      <c r="I9" s="111"/>
      <c r="J9" s="102"/>
      <c r="K9" s="112">
        <v>96</v>
      </c>
    </row>
    <row r="10" spans="2:11" ht="15" customHeight="1">
      <c r="B10" s="95"/>
      <c r="C10" s="108"/>
      <c r="D10" s="109"/>
      <c r="E10" s="98"/>
      <c r="F10" s="113"/>
      <c r="G10" s="114"/>
      <c r="H10" s="41"/>
      <c r="I10" s="41"/>
      <c r="J10" s="186" t="s">
        <v>24</v>
      </c>
      <c r="K10" s="112"/>
    </row>
    <row r="11" spans="2:11" ht="19.25" customHeight="1">
      <c r="B11" s="116"/>
      <c r="C11" s="117" t="s">
        <v>27</v>
      </c>
      <c r="D11" s="109"/>
      <c r="E11" s="98"/>
      <c r="F11" s="118" t="s">
        <v>69</v>
      </c>
      <c r="G11" s="296">
        <f>+K11/10</f>
        <v>0.5</v>
      </c>
      <c r="H11" s="41"/>
      <c r="I11" s="41"/>
      <c r="J11" s="115"/>
      <c r="K11" s="112">
        <v>5</v>
      </c>
    </row>
    <row r="12" spans="2:11" ht="6" customHeight="1">
      <c r="B12" s="116"/>
      <c r="C12" s="117"/>
      <c r="D12" s="109"/>
      <c r="E12" s="98"/>
      <c r="F12" s="118"/>
      <c r="G12" s="119"/>
      <c r="H12" s="41"/>
      <c r="I12" s="41"/>
      <c r="J12" s="115"/>
      <c r="K12" s="112"/>
    </row>
    <row r="13" spans="2:11" ht="13">
      <c r="B13" s="116"/>
      <c r="C13" s="117" t="s">
        <v>28</v>
      </c>
      <c r="D13" s="109"/>
      <c r="E13" s="98"/>
      <c r="F13" s="118" t="s">
        <v>29</v>
      </c>
      <c r="G13" s="292">
        <f>+(K13/10)*(-1)</f>
        <v>-1.6</v>
      </c>
      <c r="H13" s="41"/>
      <c r="I13" s="41"/>
      <c r="J13" s="115"/>
      <c r="K13" s="112">
        <v>16</v>
      </c>
    </row>
    <row r="14" spans="2:11" ht="7.25" customHeight="1">
      <c r="B14" s="116"/>
      <c r="C14" s="117"/>
      <c r="D14" s="109"/>
      <c r="E14" s="98"/>
      <c r="F14" s="118"/>
      <c r="G14" s="120"/>
      <c r="H14" s="41"/>
      <c r="I14" s="41"/>
      <c r="J14" s="115"/>
      <c r="K14" s="112"/>
    </row>
    <row r="15" spans="2:11" ht="13">
      <c r="B15" s="116"/>
      <c r="C15" s="117" t="s">
        <v>47</v>
      </c>
      <c r="D15" s="109"/>
      <c r="E15" s="98"/>
      <c r="F15" s="118" t="s">
        <v>31</v>
      </c>
      <c r="G15" s="121">
        <v>1</v>
      </c>
      <c r="H15" s="41"/>
      <c r="I15" s="41"/>
      <c r="J15" s="115"/>
      <c r="K15" s="99"/>
    </row>
    <row r="16" spans="2:11" ht="5.4" customHeight="1">
      <c r="B16" s="116"/>
      <c r="C16" s="117"/>
      <c r="D16" s="109"/>
      <c r="E16" s="98"/>
      <c r="F16" s="118"/>
      <c r="G16" s="121"/>
      <c r="H16" s="41"/>
      <c r="I16" s="41"/>
      <c r="J16" s="115"/>
      <c r="K16" s="99"/>
    </row>
    <row r="17" spans="2:11" ht="13">
      <c r="B17" s="116"/>
      <c r="C17" s="122" t="s">
        <v>32</v>
      </c>
      <c r="D17" s="123"/>
      <c r="E17" s="98"/>
      <c r="F17" s="118" t="s">
        <v>33</v>
      </c>
      <c r="G17" s="124">
        <v>-2</v>
      </c>
      <c r="H17" s="125"/>
      <c r="I17" s="125"/>
      <c r="J17" s="126"/>
      <c r="K17" s="99"/>
    </row>
    <row r="18" spans="2:11">
      <c r="B18" s="116"/>
      <c r="C18" s="98"/>
      <c r="D18" s="98"/>
      <c r="E18" s="98"/>
      <c r="F18" s="98"/>
      <c r="G18" s="98"/>
      <c r="H18" s="98"/>
      <c r="I18" s="98"/>
      <c r="J18" s="98"/>
      <c r="K18" s="99"/>
    </row>
    <row r="19" spans="2:11" ht="13">
      <c r="B19" s="95"/>
      <c r="C19" s="98"/>
      <c r="D19" s="127" t="s">
        <v>14</v>
      </c>
      <c r="E19" s="98"/>
      <c r="F19" s="98"/>
      <c r="G19" s="127" t="s">
        <v>34</v>
      </c>
      <c r="H19" s="98"/>
      <c r="I19" s="98"/>
      <c r="J19" s="98"/>
      <c r="K19" s="99"/>
    </row>
    <row r="20" spans="2:11" ht="13">
      <c r="B20" s="116"/>
      <c r="C20" s="98"/>
      <c r="D20" s="187" t="s">
        <v>48</v>
      </c>
      <c r="E20" s="98"/>
      <c r="F20" s="128" t="s">
        <v>35</v>
      </c>
      <c r="G20" s="129" t="s">
        <v>37</v>
      </c>
      <c r="H20" s="130" t="s">
        <v>38</v>
      </c>
      <c r="I20" s="102"/>
      <c r="J20" s="98"/>
      <c r="K20" s="99"/>
    </row>
    <row r="21" spans="2:11" ht="20.5">
      <c r="B21" s="95"/>
      <c r="C21" s="98"/>
      <c r="D21" s="188" t="s">
        <v>82</v>
      </c>
      <c r="E21" s="98"/>
      <c r="F21" s="131" t="s">
        <v>76</v>
      </c>
      <c r="G21" s="62" t="s">
        <v>40</v>
      </c>
      <c r="H21" s="63" t="s">
        <v>41</v>
      </c>
      <c r="I21" s="115"/>
      <c r="J21" s="98"/>
      <c r="K21" s="99"/>
    </row>
    <row r="22" spans="2:11" ht="14">
      <c r="B22" s="95"/>
      <c r="C22" s="98"/>
      <c r="D22" s="189">
        <f>Entered_Bulk_Res/(a*Entered_Porosity^b_cement*(Sw^n))</f>
        <v>49.716810260099805</v>
      </c>
      <c r="E22" s="98"/>
      <c r="F22" s="132">
        <f>+Entered_Bulk_Res</f>
        <v>3000</v>
      </c>
      <c r="G22" s="133">
        <f>+Entered_Porosity</f>
        <v>0.05</v>
      </c>
      <c r="H22" s="134">
        <f>1/+ComputedFlRes*10^4</f>
        <v>201.13921121817208</v>
      </c>
      <c r="I22" s="135"/>
      <c r="J22" s="98"/>
      <c r="K22" s="99"/>
    </row>
    <row r="23" spans="2:11" ht="23.4" customHeight="1">
      <c r="B23" s="136"/>
      <c r="C23" s="98"/>
      <c r="D23" s="98"/>
      <c r="E23" s="98"/>
      <c r="F23" s="98"/>
      <c r="G23" s="98"/>
      <c r="H23" s="137"/>
      <c r="I23" s="98"/>
      <c r="J23" s="98"/>
      <c r="K23" s="99"/>
    </row>
    <row r="24" spans="2:11" ht="13" thickBot="1">
      <c r="B24" s="138"/>
      <c r="C24" s="139" t="s">
        <v>78</v>
      </c>
      <c r="D24" s="139"/>
      <c r="E24" s="139"/>
      <c r="F24" s="139"/>
      <c r="G24" s="139"/>
      <c r="H24" s="139"/>
      <c r="I24" s="139"/>
      <c r="J24" s="139"/>
      <c r="K24" s="140"/>
    </row>
    <row r="26" spans="2:11">
      <c r="D26" s="220">
        <f>ComputedFlRes</f>
        <v>49.716810260099805</v>
      </c>
    </row>
  </sheetData>
  <sheetProtection formatCells="0" formatColumns="0" formatRows="0" insertColumns="0" insertRows="0" deleteColumns="0" deleteRows="0"/>
  <dataValidations count="7">
    <dataValidation allowBlank="1" showInputMessage="1" showErrorMessage="1" promptTitle="do not change" prompt="These are calculated values" sqref="D22 F22:H22" xr:uid="{00000000-0002-0000-0400-000000000000}"/>
    <dataValidation allowBlank="1" showInputMessage="1" showErrorMessage="1" promptTitle="a" prompt="value computed based on slider bar to right" sqref="G11" xr:uid="{00000000-0002-0000-0400-000001000000}"/>
    <dataValidation type="decimal" allowBlank="1" showInputMessage="1" showErrorMessage="1" error="Please enter a value between 0 and 1" promptTitle="Porosity" prompt="Enter porosity in decimal form between 0 and 1.0" sqref="G9" xr:uid="{00000000-0002-0000-0400-000002000000}">
      <formula1>0</formula1>
      <formula2>1</formula2>
    </dataValidation>
    <dataValidation allowBlank="1" showInputMessage="1" showErrorMessage="1" promptTitle="Fluid Resistivity" prompt="Enter Fluid Resistivity" sqref="G7" xr:uid="{00000000-0002-0000-0400-000003000000}"/>
    <dataValidation allowBlank="1" showInputMessage="1" showErrorMessage="1" promptTitle="cementation " prompt="value computed based on slider bar to right" sqref="G13" xr:uid="{053E58EF-CF3E-4E11-8D07-0C2A5F88C5FF}"/>
    <dataValidation type="whole" operator="equal" allowBlank="1" showInputMessage="1" showErrorMessage="1" errorTitle="Saturation " error="should be one." prompt="This assumes full saturation. Please do not change" sqref="G15" xr:uid="{08FFF8C5-949B-403D-AB16-BEBDFE71E2AC}">
      <formula1>1</formula1>
    </dataValidation>
    <dataValidation type="decimal" errorStyle="warning" operator="equal" allowBlank="1" showInputMessage="1" showErrorMessage="1" errorTitle="usually -2" error="Please do not change. " promptTitle="Assumed to be -2" prompt="please do not change" sqref="G17" xr:uid="{4B002152-D210-4DD7-BDC1-1805496B7BCC}">
      <formula1>-2</formula1>
    </dataValidation>
  </dataValidations>
  <pageMargins left="0.75" right="0.75" top="1" bottom="1" header="0.5" footer="0.5"/>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9217" r:id="rId3" name="Scroll Bar 1">
              <controlPr locked="0" defaultSize="0" autoPict="0" altText="scroll bar">
                <anchor moveWithCells="1">
                  <from>
                    <xdr:col>7</xdr:col>
                    <xdr:colOff>101600</xdr:colOff>
                    <xdr:row>10</xdr:row>
                    <xdr:rowOff>76200</xdr:rowOff>
                  </from>
                  <to>
                    <xdr:col>9</xdr:col>
                    <xdr:colOff>234950</xdr:colOff>
                    <xdr:row>11</xdr:row>
                    <xdr:rowOff>0</xdr:rowOff>
                  </to>
                </anchor>
              </controlPr>
            </control>
          </mc:Choice>
        </mc:AlternateContent>
        <mc:AlternateContent xmlns:mc="http://schemas.openxmlformats.org/markup-compatibility/2006">
          <mc:Choice Requires="x14">
            <control shapeId="9218" r:id="rId4" name="Scroll Bar 2">
              <controlPr locked="0" defaultSize="0" autoPict="0" altText="scroll bar">
                <anchor moveWithCells="1">
                  <from>
                    <xdr:col>7</xdr:col>
                    <xdr:colOff>69850</xdr:colOff>
                    <xdr:row>12</xdr:row>
                    <xdr:rowOff>31750</xdr:rowOff>
                  </from>
                  <to>
                    <xdr:col>9</xdr:col>
                    <xdr:colOff>234950</xdr:colOff>
                    <xdr:row>13</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EF84B-06BA-4D90-81AC-49CDC180ACE9}">
  <sheetPr>
    <tabColor theme="6" tint="0.39997558519241921"/>
  </sheetPr>
  <dimension ref="B1:L27"/>
  <sheetViews>
    <sheetView showGridLines="0" zoomScale="130" zoomScaleNormal="130" workbookViewId="0">
      <selection activeCell="I26" sqref="I26"/>
    </sheetView>
  </sheetViews>
  <sheetFormatPr defaultRowHeight="12.5"/>
  <cols>
    <col min="1" max="1" width="3.6328125" customWidth="1"/>
    <col min="2" max="2" width="5.08984375" customWidth="1"/>
    <col min="3" max="3" width="2.453125" customWidth="1"/>
    <col min="4" max="4" width="20.6328125" customWidth="1"/>
    <col min="5" max="5" width="10.6328125" customWidth="1"/>
    <col min="6" max="6" width="10.36328125" customWidth="1"/>
    <col min="7" max="7" width="11.81640625" customWidth="1"/>
    <col min="8" max="8" width="13.6328125" customWidth="1"/>
    <col min="9" max="9" width="3.6328125" customWidth="1"/>
    <col min="10" max="10" width="6.6328125" customWidth="1"/>
    <col min="11" max="11" width="3.6328125" customWidth="1"/>
    <col min="26" max="26" width="17.08984375" customWidth="1"/>
    <col min="27" max="27" width="1.453125" customWidth="1"/>
    <col min="28" max="28" width="10.36328125" customWidth="1"/>
    <col min="29" max="29" width="11.08984375" customWidth="1"/>
  </cols>
  <sheetData>
    <row r="1" spans="2:11">
      <c r="B1" s="268" t="s">
        <v>115</v>
      </c>
    </row>
    <row r="2" spans="2:11" ht="13" thickBot="1">
      <c r="B2" s="1"/>
      <c r="C2" s="1"/>
      <c r="D2" s="1"/>
      <c r="E2" s="1"/>
      <c r="F2" s="1"/>
      <c r="G2" s="1"/>
      <c r="H2" s="1"/>
      <c r="I2" s="1"/>
    </row>
    <row r="3" spans="2:11" ht="11.4" customHeight="1">
      <c r="B3" s="194"/>
      <c r="C3" s="199"/>
      <c r="D3" s="199"/>
      <c r="E3" s="199"/>
      <c r="F3" s="199"/>
      <c r="G3" s="199"/>
      <c r="H3" s="199"/>
      <c r="I3" s="199"/>
      <c r="J3" s="199"/>
      <c r="K3" s="200"/>
    </row>
    <row r="4" spans="2:11" ht="15">
      <c r="B4" s="195"/>
      <c r="C4" s="201"/>
      <c r="D4" s="202" t="s">
        <v>81</v>
      </c>
      <c r="E4" s="201"/>
      <c r="F4" s="203"/>
      <c r="G4" s="203"/>
      <c r="H4" s="203"/>
      <c r="I4" s="203"/>
      <c r="J4" s="204"/>
      <c r="K4" s="205"/>
    </row>
    <row r="5" spans="2:11" ht="17.25" customHeight="1">
      <c r="B5" s="195"/>
      <c r="C5" s="206"/>
      <c r="D5" s="207" t="s">
        <v>114</v>
      </c>
      <c r="E5" s="203"/>
      <c r="F5" s="203"/>
      <c r="G5" s="203"/>
      <c r="H5" s="203"/>
      <c r="I5" s="203"/>
      <c r="J5" s="204"/>
      <c r="K5" s="205"/>
    </row>
    <row r="6" spans="2:11" ht="13" thickBot="1">
      <c r="B6" s="195"/>
      <c r="C6" s="204"/>
      <c r="D6" s="204"/>
      <c r="E6" s="204"/>
      <c r="F6" s="204"/>
      <c r="G6" s="204"/>
      <c r="H6" s="204"/>
      <c r="I6" s="204"/>
      <c r="J6" s="204"/>
      <c r="K6" s="205"/>
    </row>
    <row r="7" spans="2:11" ht="13.5" thickBot="1">
      <c r="B7" s="195"/>
      <c r="C7" s="37"/>
      <c r="D7" s="38"/>
      <c r="E7" s="208"/>
      <c r="F7" s="209" t="s">
        <v>22</v>
      </c>
      <c r="G7" s="298">
        <v>3.03</v>
      </c>
      <c r="H7" s="111" t="s">
        <v>42</v>
      </c>
      <c r="I7" s="111"/>
      <c r="J7" s="183"/>
      <c r="K7" s="205"/>
    </row>
    <row r="8" spans="2:11" ht="14.25" customHeight="1" thickBot="1">
      <c r="B8" s="195"/>
      <c r="C8" s="43"/>
      <c r="D8" s="44" t="s">
        <v>75</v>
      </c>
      <c r="E8" s="208"/>
      <c r="F8" s="209"/>
      <c r="G8" s="214"/>
      <c r="H8" s="204"/>
      <c r="I8" s="204"/>
      <c r="J8" s="215"/>
      <c r="K8" s="205"/>
    </row>
    <row r="9" spans="2:11" ht="18" thickBot="1">
      <c r="B9" s="195"/>
      <c r="C9" s="193" t="s">
        <v>85</v>
      </c>
      <c r="D9" s="46"/>
      <c r="E9" s="204"/>
      <c r="F9" s="210" t="s">
        <v>79</v>
      </c>
      <c r="G9" s="299">
        <v>13</v>
      </c>
      <c r="H9" s="41" t="s">
        <v>43</v>
      </c>
      <c r="I9" s="41"/>
      <c r="J9" s="115"/>
      <c r="K9" s="216">
        <v>96</v>
      </c>
    </row>
    <row r="10" spans="2:11" ht="14.25" customHeight="1">
      <c r="B10" s="195"/>
      <c r="C10" s="45"/>
      <c r="D10" s="46"/>
      <c r="E10" s="204"/>
      <c r="F10" s="211"/>
      <c r="G10" s="114"/>
      <c r="H10" s="41"/>
      <c r="I10" s="41"/>
      <c r="J10" s="186" t="s">
        <v>24</v>
      </c>
      <c r="K10" s="216"/>
    </row>
    <row r="11" spans="2:11" ht="19.25" customHeight="1">
      <c r="B11" s="196"/>
      <c r="C11" s="51" t="s">
        <v>27</v>
      </c>
      <c r="D11" s="46"/>
      <c r="E11" s="204"/>
      <c r="F11" s="210" t="s">
        <v>69</v>
      </c>
      <c r="G11" s="296">
        <f>+K11/10</f>
        <v>1</v>
      </c>
      <c r="H11" s="41"/>
      <c r="I11" s="41"/>
      <c r="J11" s="115"/>
      <c r="K11" s="216">
        <v>10</v>
      </c>
    </row>
    <row r="12" spans="2:11" ht="6" customHeight="1">
      <c r="B12" s="196"/>
      <c r="C12" s="51"/>
      <c r="D12" s="46"/>
      <c r="E12" s="204"/>
      <c r="F12" s="210"/>
      <c r="G12" s="119"/>
      <c r="H12" s="41"/>
      <c r="I12" s="41"/>
      <c r="J12" s="115"/>
      <c r="K12" s="216"/>
    </row>
    <row r="13" spans="2:11" ht="13">
      <c r="B13" s="196"/>
      <c r="C13" s="51" t="s">
        <v>28</v>
      </c>
      <c r="D13" s="46"/>
      <c r="E13" s="204"/>
      <c r="F13" s="210" t="s">
        <v>29</v>
      </c>
      <c r="G13" s="292">
        <f>+(K13/10)*(-1)</f>
        <v>-1.7</v>
      </c>
      <c r="H13" s="41"/>
      <c r="I13" s="41"/>
      <c r="J13" s="115"/>
      <c r="K13" s="216">
        <v>17</v>
      </c>
    </row>
    <row r="14" spans="2:11" ht="7.25" customHeight="1">
      <c r="B14" s="196"/>
      <c r="C14" s="51"/>
      <c r="D14" s="46"/>
      <c r="E14" s="204"/>
      <c r="F14" s="210"/>
      <c r="G14" s="120"/>
      <c r="H14" s="41"/>
      <c r="I14" s="41"/>
      <c r="J14" s="115"/>
      <c r="K14" s="216"/>
    </row>
    <row r="15" spans="2:11" ht="13">
      <c r="B15" s="196"/>
      <c r="C15" s="51" t="s">
        <v>30</v>
      </c>
      <c r="D15" s="46"/>
      <c r="E15" s="204"/>
      <c r="F15" s="210" t="s">
        <v>31</v>
      </c>
      <c r="G15" s="121">
        <v>1</v>
      </c>
      <c r="H15" s="41"/>
      <c r="I15" s="41"/>
      <c r="J15" s="115"/>
      <c r="K15" s="205"/>
    </row>
    <row r="16" spans="2:11" ht="5.4" customHeight="1">
      <c r="B16" s="196"/>
      <c r="C16" s="51"/>
      <c r="D16" s="46"/>
      <c r="E16" s="204"/>
      <c r="F16" s="210"/>
      <c r="G16" s="121"/>
      <c r="H16" s="41"/>
      <c r="I16" s="41"/>
      <c r="J16" s="115"/>
      <c r="K16" s="205"/>
    </row>
    <row r="17" spans="2:12" ht="13.5" thickBot="1">
      <c r="B17" s="196"/>
      <c r="C17" s="53" t="s">
        <v>32</v>
      </c>
      <c r="D17" s="54"/>
      <c r="E17" s="204"/>
      <c r="F17" s="210" t="s">
        <v>33</v>
      </c>
      <c r="G17" s="124">
        <v>-2</v>
      </c>
      <c r="H17" s="125"/>
      <c r="I17" s="125"/>
      <c r="J17" s="126"/>
      <c r="K17" s="205"/>
    </row>
    <row r="18" spans="2:12">
      <c r="B18" s="196"/>
      <c r="C18" s="204"/>
      <c r="D18" s="204"/>
      <c r="E18" s="204"/>
      <c r="F18" s="204"/>
      <c r="G18" s="204"/>
      <c r="H18" s="204"/>
      <c r="I18" s="204"/>
      <c r="J18" s="204"/>
      <c r="K18" s="205"/>
    </row>
    <row r="19" spans="2:12" ht="13.5" thickBot="1">
      <c r="B19" s="195"/>
      <c r="C19" s="204"/>
      <c r="D19" s="204"/>
      <c r="E19" s="204"/>
      <c r="F19" s="212" t="s">
        <v>14</v>
      </c>
      <c r="G19" s="212" t="s">
        <v>78</v>
      </c>
      <c r="H19" s="204"/>
      <c r="I19" s="204"/>
      <c r="J19" s="204"/>
      <c r="K19" s="205"/>
    </row>
    <row r="20" spans="2:12" ht="13">
      <c r="B20" s="196"/>
      <c r="C20" s="204"/>
      <c r="D20" s="180"/>
      <c r="E20" s="56"/>
      <c r="F20" s="57" t="s">
        <v>36</v>
      </c>
      <c r="G20" s="58" t="s">
        <v>80</v>
      </c>
      <c r="H20" s="59" t="s">
        <v>38</v>
      </c>
      <c r="I20" s="38"/>
      <c r="J20" s="204"/>
      <c r="K20" s="205"/>
    </row>
    <row r="21" spans="2:12" ht="20.5">
      <c r="B21" s="195"/>
      <c r="C21" s="204"/>
      <c r="D21" s="191" t="s">
        <v>26</v>
      </c>
      <c r="E21" s="219">
        <f>+D22*100</f>
        <v>42.456163851655724</v>
      </c>
      <c r="F21" s="61" t="s">
        <v>39</v>
      </c>
      <c r="G21" s="192" t="s">
        <v>77</v>
      </c>
      <c r="H21" s="63" t="s">
        <v>41</v>
      </c>
      <c r="I21" s="64"/>
      <c r="J21" s="204"/>
      <c r="K21" s="205"/>
    </row>
    <row r="22" spans="2:12" ht="14.5" thickBot="1">
      <c r="B22" s="195"/>
      <c r="C22" s="204"/>
      <c r="D22" s="141">
        <f>+(BulkResistivityManual/(a*Entered_Fluid_Res*(Sw^n)))^(1/b_cement)</f>
        <v>0.4245616385165572</v>
      </c>
      <c r="E22" s="66" t="s">
        <v>78</v>
      </c>
      <c r="F22" s="67">
        <f>+$G$7</f>
        <v>3.03</v>
      </c>
      <c r="G22" s="68">
        <f>+$G$9</f>
        <v>13</v>
      </c>
      <c r="H22" s="69">
        <f>1/F22*10^4</f>
        <v>3300.3300330033003</v>
      </c>
      <c r="I22" s="70"/>
      <c r="J22" s="204"/>
      <c r="K22" s="205"/>
    </row>
    <row r="23" spans="2:12" ht="23.4" customHeight="1">
      <c r="B23" s="197"/>
      <c r="C23" s="204"/>
      <c r="D23" s="204"/>
      <c r="E23" s="204"/>
      <c r="F23" s="204"/>
      <c r="G23" s="204"/>
      <c r="H23" s="218"/>
      <c r="I23" s="204"/>
      <c r="J23" s="204"/>
      <c r="K23" s="205"/>
    </row>
    <row r="24" spans="2:12" ht="13" thickBot="1">
      <c r="B24" s="198"/>
      <c r="C24" s="213" t="s">
        <v>78</v>
      </c>
      <c r="D24" s="213"/>
      <c r="E24" s="213"/>
      <c r="F24" s="213"/>
      <c r="G24" s="213"/>
      <c r="H24" s="213"/>
      <c r="I24" s="213"/>
      <c r="J24" s="213"/>
      <c r="K24" s="217"/>
    </row>
    <row r="26" spans="2:12">
      <c r="L26" t="s">
        <v>78</v>
      </c>
    </row>
    <row r="27" spans="2:12" ht="13">
      <c r="D27" s="190"/>
    </row>
  </sheetData>
  <sheetProtection formatCells="0" formatColumns="0" formatRows="0" insertColumns="0" insertRows="0" deleteColumns="0" deleteRows="0"/>
  <dataValidations count="7">
    <dataValidation type="decimal" errorStyle="warning" operator="equal" allowBlank="1" showInputMessage="1" showErrorMessage="1" errorTitle="usually -2" error="Please do not change. " promptTitle="Assumed to be -2" prompt="please do not change" sqref="G17" xr:uid="{3A2609B3-5B05-4671-B502-F015A6F8F13D}">
      <formula1>-2</formula1>
    </dataValidation>
    <dataValidation type="whole" operator="equal" allowBlank="1" showInputMessage="1" showErrorMessage="1" errorTitle="Saturation " error="should be one." prompt="This assumes full saturation. Please do not change" sqref="G15" xr:uid="{961050ED-EBAE-458B-B231-9F14C5294042}">
      <formula1>1</formula1>
    </dataValidation>
    <dataValidation type="decimal" errorStyle="warning" allowBlank="1" showInputMessage="1" showErrorMessage="1" errorTitle="a" error="this tortuosity value is generally between 0.4 and 2" promptTitle="a, tortuosity value" prompt="is  computed based on slider bar to right" sqref="G11" xr:uid="{0CB9719E-148B-4708-AD82-1A519139375F}">
      <formula1>0.4</formula1>
      <formula2>2</formula2>
    </dataValidation>
    <dataValidation allowBlank="1" showInputMessage="1" showErrorMessage="1" promptTitle="cementation " prompt="value computed based on slider bar to right" sqref="G13" xr:uid="{7117C495-397F-4363-A1EC-F2BB141D7A58}"/>
    <dataValidation type="decimal" operator="greaterThan" allowBlank="1" showInputMessage="1" showErrorMessage="1" errorTitle="Porosity" error="should be a decimal value between 0 and 1.0" promptTitle="Bulk Res" prompt="Enter bulk resistivty (in ohm-m) " sqref="G9" xr:uid="{0C8EFC2D-7173-4C7E-8F91-C6D06144DC1E}">
      <formula1>0</formula1>
    </dataValidation>
    <dataValidation allowBlank="1" showInputMessage="1" showErrorMessage="1" promptTitle="do not change" prompt="These are calculated values" sqref="D22:H22" xr:uid="{F29FCC32-C317-4219-B6C6-A62A293E1E05}"/>
    <dataValidation type="decimal" operator="greaterThan" allowBlank="1" showInputMessage="1" showErrorMessage="1" promptTitle="Fluid Resistivity" prompt="Enter Fluid Resistivity" sqref="G7" xr:uid="{C48B02B1-A5A7-4270-8039-3C0066BF969F}">
      <formula1>0</formula1>
    </dataValidation>
  </dataValidation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Scroll Bar 1">
              <controlPr locked="0" defaultSize="0" autoPict="0" altText="scroll bar">
                <anchor moveWithCells="1">
                  <from>
                    <xdr:col>7</xdr:col>
                    <xdr:colOff>101600</xdr:colOff>
                    <xdr:row>10</xdr:row>
                    <xdr:rowOff>76200</xdr:rowOff>
                  </from>
                  <to>
                    <xdr:col>9</xdr:col>
                    <xdr:colOff>234950</xdr:colOff>
                    <xdr:row>11</xdr:row>
                    <xdr:rowOff>0</xdr:rowOff>
                  </to>
                </anchor>
              </controlPr>
            </control>
          </mc:Choice>
        </mc:AlternateContent>
        <mc:AlternateContent xmlns:mc="http://schemas.openxmlformats.org/markup-compatibility/2006">
          <mc:Choice Requires="x14">
            <control shapeId="10242" r:id="rId5" name="Scroll Bar 2">
              <controlPr locked="0" defaultSize="0" autoPict="0" altText="scroll bar">
                <anchor moveWithCells="1">
                  <from>
                    <xdr:col>7</xdr:col>
                    <xdr:colOff>76200</xdr:colOff>
                    <xdr:row>12</xdr:row>
                    <xdr:rowOff>31750</xdr:rowOff>
                  </from>
                  <to>
                    <xdr:col>9</xdr:col>
                    <xdr:colOff>234950</xdr:colOff>
                    <xdr:row>13</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FA9F9-E17B-4C6A-BE8B-693E98D68AE0}">
  <sheetPr>
    <tabColor theme="5" tint="0.79998168889431442"/>
  </sheetPr>
  <dimension ref="C35:D35"/>
  <sheetViews>
    <sheetView showGridLines="0" topLeftCell="A3" zoomScaleNormal="100" workbookViewId="0">
      <selection activeCell="H26" sqref="H26"/>
    </sheetView>
  </sheetViews>
  <sheetFormatPr defaultRowHeight="12.5"/>
  <cols>
    <col min="1" max="1" width="3.6328125" customWidth="1"/>
  </cols>
  <sheetData>
    <row r="35" spans="3:4">
      <c r="C35" t="s">
        <v>110</v>
      </c>
      <c r="D35" t="s">
        <v>111</v>
      </c>
    </row>
  </sheetData>
  <sheetProtection formatCells="0" formatColumns="0" formatRows="0" insertColumns="0" insertRows="0" deleteColumns="0" deleteRows="0"/>
  <pageMargins left="0.75" right="0.75" top="1" bottom="1" header="0.5" footer="0.5"/>
  <pageSetup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39</vt:i4>
      </vt:variant>
    </vt:vector>
  </HeadingPairs>
  <TitlesOfParts>
    <vt:vector size="49" baseType="lpstr">
      <vt:lpstr>INTRO</vt:lpstr>
      <vt:lpstr>Units</vt:lpstr>
      <vt:lpstr>Slide(fresh)</vt:lpstr>
      <vt:lpstr>Slide(salty)</vt:lpstr>
      <vt:lpstr>All-in-One</vt:lpstr>
      <vt:lpstr>BulkRes-manual</vt:lpstr>
      <vt:lpstr>FlRes-manual</vt:lpstr>
      <vt:lpstr>Porosity-manual</vt:lpstr>
      <vt:lpstr>Resistivity</vt:lpstr>
      <vt:lpstr>Supporting information</vt:lpstr>
      <vt:lpstr>'BulkRes-manual'!a</vt:lpstr>
      <vt:lpstr>'FlRes-manual'!a</vt:lpstr>
      <vt:lpstr>'Porosity-manual'!a</vt:lpstr>
      <vt:lpstr>'Slide(fresh)'!a</vt:lpstr>
      <vt:lpstr>a</vt:lpstr>
      <vt:lpstr>'BulkRes-manual'!b_cement</vt:lpstr>
      <vt:lpstr>'FlRes-manual'!b_cement</vt:lpstr>
      <vt:lpstr>'Porosity-manual'!b_cement</vt:lpstr>
      <vt:lpstr>'Slide(fresh)'!b_cement</vt:lpstr>
      <vt:lpstr>b_cement</vt:lpstr>
      <vt:lpstr>'Porosity-manual'!BulkResistivityManual</vt:lpstr>
      <vt:lpstr>ComputedFlRes</vt:lpstr>
      <vt:lpstr>Entered_Bulk_Res</vt:lpstr>
      <vt:lpstr>'FlRes-manual'!Entered_Fluid_Res</vt:lpstr>
      <vt:lpstr>'Porosity-manual'!Entered_Fluid_Res</vt:lpstr>
      <vt:lpstr>Entered_Fluid_Res</vt:lpstr>
      <vt:lpstr>'FlRes-manual'!Entered_Porosity</vt:lpstr>
      <vt:lpstr>'Porosity-manual'!Entered_Porosity</vt:lpstr>
      <vt:lpstr>Entered_Porosity</vt:lpstr>
      <vt:lpstr>'BulkRes-manual'!Fl_Res</vt:lpstr>
      <vt:lpstr>'FlRes-manual'!Fl_Res</vt:lpstr>
      <vt:lpstr>'Porosity-manual'!Fl_Res</vt:lpstr>
      <vt:lpstr>'Slide(fresh)'!Fl_Res</vt:lpstr>
      <vt:lpstr>Fl_Res</vt:lpstr>
      <vt:lpstr>'BulkRes-manual'!n</vt:lpstr>
      <vt:lpstr>'FlRes-manual'!n</vt:lpstr>
      <vt:lpstr>'Porosity-manual'!n</vt:lpstr>
      <vt:lpstr>'Slide(fresh)'!n</vt:lpstr>
      <vt:lpstr>n</vt:lpstr>
      <vt:lpstr>'BulkRes-manual'!porosity</vt:lpstr>
      <vt:lpstr>'FlRes-manual'!porosity</vt:lpstr>
      <vt:lpstr>'Porosity-manual'!porosity</vt:lpstr>
      <vt:lpstr>'Slide(fresh)'!porosity</vt:lpstr>
      <vt:lpstr>porosity</vt:lpstr>
      <vt:lpstr>'BulkRes-manual'!Sw</vt:lpstr>
      <vt:lpstr>'FlRes-manual'!Sw</vt:lpstr>
      <vt:lpstr>'Porosity-manual'!Sw</vt:lpstr>
      <vt:lpstr>'Slide(fresh)'!Sw</vt:lpstr>
      <vt:lpstr>Sw</vt:lpstr>
    </vt:vector>
  </TitlesOfParts>
  <Company>USGS-OGW-BG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Archies Law Excel Utility</dc:title>
  <dc:subject>training tool</dc:subject>
  <dc:creator>USGS-OGW-BG, Carole Johnson</dc:creator>
  <cp:keywords>archie, TDS scale, fluid resistivity</cp:keywords>
  <cp:lastModifiedBy>Werkema, Dale</cp:lastModifiedBy>
  <cp:lastPrinted>2019-05-01T20:48:56Z</cp:lastPrinted>
  <dcterms:created xsi:type="dcterms:W3CDTF">2014-02-14T16:49:45Z</dcterms:created>
  <dcterms:modified xsi:type="dcterms:W3CDTF">2023-01-13T16:54:30Z</dcterms:modified>
</cp:coreProperties>
</file>