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rtifile02\ehe\Projects\0217382-EPA_MME\0217382.012-Iron&amp;Steel\Data_and_Tools\Coke Ovens\Test Data Database 2022\Leaks\"/>
    </mc:Choice>
  </mc:AlternateContent>
  <xr:revisionPtr revIDLastSave="0" documentId="13_ncr:1_{3E0D5E68-CE75-4428-AAF1-AB6A9CFA77D3}" xr6:coauthVersionLast="47" xr6:coauthVersionMax="47" xr10:uidLastSave="{00000000-0000-0000-0000-000000000000}"/>
  <bookViews>
    <workbookView xWindow="-120" yWindow="-120" windowWidth="29040" windowHeight="15840" tabRatio="880" xr2:uid="{31F78AF5-AA83-44FF-A139-1C353BEB6FDD}"/>
  </bookViews>
  <sheets>
    <sheet name="2022 % of limit" sheetId="28" r:id="rId1"/>
    <sheet name="2022 New Door Eqn" sheetId="23" r:id="rId2"/>
    <sheet name="2022 Original Door Eqn" sheetId="24" r:id="rId3"/>
    <sheet name="2016 New Door Eqn" sheetId="19" r:id="rId4"/>
    <sheet name="2016 Original Door Eqn" sheetId="18" r:id="rId5"/>
    <sheet name="2022 Part C. Q1" sheetId="25" r:id="rId6"/>
    <sheet name="2022 Part C. Q2" sheetId="20" r:id="rId7"/>
    <sheet name="2016 Part VI BL Q89" sheetId="22" r:id="rId8"/>
  </sheets>
  <externalReferences>
    <externalReference r:id="rId9"/>
    <externalReference r:id="rId10"/>
    <externalReference r:id="rId11"/>
    <externalReference r:id="rId12"/>
    <externalReference r:id="rId13"/>
  </externalReferences>
  <definedNames>
    <definedName name="\Z" localSheetId="6">#REF!</definedName>
    <definedName name="\Z">#REF!</definedName>
    <definedName name="_xlnm._FilterDatabase" localSheetId="3" hidden="1">'2016 New Door Eqn'!$B$3:$AW$30</definedName>
    <definedName name="_xlnm._FilterDatabase" localSheetId="4" hidden="1">'2016 Original Door Eqn'!$B$3:$AW$30</definedName>
    <definedName name="_xlnm._FilterDatabase" localSheetId="0" hidden="1">'2022 % of limit'!$B$3:$BL$30</definedName>
    <definedName name="_xlnm._FilterDatabase" localSheetId="1" hidden="1">'2022 New Door Eqn'!$B$3:$AQ$30</definedName>
    <definedName name="_xlnm._FilterDatabase" localSheetId="2" hidden="1">'2022 Original Door Eqn'!$B$3:$AO$30</definedName>
    <definedName name="Boiler_ID">'[1]Process Unit Information'!$C$2</definedName>
    <definedName name="CameraOpacity">'[2]C-2. Opacity Camera'!#REF!</definedName>
    <definedName name="CEMs">'[2]C-4. Opacity COMS Hourly'!#REF!</definedName>
    <definedName name="CH4_Method">[1]Picklists!$B$55:$B$56</definedName>
    <definedName name="ClFl_Units">[1]Picklists!#REF!</definedName>
    <definedName name="ClFl_Units_Table">[1]Picklists!#REF!</definedName>
    <definedName name="CO_Method">[1]Picklists!$B$46:$B$47</definedName>
    <definedName name="CO_test_method">'[1]CO Emission Data'!$G$25</definedName>
    <definedName name="COG">'[2]C-9. COG Tests'!#REF!</definedName>
    <definedName name="Control_Config">[1]Picklists!$B$96:$B$97</definedName>
    <definedName name="Control_Dev_Conf">'[3]Drop Down List Source'!$A$1:$A$11</definedName>
    <definedName name="Control_Forms">'[1]Process Unit Information'!$D$9:$D$17</definedName>
    <definedName name="Exhaust_Flow_Rate_Unit">[1]Picklists!$B$29:$B$30</definedName>
    <definedName name="Exhaust_Temp_Unit">[1]Picklists!$B$34:$B$35</definedName>
    <definedName name="Facility_Code">'[1]Process Unit Information'!$A$2</definedName>
    <definedName name="Facility_Name">'[3]Process Unit Information'!$B$2</definedName>
    <definedName name="Facility_NEI_ID">'[3]Process Unit Information'!$A$2</definedName>
    <definedName name="Flow_Units">'[3]Drop Down List Source'!$A$23:$A$24</definedName>
    <definedName name="Formald_Method">[1]Picklists!$B$51</definedName>
    <definedName name="Fuel_Choice">[1]Picklists!$B$3:$B$12</definedName>
    <definedName name="Fuel_Input_Method">[1]Picklists!$B$39:$B$42</definedName>
    <definedName name="Fuel_Input_Unit">[1]Picklists!$B$21:$B$25</definedName>
    <definedName name="Fuels_nogas">[4]Lookup!$C$2:$C$135</definedName>
    <definedName name="HCN_Method">[1]Picklists!$B$76</definedName>
    <definedName name="Hex_Chrom_Method">'[3]Drop Down List Source'!$A$17</definedName>
    <definedName name="HF_HCL_Method">'[3]Drop Down List Source'!$A$19</definedName>
    <definedName name="Hg_Method">[1]Picklists!$B$64</definedName>
    <definedName name="HHV_Units">[1]Picklists!#REF!</definedName>
    <definedName name="HHV_Units_Table">[1]Picklists!#REF!</definedName>
    <definedName name="M9Opacity">'[2]C-1. Opacity M9'!#REF!</definedName>
    <definedName name="Material">'[2]C-7. Material Tests'!#REF!</definedName>
    <definedName name="Mercury_Method">'[3]Drop Down List Source'!$A$15</definedName>
    <definedName name="Metals_Units">[1]Picklists!#REF!</definedName>
    <definedName name="Metals_Units_Table">[1]Picklists!#REF!</definedName>
    <definedName name="Method_318">'[3]Drop Down List Source'!$A$13</definedName>
    <definedName name="NOX_Method">[1]Picklists!$B$84:$B$88</definedName>
    <definedName name="O2_CO2_Method">'[3]Drop Down List Source'!$A$21</definedName>
    <definedName name="Ontario_Hydro">[1]Picklists!$B$101</definedName>
    <definedName name="PAH" localSheetId="6">#REF!</definedName>
    <definedName name="PAH">#REF!</definedName>
    <definedName name="Process_Line_Served_ID">'[3]Process Unit Information'!$E$2</definedName>
    <definedName name="Process_Unit_ID">'[3]Process Unit Information'!$D$2</definedName>
    <definedName name="Run_Process_Data">'[2]B-1. Table 2 Run Process Data'!#REF!</definedName>
    <definedName name="Samp1">'[1]Process Unit Information'!#REF!</definedName>
    <definedName name="Samp2">'[1]Process Unit Information'!#REF!</definedName>
    <definedName name="Samp3">'[1]Process Unit Information'!#REF!</definedName>
    <definedName name="select_fuel_input_units">[5]Sheet2!$C$9:$C$15</definedName>
    <definedName name="SemiVol_HAP_Method">[1]Picklists!$B$72</definedName>
    <definedName name="SO2_Method">[1]Picklists!$B$60</definedName>
    <definedName name="SVol_Org_HAP">[1]Picklists!$G$4:$G$243</definedName>
    <definedName name="TDS_TSS_Method">[1]Picklists!$B$92:$B$93</definedName>
    <definedName name="TDSWater">'[2]C-5. TDS Water Tests'!#REF!</definedName>
    <definedName name="Temp_Units">'[3]Drop Down List Source'!$A$26:$A$27</definedName>
    <definedName name="VE303Op">#REF!</definedName>
    <definedName name="Vol_Org_HAP">[1]Picklists!$D$4:$D$111</definedName>
    <definedName name="Volatile_HAP_Method">[1]Picklists!$B$68</definedName>
    <definedName name="Water">'[2]C-6. Other Water Tests'!#REF!</definedName>
    <definedName name="Yes_No">[5]Sheet2!$J$23:$J$24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8" i="23" l="1"/>
  <c r="W25" i="23"/>
  <c r="W15" i="23"/>
  <c r="W14" i="23"/>
  <c r="W13" i="23"/>
  <c r="W11" i="23"/>
  <c r="W9" i="23"/>
  <c r="W8" i="23"/>
  <c r="AO28" i="23"/>
  <c r="AO25" i="23"/>
  <c r="AO15" i="23"/>
  <c r="AO14" i="23"/>
  <c r="AO13" i="23"/>
  <c r="AO11" i="23"/>
  <c r="AO9" i="23"/>
  <c r="AO8" i="23"/>
  <c r="AG28" i="23"/>
  <c r="AG25" i="23"/>
  <c r="AG15" i="23"/>
  <c r="AG14" i="23"/>
  <c r="AG13" i="23"/>
  <c r="AG11" i="23"/>
  <c r="AG9" i="23"/>
  <c r="AG8" i="23"/>
  <c r="W28" i="24"/>
  <c r="W25" i="24"/>
  <c r="W15" i="24"/>
  <c r="W14" i="24"/>
  <c r="W13" i="24"/>
  <c r="W11" i="24"/>
  <c r="W9" i="24"/>
  <c r="W8" i="24"/>
  <c r="T8" i="28" l="1"/>
  <c r="AC28" i="28"/>
  <c r="AC25" i="28"/>
  <c r="AC15" i="28"/>
  <c r="AC14" i="28"/>
  <c r="AC13" i="28"/>
  <c r="AC11" i="28"/>
  <c r="AC9" i="28"/>
  <c r="AC8" i="28"/>
  <c r="AC4" i="28"/>
  <c r="AH28" i="28"/>
  <c r="AH25" i="28"/>
  <c r="AH15" i="28"/>
  <c r="Y23" i="28" s="1"/>
  <c r="AH14" i="28"/>
  <c r="AH13" i="28"/>
  <c r="AH11" i="28"/>
  <c r="AH9" i="28"/>
  <c r="AH8" i="28"/>
  <c r="BJ28" i="28"/>
  <c r="BB28" i="28" s="1"/>
  <c r="BJ25" i="28"/>
  <c r="BB25" i="28" s="1"/>
  <c r="BJ15" i="28"/>
  <c r="BB15" i="28" s="1"/>
  <c r="BJ14" i="28"/>
  <c r="BB14" i="28" s="1"/>
  <c r="BJ13" i="28"/>
  <c r="BB13" i="28" s="1"/>
  <c r="BJ11" i="28"/>
  <c r="BB11" i="28" s="1"/>
  <c r="BJ9" i="28"/>
  <c r="BB9" i="28" s="1"/>
  <c r="BJ8" i="28"/>
  <c r="BB8" i="28" s="1"/>
  <c r="AW28" i="28" l="1"/>
  <c r="AO28" i="28" s="1"/>
  <c r="AW25" i="28"/>
  <c r="AO25" i="28" s="1"/>
  <c r="AW15" i="28"/>
  <c r="AO15" i="28" s="1"/>
  <c r="AW14" i="28"/>
  <c r="AO14" i="28" s="1"/>
  <c r="AW13" i="28"/>
  <c r="AO13" i="28" s="1"/>
  <c r="AW11" i="28"/>
  <c r="AO11" i="28" s="1"/>
  <c r="AW9" i="28"/>
  <c r="AO9" i="28" s="1"/>
  <c r="AW8" i="28"/>
  <c r="AO8" i="28" s="1"/>
  <c r="T28" i="28"/>
  <c r="N28" i="28" s="1"/>
  <c r="T25" i="28"/>
  <c r="N25" i="28" s="1"/>
  <c r="T15" i="28"/>
  <c r="N15" i="28" s="1"/>
  <c r="T14" i="28"/>
  <c r="N14" i="28" s="1"/>
  <c r="T13" i="28"/>
  <c r="N13" i="28" s="1"/>
  <c r="T11" i="28"/>
  <c r="N11" i="28" s="1"/>
  <c r="T9" i="28"/>
  <c r="N9" i="28" s="1"/>
  <c r="N8" i="28"/>
  <c r="Y28" i="28"/>
  <c r="Y25" i="28"/>
  <c r="Y15" i="28"/>
  <c r="Y14" i="28"/>
  <c r="Y13" i="28"/>
  <c r="Y11" i="28"/>
  <c r="Y9" i="28"/>
  <c r="Y8" i="28"/>
  <c r="BK30" i="28"/>
  <c r="AX30" i="28"/>
  <c r="AK30" i="28"/>
  <c r="AI30" i="28"/>
  <c r="V30" i="28"/>
  <c r="U30" i="28"/>
  <c r="J30" i="28"/>
  <c r="BH30" i="28" s="1"/>
  <c r="I30" i="28"/>
  <c r="AU30" i="28" s="1"/>
  <c r="H30" i="28"/>
  <c r="AF30" i="28" s="1"/>
  <c r="BK29" i="28"/>
  <c r="AX29" i="28"/>
  <c r="AK29" i="28"/>
  <c r="AI29" i="28"/>
  <c r="V29" i="28"/>
  <c r="U29" i="28"/>
  <c r="J29" i="28"/>
  <c r="BH29" i="28" s="1"/>
  <c r="I29" i="28"/>
  <c r="AU29" i="28" s="1"/>
  <c r="H29" i="28"/>
  <c r="AF29" i="28" s="1"/>
  <c r="BK28" i="28"/>
  <c r="AX28" i="28"/>
  <c r="AK28" i="28"/>
  <c r="AI28" i="28"/>
  <c r="V28" i="28"/>
  <c r="U28" i="28"/>
  <c r="J28" i="28"/>
  <c r="BH28" i="28" s="1"/>
  <c r="I28" i="28"/>
  <c r="AU28" i="28" s="1"/>
  <c r="H28" i="28"/>
  <c r="AF28" i="28" s="1"/>
  <c r="BK27" i="28"/>
  <c r="BH27" i="28"/>
  <c r="AX27" i="28"/>
  <c r="AK27" i="28"/>
  <c r="AI27" i="28"/>
  <c r="V27" i="28"/>
  <c r="U27" i="28"/>
  <c r="I27" i="28"/>
  <c r="AU27" i="28" s="1"/>
  <c r="H27" i="28"/>
  <c r="AF27" i="28" s="1"/>
  <c r="BK26" i="28"/>
  <c r="BH26" i="28"/>
  <c r="AX26" i="28"/>
  <c r="AK26" i="28"/>
  <c r="AI26" i="28"/>
  <c r="V26" i="28"/>
  <c r="U26" i="28"/>
  <c r="I26" i="28"/>
  <c r="AU26" i="28" s="1"/>
  <c r="H26" i="28"/>
  <c r="AF26" i="28" s="1"/>
  <c r="BK25" i="28"/>
  <c r="BH25" i="28"/>
  <c r="AX25" i="28"/>
  <c r="AK25" i="28"/>
  <c r="AI25" i="28"/>
  <c r="V25" i="28"/>
  <c r="U25" i="28"/>
  <c r="I25" i="28"/>
  <c r="AU25" i="28" s="1"/>
  <c r="H25" i="28"/>
  <c r="AF25" i="28" s="1"/>
  <c r="BK24" i="28"/>
  <c r="BH24" i="28"/>
  <c r="AX24" i="28"/>
  <c r="AK24" i="28"/>
  <c r="AI24" i="28"/>
  <c r="V24" i="28"/>
  <c r="U24" i="28"/>
  <c r="I24" i="28"/>
  <c r="AU24" i="28" s="1"/>
  <c r="H24" i="28"/>
  <c r="AF24" i="28" s="1"/>
  <c r="BK23" i="28"/>
  <c r="AX23" i="28"/>
  <c r="AK23" i="28"/>
  <c r="AI23" i="28"/>
  <c r="V23" i="28"/>
  <c r="U23" i="28"/>
  <c r="J23" i="28"/>
  <c r="BH23" i="28" s="1"/>
  <c r="I23" i="28"/>
  <c r="AU23" i="28" s="1"/>
  <c r="H23" i="28"/>
  <c r="AF23" i="28" s="1"/>
  <c r="BK22" i="28"/>
  <c r="AX22" i="28"/>
  <c r="AK22" i="28"/>
  <c r="AI22" i="28"/>
  <c r="V22" i="28"/>
  <c r="K22" i="28"/>
  <c r="U22" i="28" s="1"/>
  <c r="J22" i="28"/>
  <c r="BH22" i="28" s="1"/>
  <c r="I22" i="28"/>
  <c r="AU22" i="28" s="1"/>
  <c r="H22" i="28"/>
  <c r="AF22" i="28" s="1"/>
  <c r="BK21" i="28"/>
  <c r="AX21" i="28"/>
  <c r="AK21" i="28"/>
  <c r="AI21" i="28"/>
  <c r="V21" i="28"/>
  <c r="K21" i="28"/>
  <c r="U21" i="28" s="1"/>
  <c r="J21" i="28"/>
  <c r="BH21" i="28" s="1"/>
  <c r="I21" i="28"/>
  <c r="AU21" i="28" s="1"/>
  <c r="H21" i="28"/>
  <c r="AF21" i="28" s="1"/>
  <c r="BK20" i="28"/>
  <c r="AX20" i="28"/>
  <c r="AK20" i="28"/>
  <c r="AI20" i="28"/>
  <c r="V20" i="28"/>
  <c r="R20" i="28" s="1"/>
  <c r="P20" i="28" s="1"/>
  <c r="O20" i="28" s="1"/>
  <c r="J20" i="28"/>
  <c r="BH20" i="28" s="1"/>
  <c r="I20" i="28"/>
  <c r="AU20" i="28" s="1"/>
  <c r="H20" i="28"/>
  <c r="AF20" i="28" s="1"/>
  <c r="BK19" i="28"/>
  <c r="AX19" i="28"/>
  <c r="AK19" i="28"/>
  <c r="AI19" i="28"/>
  <c r="V19" i="28"/>
  <c r="K19" i="28"/>
  <c r="U19" i="28" s="1"/>
  <c r="J19" i="28"/>
  <c r="BH19" i="28" s="1"/>
  <c r="I19" i="28"/>
  <c r="AU19" i="28" s="1"/>
  <c r="H19" i="28"/>
  <c r="AF19" i="28" s="1"/>
  <c r="BK18" i="28"/>
  <c r="AX18" i="28"/>
  <c r="AK18" i="28"/>
  <c r="AI18" i="28"/>
  <c r="V18" i="28"/>
  <c r="K18" i="28"/>
  <c r="U18" i="28" s="1"/>
  <c r="J18" i="28"/>
  <c r="BH18" i="28" s="1"/>
  <c r="I18" i="28"/>
  <c r="AU18" i="28" s="1"/>
  <c r="H18" i="28"/>
  <c r="AF18" i="28" s="1"/>
  <c r="BK17" i="28"/>
  <c r="AX17" i="28"/>
  <c r="AK17" i="28"/>
  <c r="AI17" i="28"/>
  <c r="V17" i="28"/>
  <c r="K17" i="28"/>
  <c r="U17" i="28" s="1"/>
  <c r="J17" i="28"/>
  <c r="BH17" i="28" s="1"/>
  <c r="I17" i="28"/>
  <c r="AU17" i="28" s="1"/>
  <c r="H17" i="28"/>
  <c r="AF17" i="28" s="1"/>
  <c r="BK16" i="28"/>
  <c r="AX16" i="28"/>
  <c r="AK16" i="28"/>
  <c r="AI16" i="28"/>
  <c r="V16" i="28"/>
  <c r="K16" i="28"/>
  <c r="U16" i="28" s="1"/>
  <c r="J16" i="28"/>
  <c r="BH16" i="28" s="1"/>
  <c r="I16" i="28"/>
  <c r="AU16" i="28" s="1"/>
  <c r="H16" i="28"/>
  <c r="AF16" i="28" s="1"/>
  <c r="BK15" i="28"/>
  <c r="AX15" i="28"/>
  <c r="AK15" i="28"/>
  <c r="AI15" i="28"/>
  <c r="V15" i="28"/>
  <c r="K15" i="28"/>
  <c r="U15" i="28" s="1"/>
  <c r="J15" i="28"/>
  <c r="BH15" i="28" s="1"/>
  <c r="I15" i="28"/>
  <c r="AU15" i="28" s="1"/>
  <c r="H15" i="28"/>
  <c r="AF15" i="28" s="1"/>
  <c r="BK14" i="28"/>
  <c r="BH14" i="28"/>
  <c r="AX14" i="28"/>
  <c r="AK14" i="28"/>
  <c r="AI14" i="28"/>
  <c r="AF14" i="28"/>
  <c r="V14" i="28"/>
  <c r="U14" i="28"/>
  <c r="I14" i="28"/>
  <c r="AU14" i="28" s="1"/>
  <c r="BK13" i="28"/>
  <c r="BH13" i="28"/>
  <c r="AX13" i="28"/>
  <c r="AK13" i="28"/>
  <c r="AI13" i="28"/>
  <c r="AF13" i="28"/>
  <c r="V13" i="28"/>
  <c r="U13" i="28"/>
  <c r="I13" i="28"/>
  <c r="AU13" i="28" s="1"/>
  <c r="BK12" i="28"/>
  <c r="BH12" i="28"/>
  <c r="AX12" i="28"/>
  <c r="AK12" i="28"/>
  <c r="AI12" i="28"/>
  <c r="AF12" i="28"/>
  <c r="V12" i="28"/>
  <c r="K12" i="28"/>
  <c r="U12" i="28" s="1"/>
  <c r="I12" i="28"/>
  <c r="AU12" i="28" s="1"/>
  <c r="BK11" i="28"/>
  <c r="BH11" i="28"/>
  <c r="AX11" i="28"/>
  <c r="AK11" i="28"/>
  <c r="AI11" i="28"/>
  <c r="AF11" i="28"/>
  <c r="V11" i="28"/>
  <c r="K11" i="28"/>
  <c r="U11" i="28" s="1"/>
  <c r="I11" i="28"/>
  <c r="AU11" i="28" s="1"/>
  <c r="BK10" i="28"/>
  <c r="BH10" i="28"/>
  <c r="AX10" i="28"/>
  <c r="AK10" i="28"/>
  <c r="AI10" i="28"/>
  <c r="AF10" i="28"/>
  <c r="V10" i="28"/>
  <c r="U10" i="28"/>
  <c r="I10" i="28"/>
  <c r="AU10" i="28" s="1"/>
  <c r="BK9" i="28"/>
  <c r="BH9" i="28"/>
  <c r="AX9" i="28"/>
  <c r="AK9" i="28"/>
  <c r="AI9" i="28"/>
  <c r="AF9" i="28"/>
  <c r="V9" i="28"/>
  <c r="U9" i="28"/>
  <c r="I9" i="28"/>
  <c r="AU9" i="28" s="1"/>
  <c r="BK8" i="28"/>
  <c r="BH8" i="28"/>
  <c r="AX8" i="28"/>
  <c r="AK8" i="28"/>
  <c r="AI8" i="28"/>
  <c r="AF8" i="28"/>
  <c r="V8" i="28"/>
  <c r="U8" i="28"/>
  <c r="I8" i="28"/>
  <c r="AU8" i="28" s="1"/>
  <c r="BK7" i="28"/>
  <c r="BH7" i="28"/>
  <c r="AX7" i="28"/>
  <c r="AK7" i="28"/>
  <c r="AI7" i="28"/>
  <c r="V7" i="28"/>
  <c r="U7" i="28"/>
  <c r="I7" i="28"/>
  <c r="AU7" i="28" s="1"/>
  <c r="H7" i="28"/>
  <c r="AF7" i="28" s="1"/>
  <c r="BI6" i="28"/>
  <c r="BK6" i="28" s="1"/>
  <c r="BH6" i="28"/>
  <c r="AV6" i="28"/>
  <c r="AX6" i="28" s="1"/>
  <c r="AK6" i="28"/>
  <c r="AG6" i="28"/>
  <c r="AI6" i="28" s="1"/>
  <c r="AF6" i="28"/>
  <c r="V6" i="28"/>
  <c r="S6" i="28"/>
  <c r="I6" i="28"/>
  <c r="AU6" i="28" s="1"/>
  <c r="BI5" i="28"/>
  <c r="BH5" i="28"/>
  <c r="AV5" i="28"/>
  <c r="AX5" i="28" s="1"/>
  <c r="AK5" i="28"/>
  <c r="AG5" i="28"/>
  <c r="AF5" i="28"/>
  <c r="V5" i="28"/>
  <c r="S5" i="28"/>
  <c r="I5" i="28"/>
  <c r="AU5" i="28" s="1"/>
  <c r="BK4" i="28"/>
  <c r="BH4" i="28"/>
  <c r="AX4" i="28"/>
  <c r="AK4" i="28"/>
  <c r="AI4" i="28"/>
  <c r="V4" i="28"/>
  <c r="U4" i="28"/>
  <c r="U6" i="28" s="1"/>
  <c r="I4" i="28"/>
  <c r="AU4" i="28" s="1"/>
  <c r="H4" i="28"/>
  <c r="AF4" i="28" s="1"/>
  <c r="T4" i="28" l="1"/>
  <c r="N4" i="28" s="1"/>
  <c r="AI5" i="28"/>
  <c r="AE5" i="28" s="1"/>
  <c r="Z5" i="28" s="1"/>
  <c r="AH4" i="28"/>
  <c r="BK5" i="28"/>
  <c r="BG5" i="28" s="1"/>
  <c r="BD5" i="28" s="1"/>
  <c r="BC5" i="28" s="1"/>
  <c r="BJ4" i="28"/>
  <c r="BB4" i="28" s="1"/>
  <c r="BG11" i="28"/>
  <c r="BD11" i="28" s="1"/>
  <c r="BC11" i="28" s="1"/>
  <c r="AT4" i="28"/>
  <c r="AQ4" i="28" s="1"/>
  <c r="AP4" i="28" s="1"/>
  <c r="AW4" i="28"/>
  <c r="AO4" i="28" s="1"/>
  <c r="AT28" i="28"/>
  <c r="AQ28" i="28" s="1"/>
  <c r="AP28" i="28" s="1"/>
  <c r="BG21" i="28"/>
  <c r="BD21" i="28" s="1"/>
  <c r="BC21" i="28" s="1"/>
  <c r="BG29" i="28"/>
  <c r="BD29" i="28" s="1"/>
  <c r="BC29" i="28" s="1"/>
  <c r="AT30" i="28"/>
  <c r="AQ30" i="28" s="1"/>
  <c r="AP30" i="28" s="1"/>
  <c r="R16" i="28"/>
  <c r="P16" i="28" s="1"/>
  <c r="O16" i="28" s="1"/>
  <c r="R12" i="28"/>
  <c r="P12" i="28" s="1"/>
  <c r="O12" i="28" s="1"/>
  <c r="BG14" i="28"/>
  <c r="BD14" i="28" s="1"/>
  <c r="R18" i="28"/>
  <c r="P18" i="28" s="1"/>
  <c r="O18" i="28" s="1"/>
  <c r="AT6" i="28"/>
  <c r="AQ6" i="28" s="1"/>
  <c r="AP6" i="28" s="1"/>
  <c r="BG22" i="28"/>
  <c r="BD22" i="28" s="1"/>
  <c r="BC22" i="28" s="1"/>
  <c r="AT23" i="28"/>
  <c r="AQ23" i="28" s="1"/>
  <c r="AP23" i="28" s="1"/>
  <c r="R29" i="28"/>
  <c r="P29" i="28" s="1"/>
  <c r="O29" i="28" s="1"/>
  <c r="BG30" i="28"/>
  <c r="BD30" i="28" s="1"/>
  <c r="BC30" i="28" s="1"/>
  <c r="AE7" i="28"/>
  <c r="Z7" i="28" s="1"/>
  <c r="AT16" i="28"/>
  <c r="AQ16" i="28" s="1"/>
  <c r="AP16" i="28" s="1"/>
  <c r="AE16" i="28"/>
  <c r="Z16" i="28" s="1"/>
  <c r="R19" i="28"/>
  <c r="P19" i="28" s="1"/>
  <c r="O19" i="28" s="1"/>
  <c r="AE6" i="28"/>
  <c r="Z6" i="28" s="1"/>
  <c r="R15" i="28"/>
  <c r="P15" i="28" s="1"/>
  <c r="O15" i="28" s="1"/>
  <c r="AT17" i="28"/>
  <c r="AQ17" i="28" s="1"/>
  <c r="AP17" i="28" s="1"/>
  <c r="AE24" i="28"/>
  <c r="Z24" i="28" s="1"/>
  <c r="R24" i="28"/>
  <c r="P24" i="28" s="1"/>
  <c r="O24" i="28" s="1"/>
  <c r="R25" i="28"/>
  <c r="P25" i="28" s="1"/>
  <c r="O25" i="28" s="1"/>
  <c r="AE11" i="28"/>
  <c r="Z11" i="28" s="1"/>
  <c r="R13" i="28"/>
  <c r="P13" i="28" s="1"/>
  <c r="AT20" i="28"/>
  <c r="AQ20" i="28" s="1"/>
  <c r="AP20" i="28" s="1"/>
  <c r="BG28" i="28"/>
  <c r="BD28" i="28" s="1"/>
  <c r="BC28" i="28" s="1"/>
  <c r="AT29" i="28"/>
  <c r="AQ29" i="28" s="1"/>
  <c r="AP29" i="28" s="1"/>
  <c r="AT18" i="28"/>
  <c r="AQ18" i="28" s="1"/>
  <c r="AP18" i="28" s="1"/>
  <c r="AT8" i="28"/>
  <c r="AQ8" i="28" s="1"/>
  <c r="BG9" i="28"/>
  <c r="BD9" i="28" s="1"/>
  <c r="BC9" i="28" s="1"/>
  <c r="AE19" i="28"/>
  <c r="Z19" i="28" s="1"/>
  <c r="BG23" i="28"/>
  <c r="BD23" i="28" s="1"/>
  <c r="BC23" i="28" s="1"/>
  <c r="AT24" i="28"/>
  <c r="AQ24" i="28" s="1"/>
  <c r="AP24" i="28" s="1"/>
  <c r="BG25" i="28"/>
  <c r="BD25" i="28" s="1"/>
  <c r="BC25" i="28" s="1"/>
  <c r="BG26" i="28"/>
  <c r="BD26" i="28" s="1"/>
  <c r="BC26" i="28" s="1"/>
  <c r="BG7" i="28"/>
  <c r="BD7" i="28" s="1"/>
  <c r="BC7" i="28" s="1"/>
  <c r="AT9" i="28"/>
  <c r="AQ9" i="28" s="1"/>
  <c r="AP9" i="28" s="1"/>
  <c r="AE4" i="28"/>
  <c r="Z4" i="28" s="1"/>
  <c r="AE8" i="28"/>
  <c r="Z8" i="28" s="1"/>
  <c r="AA8" i="28" s="1"/>
  <c r="R10" i="28"/>
  <c r="P10" i="28" s="1"/>
  <c r="O10" i="28" s="1"/>
  <c r="AT11" i="28"/>
  <c r="AQ11" i="28" s="1"/>
  <c r="AP11" i="28" s="1"/>
  <c r="R26" i="28"/>
  <c r="P26" i="28" s="1"/>
  <c r="O26" i="28" s="1"/>
  <c r="AT12" i="28"/>
  <c r="AQ12" i="28" s="1"/>
  <c r="AP12" i="28" s="1"/>
  <c r="BG12" i="28"/>
  <c r="BD12" i="28" s="1"/>
  <c r="BC12" i="28" s="1"/>
  <c r="AE17" i="28"/>
  <c r="Z17" i="28" s="1"/>
  <c r="R27" i="28"/>
  <c r="P27" i="28" s="1"/>
  <c r="O27" i="28" s="1"/>
  <c r="AE30" i="28"/>
  <c r="Z30" i="28" s="1"/>
  <c r="AT10" i="28"/>
  <c r="AQ10" i="28" s="1"/>
  <c r="AP10" i="28" s="1"/>
  <c r="BG13" i="28"/>
  <c r="BD13" i="28" s="1"/>
  <c r="BG17" i="28"/>
  <c r="BD17" i="28" s="1"/>
  <c r="BC17" i="28" s="1"/>
  <c r="AE18" i="28"/>
  <c r="Z18" i="28" s="1"/>
  <c r="AE21" i="28"/>
  <c r="Z21" i="28" s="1"/>
  <c r="AE27" i="28"/>
  <c r="Z27" i="28" s="1"/>
  <c r="AT14" i="28"/>
  <c r="AQ14" i="28" s="1"/>
  <c r="AT21" i="28"/>
  <c r="AQ21" i="28" s="1"/>
  <c r="AP21" i="28" s="1"/>
  <c r="R8" i="28"/>
  <c r="P8" i="28" s="1"/>
  <c r="BG6" i="28"/>
  <c r="BD6" i="28" s="1"/>
  <c r="BC6" i="28" s="1"/>
  <c r="AT22" i="28"/>
  <c r="AQ22" i="28" s="1"/>
  <c r="AP22" i="28" s="1"/>
  <c r="AE23" i="28"/>
  <c r="Z23" i="28" s="1"/>
  <c r="BG20" i="28"/>
  <c r="BD20" i="28" s="1"/>
  <c r="BC20" i="28" s="1"/>
  <c r="R11" i="28"/>
  <c r="P11" i="28" s="1"/>
  <c r="O11" i="28" s="1"/>
  <c r="AE13" i="28"/>
  <c r="Z13" i="28" s="1"/>
  <c r="AA13" i="28" s="1"/>
  <c r="AE15" i="28"/>
  <c r="Z15" i="28" s="1"/>
  <c r="BG24" i="28"/>
  <c r="BD24" i="28" s="1"/>
  <c r="BC24" i="28" s="1"/>
  <c r="R22" i="28"/>
  <c r="P22" i="28" s="1"/>
  <c r="O22" i="28" s="1"/>
  <c r="R28" i="28"/>
  <c r="P28" i="28" s="1"/>
  <c r="O28" i="28" s="1"/>
  <c r="AT13" i="28"/>
  <c r="AQ13" i="28" s="1"/>
  <c r="BG4" i="28"/>
  <c r="BD4" i="28" s="1"/>
  <c r="BC4" i="28" s="1"/>
  <c r="R7" i="28"/>
  <c r="P7" i="28" s="1"/>
  <c r="O7" i="28" s="1"/>
  <c r="BG8" i="28"/>
  <c r="BD8" i="28" s="1"/>
  <c r="R23" i="28"/>
  <c r="P23" i="28" s="1"/>
  <c r="O23" i="28" s="1"/>
  <c r="BG18" i="28"/>
  <c r="BD18" i="28" s="1"/>
  <c r="BC18" i="28" s="1"/>
  <c r="AE20" i="28"/>
  <c r="Z20" i="28" s="1"/>
  <c r="AE28" i="28"/>
  <c r="Z28" i="28" s="1"/>
  <c r="R4" i="28"/>
  <c r="P4" i="28" s="1"/>
  <c r="O4" i="28" s="1"/>
  <c r="BG10" i="28"/>
  <c r="BD10" i="28" s="1"/>
  <c r="BC10" i="28" s="1"/>
  <c r="R14" i="28"/>
  <c r="P14" i="28" s="1"/>
  <c r="BG16" i="28"/>
  <c r="BD16" i="28" s="1"/>
  <c r="BC16" i="28" s="1"/>
  <c r="AE25" i="28"/>
  <c r="Z25" i="28" s="1"/>
  <c r="AT26" i="28"/>
  <c r="AQ26" i="28" s="1"/>
  <c r="AP26" i="28" s="1"/>
  <c r="R30" i="28"/>
  <c r="P30" i="28" s="1"/>
  <c r="O30" i="28" s="1"/>
  <c r="R6" i="28"/>
  <c r="P6" i="28" s="1"/>
  <c r="O6" i="28" s="1"/>
  <c r="AT25" i="28"/>
  <c r="AQ25" i="28" s="1"/>
  <c r="AP25" i="28" s="1"/>
  <c r="AT5" i="28"/>
  <c r="AQ5" i="28" s="1"/>
  <c r="AP5" i="28" s="1"/>
  <c r="AE14" i="28"/>
  <c r="Z14" i="28" s="1"/>
  <c r="AA14" i="28" s="1"/>
  <c r="AT15" i="28"/>
  <c r="AQ15" i="28" s="1"/>
  <c r="AP15" i="28" s="1"/>
  <c r="AE26" i="28"/>
  <c r="Z26" i="28" s="1"/>
  <c r="AE29" i="28"/>
  <c r="Z29" i="28" s="1"/>
  <c r="AT7" i="28"/>
  <c r="AQ7" i="28" s="1"/>
  <c r="AP7" i="28" s="1"/>
  <c r="R9" i="28"/>
  <c r="P9" i="28" s="1"/>
  <c r="O9" i="28" s="1"/>
  <c r="AE12" i="28"/>
  <c r="Z12" i="28" s="1"/>
  <c r="BG15" i="28"/>
  <c r="BD15" i="28" s="1"/>
  <c r="BC15" i="28" s="1"/>
  <c r="AT19" i="28"/>
  <c r="AQ19" i="28" s="1"/>
  <c r="AP19" i="28" s="1"/>
  <c r="U5" i="28"/>
  <c r="R5" i="28" s="1"/>
  <c r="P5" i="28" s="1"/>
  <c r="O5" i="28" s="1"/>
  <c r="BG19" i="28"/>
  <c r="BD19" i="28" s="1"/>
  <c r="BC19" i="28" s="1"/>
  <c r="AE9" i="28"/>
  <c r="Z9" i="28" s="1"/>
  <c r="AE10" i="28"/>
  <c r="Z10" i="28" s="1"/>
  <c r="R17" i="28"/>
  <c r="P17" i="28" s="1"/>
  <c r="O17" i="28" s="1"/>
  <c r="R21" i="28"/>
  <c r="P21" i="28" s="1"/>
  <c r="O21" i="28" s="1"/>
  <c r="AE22" i="28"/>
  <c r="Z22" i="28" s="1"/>
  <c r="AT27" i="28"/>
  <c r="AQ27" i="28" s="1"/>
  <c r="AP27" i="28" s="1"/>
  <c r="BG27" i="28"/>
  <c r="BD27" i="28" s="1"/>
  <c r="BC27" i="28" s="1"/>
  <c r="BE8" i="28" l="1"/>
  <c r="BC8" i="28"/>
  <c r="BE14" i="28"/>
  <c r="BC14" i="28"/>
  <c r="BE13" i="28"/>
  <c r="BC13" i="28"/>
  <c r="AR14" i="28"/>
  <c r="AP14" i="28"/>
  <c r="AR8" i="28"/>
  <c r="AP8" i="28"/>
  <c r="AR13" i="28"/>
  <c r="AP13" i="28"/>
  <c r="Q14" i="28"/>
  <c r="O14" i="28"/>
  <c r="Q8" i="28"/>
  <c r="O8" i="28"/>
  <c r="Q13" i="28"/>
  <c r="O13" i="28"/>
  <c r="Y4" i="28"/>
  <c r="Y7" i="28"/>
  <c r="AA4" i="28"/>
  <c r="AA15" i="28"/>
  <c r="AA28" i="28"/>
  <c r="AA25" i="28"/>
  <c r="AA9" i="28"/>
  <c r="AA11" i="28"/>
  <c r="BE11" i="28"/>
  <c r="BE9" i="28"/>
  <c r="BE15" i="28"/>
  <c r="BE4" i="28"/>
  <c r="BE25" i="28"/>
  <c r="BE28" i="28"/>
  <c r="AR11" i="28"/>
  <c r="Q28" i="28"/>
  <c r="Q11" i="28"/>
  <c r="AR9" i="28"/>
  <c r="AR15" i="28"/>
  <c r="AR28" i="28"/>
  <c r="AR25" i="28"/>
  <c r="AR4" i="28"/>
  <c r="Q25" i="28"/>
  <c r="Q4" i="28"/>
  <c r="Q9" i="28"/>
  <c r="Q15" i="28"/>
  <c r="J30" i="18" l="1"/>
  <c r="I30" i="18"/>
  <c r="H30" i="18"/>
  <c r="J29" i="18"/>
  <c r="I29" i="18"/>
  <c r="H29" i="18"/>
  <c r="J28" i="18"/>
  <c r="I28" i="18"/>
  <c r="H28" i="18"/>
  <c r="AM6" i="24"/>
  <c r="AM5" i="24"/>
  <c r="AF6" i="24"/>
  <c r="AF5" i="24"/>
  <c r="V6" i="24"/>
  <c r="V5" i="24"/>
  <c r="W4" i="24" s="1"/>
  <c r="O30" i="24"/>
  <c r="O29" i="24"/>
  <c r="O28" i="24"/>
  <c r="O27" i="24"/>
  <c r="O26" i="24"/>
  <c r="O25" i="24"/>
  <c r="O24" i="24"/>
  <c r="O23" i="24"/>
  <c r="O14" i="24"/>
  <c r="O13" i="24"/>
  <c r="O10" i="24"/>
  <c r="O9" i="24"/>
  <c r="O8" i="24"/>
  <c r="O7" i="24"/>
  <c r="N6" i="24"/>
  <c r="N5" i="24"/>
  <c r="O4" i="24"/>
  <c r="O5" i="24" s="1"/>
  <c r="K22" i="24"/>
  <c r="O22" i="24" s="1"/>
  <c r="K21" i="24"/>
  <c r="O21" i="24" s="1"/>
  <c r="K19" i="24"/>
  <c r="O19" i="24" s="1"/>
  <c r="K18" i="24"/>
  <c r="O18" i="24" s="1"/>
  <c r="K17" i="24"/>
  <c r="O17" i="24" s="1"/>
  <c r="K16" i="24"/>
  <c r="O16" i="24" s="1"/>
  <c r="K15" i="24"/>
  <c r="O15" i="24" s="1"/>
  <c r="K12" i="24"/>
  <c r="O12" i="24" s="1"/>
  <c r="K11" i="24"/>
  <c r="O11" i="24" s="1"/>
  <c r="J30" i="24"/>
  <c r="J29" i="24"/>
  <c r="J28" i="24"/>
  <c r="J23" i="24"/>
  <c r="J22" i="24"/>
  <c r="J21" i="24"/>
  <c r="J20" i="24"/>
  <c r="J19" i="24"/>
  <c r="J18" i="24"/>
  <c r="J17" i="24"/>
  <c r="J16" i="24"/>
  <c r="J15" i="24"/>
  <c r="I30" i="24"/>
  <c r="I29" i="24"/>
  <c r="I28" i="24"/>
  <c r="I27" i="24"/>
  <c r="I26" i="24"/>
  <c r="I25" i="24"/>
  <c r="I24" i="24"/>
  <c r="I23" i="24"/>
  <c r="I22" i="24"/>
  <c r="I21" i="24"/>
  <c r="I20" i="24"/>
  <c r="I19" i="24"/>
  <c r="I18" i="24"/>
  <c r="I17" i="24"/>
  <c r="I16" i="24"/>
  <c r="I15" i="24"/>
  <c r="I14" i="24"/>
  <c r="I13" i="24"/>
  <c r="I12" i="24"/>
  <c r="I11" i="24"/>
  <c r="I10" i="24"/>
  <c r="I9" i="24"/>
  <c r="I8" i="24"/>
  <c r="I7" i="24"/>
  <c r="I6" i="24"/>
  <c r="I5" i="24"/>
  <c r="I4" i="24"/>
  <c r="H30" i="24"/>
  <c r="H29" i="24"/>
  <c r="H28" i="24"/>
  <c r="H27" i="24"/>
  <c r="H26" i="24"/>
  <c r="H25" i="24"/>
  <c r="H24" i="24"/>
  <c r="H23" i="24"/>
  <c r="H22" i="24"/>
  <c r="H21" i="24"/>
  <c r="H20" i="24"/>
  <c r="H19" i="24"/>
  <c r="H18" i="24"/>
  <c r="H17" i="24"/>
  <c r="H16" i="24"/>
  <c r="H15" i="24"/>
  <c r="H7" i="24"/>
  <c r="H4" i="24"/>
  <c r="O30" i="23"/>
  <c r="O29" i="23"/>
  <c r="O28" i="23"/>
  <c r="O27" i="23"/>
  <c r="O26" i="23"/>
  <c r="O25" i="23"/>
  <c r="O24" i="23"/>
  <c r="O23" i="23"/>
  <c r="O14" i="23"/>
  <c r="O13" i="23"/>
  <c r="O10" i="23"/>
  <c r="O9" i="23"/>
  <c r="O8" i="23"/>
  <c r="O7" i="23"/>
  <c r="K12" i="23"/>
  <c r="O12" i="23" s="1"/>
  <c r="K11" i="23"/>
  <c r="O11" i="23" s="1"/>
  <c r="K22" i="23"/>
  <c r="O22" i="23" s="1"/>
  <c r="K21" i="23"/>
  <c r="O21" i="23" s="1"/>
  <c r="K19" i="23"/>
  <c r="O19" i="23" s="1"/>
  <c r="K18" i="23"/>
  <c r="O18" i="23" s="1"/>
  <c r="K17" i="23"/>
  <c r="O17" i="23" s="1"/>
  <c r="K16" i="23"/>
  <c r="O16" i="23" s="1"/>
  <c r="K15" i="23"/>
  <c r="O15" i="23" s="1"/>
  <c r="AH10" i="23"/>
  <c r="AH11" i="23"/>
  <c r="AH12" i="23"/>
  <c r="AH13" i="23"/>
  <c r="AH14" i="23"/>
  <c r="AH15" i="23"/>
  <c r="AH16" i="23"/>
  <c r="AH17" i="23"/>
  <c r="AH18" i="23"/>
  <c r="AH19" i="23"/>
  <c r="AH20" i="23"/>
  <c r="AH21" i="23"/>
  <c r="AH22" i="23"/>
  <c r="AH23" i="23"/>
  <c r="AH24" i="23"/>
  <c r="AH25" i="23"/>
  <c r="AH26" i="23"/>
  <c r="AH27" i="23"/>
  <c r="AH28" i="23"/>
  <c r="AH29" i="23"/>
  <c r="AH30" i="23"/>
  <c r="AH9" i="23"/>
  <c r="AH7" i="23"/>
  <c r="AH8" i="23"/>
  <c r="O4" i="23"/>
  <c r="O6" i="23" s="1"/>
  <c r="I30" i="23"/>
  <c r="AE30" i="23" s="1"/>
  <c r="I29" i="23"/>
  <c r="AE29" i="23" s="1"/>
  <c r="I28" i="23"/>
  <c r="AE28" i="23" s="1"/>
  <c r="I27" i="23"/>
  <c r="AE27" i="23" s="1"/>
  <c r="I26" i="23"/>
  <c r="AE26" i="23" s="1"/>
  <c r="I25" i="23"/>
  <c r="AE25" i="23" s="1"/>
  <c r="I24" i="23"/>
  <c r="AE24" i="23" s="1"/>
  <c r="I23" i="23"/>
  <c r="AE23" i="23" s="1"/>
  <c r="I22" i="23"/>
  <c r="AE22" i="23" s="1"/>
  <c r="I21" i="23"/>
  <c r="AE21" i="23" s="1"/>
  <c r="I20" i="23"/>
  <c r="AE20" i="23" s="1"/>
  <c r="I19" i="23"/>
  <c r="AE19" i="23" s="1"/>
  <c r="I18" i="23"/>
  <c r="AE18" i="23" s="1"/>
  <c r="I17" i="23"/>
  <c r="AE17" i="23" s="1"/>
  <c r="I16" i="23"/>
  <c r="AE16" i="23" s="1"/>
  <c r="I15" i="23"/>
  <c r="AE15" i="23" s="1"/>
  <c r="I14" i="23"/>
  <c r="AE14" i="23" s="1"/>
  <c r="I13" i="23"/>
  <c r="AE13" i="23" s="1"/>
  <c r="I12" i="23"/>
  <c r="AE12" i="23" s="1"/>
  <c r="I11" i="23"/>
  <c r="AE11" i="23" s="1"/>
  <c r="I10" i="23"/>
  <c r="AE10" i="23" s="1"/>
  <c r="I9" i="23"/>
  <c r="AE9" i="23" s="1"/>
  <c r="I8" i="23"/>
  <c r="AE8" i="23" s="1"/>
  <c r="I7" i="23"/>
  <c r="AE7" i="23" s="1"/>
  <c r="I6" i="23"/>
  <c r="AE6" i="23" s="1"/>
  <c r="I5" i="23"/>
  <c r="AE5" i="23" s="1"/>
  <c r="I4" i="23"/>
  <c r="AE4" i="23" s="1"/>
  <c r="G17" i="25"/>
  <c r="F17" i="25"/>
  <c r="E17" i="25"/>
  <c r="G16" i="25"/>
  <c r="F16" i="25"/>
  <c r="E16" i="25"/>
  <c r="H15" i="25"/>
  <c r="G15" i="25" s="1"/>
  <c r="F15" i="25"/>
  <c r="E15" i="25"/>
  <c r="H14" i="25"/>
  <c r="G14" i="25"/>
  <c r="F14" i="25"/>
  <c r="E14" i="25"/>
  <c r="F13" i="25"/>
  <c r="E13" i="25"/>
  <c r="H12" i="25"/>
  <c r="G12" i="25"/>
  <c r="F12" i="25"/>
  <c r="E12" i="25"/>
  <c r="H11" i="25"/>
  <c r="G11" i="25"/>
  <c r="F11" i="25"/>
  <c r="E11" i="25"/>
  <c r="H10" i="25"/>
  <c r="G10" i="25"/>
  <c r="F10" i="25"/>
  <c r="E10" i="25"/>
  <c r="H9" i="25"/>
  <c r="G9" i="25"/>
  <c r="F9" i="25"/>
  <c r="E9" i="25"/>
  <c r="H8" i="25"/>
  <c r="G8" i="25"/>
  <c r="F8" i="25"/>
  <c r="E8" i="25"/>
  <c r="E5" i="25"/>
  <c r="E4" i="25"/>
  <c r="O6" i="24" l="1"/>
  <c r="O5" i="23"/>
  <c r="AN30" i="24" l="1"/>
  <c r="AG30" i="24"/>
  <c r="Z30" i="24"/>
  <c r="X30" i="24"/>
  <c r="P30" i="24"/>
  <c r="M30" i="24" s="1"/>
  <c r="L30" i="24" s="1"/>
  <c r="AL30" i="24"/>
  <c r="AE30" i="24"/>
  <c r="U30" i="24"/>
  <c r="AN29" i="24"/>
  <c r="AG29" i="24"/>
  <c r="Z29" i="24"/>
  <c r="X29" i="24"/>
  <c r="P29" i="24"/>
  <c r="AL29" i="24"/>
  <c r="AE29" i="24"/>
  <c r="U29" i="24"/>
  <c r="AN28" i="24"/>
  <c r="AG28" i="24"/>
  <c r="Z28" i="24"/>
  <c r="X28" i="24"/>
  <c r="P28" i="24"/>
  <c r="AL28" i="24"/>
  <c r="AE28" i="24"/>
  <c r="U28" i="24"/>
  <c r="AN27" i="24"/>
  <c r="AL27" i="24"/>
  <c r="AG27" i="24"/>
  <c r="AE27" i="24"/>
  <c r="Z27" i="24"/>
  <c r="X27" i="24"/>
  <c r="P27" i="24"/>
  <c r="M27" i="24" s="1"/>
  <c r="L27" i="24" s="1"/>
  <c r="U27" i="24"/>
  <c r="AN26" i="24"/>
  <c r="AL26" i="24"/>
  <c r="AG26" i="24"/>
  <c r="AE26" i="24"/>
  <c r="Z26" i="24"/>
  <c r="X26" i="24"/>
  <c r="U26" i="24"/>
  <c r="P26" i="24"/>
  <c r="AN25" i="24"/>
  <c r="AL25" i="24"/>
  <c r="AG25" i="24"/>
  <c r="AE25" i="24"/>
  <c r="Z25" i="24"/>
  <c r="X25" i="24"/>
  <c r="P25" i="24"/>
  <c r="M25" i="24" s="1"/>
  <c r="L25" i="24" s="1"/>
  <c r="U25" i="24"/>
  <c r="AN24" i="24"/>
  <c r="AL24" i="24"/>
  <c r="AG24" i="24"/>
  <c r="Z24" i="24"/>
  <c r="X24" i="24"/>
  <c r="P24" i="24"/>
  <c r="AE24" i="24"/>
  <c r="U24" i="24"/>
  <c r="AN23" i="24"/>
  <c r="AG23" i="24"/>
  <c r="Z23" i="24"/>
  <c r="X23" i="24"/>
  <c r="P23" i="24"/>
  <c r="AL23" i="24"/>
  <c r="AE23" i="24"/>
  <c r="U23" i="24"/>
  <c r="AN22" i="24"/>
  <c r="AL22" i="24"/>
  <c r="AG22" i="24"/>
  <c r="Z22" i="24"/>
  <c r="X22" i="24"/>
  <c r="P22" i="24"/>
  <c r="AE22" i="24"/>
  <c r="U22" i="24"/>
  <c r="AN21" i="24"/>
  <c r="AG21" i="24"/>
  <c r="Z21" i="24"/>
  <c r="X21" i="24"/>
  <c r="P21" i="24"/>
  <c r="AL21" i="24"/>
  <c r="AE21" i="24"/>
  <c r="U21" i="24"/>
  <c r="AN20" i="24"/>
  <c r="AG20" i="24"/>
  <c r="Z20" i="24"/>
  <c r="X20" i="24"/>
  <c r="P20" i="24"/>
  <c r="AL20" i="24"/>
  <c r="AE20" i="24"/>
  <c r="U20" i="24"/>
  <c r="AN19" i="24"/>
  <c r="AG19" i="24"/>
  <c r="AE19" i="24"/>
  <c r="Z19" i="24"/>
  <c r="X19" i="24"/>
  <c r="P19" i="24"/>
  <c r="AL19" i="24"/>
  <c r="U19" i="24"/>
  <c r="AN18" i="24"/>
  <c r="AG18" i="24"/>
  <c r="Z18" i="24"/>
  <c r="X18" i="24"/>
  <c r="P18" i="24"/>
  <c r="AL18" i="24"/>
  <c r="AE18" i="24"/>
  <c r="U18" i="24"/>
  <c r="AN17" i="24"/>
  <c r="AG17" i="24"/>
  <c r="Z17" i="24"/>
  <c r="X17" i="24"/>
  <c r="P17" i="24"/>
  <c r="AL17" i="24"/>
  <c r="AE17" i="24"/>
  <c r="U17" i="24"/>
  <c r="AN16" i="24"/>
  <c r="AG16" i="24"/>
  <c r="Z16" i="24"/>
  <c r="X16" i="24"/>
  <c r="P16" i="24"/>
  <c r="AL16" i="24"/>
  <c r="AE16" i="24"/>
  <c r="U16" i="24"/>
  <c r="AN15" i="24"/>
  <c r="AG15" i="24"/>
  <c r="Z15" i="24"/>
  <c r="X15" i="24"/>
  <c r="P15" i="24"/>
  <c r="M15" i="24" s="1"/>
  <c r="L15" i="24" s="1"/>
  <c r="AL15" i="24"/>
  <c r="AE15" i="24"/>
  <c r="U15" i="24"/>
  <c r="AN14" i="24"/>
  <c r="AL14" i="24"/>
  <c r="AG14" i="24"/>
  <c r="AE14" i="24"/>
  <c r="Z14" i="24"/>
  <c r="X14" i="24"/>
  <c r="U14" i="24"/>
  <c r="P14" i="24"/>
  <c r="AN13" i="24"/>
  <c r="AL13" i="24"/>
  <c r="AG13" i="24"/>
  <c r="AE13" i="24"/>
  <c r="Z13" i="24"/>
  <c r="X13" i="24"/>
  <c r="U13" i="24"/>
  <c r="P13" i="24"/>
  <c r="AN12" i="24"/>
  <c r="AL12" i="24"/>
  <c r="AG12" i="24"/>
  <c r="AE12" i="24"/>
  <c r="Z12" i="24"/>
  <c r="X12" i="24"/>
  <c r="U12" i="24"/>
  <c r="P12" i="24"/>
  <c r="AN11" i="24"/>
  <c r="AL11" i="24"/>
  <c r="AG11" i="24"/>
  <c r="AE11" i="24"/>
  <c r="Z11" i="24"/>
  <c r="X11" i="24"/>
  <c r="U11" i="24"/>
  <c r="P11" i="24"/>
  <c r="AN10" i="24"/>
  <c r="AL10" i="24"/>
  <c r="AG10" i="24"/>
  <c r="AE10" i="24"/>
  <c r="Z10" i="24"/>
  <c r="X10" i="24"/>
  <c r="U10" i="24"/>
  <c r="P10" i="24"/>
  <c r="AN9" i="24"/>
  <c r="AL9" i="24"/>
  <c r="AG9" i="24"/>
  <c r="AE9" i="24"/>
  <c r="Z9" i="24"/>
  <c r="X9" i="24"/>
  <c r="U9" i="24"/>
  <c r="P9" i="24"/>
  <c r="AN8" i="24"/>
  <c r="AL8" i="24"/>
  <c r="AG8" i="24"/>
  <c r="AE8" i="24"/>
  <c r="Z8" i="24"/>
  <c r="X8" i="24"/>
  <c r="U8" i="24"/>
  <c r="P8" i="24"/>
  <c r="AN7" i="24"/>
  <c r="AL7" i="24"/>
  <c r="AG7" i="24"/>
  <c r="Z7" i="24"/>
  <c r="X7" i="24"/>
  <c r="P7" i="24"/>
  <c r="AE7" i="24"/>
  <c r="U7" i="24"/>
  <c r="AL6" i="24"/>
  <c r="Z6" i="24"/>
  <c r="U6" i="24"/>
  <c r="P6" i="24"/>
  <c r="AE6" i="24"/>
  <c r="AL5" i="24"/>
  <c r="AE5" i="24"/>
  <c r="Z5" i="24"/>
  <c r="U5" i="24"/>
  <c r="P5" i="24"/>
  <c r="AN6" i="24"/>
  <c r="AL4" i="24"/>
  <c r="AG5" i="24"/>
  <c r="Z4" i="24"/>
  <c r="X5" i="24"/>
  <c r="P4" i="24"/>
  <c r="AE4" i="24"/>
  <c r="U4" i="24"/>
  <c r="AP30" i="23"/>
  <c r="X30" i="23"/>
  <c r="Z30" i="23" s="1"/>
  <c r="P30" i="23"/>
  <c r="J30" i="23"/>
  <c r="AM30" i="23" s="1"/>
  <c r="H30" i="23"/>
  <c r="U30" i="23" s="1"/>
  <c r="AP29" i="23"/>
  <c r="X29" i="23"/>
  <c r="Z29" i="23" s="1"/>
  <c r="P29" i="23"/>
  <c r="J29" i="23"/>
  <c r="AM29" i="23" s="1"/>
  <c r="H29" i="23"/>
  <c r="U29" i="23" s="1"/>
  <c r="AP28" i="23"/>
  <c r="X28" i="23"/>
  <c r="Z28" i="23" s="1"/>
  <c r="P28" i="23"/>
  <c r="J28" i="23"/>
  <c r="AM28" i="23" s="1"/>
  <c r="H28" i="23"/>
  <c r="U28" i="23" s="1"/>
  <c r="AP27" i="23"/>
  <c r="AM27" i="23"/>
  <c r="X27" i="23"/>
  <c r="Z27" i="23" s="1"/>
  <c r="P27" i="23"/>
  <c r="M27" i="23" s="1"/>
  <c r="L27" i="23" s="1"/>
  <c r="H27" i="23"/>
  <c r="U27" i="23" s="1"/>
  <c r="AP26" i="23"/>
  <c r="AM26" i="23"/>
  <c r="X26" i="23"/>
  <c r="Z26" i="23" s="1"/>
  <c r="P26" i="23"/>
  <c r="M26" i="23" s="1"/>
  <c r="L26" i="23" s="1"/>
  <c r="H26" i="23"/>
  <c r="U26" i="23" s="1"/>
  <c r="AP25" i="23"/>
  <c r="AM25" i="23"/>
  <c r="X25" i="23"/>
  <c r="Z25" i="23" s="1"/>
  <c r="P25" i="23"/>
  <c r="M25" i="23" s="1"/>
  <c r="L25" i="23" s="1"/>
  <c r="H25" i="23"/>
  <c r="U25" i="23" s="1"/>
  <c r="AP24" i="23"/>
  <c r="AM24" i="23"/>
  <c r="X24" i="23"/>
  <c r="Z24" i="23" s="1"/>
  <c r="P24" i="23"/>
  <c r="H24" i="23"/>
  <c r="U24" i="23" s="1"/>
  <c r="AP23" i="23"/>
  <c r="X23" i="23"/>
  <c r="Z23" i="23" s="1"/>
  <c r="P23" i="23"/>
  <c r="J23" i="23"/>
  <c r="AM23" i="23" s="1"/>
  <c r="H23" i="23"/>
  <c r="U23" i="23" s="1"/>
  <c r="AP22" i="23"/>
  <c r="X22" i="23"/>
  <c r="Z22" i="23" s="1"/>
  <c r="P22" i="23"/>
  <c r="J22" i="23"/>
  <c r="AM22" i="23" s="1"/>
  <c r="H22" i="23"/>
  <c r="U22" i="23" s="1"/>
  <c r="AP21" i="23"/>
  <c r="X21" i="23"/>
  <c r="Z21" i="23" s="1"/>
  <c r="P21" i="23"/>
  <c r="J21" i="23"/>
  <c r="AM21" i="23" s="1"/>
  <c r="H21" i="23"/>
  <c r="U21" i="23" s="1"/>
  <c r="AP20" i="23"/>
  <c r="X20" i="23"/>
  <c r="Z20" i="23" s="1"/>
  <c r="P20" i="23"/>
  <c r="J20" i="23"/>
  <c r="AM20" i="23" s="1"/>
  <c r="H20" i="23"/>
  <c r="U20" i="23" s="1"/>
  <c r="AP19" i="23"/>
  <c r="X19" i="23"/>
  <c r="Z19" i="23" s="1"/>
  <c r="P19" i="23"/>
  <c r="J19" i="23"/>
  <c r="AM19" i="23" s="1"/>
  <c r="H19" i="23"/>
  <c r="U19" i="23" s="1"/>
  <c r="AP18" i="23"/>
  <c r="X18" i="23"/>
  <c r="Z18" i="23" s="1"/>
  <c r="P18" i="23"/>
  <c r="J18" i="23"/>
  <c r="AM18" i="23" s="1"/>
  <c r="H18" i="23"/>
  <c r="U18" i="23" s="1"/>
  <c r="AP17" i="23"/>
  <c r="X17" i="23"/>
  <c r="Z17" i="23" s="1"/>
  <c r="P17" i="23"/>
  <c r="J17" i="23"/>
  <c r="AM17" i="23" s="1"/>
  <c r="H17" i="23"/>
  <c r="U17" i="23" s="1"/>
  <c r="AP16" i="23"/>
  <c r="X16" i="23"/>
  <c r="Z16" i="23" s="1"/>
  <c r="P16" i="23"/>
  <c r="J16" i="23"/>
  <c r="AM16" i="23" s="1"/>
  <c r="H16" i="23"/>
  <c r="U16" i="23" s="1"/>
  <c r="AP15" i="23"/>
  <c r="X15" i="23"/>
  <c r="Z15" i="23" s="1"/>
  <c r="P15" i="23"/>
  <c r="J15" i="23"/>
  <c r="AM15" i="23" s="1"/>
  <c r="H15" i="23"/>
  <c r="U15" i="23" s="1"/>
  <c r="AP14" i="23"/>
  <c r="AM14" i="23"/>
  <c r="X14" i="23"/>
  <c r="U14" i="23"/>
  <c r="P14" i="23"/>
  <c r="AP13" i="23"/>
  <c r="AM13" i="23"/>
  <c r="X13" i="23"/>
  <c r="U13" i="23"/>
  <c r="P13" i="23"/>
  <c r="AP12" i="23"/>
  <c r="AM12" i="23"/>
  <c r="X12" i="23"/>
  <c r="Z12" i="23" s="1"/>
  <c r="U12" i="23"/>
  <c r="P12" i="23"/>
  <c r="AP11" i="23"/>
  <c r="AM11" i="23"/>
  <c r="X11" i="23"/>
  <c r="Z11" i="23" s="1"/>
  <c r="U11" i="23"/>
  <c r="P11" i="23"/>
  <c r="AP10" i="23"/>
  <c r="AM10" i="23"/>
  <c r="X10" i="23"/>
  <c r="Z10" i="23" s="1"/>
  <c r="U10" i="23"/>
  <c r="P10" i="23"/>
  <c r="AP9" i="23"/>
  <c r="AM9" i="23"/>
  <c r="X9" i="23"/>
  <c r="U9" i="23"/>
  <c r="P9" i="23"/>
  <c r="AP8" i="23"/>
  <c r="AM8" i="23"/>
  <c r="X8" i="23"/>
  <c r="Z8" i="23" s="1"/>
  <c r="U8" i="23"/>
  <c r="P8" i="23"/>
  <c r="AP7" i="23"/>
  <c r="AM7" i="23"/>
  <c r="X7" i="23"/>
  <c r="Z7" i="23" s="1"/>
  <c r="P7" i="23"/>
  <c r="H7" i="23"/>
  <c r="U7" i="23" s="1"/>
  <c r="AM6" i="23"/>
  <c r="U6" i="23"/>
  <c r="P6" i="23"/>
  <c r="AM5" i="23"/>
  <c r="U5" i="23"/>
  <c r="P5" i="23"/>
  <c r="AN6" i="23"/>
  <c r="AP6" i="23" s="1"/>
  <c r="AM4" i="23"/>
  <c r="AF5" i="23"/>
  <c r="V5" i="23"/>
  <c r="P4" i="23"/>
  <c r="N6" i="23"/>
  <c r="H4" i="23"/>
  <c r="U4" i="23" s="1"/>
  <c r="X5" i="23" l="1"/>
  <c r="Z5" i="23" s="1"/>
  <c r="AH5" i="23"/>
  <c r="AK27" i="24"/>
  <c r="AI27" i="24" s="1"/>
  <c r="AK16" i="24"/>
  <c r="AI16" i="24" s="1"/>
  <c r="AD28" i="24"/>
  <c r="AB28" i="24" s="1"/>
  <c r="AK19" i="24"/>
  <c r="AI19" i="24" s="1"/>
  <c r="AD21" i="24"/>
  <c r="AB21" i="24" s="1"/>
  <c r="M17" i="24"/>
  <c r="L17" i="24" s="1"/>
  <c r="AD22" i="24"/>
  <c r="AB22" i="24" s="1"/>
  <c r="AD25" i="24"/>
  <c r="AB25" i="24" s="1"/>
  <c r="M18" i="24"/>
  <c r="L18" i="24" s="1"/>
  <c r="X4" i="24"/>
  <c r="T4" i="24" s="1"/>
  <c r="Q4" i="24" s="1"/>
  <c r="M11" i="24"/>
  <c r="L11" i="24" s="1"/>
  <c r="M19" i="24"/>
  <c r="L19" i="24" s="1"/>
  <c r="AK22" i="24"/>
  <c r="AI22" i="24" s="1"/>
  <c r="M14" i="24"/>
  <c r="L14" i="24" s="1"/>
  <c r="AD13" i="24"/>
  <c r="AB13" i="24" s="1"/>
  <c r="T23" i="24"/>
  <c r="Q23" i="24" s="1"/>
  <c r="M4" i="24"/>
  <c r="L4" i="24" s="1"/>
  <c r="M9" i="24"/>
  <c r="L9" i="24" s="1"/>
  <c r="AD15" i="24"/>
  <c r="AB15" i="24" s="1"/>
  <c r="T16" i="24"/>
  <c r="Q16" i="24" s="1"/>
  <c r="AD23" i="24"/>
  <c r="AB23" i="24" s="1"/>
  <c r="AK29" i="24"/>
  <c r="AI29" i="24" s="1"/>
  <c r="AD30" i="24"/>
  <c r="AB30" i="24" s="1"/>
  <c r="AK28" i="24"/>
  <c r="AI28" i="24" s="1"/>
  <c r="AD29" i="24"/>
  <c r="AB29" i="24" s="1"/>
  <c r="AK15" i="24"/>
  <c r="AI15" i="24" s="1"/>
  <c r="AD16" i="24"/>
  <c r="AB16" i="24" s="1"/>
  <c r="AK23" i="24"/>
  <c r="AI23" i="24" s="1"/>
  <c r="M29" i="24"/>
  <c r="L29" i="24" s="1"/>
  <c r="AK30" i="24"/>
  <c r="AI30" i="24" s="1"/>
  <c r="AD18" i="24"/>
  <c r="AB18" i="24" s="1"/>
  <c r="T19" i="24"/>
  <c r="Q19" i="24" s="1"/>
  <c r="AK18" i="24"/>
  <c r="AI18" i="24" s="1"/>
  <c r="T26" i="24"/>
  <c r="Q26" i="24" s="1"/>
  <c r="AK26" i="24"/>
  <c r="AI26" i="24" s="1"/>
  <c r="AK25" i="24"/>
  <c r="AI25" i="24" s="1"/>
  <c r="AK6" i="24"/>
  <c r="AI6" i="24" s="1"/>
  <c r="AD5" i="24"/>
  <c r="AB5" i="24" s="1"/>
  <c r="M28" i="23"/>
  <c r="L28" i="23" s="1"/>
  <c r="M30" i="23"/>
  <c r="L30" i="23" s="1"/>
  <c r="AD9" i="24"/>
  <c r="AB9" i="24" s="1"/>
  <c r="M7" i="24"/>
  <c r="L7" i="24" s="1"/>
  <c r="AD12" i="24"/>
  <c r="AB12" i="24" s="1"/>
  <c r="AD27" i="24"/>
  <c r="AB27" i="24" s="1"/>
  <c r="M28" i="24"/>
  <c r="L28" i="24" s="1"/>
  <c r="M26" i="24"/>
  <c r="L26" i="24" s="1"/>
  <c r="T17" i="24"/>
  <c r="Q17" i="24" s="1"/>
  <c r="AK14" i="24"/>
  <c r="AI14" i="24" s="1"/>
  <c r="AK17" i="24"/>
  <c r="AI17" i="24" s="1"/>
  <c r="T18" i="24"/>
  <c r="Q18" i="24" s="1"/>
  <c r="AK20" i="24"/>
  <c r="AI20" i="24" s="1"/>
  <c r="T24" i="24"/>
  <c r="Q24" i="24" s="1"/>
  <c r="M22" i="24"/>
  <c r="L22" i="24" s="1"/>
  <c r="T15" i="24"/>
  <c r="Q15" i="24" s="1"/>
  <c r="M23" i="24"/>
  <c r="L23" i="24" s="1"/>
  <c r="AD14" i="24"/>
  <c r="AB14" i="24" s="1"/>
  <c r="M12" i="24"/>
  <c r="L12" i="24" s="1"/>
  <c r="M20" i="24"/>
  <c r="L20" i="24" s="1"/>
  <c r="T25" i="24"/>
  <c r="Q25" i="24" s="1"/>
  <c r="T29" i="24"/>
  <c r="Q29" i="24" s="1"/>
  <c r="M29" i="23"/>
  <c r="L29" i="23" s="1"/>
  <c r="AL26" i="23"/>
  <c r="AJ26" i="23" s="1"/>
  <c r="AD27" i="23"/>
  <c r="AB27" i="23" s="1"/>
  <c r="AL20" i="23"/>
  <c r="AJ20" i="23" s="1"/>
  <c r="T30" i="23"/>
  <c r="Q30" i="23" s="1"/>
  <c r="M21" i="23"/>
  <c r="L21" i="23" s="1"/>
  <c r="AL29" i="23"/>
  <c r="AJ29" i="23" s="1"/>
  <c r="AL23" i="23"/>
  <c r="AJ23" i="23" s="1"/>
  <c r="M17" i="23"/>
  <c r="L17" i="23" s="1"/>
  <c r="M11" i="23"/>
  <c r="L11" i="23" s="1"/>
  <c r="AL16" i="23"/>
  <c r="AJ16" i="23" s="1"/>
  <c r="AD12" i="23"/>
  <c r="AB12" i="23" s="1"/>
  <c r="M20" i="23"/>
  <c r="L20" i="23" s="1"/>
  <c r="AL18" i="23"/>
  <c r="AJ18" i="23" s="1"/>
  <c r="AD19" i="23"/>
  <c r="AB19" i="23" s="1"/>
  <c r="AD25" i="23"/>
  <c r="AB25" i="23" s="1"/>
  <c r="M15" i="23"/>
  <c r="L15" i="23" s="1"/>
  <c r="AD30" i="23"/>
  <c r="AB30" i="23" s="1"/>
  <c r="AD21" i="23"/>
  <c r="AB21" i="23" s="1"/>
  <c r="AL21" i="23"/>
  <c r="AJ21" i="23" s="1"/>
  <c r="T18" i="23"/>
  <c r="Q18" i="23" s="1"/>
  <c r="AD23" i="23"/>
  <c r="AB23" i="23" s="1"/>
  <c r="AD14" i="23"/>
  <c r="AB14" i="23" s="1"/>
  <c r="AL17" i="23"/>
  <c r="AJ17" i="23" s="1"/>
  <c r="AL24" i="23"/>
  <c r="AJ24" i="23" s="1"/>
  <c r="AD5" i="23"/>
  <c r="AB5" i="23" s="1"/>
  <c r="M8" i="23"/>
  <c r="L8" i="23" s="1"/>
  <c r="AL8" i="23"/>
  <c r="AJ8" i="23" s="1"/>
  <c r="T7" i="24"/>
  <c r="Q7" i="24" s="1"/>
  <c r="AN4" i="24"/>
  <c r="AK4" i="24" s="1"/>
  <c r="AI4" i="24" s="1"/>
  <c r="AK7" i="24"/>
  <c r="AI7" i="24" s="1"/>
  <c r="AD8" i="24"/>
  <c r="AB8" i="24" s="1"/>
  <c r="T9" i="24"/>
  <c r="Q9" i="24" s="1"/>
  <c r="M10" i="24"/>
  <c r="L10" i="24" s="1"/>
  <c r="AK10" i="24"/>
  <c r="AI10" i="24" s="1"/>
  <c r="AD11" i="24"/>
  <c r="AB11" i="24" s="1"/>
  <c r="M21" i="24"/>
  <c r="L21" i="24" s="1"/>
  <c r="M24" i="24"/>
  <c r="L24" i="24" s="1"/>
  <c r="M13" i="24"/>
  <c r="L13" i="24" s="1"/>
  <c r="T14" i="24"/>
  <c r="Q14" i="24" s="1"/>
  <c r="R14" i="24" s="1"/>
  <c r="T20" i="24"/>
  <c r="Q20" i="24" s="1"/>
  <c r="M8" i="24"/>
  <c r="L8" i="24" s="1"/>
  <c r="AK8" i="24"/>
  <c r="AI8" i="24" s="1"/>
  <c r="AD20" i="24"/>
  <c r="AB20" i="24" s="1"/>
  <c r="AD26" i="24"/>
  <c r="AB26" i="24" s="1"/>
  <c r="T27" i="24"/>
  <c r="Q27" i="24" s="1"/>
  <c r="T28" i="24"/>
  <c r="Q28" i="24" s="1"/>
  <c r="AG6" i="24"/>
  <c r="AD6" i="24" s="1"/>
  <c r="AB6" i="24" s="1"/>
  <c r="AG4" i="24"/>
  <c r="AD4" i="24" s="1"/>
  <c r="AB4" i="24" s="1"/>
  <c r="T10" i="24"/>
  <c r="Q10" i="24" s="1"/>
  <c r="T21" i="24"/>
  <c r="Q21" i="24" s="1"/>
  <c r="AD7" i="24"/>
  <c r="AB7" i="24" s="1"/>
  <c r="AK9" i="24"/>
  <c r="AI9" i="24" s="1"/>
  <c r="AD10" i="24"/>
  <c r="AB10" i="24" s="1"/>
  <c r="T11" i="24"/>
  <c r="Q11" i="24" s="1"/>
  <c r="R11" i="24" s="1"/>
  <c r="AK12" i="24"/>
  <c r="AI12" i="24" s="1"/>
  <c r="M16" i="24"/>
  <c r="L16" i="24" s="1"/>
  <c r="AD17" i="24"/>
  <c r="AB17" i="24" s="1"/>
  <c r="AD19" i="24"/>
  <c r="AB19" i="24" s="1"/>
  <c r="AK21" i="24"/>
  <c r="AI21" i="24" s="1"/>
  <c r="T22" i="24"/>
  <c r="Q22" i="24" s="1"/>
  <c r="AD24" i="24"/>
  <c r="AB24" i="24" s="1"/>
  <c r="AK24" i="24"/>
  <c r="AI24" i="24" s="1"/>
  <c r="T30" i="24"/>
  <c r="Q30" i="24" s="1"/>
  <c r="T12" i="24"/>
  <c r="Q12" i="24" s="1"/>
  <c r="AK11" i="24"/>
  <c r="AI11" i="24" s="1"/>
  <c r="AK13" i="24"/>
  <c r="AI13" i="24" s="1"/>
  <c r="T5" i="24"/>
  <c r="Q5" i="24" s="1"/>
  <c r="M6" i="24"/>
  <c r="L6" i="24" s="1"/>
  <c r="T13" i="24"/>
  <c r="Q13" i="24" s="1"/>
  <c r="R13" i="24" s="1"/>
  <c r="T8" i="24"/>
  <c r="Q8" i="24" s="1"/>
  <c r="R8" i="24" s="1"/>
  <c r="AN5" i="24"/>
  <c r="AK5" i="24" s="1"/>
  <c r="AI5" i="24" s="1"/>
  <c r="X6" i="24"/>
  <c r="T6" i="24" s="1"/>
  <c r="Q6" i="24" s="1"/>
  <c r="AD18" i="23"/>
  <c r="AB18" i="23" s="1"/>
  <c r="M6" i="23"/>
  <c r="L6" i="23" s="1"/>
  <c r="M10" i="23"/>
  <c r="L10" i="23" s="1"/>
  <c r="AL7" i="23"/>
  <c r="AJ7" i="23" s="1"/>
  <c r="AD13" i="23"/>
  <c r="AB13" i="23" s="1"/>
  <c r="AL15" i="23"/>
  <c r="AJ15" i="23" s="1"/>
  <c r="AL19" i="23"/>
  <c r="AJ19" i="23" s="1"/>
  <c r="T20" i="23"/>
  <c r="Q20" i="23" s="1"/>
  <c r="T24" i="23"/>
  <c r="Q24" i="23" s="1"/>
  <c r="AN5" i="23"/>
  <c r="AD20" i="23"/>
  <c r="AB20" i="23" s="1"/>
  <c r="M22" i="23"/>
  <c r="L22" i="23" s="1"/>
  <c r="AD24" i="23"/>
  <c r="AB24" i="23" s="1"/>
  <c r="T15" i="23"/>
  <c r="Q15" i="23" s="1"/>
  <c r="AL11" i="23"/>
  <c r="AJ11" i="23" s="1"/>
  <c r="AD28" i="23"/>
  <c r="AB28" i="23" s="1"/>
  <c r="AL6" i="23"/>
  <c r="AJ6" i="23" s="1"/>
  <c r="M9" i="23"/>
  <c r="L9" i="23" s="1"/>
  <c r="M19" i="23"/>
  <c r="L19" i="23" s="1"/>
  <c r="M23" i="23"/>
  <c r="L23" i="23" s="1"/>
  <c r="AD17" i="23"/>
  <c r="AB17" i="23" s="1"/>
  <c r="M24" i="23"/>
  <c r="L24" i="23" s="1"/>
  <c r="AD10" i="23"/>
  <c r="AB10" i="23" s="1"/>
  <c r="M14" i="23"/>
  <c r="L14" i="23" s="1"/>
  <c r="M16" i="23"/>
  <c r="L16" i="23" s="1"/>
  <c r="AD22" i="23"/>
  <c r="AB22" i="23" s="1"/>
  <c r="T23" i="23"/>
  <c r="Q23" i="23" s="1"/>
  <c r="T25" i="23"/>
  <c r="Q25" i="23" s="1"/>
  <c r="AL25" i="23"/>
  <c r="AJ25" i="23" s="1"/>
  <c r="AL30" i="23"/>
  <c r="AJ30" i="23" s="1"/>
  <c r="T7" i="23"/>
  <c r="Q7" i="23" s="1"/>
  <c r="AL22" i="23"/>
  <c r="AJ22" i="23" s="1"/>
  <c r="T27" i="23"/>
  <c r="Q27" i="23" s="1"/>
  <c r="T29" i="23"/>
  <c r="Q29" i="23" s="1"/>
  <c r="AD7" i="23"/>
  <c r="AB7" i="23" s="1"/>
  <c r="AD8" i="23"/>
  <c r="AB8" i="23" s="1"/>
  <c r="T11" i="23"/>
  <c r="Q11" i="23" s="1"/>
  <c r="AD15" i="23"/>
  <c r="AB15" i="23" s="1"/>
  <c r="T26" i="23"/>
  <c r="Q26" i="23" s="1"/>
  <c r="AL27" i="23"/>
  <c r="AJ27" i="23" s="1"/>
  <c r="AL10" i="23"/>
  <c r="AJ10" i="23" s="1"/>
  <c r="M12" i="23"/>
  <c r="L12" i="23" s="1"/>
  <c r="AL12" i="23"/>
  <c r="AJ12" i="23" s="1"/>
  <c r="AL13" i="23"/>
  <c r="AJ13" i="23" s="1"/>
  <c r="T16" i="23"/>
  <c r="Q16" i="23" s="1"/>
  <c r="AP4" i="23"/>
  <c r="AL4" i="23" s="1"/>
  <c r="AJ4" i="23" s="1"/>
  <c r="M7" i="23"/>
  <c r="L7" i="23" s="1"/>
  <c r="AD9" i="23"/>
  <c r="AB9" i="23" s="1"/>
  <c r="T10" i="23"/>
  <c r="Q10" i="23" s="1"/>
  <c r="AD11" i="23"/>
  <c r="AB11" i="23" s="1"/>
  <c r="M13" i="23"/>
  <c r="L13" i="23" s="1"/>
  <c r="AD16" i="23"/>
  <c r="AB16" i="23" s="1"/>
  <c r="T17" i="23"/>
  <c r="Q17" i="23" s="1"/>
  <c r="M18" i="23"/>
  <c r="L18" i="23" s="1"/>
  <c r="AD26" i="23"/>
  <c r="AB26" i="23" s="1"/>
  <c r="AL28" i="23"/>
  <c r="AJ28" i="23" s="1"/>
  <c r="AD29" i="23"/>
  <c r="AB29" i="23" s="1"/>
  <c r="AL9" i="23"/>
  <c r="AJ9" i="23" s="1"/>
  <c r="Z13" i="23"/>
  <c r="T13" i="23" s="1"/>
  <c r="Q13" i="23" s="1"/>
  <c r="T5" i="23"/>
  <c r="Q5" i="23" s="1"/>
  <c r="T28" i="23"/>
  <c r="Q28" i="23" s="1"/>
  <c r="T21" i="23"/>
  <c r="Q21" i="23" s="1"/>
  <c r="Z14" i="23"/>
  <c r="T14" i="23" s="1"/>
  <c r="Q14" i="23" s="1"/>
  <c r="T19" i="23"/>
  <c r="Q19" i="23" s="1"/>
  <c r="T12" i="23"/>
  <c r="Q12" i="23" s="1"/>
  <c r="Z9" i="23"/>
  <c r="T9" i="23" s="1"/>
  <c r="Q9" i="23" s="1"/>
  <c r="T8" i="23"/>
  <c r="Q8" i="23" s="1"/>
  <c r="AL14" i="23"/>
  <c r="AJ14" i="23" s="1"/>
  <c r="T22" i="23"/>
  <c r="Q22" i="23" s="1"/>
  <c r="AH4" i="23"/>
  <c r="AD4" i="23" s="1"/>
  <c r="AB4" i="23" s="1"/>
  <c r="N5" i="23"/>
  <c r="M4" i="23"/>
  <c r="L4" i="23" s="1"/>
  <c r="X4" i="23"/>
  <c r="Z4" i="23" s="1"/>
  <c r="AF6" i="23"/>
  <c r="AG4" i="23" s="1"/>
  <c r="V6" i="23"/>
  <c r="X6" i="23" s="1"/>
  <c r="Z6" i="23" s="1"/>
  <c r="W4" i="23" l="1"/>
  <c r="R15" i="24"/>
  <c r="R9" i="24"/>
  <c r="R28" i="24"/>
  <c r="R25" i="24"/>
  <c r="R4" i="24"/>
  <c r="AP5" i="23"/>
  <c r="AL5" i="23" s="1"/>
  <c r="AJ5" i="23" s="1"/>
  <c r="AO4" i="23"/>
  <c r="R13" i="23"/>
  <c r="R9" i="23"/>
  <c r="R14" i="23"/>
  <c r="R15" i="23"/>
  <c r="R8" i="23"/>
  <c r="R28" i="23"/>
  <c r="R11" i="23"/>
  <c r="R25" i="23"/>
  <c r="M5" i="24"/>
  <c r="L5" i="24" s="1"/>
  <c r="AH6" i="23"/>
  <c r="AD6" i="23" s="1"/>
  <c r="AB6" i="23" s="1"/>
  <c r="M5" i="23"/>
  <c r="L5" i="23" s="1"/>
  <c r="T6" i="23"/>
  <c r="Q6" i="23" s="1"/>
  <c r="T4" i="23"/>
  <c r="Q4" i="23" s="1"/>
  <c r="R4" i="23" l="1"/>
  <c r="K147" i="22" l="1"/>
  <c r="I147" i="22"/>
  <c r="G147" i="22"/>
  <c r="E147" i="22"/>
  <c r="K146" i="22"/>
  <c r="I146" i="22"/>
  <c r="G146" i="22"/>
  <c r="E146" i="22"/>
  <c r="K145" i="22"/>
  <c r="I145" i="22"/>
  <c r="G145" i="22"/>
  <c r="E145" i="22"/>
  <c r="K144" i="22"/>
  <c r="I144" i="22"/>
  <c r="G144" i="22"/>
  <c r="E144" i="22"/>
  <c r="K143" i="22"/>
  <c r="I143" i="22"/>
  <c r="G143" i="22"/>
  <c r="E143" i="22"/>
  <c r="K142" i="22"/>
  <c r="I142" i="22"/>
  <c r="G142" i="22"/>
  <c r="E142" i="22"/>
  <c r="K141" i="22"/>
  <c r="I141" i="22"/>
  <c r="G141" i="22"/>
  <c r="E141" i="22"/>
  <c r="K140" i="22"/>
  <c r="I140" i="22"/>
  <c r="G140" i="22"/>
  <c r="E140" i="22"/>
  <c r="K139" i="22"/>
  <c r="I139" i="22"/>
  <c r="G139" i="22"/>
  <c r="E139" i="22"/>
  <c r="K138" i="22"/>
  <c r="I138" i="22"/>
  <c r="G138" i="22"/>
  <c r="E138" i="22"/>
  <c r="K137" i="22"/>
  <c r="I137" i="22"/>
  <c r="G137" i="22"/>
  <c r="E137" i="22"/>
  <c r="K134" i="22"/>
  <c r="I134" i="22"/>
  <c r="G134" i="22"/>
  <c r="E134" i="22"/>
  <c r="K133" i="22"/>
  <c r="I133" i="22"/>
  <c r="G133" i="22"/>
  <c r="E133" i="22"/>
  <c r="K132" i="22"/>
  <c r="I132" i="22"/>
  <c r="G132" i="22"/>
  <c r="E132" i="22"/>
  <c r="K131" i="22"/>
  <c r="I131" i="22"/>
  <c r="G131" i="22"/>
  <c r="E131" i="22"/>
  <c r="K130" i="22"/>
  <c r="I130" i="22"/>
  <c r="G130" i="22"/>
  <c r="E130" i="22"/>
  <c r="K129" i="22"/>
  <c r="I129" i="22"/>
  <c r="G129" i="22"/>
  <c r="E129" i="22"/>
  <c r="K125" i="22"/>
  <c r="I125" i="22"/>
  <c r="G125" i="22"/>
  <c r="E125" i="22"/>
  <c r="K124" i="22"/>
  <c r="I124" i="22"/>
  <c r="G124" i="22"/>
  <c r="E124" i="22"/>
  <c r="K43" i="22"/>
  <c r="I43" i="22"/>
  <c r="G43" i="22"/>
  <c r="E43" i="22"/>
  <c r="K42" i="22"/>
  <c r="I42" i="22"/>
  <c r="G42" i="22"/>
  <c r="E42" i="22"/>
  <c r="K41" i="22"/>
  <c r="I41" i="22"/>
  <c r="G41" i="22"/>
  <c r="E41" i="22"/>
  <c r="K40" i="22"/>
  <c r="I40" i="22"/>
  <c r="G40" i="22"/>
  <c r="E40" i="22"/>
  <c r="K39" i="22"/>
  <c r="I39" i="22"/>
  <c r="G39" i="22"/>
  <c r="E39" i="22"/>
  <c r="K38" i="22"/>
  <c r="I38" i="22"/>
  <c r="G38" i="22"/>
  <c r="E38" i="22"/>
  <c r="K37" i="22"/>
  <c r="I37" i="22"/>
  <c r="G37" i="22"/>
  <c r="E37" i="22"/>
  <c r="K36" i="22"/>
  <c r="I36" i="22"/>
  <c r="G36" i="22"/>
  <c r="E36" i="22"/>
  <c r="K35" i="22"/>
  <c r="I35" i="22"/>
  <c r="G35" i="22"/>
  <c r="E35" i="22"/>
  <c r="K34" i="22"/>
  <c r="I34" i="22"/>
  <c r="G34" i="22"/>
  <c r="E34" i="22"/>
  <c r="K33" i="22"/>
  <c r="I33" i="22"/>
  <c r="G33" i="22"/>
  <c r="E33" i="22"/>
  <c r="K30" i="22"/>
  <c r="I30" i="22"/>
  <c r="G30" i="22"/>
  <c r="E30" i="22"/>
  <c r="K29" i="22"/>
  <c r="I29" i="22"/>
  <c r="G29" i="22"/>
  <c r="E29" i="22"/>
  <c r="K28" i="22"/>
  <c r="I28" i="22"/>
  <c r="G28" i="22"/>
  <c r="E28" i="22"/>
  <c r="K27" i="22"/>
  <c r="I27" i="22"/>
  <c r="G27" i="22"/>
  <c r="E27" i="22"/>
  <c r="K26" i="22"/>
  <c r="I26" i="22"/>
  <c r="G26" i="22"/>
  <c r="E26" i="22"/>
  <c r="K25" i="22"/>
  <c r="I25" i="22"/>
  <c r="G25" i="22"/>
  <c r="E25" i="22"/>
  <c r="K24" i="22"/>
  <c r="I24" i="22"/>
  <c r="G24" i="22"/>
  <c r="E24" i="22"/>
  <c r="K23" i="22"/>
  <c r="I23" i="22"/>
  <c r="G23" i="22"/>
  <c r="E23" i="22"/>
  <c r="K22" i="22"/>
  <c r="I22" i="22"/>
  <c r="G22" i="22"/>
  <c r="E22" i="22"/>
  <c r="K21" i="22"/>
  <c r="I21" i="22"/>
  <c r="G21" i="22"/>
  <c r="E21" i="22"/>
  <c r="K20" i="22"/>
  <c r="I20" i="22"/>
  <c r="G20" i="22"/>
  <c r="E20" i="22"/>
  <c r="K17" i="22"/>
  <c r="I17" i="22"/>
  <c r="G17" i="22"/>
  <c r="E17" i="22"/>
  <c r="K16" i="22"/>
  <c r="I16" i="22"/>
  <c r="G16" i="22"/>
  <c r="E16" i="22"/>
  <c r="K15" i="22"/>
  <c r="I15" i="22"/>
  <c r="G15" i="22"/>
  <c r="E15" i="22"/>
  <c r="K14" i="22"/>
  <c r="I14" i="22"/>
  <c r="G14" i="22"/>
  <c r="E14" i="22"/>
  <c r="K13" i="22"/>
  <c r="I13" i="22"/>
  <c r="G13" i="22"/>
  <c r="E13" i="22"/>
  <c r="K12" i="22"/>
  <c r="I12" i="22"/>
  <c r="G12" i="22"/>
  <c r="E12" i="22"/>
  <c r="K11" i="22"/>
  <c r="I11" i="22"/>
  <c r="G11" i="22"/>
  <c r="E11" i="22"/>
  <c r="K10" i="22"/>
  <c r="I10" i="22"/>
  <c r="G10" i="22"/>
  <c r="E10" i="22"/>
  <c r="K9" i="22"/>
  <c r="I9" i="22"/>
  <c r="G9" i="22"/>
  <c r="E9" i="22"/>
  <c r="K8" i="22"/>
  <c r="I8" i="22"/>
  <c r="G8" i="22"/>
  <c r="E8" i="22"/>
  <c r="K7" i="22"/>
  <c r="I7" i="22"/>
  <c r="G7" i="22"/>
  <c r="E7" i="22"/>
  <c r="J256" i="20" l="1"/>
  <c r="H256" i="20"/>
  <c r="F256" i="20"/>
  <c r="D256" i="20"/>
  <c r="B256" i="20"/>
  <c r="A256" i="20"/>
  <c r="J242" i="20"/>
  <c r="H242" i="20"/>
  <c r="F242" i="20"/>
  <c r="D242" i="20"/>
  <c r="B242" i="20"/>
  <c r="A242" i="20"/>
  <c r="J228" i="20"/>
  <c r="H228" i="20"/>
  <c r="F228" i="20"/>
  <c r="D228" i="20"/>
  <c r="B228" i="20"/>
  <c r="A228" i="20"/>
  <c r="J214" i="20"/>
  <c r="H214" i="20"/>
  <c r="F214" i="20"/>
  <c r="D214" i="20"/>
  <c r="B214" i="20"/>
  <c r="A214" i="20"/>
  <c r="J200" i="20"/>
  <c r="H200" i="20"/>
  <c r="F200" i="20"/>
  <c r="D200" i="20"/>
  <c r="B200" i="20"/>
  <c r="J186" i="20"/>
  <c r="H186" i="20"/>
  <c r="F186" i="20"/>
  <c r="D186" i="20"/>
  <c r="B186" i="20"/>
  <c r="J172" i="20"/>
  <c r="H172" i="20"/>
  <c r="F172" i="20"/>
  <c r="D172" i="20"/>
  <c r="B172" i="20"/>
  <c r="J158" i="20"/>
  <c r="H158" i="20"/>
  <c r="F158" i="20"/>
  <c r="D158" i="20"/>
  <c r="B158" i="20"/>
  <c r="J144" i="20"/>
  <c r="H144" i="20"/>
  <c r="F144" i="20"/>
  <c r="D144" i="20"/>
  <c r="B144" i="20"/>
  <c r="J130" i="20"/>
  <c r="H130" i="20"/>
  <c r="F130" i="20"/>
  <c r="D130" i="20"/>
  <c r="B130" i="20"/>
  <c r="J116" i="20"/>
  <c r="H116" i="20"/>
  <c r="F116" i="20"/>
  <c r="D116" i="20"/>
  <c r="B116" i="20"/>
  <c r="J102" i="20"/>
  <c r="H102" i="20"/>
  <c r="F102" i="20"/>
  <c r="D102" i="20"/>
  <c r="B102" i="20"/>
  <c r="J88" i="20"/>
  <c r="H88" i="20"/>
  <c r="F88" i="20"/>
  <c r="D88" i="20"/>
  <c r="B88" i="20"/>
  <c r="J74" i="20"/>
  <c r="H74" i="20"/>
  <c r="F74" i="20"/>
  <c r="D74" i="20"/>
  <c r="B74" i="20"/>
  <c r="A74" i="20"/>
  <c r="J60" i="20"/>
  <c r="H60" i="20"/>
  <c r="F60" i="20"/>
  <c r="D60" i="20"/>
  <c r="B60" i="20"/>
  <c r="A60" i="20"/>
  <c r="J46" i="20"/>
  <c r="H46" i="20"/>
  <c r="F46" i="20"/>
  <c r="D46" i="20"/>
  <c r="B46" i="20"/>
  <c r="A46" i="20"/>
  <c r="J32" i="20"/>
  <c r="H32" i="20"/>
  <c r="F32" i="20"/>
  <c r="D32" i="20"/>
  <c r="B32" i="20"/>
  <c r="A32" i="20"/>
  <c r="J18" i="20"/>
  <c r="H18" i="20"/>
  <c r="F18" i="20"/>
  <c r="D18" i="20"/>
  <c r="B18" i="20"/>
  <c r="A18" i="20"/>
  <c r="AU30" i="19" l="1"/>
  <c r="AM30" i="19"/>
  <c r="AC30" i="19"/>
  <c r="AE30" i="19" s="1"/>
  <c r="T30" i="19"/>
  <c r="S30" i="19"/>
  <c r="J30" i="19"/>
  <c r="AS30" i="19" s="1"/>
  <c r="I30" i="19"/>
  <c r="AK30" i="19" s="1"/>
  <c r="H30" i="19"/>
  <c r="AA30" i="19" s="1"/>
  <c r="AU29" i="19"/>
  <c r="AM29" i="19"/>
  <c r="AC29" i="19"/>
  <c r="AE29" i="19" s="1"/>
  <c r="T29" i="19"/>
  <c r="S29" i="19"/>
  <c r="J29" i="19"/>
  <c r="AS29" i="19" s="1"/>
  <c r="I29" i="19"/>
  <c r="AK29" i="19" s="1"/>
  <c r="H29" i="19"/>
  <c r="AA29" i="19" s="1"/>
  <c r="AU28" i="19"/>
  <c r="AM28" i="19"/>
  <c r="AC28" i="19"/>
  <c r="AE28" i="19" s="1"/>
  <c r="T28" i="19"/>
  <c r="S28" i="19"/>
  <c r="J28" i="19"/>
  <c r="AS28" i="19" s="1"/>
  <c r="I28" i="19"/>
  <c r="AK28" i="19" s="1"/>
  <c r="H28" i="19"/>
  <c r="AA28" i="19" s="1"/>
  <c r="AU27" i="19"/>
  <c r="AS27" i="19"/>
  <c r="AM27" i="19"/>
  <c r="AK27" i="19"/>
  <c r="AC27" i="19"/>
  <c r="AE27" i="19" s="1"/>
  <c r="T27" i="19"/>
  <c r="Q27" i="19" s="1"/>
  <c r="P27" i="19" s="1"/>
  <c r="H27" i="19"/>
  <c r="AA27" i="19" s="1"/>
  <c r="AU26" i="19"/>
  <c r="AS26" i="19"/>
  <c r="AM26" i="19"/>
  <c r="AK26" i="19"/>
  <c r="AC26" i="19"/>
  <c r="AE26" i="19" s="1"/>
  <c r="T26" i="19"/>
  <c r="Q26" i="19" s="1"/>
  <c r="P26" i="19" s="1"/>
  <c r="H26" i="19"/>
  <c r="AA26" i="19" s="1"/>
  <c r="AU25" i="19"/>
  <c r="AS25" i="19"/>
  <c r="AM25" i="19"/>
  <c r="AK25" i="19"/>
  <c r="AC25" i="19"/>
  <c r="AE25" i="19" s="1"/>
  <c r="T25" i="19"/>
  <c r="Q25" i="19" s="1"/>
  <c r="P25" i="19" s="1"/>
  <c r="H25" i="19"/>
  <c r="AA25" i="19" s="1"/>
  <c r="AU24" i="19"/>
  <c r="AS24" i="19"/>
  <c r="AM24" i="19"/>
  <c r="AC24" i="19"/>
  <c r="AE24" i="19" s="1"/>
  <c r="T24" i="19"/>
  <c r="S24" i="19"/>
  <c r="K24" i="19"/>
  <c r="I24" i="19"/>
  <c r="AK24" i="19" s="1"/>
  <c r="H24" i="19"/>
  <c r="AA24" i="19" s="1"/>
  <c r="AU23" i="19"/>
  <c r="AM23" i="19"/>
  <c r="AC23" i="19"/>
  <c r="AE23" i="19" s="1"/>
  <c r="T23" i="19"/>
  <c r="S23" i="19"/>
  <c r="K23" i="19"/>
  <c r="J23" i="19"/>
  <c r="AS23" i="19" s="1"/>
  <c r="I23" i="19"/>
  <c r="AK23" i="19" s="1"/>
  <c r="H23" i="19"/>
  <c r="AA23" i="19" s="1"/>
  <c r="AU22" i="19"/>
  <c r="AM22" i="19"/>
  <c r="AC22" i="19"/>
  <c r="AE22" i="19" s="1"/>
  <c r="T22" i="19"/>
  <c r="S22" i="19"/>
  <c r="K22" i="19"/>
  <c r="J22" i="19"/>
  <c r="AS22" i="19" s="1"/>
  <c r="I22" i="19"/>
  <c r="AK22" i="19" s="1"/>
  <c r="H22" i="19"/>
  <c r="AA22" i="19" s="1"/>
  <c r="AU21" i="19"/>
  <c r="AM21" i="19"/>
  <c r="AC21" i="19"/>
  <c r="AE21" i="19" s="1"/>
  <c r="T21" i="19"/>
  <c r="S21" i="19"/>
  <c r="K21" i="19"/>
  <c r="J21" i="19"/>
  <c r="AS21" i="19" s="1"/>
  <c r="I21" i="19"/>
  <c r="AK21" i="19" s="1"/>
  <c r="H21" i="19"/>
  <c r="AA21" i="19" s="1"/>
  <c r="AU20" i="19"/>
  <c r="AM20" i="19"/>
  <c r="AC20" i="19"/>
  <c r="AE20" i="19" s="1"/>
  <c r="T20" i="19"/>
  <c r="S20" i="19"/>
  <c r="K20" i="19"/>
  <c r="J20" i="19"/>
  <c r="AS20" i="19" s="1"/>
  <c r="I20" i="19"/>
  <c r="AK20" i="19" s="1"/>
  <c r="H20" i="19"/>
  <c r="AA20" i="19" s="1"/>
  <c r="AU19" i="19"/>
  <c r="AM19" i="19"/>
  <c r="AC19" i="19"/>
  <c r="AE19" i="19" s="1"/>
  <c r="T19" i="19"/>
  <c r="S19" i="19"/>
  <c r="K19" i="19"/>
  <c r="J19" i="19"/>
  <c r="AS19" i="19" s="1"/>
  <c r="I19" i="19"/>
  <c r="AK19" i="19" s="1"/>
  <c r="H19" i="19"/>
  <c r="AA19" i="19" s="1"/>
  <c r="AU18" i="19"/>
  <c r="AM18" i="19"/>
  <c r="AC18" i="19"/>
  <c r="AE18" i="19" s="1"/>
  <c r="T18" i="19"/>
  <c r="S18" i="19"/>
  <c r="K18" i="19"/>
  <c r="J18" i="19"/>
  <c r="AS18" i="19" s="1"/>
  <c r="I18" i="19"/>
  <c r="AK18" i="19" s="1"/>
  <c r="H18" i="19"/>
  <c r="AA18" i="19" s="1"/>
  <c r="AU17" i="19"/>
  <c r="AM17" i="19"/>
  <c r="AC17" i="19"/>
  <c r="AE17" i="19" s="1"/>
  <c r="T17" i="19"/>
  <c r="S17" i="19"/>
  <c r="K17" i="19"/>
  <c r="J17" i="19"/>
  <c r="AS17" i="19" s="1"/>
  <c r="I17" i="19"/>
  <c r="AK17" i="19" s="1"/>
  <c r="H17" i="19"/>
  <c r="AA17" i="19" s="1"/>
  <c r="AU16" i="19"/>
  <c r="AM16" i="19"/>
  <c r="AC16" i="19"/>
  <c r="AE16" i="19" s="1"/>
  <c r="T16" i="19"/>
  <c r="S16" i="19"/>
  <c r="K16" i="19"/>
  <c r="J16" i="19"/>
  <c r="AS16" i="19" s="1"/>
  <c r="I16" i="19"/>
  <c r="AK16" i="19" s="1"/>
  <c r="H16" i="19"/>
  <c r="AA16" i="19" s="1"/>
  <c r="AU15" i="19"/>
  <c r="AM15" i="19"/>
  <c r="AC15" i="19"/>
  <c r="AE15" i="19" s="1"/>
  <c r="T15" i="19"/>
  <c r="S15" i="19"/>
  <c r="K15" i="19"/>
  <c r="J15" i="19"/>
  <c r="AS15" i="19" s="1"/>
  <c r="I15" i="19"/>
  <c r="AK15" i="19" s="1"/>
  <c r="H15" i="19"/>
  <c r="AA15" i="19" s="1"/>
  <c r="AT14" i="19"/>
  <c r="AU14" i="19" s="1"/>
  <c r="AS14" i="19"/>
  <c r="AL14" i="19"/>
  <c r="AM14" i="19" s="1"/>
  <c r="AK14" i="19"/>
  <c r="AB14" i="19"/>
  <c r="AC14" i="19" s="1"/>
  <c r="AE14" i="19" s="1"/>
  <c r="AA14" i="19"/>
  <c r="T14" i="19"/>
  <c r="S14" i="19"/>
  <c r="R14" i="19"/>
  <c r="K14" i="19"/>
  <c r="AT13" i="19"/>
  <c r="AU13" i="19" s="1"/>
  <c r="AS13" i="19"/>
  <c r="AL13" i="19"/>
  <c r="AM13" i="19" s="1"/>
  <c r="AK13" i="19"/>
  <c r="AB13" i="19"/>
  <c r="AC13" i="19" s="1"/>
  <c r="AE13" i="19" s="1"/>
  <c r="AA13" i="19"/>
  <c r="T13" i="19"/>
  <c r="S13" i="19"/>
  <c r="R13" i="19"/>
  <c r="AT12" i="19"/>
  <c r="AU12" i="19" s="1"/>
  <c r="AS12" i="19"/>
  <c r="AL12" i="19"/>
  <c r="AM12" i="19" s="1"/>
  <c r="AK12" i="19"/>
  <c r="AB12" i="19"/>
  <c r="AC12" i="19" s="1"/>
  <c r="AE12" i="19" s="1"/>
  <c r="AA12" i="19"/>
  <c r="T12" i="19"/>
  <c r="R12" i="19"/>
  <c r="L12" i="19"/>
  <c r="S12" i="19" s="1"/>
  <c r="AT11" i="19"/>
  <c r="AU11" i="19" s="1"/>
  <c r="AS11" i="19"/>
  <c r="AL11" i="19"/>
  <c r="AM11" i="19" s="1"/>
  <c r="AK11" i="19"/>
  <c r="AB11" i="19"/>
  <c r="AC11" i="19" s="1"/>
  <c r="AE11" i="19" s="1"/>
  <c r="AA11" i="19"/>
  <c r="T11" i="19"/>
  <c r="R11" i="19"/>
  <c r="L11" i="19"/>
  <c r="S11" i="19" s="1"/>
  <c r="AT10" i="19"/>
  <c r="AU10" i="19" s="1"/>
  <c r="AS10" i="19"/>
  <c r="AL10" i="19"/>
  <c r="AM10" i="19" s="1"/>
  <c r="AK10" i="19"/>
  <c r="AB10" i="19"/>
  <c r="AC10" i="19" s="1"/>
  <c r="AE10" i="19" s="1"/>
  <c r="AA10" i="19"/>
  <c r="T10" i="19"/>
  <c r="S10" i="19"/>
  <c r="R10" i="19"/>
  <c r="AT9" i="19"/>
  <c r="AU9" i="19" s="1"/>
  <c r="AS9" i="19"/>
  <c r="AL9" i="19"/>
  <c r="AM9" i="19" s="1"/>
  <c r="AK9" i="19"/>
  <c r="AB9" i="19"/>
  <c r="AC9" i="19" s="1"/>
  <c r="AE9" i="19" s="1"/>
  <c r="AA9" i="19"/>
  <c r="T9" i="19"/>
  <c r="S9" i="19"/>
  <c r="R9" i="19"/>
  <c r="AT8" i="19"/>
  <c r="AU8" i="19" s="1"/>
  <c r="AS8" i="19"/>
  <c r="AL8" i="19"/>
  <c r="AM8" i="19" s="1"/>
  <c r="AK8" i="19"/>
  <c r="AB8" i="19"/>
  <c r="AC8" i="19" s="1"/>
  <c r="AE8" i="19" s="1"/>
  <c r="AA8" i="19"/>
  <c r="T8" i="19"/>
  <c r="S8" i="19"/>
  <c r="R8" i="19"/>
  <c r="AT7" i="19"/>
  <c r="AU7" i="19" s="1"/>
  <c r="AS7" i="19"/>
  <c r="AL7" i="19"/>
  <c r="AM7" i="19" s="1"/>
  <c r="AB7" i="19"/>
  <c r="AC7" i="19" s="1"/>
  <c r="AE7" i="19" s="1"/>
  <c r="T7" i="19"/>
  <c r="S7" i="19"/>
  <c r="R7" i="19"/>
  <c r="I7" i="19"/>
  <c r="AK7" i="19" s="1"/>
  <c r="H7" i="19"/>
  <c r="AA7" i="19" s="1"/>
  <c r="AS6" i="19"/>
  <c r="AA6" i="19"/>
  <c r="T6" i="19"/>
  <c r="I6" i="19"/>
  <c r="AK6" i="19" s="1"/>
  <c r="AS5" i="19"/>
  <c r="AK5" i="19"/>
  <c r="AA5" i="19"/>
  <c r="T5" i="19"/>
  <c r="AT4" i="19"/>
  <c r="AT5" i="19" s="1"/>
  <c r="AU5" i="19" s="1"/>
  <c r="AS4" i="19"/>
  <c r="AL4" i="19"/>
  <c r="AL6" i="19" s="1"/>
  <c r="AM6" i="19" s="1"/>
  <c r="AB4" i="19"/>
  <c r="AB6" i="19" s="1"/>
  <c r="AC6" i="19" s="1"/>
  <c r="AE6" i="19" s="1"/>
  <c r="T4" i="19"/>
  <c r="S4" i="19"/>
  <c r="S6" i="19" s="1"/>
  <c r="R4" i="19"/>
  <c r="R5" i="19" s="1"/>
  <c r="I4" i="19"/>
  <c r="AK4" i="19" s="1"/>
  <c r="H4" i="19"/>
  <c r="AA4" i="19" s="1"/>
  <c r="Z16" i="19" l="1"/>
  <c r="W16" i="19" s="1"/>
  <c r="V16" i="19" s="1"/>
  <c r="AR23" i="19"/>
  <c r="AP23" i="19" s="1"/>
  <c r="AJ30" i="19"/>
  <c r="AH30" i="19" s="1"/>
  <c r="AR29" i="19"/>
  <c r="AP29" i="19" s="1"/>
  <c r="Q28" i="19"/>
  <c r="P28" i="19" s="1"/>
  <c r="Q30" i="19"/>
  <c r="P30" i="19" s="1"/>
  <c r="AR28" i="19"/>
  <c r="AP28" i="19" s="1"/>
  <c r="AR30" i="19"/>
  <c r="AP30" i="19" s="1"/>
  <c r="Q12" i="19"/>
  <c r="P12" i="19" s="1"/>
  <c r="AR11" i="19"/>
  <c r="AP11" i="19" s="1"/>
  <c r="AJ8" i="19"/>
  <c r="AH8" i="19" s="1"/>
  <c r="Z20" i="19"/>
  <c r="W20" i="19" s="1"/>
  <c r="V20" i="19" s="1"/>
  <c r="AR15" i="19"/>
  <c r="AP15" i="19" s="1"/>
  <c r="AR19" i="19"/>
  <c r="AP19" i="19" s="1"/>
  <c r="AJ10" i="19"/>
  <c r="AH10" i="19" s="1"/>
  <c r="AR26" i="19"/>
  <c r="AP26" i="19" s="1"/>
  <c r="Q22" i="19"/>
  <c r="P22" i="19" s="1"/>
  <c r="AR14" i="19"/>
  <c r="AP14" i="19" s="1"/>
  <c r="AJ20" i="19"/>
  <c r="AH20" i="19" s="1"/>
  <c r="AJ23" i="19"/>
  <c r="AH23" i="19" s="1"/>
  <c r="Z25" i="19"/>
  <c r="W25" i="19" s="1"/>
  <c r="V25" i="19" s="1"/>
  <c r="AC4" i="19"/>
  <c r="AE4" i="19" s="1"/>
  <c r="AB5" i="19"/>
  <c r="AC5" i="19" s="1"/>
  <c r="AE5" i="19" s="1"/>
  <c r="AJ13" i="19"/>
  <c r="AH13" i="19" s="1"/>
  <c r="Q18" i="19"/>
  <c r="P18" i="19" s="1"/>
  <c r="Z21" i="19"/>
  <c r="W21" i="19" s="1"/>
  <c r="V21" i="19" s="1"/>
  <c r="Q21" i="19"/>
  <c r="P21" i="19" s="1"/>
  <c r="Z17" i="19"/>
  <c r="W17" i="19" s="1"/>
  <c r="V17" i="19" s="1"/>
  <c r="AJ19" i="19"/>
  <c r="AH19" i="19" s="1"/>
  <c r="AR20" i="19"/>
  <c r="AP20" i="19" s="1"/>
  <c r="AR8" i="19"/>
  <c r="AP8" i="19" s="1"/>
  <c r="AJ15" i="19"/>
  <c r="AH15" i="19" s="1"/>
  <c r="AR16" i="19"/>
  <c r="AP16" i="19" s="1"/>
  <c r="Q17" i="19"/>
  <c r="P17" i="19" s="1"/>
  <c r="AR24" i="19"/>
  <c r="AP24" i="19" s="1"/>
  <c r="Q29" i="19"/>
  <c r="P29" i="19" s="1"/>
  <c r="Z28" i="19"/>
  <c r="W28" i="19" s="1"/>
  <c r="V28" i="19" s="1"/>
  <c r="AJ16" i="19"/>
  <c r="AH16" i="19" s="1"/>
  <c r="AR5" i="19"/>
  <c r="AP5" i="19" s="1"/>
  <c r="Z8" i="19"/>
  <c r="W8" i="19" s="1"/>
  <c r="V8" i="19" s="1"/>
  <c r="AR10" i="19"/>
  <c r="AP10" i="19" s="1"/>
  <c r="Q14" i="19"/>
  <c r="P14" i="19" s="1"/>
  <c r="AJ24" i="19"/>
  <c r="AH24" i="19" s="1"/>
  <c r="AJ28" i="19"/>
  <c r="AH28" i="19" s="1"/>
  <c r="Z29" i="19"/>
  <c r="W29" i="19" s="1"/>
  <c r="V29" i="19" s="1"/>
  <c r="Z7" i="19"/>
  <c r="W7" i="19" s="1"/>
  <c r="V7" i="19" s="1"/>
  <c r="Z27" i="19"/>
  <c r="W27" i="19" s="1"/>
  <c r="V27" i="19" s="1"/>
  <c r="Z9" i="19"/>
  <c r="W9" i="19" s="1"/>
  <c r="V9" i="19" s="1"/>
  <c r="Z12" i="19"/>
  <c r="W12" i="19" s="1"/>
  <c r="V12" i="19" s="1"/>
  <c r="S5" i="19"/>
  <c r="Q5" i="19" s="1"/>
  <c r="P5" i="19" s="1"/>
  <c r="AJ7" i="19"/>
  <c r="AH7" i="19" s="1"/>
  <c r="AR9" i="19"/>
  <c r="AP9" i="19" s="1"/>
  <c r="Q10" i="19"/>
  <c r="P10" i="19" s="1"/>
  <c r="Q11" i="19"/>
  <c r="P11" i="19" s="1"/>
  <c r="Q13" i="19"/>
  <c r="P13" i="19" s="1"/>
  <c r="AJ14" i="19"/>
  <c r="AH14" i="19" s="1"/>
  <c r="AR25" i="19"/>
  <c r="AP25" i="19" s="1"/>
  <c r="AJ27" i="19"/>
  <c r="AH27" i="19" s="1"/>
  <c r="AJ29" i="19"/>
  <c r="AH29" i="19" s="1"/>
  <c r="Q4" i="19"/>
  <c r="P4" i="19" s="1"/>
  <c r="Z6" i="19"/>
  <c r="W6" i="19" s="1"/>
  <c r="V6" i="19" s="1"/>
  <c r="R6" i="19"/>
  <c r="Q6" i="19" s="1"/>
  <c r="P6" i="19" s="1"/>
  <c r="Q8" i="19"/>
  <c r="P8" i="19" s="1"/>
  <c r="AR12" i="19"/>
  <c r="AP12" i="19" s="1"/>
  <c r="Q16" i="19"/>
  <c r="P16" i="19" s="1"/>
  <c r="AJ17" i="19"/>
  <c r="AH17" i="19" s="1"/>
  <c r="Q20" i="19"/>
  <c r="P20" i="19" s="1"/>
  <c r="AJ21" i="19"/>
  <c r="AH21" i="19" s="1"/>
  <c r="AJ25" i="19"/>
  <c r="AH25" i="19" s="1"/>
  <c r="Z26" i="19"/>
  <c r="W26" i="19" s="1"/>
  <c r="V26" i="19" s="1"/>
  <c r="Z30" i="19"/>
  <c r="W30" i="19" s="1"/>
  <c r="V30" i="19" s="1"/>
  <c r="Q9" i="19"/>
  <c r="P9" i="19" s="1"/>
  <c r="Z10" i="19"/>
  <c r="W10" i="19" s="1"/>
  <c r="V10" i="19" s="1"/>
  <c r="AJ11" i="19"/>
  <c r="AH11" i="19" s="1"/>
  <c r="Z13" i="19"/>
  <c r="W13" i="19" s="1"/>
  <c r="V13" i="19" s="1"/>
  <c r="Z14" i="19"/>
  <c r="W14" i="19" s="1"/>
  <c r="V14" i="19" s="1"/>
  <c r="AR17" i="19"/>
  <c r="AP17" i="19" s="1"/>
  <c r="AR21" i="19"/>
  <c r="AP21" i="19" s="1"/>
  <c r="AJ26" i="19"/>
  <c r="AH26" i="19" s="1"/>
  <c r="AR27" i="19"/>
  <c r="AP27" i="19" s="1"/>
  <c r="Q7" i="19"/>
  <c r="P7" i="19" s="1"/>
  <c r="AJ12" i="19"/>
  <c r="AH12" i="19" s="1"/>
  <c r="Q15" i="19"/>
  <c r="P15" i="19" s="1"/>
  <c r="Z18" i="19"/>
  <c r="W18" i="19" s="1"/>
  <c r="V18" i="19" s="1"/>
  <c r="AR18" i="19"/>
  <c r="AP18" i="19" s="1"/>
  <c r="Z19" i="19"/>
  <c r="W19" i="19" s="1"/>
  <c r="V19" i="19" s="1"/>
  <c r="AJ22" i="19"/>
  <c r="AH22" i="19" s="1"/>
  <c r="Q23" i="19"/>
  <c r="P23" i="19" s="1"/>
  <c r="Q24" i="19"/>
  <c r="P24" i="19" s="1"/>
  <c r="AL5" i="19"/>
  <c r="AM5" i="19" s="1"/>
  <c r="AJ5" i="19" s="1"/>
  <c r="AH5" i="19" s="1"/>
  <c r="AM4" i="19"/>
  <c r="AJ4" i="19" s="1"/>
  <c r="AH4" i="19" s="1"/>
  <c r="AU4" i="19"/>
  <c r="AR4" i="19" s="1"/>
  <c r="AP4" i="19" s="1"/>
  <c r="AT6" i="19"/>
  <c r="AU6" i="19" s="1"/>
  <c r="AR6" i="19" s="1"/>
  <c r="AP6" i="19" s="1"/>
  <c r="AJ6" i="19"/>
  <c r="AH6" i="19" s="1"/>
  <c r="AR7" i="19"/>
  <c r="AP7" i="19" s="1"/>
  <c r="AJ9" i="19"/>
  <c r="AH9" i="19" s="1"/>
  <c r="Z11" i="19"/>
  <c r="W11" i="19" s="1"/>
  <c r="V11" i="19" s="1"/>
  <c r="AR13" i="19"/>
  <c r="AP13" i="19" s="1"/>
  <c r="Z15" i="19"/>
  <c r="W15" i="19" s="1"/>
  <c r="V15" i="19" s="1"/>
  <c r="AJ18" i="19"/>
  <c r="AH18" i="19" s="1"/>
  <c r="Q19" i="19"/>
  <c r="P19" i="19" s="1"/>
  <c r="Z22" i="19"/>
  <c r="W22" i="19" s="1"/>
  <c r="V22" i="19" s="1"/>
  <c r="AR22" i="19"/>
  <c r="AP22" i="19" s="1"/>
  <c r="Z23" i="19"/>
  <c r="W23" i="19" s="1"/>
  <c r="V23" i="19" s="1"/>
  <c r="Z24" i="19"/>
  <c r="W24" i="19" s="1"/>
  <c r="V24" i="19" s="1"/>
  <c r="R8" i="18"/>
  <c r="S14" i="18"/>
  <c r="T6" i="18"/>
  <c r="T5" i="18"/>
  <c r="X15" i="19" l="1"/>
  <c r="X14" i="19"/>
  <c r="X11" i="19"/>
  <c r="X9" i="19"/>
  <c r="X8" i="19"/>
  <c r="X13" i="19"/>
  <c r="X28" i="19"/>
  <c r="X25" i="19"/>
  <c r="Z4" i="19"/>
  <c r="W4" i="19" s="1"/>
  <c r="V4" i="19" s="1"/>
  <c r="Z5" i="19"/>
  <c r="W5" i="19" s="1"/>
  <c r="V5" i="19" s="1"/>
  <c r="S30" i="18"/>
  <c r="S29" i="18"/>
  <c r="S28" i="18"/>
  <c r="AL11" i="18"/>
  <c r="AM11" i="18" s="1"/>
  <c r="AL12" i="18"/>
  <c r="AM12" i="18" s="1"/>
  <c r="AE6" i="18"/>
  <c r="AE5" i="18"/>
  <c r="AL4" i="18"/>
  <c r="AM4" i="18" s="1"/>
  <c r="AB8" i="18"/>
  <c r="AC8" i="18" s="1"/>
  <c r="AL8" i="18"/>
  <c r="AM8" i="18" s="1"/>
  <c r="AE30" i="18"/>
  <c r="T30" i="18"/>
  <c r="AS30" i="18"/>
  <c r="AK30" i="18"/>
  <c r="AA30" i="18"/>
  <c r="AE29" i="18"/>
  <c r="T29" i="18"/>
  <c r="AS29" i="18"/>
  <c r="AK29" i="18"/>
  <c r="AA29" i="18"/>
  <c r="AE28" i="18"/>
  <c r="T28" i="18"/>
  <c r="AS28" i="18"/>
  <c r="AK28" i="18"/>
  <c r="AA28" i="18"/>
  <c r="AE27" i="18"/>
  <c r="T27" i="18"/>
  <c r="AS27" i="18"/>
  <c r="AK27" i="18"/>
  <c r="H27" i="18"/>
  <c r="AA27" i="18" s="1"/>
  <c r="AE26" i="18"/>
  <c r="T26" i="18"/>
  <c r="AS26" i="18"/>
  <c r="AK26" i="18"/>
  <c r="H26" i="18"/>
  <c r="AA26" i="18" s="1"/>
  <c r="AE25" i="18"/>
  <c r="T25" i="18"/>
  <c r="AS25" i="18"/>
  <c r="AK25" i="18"/>
  <c r="H25" i="18"/>
  <c r="AA25" i="18" s="1"/>
  <c r="AS24" i="18"/>
  <c r="AM24" i="18"/>
  <c r="AE24" i="18"/>
  <c r="T24" i="18"/>
  <c r="S24" i="18"/>
  <c r="K24" i="18"/>
  <c r="I24" i="18"/>
  <c r="AK24" i="18" s="1"/>
  <c r="H24" i="18"/>
  <c r="AA24" i="18" s="1"/>
  <c r="AM23" i="18"/>
  <c r="AE23" i="18"/>
  <c r="T23" i="18"/>
  <c r="S23" i="18"/>
  <c r="K23" i="18"/>
  <c r="J23" i="18"/>
  <c r="AS23" i="18" s="1"/>
  <c r="I23" i="18"/>
  <c r="AK23" i="18" s="1"/>
  <c r="H23" i="18"/>
  <c r="AA23" i="18" s="1"/>
  <c r="AE22" i="18"/>
  <c r="AC22" i="18"/>
  <c r="T22" i="18"/>
  <c r="S22" i="18"/>
  <c r="K22" i="18"/>
  <c r="J22" i="18"/>
  <c r="AS22" i="18" s="1"/>
  <c r="I22" i="18"/>
  <c r="AK22" i="18" s="1"/>
  <c r="H22" i="18"/>
  <c r="AA22" i="18" s="1"/>
  <c r="AM21" i="18"/>
  <c r="AE21" i="18"/>
  <c r="AC21" i="18"/>
  <c r="T21" i="18"/>
  <c r="S21" i="18"/>
  <c r="K21" i="18"/>
  <c r="J21" i="18"/>
  <c r="AS21" i="18" s="1"/>
  <c r="I21" i="18"/>
  <c r="AK21" i="18" s="1"/>
  <c r="H21" i="18"/>
  <c r="AA21" i="18" s="1"/>
  <c r="AM20" i="18"/>
  <c r="AE20" i="18"/>
  <c r="AC20" i="18"/>
  <c r="T20" i="18"/>
  <c r="S20" i="18"/>
  <c r="K20" i="18"/>
  <c r="J20" i="18"/>
  <c r="AS20" i="18" s="1"/>
  <c r="I20" i="18"/>
  <c r="AK20" i="18" s="1"/>
  <c r="H20" i="18"/>
  <c r="AA20" i="18" s="1"/>
  <c r="AM19" i="18"/>
  <c r="AE19" i="18"/>
  <c r="T19" i="18"/>
  <c r="S19" i="18"/>
  <c r="K19" i="18"/>
  <c r="J19" i="18"/>
  <c r="AS19" i="18" s="1"/>
  <c r="I19" i="18"/>
  <c r="AK19" i="18" s="1"/>
  <c r="H19" i="18"/>
  <c r="AA19" i="18" s="1"/>
  <c r="AE18" i="18"/>
  <c r="AC18" i="18"/>
  <c r="T18" i="18"/>
  <c r="S18" i="18"/>
  <c r="K18" i="18"/>
  <c r="J18" i="18"/>
  <c r="AS18" i="18" s="1"/>
  <c r="I18" i="18"/>
  <c r="AK18" i="18" s="1"/>
  <c r="H18" i="18"/>
  <c r="AA18" i="18" s="1"/>
  <c r="AE17" i="18"/>
  <c r="T17" i="18"/>
  <c r="S17" i="18"/>
  <c r="K17" i="18"/>
  <c r="J17" i="18"/>
  <c r="AS17" i="18" s="1"/>
  <c r="I17" i="18"/>
  <c r="AK17" i="18" s="1"/>
  <c r="H17" i="18"/>
  <c r="AA17" i="18" s="1"/>
  <c r="AM16" i="18"/>
  <c r="AE16" i="18"/>
  <c r="AC16" i="18"/>
  <c r="T16" i="18"/>
  <c r="S16" i="18"/>
  <c r="K16" i="18"/>
  <c r="J16" i="18"/>
  <c r="AS16" i="18" s="1"/>
  <c r="I16" i="18"/>
  <c r="AK16" i="18" s="1"/>
  <c r="H16" i="18"/>
  <c r="AA16" i="18" s="1"/>
  <c r="AE15" i="18"/>
  <c r="T15" i="18"/>
  <c r="S15" i="18"/>
  <c r="K15" i="18"/>
  <c r="J15" i="18"/>
  <c r="I15" i="18"/>
  <c r="AK15" i="18" s="1"/>
  <c r="H15" i="18"/>
  <c r="AA15" i="18" s="1"/>
  <c r="AS14" i="18"/>
  <c r="AL14" i="18"/>
  <c r="AM14" i="18" s="1"/>
  <c r="AK14" i="18"/>
  <c r="AE14" i="18"/>
  <c r="AB14" i="18"/>
  <c r="AC14" i="18" s="1"/>
  <c r="AA14" i="18"/>
  <c r="T14" i="18"/>
  <c r="R14" i="18"/>
  <c r="K14" i="18"/>
  <c r="AS13" i="18"/>
  <c r="AL13" i="18"/>
  <c r="AM13" i="18" s="1"/>
  <c r="AK13" i="18"/>
  <c r="AE13" i="18"/>
  <c r="AB13" i="18"/>
  <c r="AC13" i="18" s="1"/>
  <c r="AA13" i="18"/>
  <c r="T13" i="18"/>
  <c r="S13" i="18"/>
  <c r="R13" i="18"/>
  <c r="AS12" i="18"/>
  <c r="AK12" i="18"/>
  <c r="AE12" i="18"/>
  <c r="AB12" i="18"/>
  <c r="AC12" i="18" s="1"/>
  <c r="AA12" i="18"/>
  <c r="T12" i="18"/>
  <c r="R12" i="18"/>
  <c r="L12" i="18"/>
  <c r="S12" i="18" s="1"/>
  <c r="AS11" i="18"/>
  <c r="AK11" i="18"/>
  <c r="AE11" i="18"/>
  <c r="AB11" i="18"/>
  <c r="AC11" i="18" s="1"/>
  <c r="AA11" i="18"/>
  <c r="T11" i="18"/>
  <c r="R11" i="18"/>
  <c r="L11" i="18"/>
  <c r="S11" i="18" s="1"/>
  <c r="AS10" i="18"/>
  <c r="AL10" i="18"/>
  <c r="AM10" i="18" s="1"/>
  <c r="AK10" i="18"/>
  <c r="AE10" i="18"/>
  <c r="AB10" i="18"/>
  <c r="AC10" i="18" s="1"/>
  <c r="AA10" i="18"/>
  <c r="T10" i="18"/>
  <c r="S10" i="18"/>
  <c r="R10" i="18"/>
  <c r="AS9" i="18"/>
  <c r="AL9" i="18"/>
  <c r="AM9" i="18" s="1"/>
  <c r="AK9" i="18"/>
  <c r="AE9" i="18"/>
  <c r="AB9" i="18"/>
  <c r="AC9" i="18" s="1"/>
  <c r="AA9" i="18"/>
  <c r="T9" i="18"/>
  <c r="S9" i="18"/>
  <c r="R9" i="18"/>
  <c r="AS8" i="18"/>
  <c r="AK8" i="18"/>
  <c r="AE8" i="18"/>
  <c r="AA8" i="18"/>
  <c r="T8" i="18"/>
  <c r="S8" i="18"/>
  <c r="AS7" i="18"/>
  <c r="AL7" i="18"/>
  <c r="AM7" i="18" s="1"/>
  <c r="AE7" i="18"/>
  <c r="AB7" i="18"/>
  <c r="AC7" i="18" s="1"/>
  <c r="T7" i="18"/>
  <c r="S7" i="18"/>
  <c r="R7" i="18"/>
  <c r="I7" i="18"/>
  <c r="AK7" i="18" s="1"/>
  <c r="H7" i="18"/>
  <c r="AA7" i="18" s="1"/>
  <c r="AS6" i="18"/>
  <c r="AA6" i="18"/>
  <c r="I6" i="18"/>
  <c r="AK6" i="18" s="1"/>
  <c r="AS5" i="18"/>
  <c r="AK5" i="18"/>
  <c r="AA5" i="18"/>
  <c r="AS4" i="18"/>
  <c r="AE4" i="18"/>
  <c r="AB4" i="18"/>
  <c r="AC4" i="18" s="1"/>
  <c r="T4" i="18"/>
  <c r="S4" i="18"/>
  <c r="R4" i="18"/>
  <c r="I4" i="18"/>
  <c r="AK4" i="18" s="1"/>
  <c r="H4" i="18"/>
  <c r="Q23" i="18" l="1"/>
  <c r="P23" i="18" s="1"/>
  <c r="X4" i="19"/>
  <c r="AJ13" i="18"/>
  <c r="AH13" i="18" s="1"/>
  <c r="AJ21" i="18"/>
  <c r="AH21" i="18" s="1"/>
  <c r="Q8" i="18"/>
  <c r="P8" i="18" s="1"/>
  <c r="Z21" i="18"/>
  <c r="W21" i="18" s="1"/>
  <c r="Z9" i="18"/>
  <c r="W9" i="18" s="1"/>
  <c r="Q21" i="18"/>
  <c r="P21" i="18" s="1"/>
  <c r="Q11" i="18"/>
  <c r="P11" i="18" s="1"/>
  <c r="AJ24" i="18"/>
  <c r="AH24" i="18" s="1"/>
  <c r="Q20" i="18"/>
  <c r="P20" i="18" s="1"/>
  <c r="Q12" i="18"/>
  <c r="P12" i="18" s="1"/>
  <c r="Z7" i="18"/>
  <c r="W7" i="18" s="1"/>
  <c r="R6" i="18"/>
  <c r="R5" i="18"/>
  <c r="AJ7" i="18"/>
  <c r="AH7" i="18" s="1"/>
  <c r="S6" i="18"/>
  <c r="S5" i="18"/>
  <c r="Q7" i="18"/>
  <c r="P7" i="18" s="1"/>
  <c r="Q16" i="18"/>
  <c r="P16" i="18" s="1"/>
  <c r="Q18" i="18"/>
  <c r="P18" i="18" s="1"/>
  <c r="Q22" i="18"/>
  <c r="P22" i="18" s="1"/>
  <c r="AJ23" i="18"/>
  <c r="AH23" i="18" s="1"/>
  <c r="AJ4" i="18"/>
  <c r="AH4" i="18" s="1"/>
  <c r="AJ12" i="18"/>
  <c r="AH12" i="18" s="1"/>
  <c r="Z18" i="18"/>
  <c r="W18" i="18" s="1"/>
  <c r="Q15" i="18"/>
  <c r="P15" i="18" s="1"/>
  <c r="Z12" i="18"/>
  <c r="W12" i="18" s="1"/>
  <c r="AJ14" i="18"/>
  <c r="AH14" i="18" s="1"/>
  <c r="Z8" i="18"/>
  <c r="W8" i="18" s="1"/>
  <c r="X8" i="18" s="1"/>
  <c r="AB6" i="18"/>
  <c r="AC6" i="18" s="1"/>
  <c r="Z6" i="18" s="1"/>
  <c r="W6" i="18" s="1"/>
  <c r="Q24" i="18"/>
  <c r="P24" i="18" s="1"/>
  <c r="AL5" i="18"/>
  <c r="AM5" i="18" s="1"/>
  <c r="AJ5" i="18" s="1"/>
  <c r="AH5" i="18" s="1"/>
  <c r="AJ10" i="18"/>
  <c r="AH10" i="18" s="1"/>
  <c r="AL6" i="18"/>
  <c r="AM6" i="18" s="1"/>
  <c r="AJ6" i="18" s="1"/>
  <c r="AH6" i="18" s="1"/>
  <c r="AJ9" i="18"/>
  <c r="AH9" i="18" s="1"/>
  <c r="Z16" i="18"/>
  <c r="W16" i="18" s="1"/>
  <c r="Q19" i="18"/>
  <c r="P19" i="18" s="1"/>
  <c r="Q9" i="18"/>
  <c r="P9" i="18" s="1"/>
  <c r="Z11" i="18"/>
  <c r="W11" i="18" s="1"/>
  <c r="Q13" i="18"/>
  <c r="P13" i="18" s="1"/>
  <c r="AJ19" i="18"/>
  <c r="AH19" i="18" s="1"/>
  <c r="AB5" i="18"/>
  <c r="AC5" i="18" s="1"/>
  <c r="Z5" i="18" s="1"/>
  <c r="W5" i="18" s="1"/>
  <c r="AJ16" i="18"/>
  <c r="AH16" i="18" s="1"/>
  <c r="AJ8" i="18"/>
  <c r="AH8" i="18" s="1"/>
  <c r="AA4" i="18"/>
  <c r="Z4" i="18" s="1"/>
  <c r="W4" i="18" s="1"/>
  <c r="Z22" i="18"/>
  <c r="W22" i="18" s="1"/>
  <c r="Q14" i="18"/>
  <c r="P14" i="18" s="1"/>
  <c r="Q4" i="18"/>
  <c r="P4" i="18" s="1"/>
  <c r="Z20" i="18"/>
  <c r="W20" i="18" s="1"/>
  <c r="AC30" i="18"/>
  <c r="Z30" i="18" s="1"/>
  <c r="W30" i="18" s="1"/>
  <c r="AC29" i="18"/>
  <c r="Z29" i="18" s="1"/>
  <c r="W29" i="18" s="1"/>
  <c r="AC28" i="18"/>
  <c r="Z28" i="18" s="1"/>
  <c r="W28" i="18" s="1"/>
  <c r="X28" i="18" s="1"/>
  <c r="AC27" i="18"/>
  <c r="Z27" i="18" s="1"/>
  <c r="W27" i="18" s="1"/>
  <c r="AC26" i="18"/>
  <c r="Z26" i="18" s="1"/>
  <c r="W26" i="18" s="1"/>
  <c r="AC25" i="18"/>
  <c r="Z25" i="18" s="1"/>
  <c r="W25" i="18" s="1"/>
  <c r="AC24" i="18"/>
  <c r="Z24" i="18" s="1"/>
  <c r="W24" i="18" s="1"/>
  <c r="AC23" i="18"/>
  <c r="Z23" i="18" s="1"/>
  <c r="W23" i="18" s="1"/>
  <c r="AC19" i="18"/>
  <c r="Z19" i="18" s="1"/>
  <c r="W19" i="18" s="1"/>
  <c r="AC15" i="18"/>
  <c r="Z15" i="18" s="1"/>
  <c r="W15" i="18" s="1"/>
  <c r="Z10" i="18"/>
  <c r="W10" i="18" s="1"/>
  <c r="Q17" i="18"/>
  <c r="P17" i="18" s="1"/>
  <c r="AC17" i="18"/>
  <c r="Z17" i="18" s="1"/>
  <c r="W17" i="18" s="1"/>
  <c r="AM22" i="18"/>
  <c r="AJ22" i="18" s="1"/>
  <c r="AH22" i="18" s="1"/>
  <c r="AM18" i="18"/>
  <c r="AJ18" i="18" s="1"/>
  <c r="AH18" i="18" s="1"/>
  <c r="Q10" i="18"/>
  <c r="P10" i="18" s="1"/>
  <c r="AJ11" i="18"/>
  <c r="AH11" i="18" s="1"/>
  <c r="Z13" i="18"/>
  <c r="W13" i="18" s="1"/>
  <c r="X13" i="18" s="1"/>
  <c r="Z14" i="18"/>
  <c r="W14" i="18" s="1"/>
  <c r="X14" i="18" s="1"/>
  <c r="AM15" i="18"/>
  <c r="AJ15" i="18" s="1"/>
  <c r="AH15" i="18" s="1"/>
  <c r="AM17" i="18"/>
  <c r="AJ17" i="18" s="1"/>
  <c r="AH17" i="18" s="1"/>
  <c r="AJ20" i="18"/>
  <c r="AH20" i="18" s="1"/>
  <c r="AM25" i="18"/>
  <c r="AJ25" i="18" s="1"/>
  <c r="AH25" i="18" s="1"/>
  <c r="AM26" i="18"/>
  <c r="AJ26" i="18" s="1"/>
  <c r="AH26" i="18" s="1"/>
  <c r="AM27" i="18"/>
  <c r="AJ27" i="18" s="1"/>
  <c r="AH27" i="18" s="1"/>
  <c r="AM28" i="18"/>
  <c r="AJ28" i="18" s="1"/>
  <c r="AH28" i="18" s="1"/>
  <c r="AM29" i="18"/>
  <c r="AJ29" i="18" s="1"/>
  <c r="AH29" i="18" s="1"/>
  <c r="AM30" i="18"/>
  <c r="AJ30" i="18" s="1"/>
  <c r="AH30" i="18" s="1"/>
  <c r="AS15" i="18"/>
  <c r="X4" i="18" l="1"/>
  <c r="X9" i="18"/>
  <c r="X15" i="18"/>
  <c r="X25" i="18"/>
  <c r="X11" i="18"/>
  <c r="Q6" i="18"/>
  <c r="P6" i="18" s="1"/>
  <c r="Q5" i="18"/>
  <c r="P5" i="18" s="1"/>
  <c r="AU22" i="18"/>
  <c r="AR22" i="18" s="1"/>
  <c r="AP22" i="18" s="1"/>
  <c r="AU18" i="18"/>
  <c r="AR18" i="18" s="1"/>
  <c r="AP18" i="18" s="1"/>
  <c r="AU20" i="18"/>
  <c r="AR20" i="18" s="1"/>
  <c r="AP20" i="18" s="1"/>
  <c r="AU30" i="18"/>
  <c r="AR30" i="18" s="1"/>
  <c r="AP30" i="18" s="1"/>
  <c r="AU29" i="18"/>
  <c r="AR29" i="18" s="1"/>
  <c r="AP29" i="18" s="1"/>
  <c r="AU28" i="18"/>
  <c r="AR28" i="18" s="1"/>
  <c r="AP28" i="18" s="1"/>
  <c r="AU27" i="18"/>
  <c r="AR27" i="18" s="1"/>
  <c r="AP27" i="18" s="1"/>
  <c r="AU26" i="18"/>
  <c r="AR26" i="18" s="1"/>
  <c r="AP26" i="18" s="1"/>
  <c r="AU25" i="18"/>
  <c r="AR25" i="18" s="1"/>
  <c r="AP25" i="18" s="1"/>
  <c r="AU24" i="18"/>
  <c r="AR24" i="18" s="1"/>
  <c r="AP24" i="18" s="1"/>
  <c r="AU17" i="18"/>
  <c r="AR17" i="18" s="1"/>
  <c r="AP17" i="18" s="1"/>
  <c r="AU15" i="18"/>
  <c r="AR15" i="18" s="1"/>
  <c r="AP15" i="18" s="1"/>
  <c r="AU21" i="18"/>
  <c r="AR21" i="18" s="1"/>
  <c r="AP21" i="18" s="1"/>
  <c r="AU19" i="18"/>
  <c r="AR19" i="18" s="1"/>
  <c r="AP19" i="18" s="1"/>
  <c r="AU23" i="18"/>
  <c r="AR23" i="18" s="1"/>
  <c r="AP23" i="18" s="1"/>
  <c r="AU16" i="18"/>
  <c r="AR16" i="18" s="1"/>
  <c r="AP16" i="18" s="1"/>
  <c r="Q30" i="18"/>
  <c r="P30" i="18" s="1"/>
  <c r="Q29" i="18"/>
  <c r="P29" i="18" s="1"/>
  <c r="Q28" i="18"/>
  <c r="P28" i="18" s="1"/>
  <c r="Q27" i="18" l="1"/>
  <c r="P27" i="18" s="1"/>
  <c r="Q26" i="18"/>
  <c r="P26" i="18" s="1"/>
  <c r="Q25" i="18"/>
  <c r="P25" i="18" s="1"/>
  <c r="AT11" i="18" l="1"/>
  <c r="AU11" i="18" s="1"/>
  <c r="AR11" i="18" s="1"/>
  <c r="AP11" i="18" s="1"/>
  <c r="AT14" i="18" l="1"/>
  <c r="AU14" i="18" s="1"/>
  <c r="AR14" i="18" s="1"/>
  <c r="AP14" i="18" s="1"/>
  <c r="AT4" i="18"/>
  <c r="AT8" i="18"/>
  <c r="AU8" i="18" s="1"/>
  <c r="AR8" i="18" s="1"/>
  <c r="AP8" i="18" s="1"/>
  <c r="AT9" i="18"/>
  <c r="AU9" i="18" s="1"/>
  <c r="AR9" i="18" s="1"/>
  <c r="AP9" i="18" s="1"/>
  <c r="AT10" i="18"/>
  <c r="AU10" i="18" s="1"/>
  <c r="AR10" i="18" s="1"/>
  <c r="AP10" i="18" s="1"/>
  <c r="AT12" i="18"/>
  <c r="AU12" i="18" s="1"/>
  <c r="AR12" i="18" s="1"/>
  <c r="AP12" i="18" s="1"/>
  <c r="AT13" i="18"/>
  <c r="AU13" i="18" s="1"/>
  <c r="AR13" i="18" s="1"/>
  <c r="AP13" i="18" s="1"/>
  <c r="AT7" i="18"/>
  <c r="AU7" i="18" s="1"/>
  <c r="AR7" i="18" s="1"/>
  <c r="AP7" i="18" s="1"/>
  <c r="AU4" i="18" l="1"/>
  <c r="AR4" i="18" s="1"/>
  <c r="AP4" i="18" s="1"/>
  <c r="AT5" i="18"/>
  <c r="AU5" i="18" s="1"/>
  <c r="AR5" i="18" s="1"/>
  <c r="AP5" i="18" s="1"/>
  <c r="AT6" i="18"/>
  <c r="AU6" i="18" s="1"/>
  <c r="AR6" i="18" s="1"/>
  <c r="AP6" i="18" s="1"/>
</calcChain>
</file>

<file path=xl/sharedStrings.xml><?xml version="1.0" encoding="utf-8"?>
<sst xmlns="http://schemas.openxmlformats.org/spreadsheetml/2006/main" count="3039" uniqueCount="264">
  <si>
    <t>AKS-Middletown-OH</t>
  </si>
  <si>
    <t>N/A</t>
  </si>
  <si>
    <t>#2 COB</t>
  </si>
  <si>
    <t>USS-Clairton-PA</t>
  </si>
  <si>
    <t>B Battery</t>
  </si>
  <si>
    <t>Date</t>
  </si>
  <si>
    <r>
      <t xml:space="preserve">Enclosure 1 - Part VI:  Process and Emission Unit Operations, G. Battery Leaks (Regulated), Q89. </t>
    </r>
    <r>
      <rPr>
        <b/>
        <i/>
        <sz val="10"/>
        <rFont val="Arial"/>
        <family val="2"/>
      </rPr>
      <t>Please address the following information for all your coke oven batteries.</t>
    </r>
  </si>
  <si>
    <t>Facility ID</t>
  </si>
  <si>
    <r>
      <t xml:space="preserve">89. Method 303/303A Inspection Data Summary for 2015 for each battery operating in 2015 (by-product and heat&amp;nonrecovery plants). </t>
    </r>
    <r>
      <rPr>
        <b/>
        <i/>
        <sz val="10"/>
        <color indexed="8"/>
        <rFont val="Arial"/>
        <family val="2"/>
      </rPr>
      <t xml:space="preserve">Please complete the following for period January 1, 2015 – December 31, 2015. </t>
    </r>
    <r>
      <rPr>
        <b/>
        <sz val="10"/>
        <color indexed="8"/>
        <rFont val="Arial"/>
        <family val="2"/>
      </rPr>
      <t>If you report a shorter period, please specify reason. If a battery was not operating in all or any of 2015 but is operating in 2016, use your reported information for 2016 to comprise 12 months of data, if possible</t>
    </r>
    <r>
      <rPr>
        <b/>
        <i/>
        <sz val="10"/>
        <color indexed="8"/>
        <rFont val="Arial"/>
        <family val="2"/>
      </rPr>
      <t>.</t>
    </r>
  </si>
  <si>
    <t>89.a. Battery name/number</t>
  </si>
  <si>
    <r>
      <t xml:space="preserve">Average and Rolling Average VE - </t>
    </r>
    <r>
      <rPr>
        <b/>
        <sz val="10"/>
        <color rgb="FFFF0000"/>
        <rFont val="Arial"/>
        <family val="2"/>
      </rPr>
      <t>By-Product</t>
    </r>
    <r>
      <rPr>
        <b/>
        <sz val="10"/>
        <color indexed="8"/>
        <rFont val="Arial"/>
        <family val="2"/>
      </rPr>
      <t xml:space="preserve"> Batteries (Jan 2015 - Dec 2015)</t>
    </r>
  </si>
  <si>
    <r>
      <t xml:space="preserve">Average and Rolling Average VE - </t>
    </r>
    <r>
      <rPr>
        <b/>
        <sz val="10"/>
        <color rgb="FFFF0000"/>
        <rFont val="Arial"/>
        <family val="2"/>
      </rPr>
      <t>H&amp;NR</t>
    </r>
    <r>
      <rPr>
        <b/>
        <sz val="10"/>
        <color indexed="8"/>
        <rFont val="Arial"/>
        <family val="2"/>
      </rPr>
      <t xml:space="preserve"> Batteries (Jan 2015 - Dec 2015)</t>
    </r>
  </si>
  <si>
    <t>89.b. Average seconds per charge (s/chg)</t>
  </si>
  <si>
    <t>89.c. Average percent leaking doors (PLD)</t>
  </si>
  <si>
    <t>89.d. Average percent leaking lids (PLL)</t>
  </si>
  <si>
    <t>89.e. Average percent leaking offtakes (PLO)</t>
  </si>
  <si>
    <t>89.f. Average percent leaking collecting mains</t>
  </si>
  <si>
    <t>Monthly Average VE</t>
  </si>
  <si>
    <t>Rolling  Average VE</t>
  </si>
  <si>
    <t>Nr. 2 Coke Plant,
Wilputte Battery, AK Steel Middletown</t>
  </si>
  <si>
    <t>January 2015</t>
  </si>
  <si>
    <t>AK Steel has concerns about the relevancy of this question. The monthly average VE is already a 30-day log average, and taking the rolling 12-month average of these values makes no sense.</t>
  </si>
  <si>
    <t>See comment in Q89.b.</t>
  </si>
  <si>
    <t>February 2015</t>
  </si>
  <si>
    <t>March 2015</t>
  </si>
  <si>
    <t>April 2015</t>
  </si>
  <si>
    <t>May 2015</t>
  </si>
  <si>
    <t>June 2015</t>
  </si>
  <si>
    <t>July 2015</t>
  </si>
  <si>
    <t>August 2015</t>
  </si>
  <si>
    <t>September 2015</t>
  </si>
  <si>
    <t>October 2015</t>
  </si>
  <si>
    <t>November 2015</t>
  </si>
  <si>
    <t>December 2015</t>
  </si>
  <si>
    <t>AM-BurnsHarbor-IN</t>
  </si>
  <si>
    <t>#1 COB</t>
  </si>
  <si>
    <t>Average percent leaking collector mains is not a metric required under 63 subpart L</t>
  </si>
  <si>
    <t>AM-Monessen-PA</t>
  </si>
  <si>
    <t>Battery 1B</t>
  </si>
  <si>
    <t>Average percent leaking collecting mains is not a metric required under 63 Subpart L</t>
  </si>
  <si>
    <t>Battery 2</t>
  </si>
  <si>
    <t>AM-Warren-OH</t>
  </si>
  <si>
    <t>No. 4 Coke Oven Battery</t>
  </si>
  <si>
    <t>EES-RiverRouge-MI</t>
  </si>
  <si>
    <t>EES Coke RiverRouge</t>
  </si>
  <si>
    <t>n/a</t>
  </si>
  <si>
    <t>EC-Erie-PA</t>
  </si>
  <si>
    <t>Battery A</t>
  </si>
  <si>
    <t>Battery B</t>
  </si>
  <si>
    <t>AKS-Follansbee-WV</t>
  </si>
  <si>
    <t>No. 1 Battery (AKS Follansbee)</t>
  </si>
  <si>
    <t>MSC has concerns about the relevancy of this question. The monthly average VE is already a 30-day log average, and taking the rolling 12-month average of these values makes no sense.</t>
  </si>
  <si>
    <t>No. 1 Battery on Hot Idle during entire month (i.e. ovens were empty)</t>
  </si>
  <si>
    <t>No. 8 Battery (AKS Follansbee)</t>
  </si>
  <si>
    <t>SC-GraniteCity-IL</t>
  </si>
  <si>
    <t>Battery A-C</t>
  </si>
  <si>
    <t>SC-FranklinFurnace-OH</t>
  </si>
  <si>
    <t>P901 - Battery AB</t>
  </si>
  <si>
    <t>P902 - Battery CD</t>
  </si>
  <si>
    <t>SC-Middletown-OH</t>
  </si>
  <si>
    <t>P901 - Battery A-C</t>
  </si>
  <si>
    <t>Clairton Submitted a separate file</t>
  </si>
  <si>
    <t>From ACCCI</t>
  </si>
  <si>
    <t>Battery ID</t>
  </si>
  <si>
    <t>#Ovens Per Battery</t>
  </si>
  <si>
    <t>Type of Coke</t>
  </si>
  <si>
    <t>No. 1 Battery</t>
  </si>
  <si>
    <t>Blast furnace</t>
  </si>
  <si>
    <t>No. 2 Battery</t>
  </si>
  <si>
    <t>No. 3 Battery</t>
  </si>
  <si>
    <t>Foundry</t>
  </si>
  <si>
    <t>No. 8 Battery</t>
  </si>
  <si>
    <t>Coke Oven Battery</t>
  </si>
  <si>
    <t>Battery #1</t>
  </si>
  <si>
    <t>Battery #2</t>
  </si>
  <si>
    <t>No. 4 Battery</t>
  </si>
  <si>
    <t>Coke Battery #5</t>
  </si>
  <si>
    <t>Battery 1</t>
  </si>
  <si>
    <t>Battery 3</t>
  </si>
  <si>
    <t>Battery 13</t>
  </si>
  <si>
    <t>Battery 14</t>
  </si>
  <si>
    <t>Battery 15</t>
  </si>
  <si>
    <t>Battery 19</t>
  </si>
  <si>
    <t>Battery 20</t>
  </si>
  <si>
    <t>C Battery</t>
  </si>
  <si>
    <t>ABC-Tarrant-AL</t>
  </si>
  <si>
    <t>Coke Battery #1</t>
  </si>
  <si>
    <t>Coke Battery #6</t>
  </si>
  <si>
    <t>Coke Battery No. 3</t>
  </si>
  <si>
    <t>Coke Battery No. 4</t>
  </si>
  <si>
    <t>Coke Battery No. 5</t>
  </si>
  <si>
    <t>VE = average seconds of visible emissions per charge</t>
  </si>
  <si>
    <t>PLD = percent leaking doors as determined by Method 303</t>
  </si>
  <si>
    <t>PLL = average percent leaking lids</t>
  </si>
  <si>
    <t>PLO = average percent leaking offtakes</t>
  </si>
  <si>
    <t>ICR Enc. 1</t>
  </si>
  <si>
    <t>ICR Enc. 2</t>
  </si>
  <si>
    <t>charges/year</t>
  </si>
  <si>
    <t>0.0093 lb/10 seconds</t>
  </si>
  <si>
    <t>CHARGING LOG AVG. (s/chg)</t>
  </si>
  <si>
    <r>
      <t>BSO</t>
    </r>
    <r>
      <rPr>
        <b/>
        <vertAlign val="subscript"/>
        <sz val="10"/>
        <rFont val="Arial"/>
        <family val="2"/>
      </rPr>
      <t>charging</t>
    </r>
    <r>
      <rPr>
        <b/>
        <sz val="10"/>
        <rFont val="Arial"/>
        <family val="2"/>
      </rPr>
      <t xml:space="preserve"> = VE x (charges/year) x (0.0093 lb/10 seconds)</t>
    </r>
  </si>
  <si>
    <t>88.b. Number of lids per oven (average estimate)</t>
  </si>
  <si>
    <t>88.c. Number of offtakes per oven</t>
  </si>
  <si>
    <t>88.d. Total number of doors</t>
  </si>
  <si>
    <t>88.e. Total number of lids</t>
  </si>
  <si>
    <t>88.f. Total number of offtakes</t>
  </si>
  <si>
    <t>88.g. Charges per year, per oven (average estimate)</t>
  </si>
  <si>
    <t>88.h. Total charges per year (2015)</t>
  </si>
  <si>
    <t>88.i. Typical cycle time (total hours)</t>
  </si>
  <si>
    <t>90.b. Foundry doors?</t>
  </si>
  <si>
    <t>90.c. MACT or LAER or Other?</t>
  </si>
  <si>
    <t>Average of 8 minutes for lids being off during charging.</t>
  </si>
  <si>
    <t>See value 89.b</t>
  </si>
  <si>
    <t>LAER</t>
  </si>
  <si>
    <t xml:space="preserve">Coke Oven Battery (1B/2) </t>
  </si>
  <si>
    <t>See Answer to Question 89.b.</t>
  </si>
  <si>
    <t>EES Coke</t>
  </si>
  <si>
    <t>258.3 - 497.4</t>
  </si>
  <si>
    <t>5.33 min</t>
  </si>
  <si>
    <t>No</t>
  </si>
  <si>
    <t>MACT</t>
  </si>
  <si>
    <t>Other</t>
  </si>
  <si>
    <t>Average  of 0.14 hrs for lids being off during charging.</t>
  </si>
  <si>
    <t>Average  of 0.07 hrs for lids being off during charging.</t>
  </si>
  <si>
    <t>See CBI response</t>
  </si>
  <si>
    <r>
      <t>BSO</t>
    </r>
    <r>
      <rPr>
        <b/>
        <vertAlign val="subscript"/>
        <sz val="10"/>
        <rFont val="Arial"/>
        <family val="2"/>
      </rPr>
      <t>doors</t>
    </r>
    <r>
      <rPr>
        <b/>
        <sz val="10"/>
        <rFont val="Arial"/>
        <family val="2"/>
      </rPr>
      <t xml:space="preserve"> = N</t>
    </r>
    <r>
      <rPr>
        <b/>
        <vertAlign val="subscript"/>
        <sz val="10"/>
        <rFont val="Arial"/>
        <family val="2"/>
      </rPr>
      <t>D</t>
    </r>
    <r>
      <rPr>
        <b/>
        <sz val="10"/>
        <rFont val="Arial"/>
        <family val="2"/>
      </rPr>
      <t xml:space="preserve"> x (PLD/100) x (0.04 lb/hr) + N</t>
    </r>
    <r>
      <rPr>
        <b/>
        <vertAlign val="subscript"/>
        <sz val="10"/>
        <rFont val="Arial"/>
        <family val="2"/>
      </rPr>
      <t>D</t>
    </r>
    <r>
      <rPr>
        <b/>
        <sz val="10"/>
        <rFont val="Arial"/>
        <family val="2"/>
      </rPr>
      <t xml:space="preserve"> x (6% leaking/100) x (0.023 lb/hr)</t>
    </r>
  </si>
  <si>
    <r>
      <t>BSO</t>
    </r>
    <r>
      <rPr>
        <b/>
        <vertAlign val="subscript"/>
        <sz val="10"/>
        <rFont val="Arial"/>
        <family val="2"/>
      </rPr>
      <t>doors</t>
    </r>
    <r>
      <rPr>
        <b/>
        <sz val="10"/>
        <rFont val="Arial"/>
        <family val="2"/>
      </rPr>
      <t xml:space="preserve"> = BSO emission rate from door leaks (lb/hr)</t>
    </r>
  </si>
  <si>
    <r>
      <t>N</t>
    </r>
    <r>
      <rPr>
        <b/>
        <vertAlign val="subscript"/>
        <sz val="10"/>
        <rFont val="Arial"/>
        <family val="2"/>
      </rPr>
      <t>D</t>
    </r>
    <r>
      <rPr>
        <b/>
        <sz val="10"/>
        <rFont val="Arial"/>
        <family val="2"/>
      </rPr>
      <t xml:space="preserve"> = total number of doors on battery</t>
    </r>
  </si>
  <si>
    <t>PLD/100</t>
  </si>
  <si>
    <t>0.04 lb/hr</t>
  </si>
  <si>
    <t>6% leaking/100</t>
  </si>
  <si>
    <t>0.023 lb/hr</t>
  </si>
  <si>
    <r>
      <t>BSO</t>
    </r>
    <r>
      <rPr>
        <b/>
        <vertAlign val="subscript"/>
        <sz val="10"/>
        <rFont val="Arial"/>
        <family val="2"/>
      </rPr>
      <t>lids</t>
    </r>
    <r>
      <rPr>
        <b/>
        <sz val="10"/>
        <rFont val="Arial"/>
        <family val="2"/>
      </rPr>
      <t xml:space="preserve"> = N</t>
    </r>
    <r>
      <rPr>
        <b/>
        <vertAlign val="subscript"/>
        <sz val="10"/>
        <rFont val="Arial"/>
        <family val="2"/>
      </rPr>
      <t>L</t>
    </r>
    <r>
      <rPr>
        <b/>
        <sz val="10"/>
        <rFont val="Arial"/>
        <family val="2"/>
      </rPr>
      <t xml:space="preserve"> x (PLL/100) x (0.0075 lb/hr)</t>
    </r>
  </si>
  <si>
    <r>
      <t>BSO</t>
    </r>
    <r>
      <rPr>
        <b/>
        <vertAlign val="subscript"/>
        <sz val="10"/>
        <rFont val="Arial"/>
        <family val="2"/>
      </rPr>
      <t>lids</t>
    </r>
    <r>
      <rPr>
        <b/>
        <sz val="10"/>
        <rFont val="Arial"/>
        <family val="2"/>
      </rPr>
      <t xml:space="preserve"> = BSO emission rate from lids (lb/hr)</t>
    </r>
  </si>
  <si>
    <r>
      <t>N</t>
    </r>
    <r>
      <rPr>
        <b/>
        <vertAlign val="subscript"/>
        <sz val="10"/>
        <rFont val="Arial"/>
        <family val="2"/>
      </rPr>
      <t>L</t>
    </r>
    <r>
      <rPr>
        <b/>
        <sz val="10"/>
        <rFont val="Arial"/>
        <family val="2"/>
      </rPr>
      <t xml:space="preserve"> = total number of lids on battery</t>
    </r>
  </si>
  <si>
    <t>PLL/100</t>
  </si>
  <si>
    <t>0.0075 lb/hr</t>
  </si>
  <si>
    <t>PLO/100</t>
  </si>
  <si>
    <r>
      <t>BSO</t>
    </r>
    <r>
      <rPr>
        <b/>
        <vertAlign val="subscript"/>
        <sz val="10"/>
        <color theme="1"/>
        <rFont val="Arial"/>
        <family val="2"/>
      </rPr>
      <t>offtakes</t>
    </r>
    <r>
      <rPr>
        <b/>
        <sz val="10"/>
        <color theme="1"/>
        <rFont val="Arial"/>
        <family val="2"/>
      </rPr>
      <t xml:space="preserve"> = BSO emission rate from offtakes (lb/hr)</t>
    </r>
  </si>
  <si>
    <r>
      <t>N</t>
    </r>
    <r>
      <rPr>
        <b/>
        <vertAlign val="subscript"/>
        <sz val="10"/>
        <color theme="1"/>
        <rFont val="Arial"/>
        <family val="2"/>
      </rPr>
      <t>O</t>
    </r>
    <r>
      <rPr>
        <b/>
        <sz val="10"/>
        <color theme="1"/>
        <rFont val="Arial"/>
        <family val="2"/>
      </rPr>
      <t xml:space="preserve"> = total number of offtakes on battery</t>
    </r>
  </si>
  <si>
    <r>
      <t>BSO</t>
    </r>
    <r>
      <rPr>
        <b/>
        <vertAlign val="subscript"/>
        <sz val="10"/>
        <color theme="1"/>
        <rFont val="Arial"/>
        <family val="2"/>
      </rPr>
      <t>offtakes</t>
    </r>
    <r>
      <rPr>
        <b/>
        <sz val="10"/>
        <color theme="1"/>
        <rFont val="Arial"/>
        <family val="2"/>
      </rPr>
      <t xml:space="preserve"> = N</t>
    </r>
    <r>
      <rPr>
        <b/>
        <vertAlign val="subscript"/>
        <sz val="10"/>
        <color theme="1"/>
        <rFont val="Arial"/>
        <family val="2"/>
      </rPr>
      <t>O</t>
    </r>
    <r>
      <rPr>
        <b/>
        <sz val="10"/>
        <color theme="1"/>
        <rFont val="Arial"/>
        <family val="2"/>
      </rPr>
      <t xml:space="preserve"> x (PLO/100) x (0.0075 lb/hr)</t>
    </r>
  </si>
  <si>
    <r>
      <t>BSO</t>
    </r>
    <r>
      <rPr>
        <b/>
        <vertAlign val="subscript"/>
        <sz val="10"/>
        <color theme="1"/>
        <rFont val="Arial"/>
        <family val="2"/>
      </rPr>
      <t>charging</t>
    </r>
    <r>
      <rPr>
        <b/>
        <sz val="10"/>
        <color theme="1"/>
        <rFont val="Arial"/>
        <family val="2"/>
      </rPr>
      <t xml:space="preserve"> </t>
    </r>
    <r>
      <rPr>
        <b/>
        <sz val="10"/>
        <rFont val="Arial"/>
        <family val="2"/>
      </rPr>
      <t>= BSO emission rate from charging (lb/yr)</t>
    </r>
  </si>
  <si>
    <t>Table C-1</t>
  </si>
  <si>
    <t>Table C-2</t>
  </si>
  <si>
    <t>Table C-1/C-2</t>
  </si>
  <si>
    <t>B</t>
  </si>
  <si>
    <t>C</t>
  </si>
  <si>
    <t>BLU-Birmingham-AL</t>
  </si>
  <si>
    <t>BSO Charging TPY</t>
  </si>
  <si>
    <t>Value for Modeling File</t>
  </si>
  <si>
    <t>BSO Doors TPY</t>
  </si>
  <si>
    <t>Operating Hours</t>
  </si>
  <si>
    <t>BSO Lids TPY</t>
  </si>
  <si>
    <t>BSO Offtakes TPY</t>
  </si>
  <si>
    <t>REVISED</t>
  </si>
  <si>
    <t>bench ratio</t>
  </si>
  <si>
    <t xml:space="preserve">bench ratio*PLD/100 </t>
  </si>
  <si>
    <t>Enclosure 1 - Part C. Work Practices for By-Product Coke Manufacturing Facilities: Coke Oven Doors, Lids, Offtakes, and Charging, Q2</t>
  </si>
  <si>
    <t>Facility ID (2022 section 114 ICR)</t>
  </si>
  <si>
    <r>
      <t xml:space="preserve">2. Method 303/303A Inspection Data Summary for </t>
    </r>
    <r>
      <rPr>
        <b/>
        <sz val="10"/>
        <color rgb="FF000000"/>
        <rFont val="Arial"/>
        <family val="2"/>
      </rPr>
      <t>2021</t>
    </r>
    <r>
      <rPr>
        <b/>
        <sz val="10"/>
        <color indexed="8"/>
        <rFont val="Arial"/>
        <family val="2"/>
      </rPr>
      <t xml:space="preserve"> – Monthly and Rolling Monthly Averages – For By-Product and H&amp;NR, as applicable. Please complete the following for the period January 1, 2021 – December 31, 2021. If you report a shorter period, please specify. If a battery was not operating in all or any of 2021 but was operating in 2022, use your reported information for 2022 to comprise 12 months of data as much as possible.</t>
    </r>
  </si>
  <si>
    <t>2.a. Battery name/number</t>
  </si>
  <si>
    <t>Average and Rolling Average VE - By-Product Batteries (January 1, 2021 – December 31, 2021)</t>
  </si>
  <si>
    <t>2.b. Average seconds per charge (s/chg)</t>
  </si>
  <si>
    <t>2.c. Average percent leaking doors (PLD)</t>
  </si>
  <si>
    <t>2.d. Average percent leaking lids (PLL)</t>
  </si>
  <si>
    <t>2.e. Average percent leaking offtakes (PLO)</t>
  </si>
  <si>
    <t>2.f. Average percent leaking collecting mains</t>
  </si>
  <si>
    <t>CC-BurnsHarbor-IN</t>
  </si>
  <si>
    <t>COB #1</t>
  </si>
  <si>
    <t>January 2021</t>
  </si>
  <si>
    <t>February 2021</t>
  </si>
  <si>
    <t>March 2021</t>
  </si>
  <si>
    <t>April 2021</t>
  </si>
  <si>
    <t>May 2021</t>
  </si>
  <si>
    <t>June 2021</t>
  </si>
  <si>
    <t>July 2021</t>
  </si>
  <si>
    <t>August 2021</t>
  </si>
  <si>
    <t>September 2021</t>
  </si>
  <si>
    <t>October 2021</t>
  </si>
  <si>
    <t>November 2021</t>
  </si>
  <si>
    <t>December 2021</t>
  </si>
  <si>
    <t>COB #2</t>
  </si>
  <si>
    <t>CC-Monessen-PA</t>
  </si>
  <si>
    <t>Coke Oven Battery 1B</t>
  </si>
  <si>
    <t>January 2022</t>
  </si>
  <si>
    <t>February 2022</t>
  </si>
  <si>
    <t>March 2022</t>
  </si>
  <si>
    <t>April 2022</t>
  </si>
  <si>
    <t>May 2022</t>
  </si>
  <si>
    <t>June 2022</t>
  </si>
  <si>
    <t>July 2022</t>
  </si>
  <si>
    <t>August 2022</t>
  </si>
  <si>
    <t>Coke Oven Battery 2</t>
  </si>
  <si>
    <t>CC-Warren_OH</t>
  </si>
  <si>
    <t>#4 Battery</t>
  </si>
  <si>
    <r>
      <t xml:space="preserve">USS-Clairton-PA
</t>
    </r>
    <r>
      <rPr>
        <sz val="8"/>
        <color rgb="FF000000"/>
        <rFont val="Arial"/>
        <family val="2"/>
      </rPr>
      <t>* Note that USS-Clairton-PA submitted these values in PDF (USS-Calirton-PA_C.Q2. Method 303 Summary.pdf). RTI compiled and calculated values in this tab based on submitted PDF.</t>
    </r>
  </si>
  <si>
    <t>Wilputte Battery 1</t>
  </si>
  <si>
    <t>Beckers Battery 5</t>
  </si>
  <si>
    <t>Beckers Battery 6</t>
  </si>
  <si>
    <t>EUCOKE - BATTERY</t>
  </si>
  <si>
    <r>
      <t>BSO</t>
    </r>
    <r>
      <rPr>
        <b/>
        <vertAlign val="subscript"/>
        <sz val="10"/>
        <rFont val="Arial"/>
        <family val="2"/>
      </rPr>
      <t>doors</t>
    </r>
    <r>
      <rPr>
        <b/>
        <sz val="10"/>
        <rFont val="Arial"/>
        <family val="2"/>
      </rPr>
      <t xml:space="preserve"> = N</t>
    </r>
    <r>
      <rPr>
        <b/>
        <vertAlign val="subscript"/>
        <sz val="10"/>
        <rFont val="Arial"/>
        <family val="2"/>
      </rPr>
      <t>D</t>
    </r>
    <r>
      <rPr>
        <b/>
        <sz val="10"/>
        <rFont val="Arial"/>
        <family val="2"/>
      </rPr>
      <t xml:space="preserve"> x (PLD/100) x (0.04 lb/hr) + N</t>
    </r>
    <r>
      <rPr>
        <b/>
        <vertAlign val="subscript"/>
        <sz val="10"/>
        <rFont val="Arial"/>
        <family val="2"/>
      </rPr>
      <t>D</t>
    </r>
    <r>
      <rPr>
        <b/>
        <sz val="10"/>
        <rFont val="Arial"/>
        <family val="2"/>
      </rPr>
      <t xml:space="preserve"> x (bench ratio*PLD/100) x (0.023 lb/hr)</t>
    </r>
  </si>
  <si>
    <t>Limit per Track</t>
  </si>
  <si>
    <t>LAER Track Jan 1, 2010 Limits - Foundry</t>
  </si>
  <si>
    <t>LAER Track Jan 1, 2010 Limits - Tall</t>
  </si>
  <si>
    <t>LAER Track Jan 1, 2010 Limits - All other</t>
  </si>
  <si>
    <t>Enclosure 1 - Part C. Work Practices for By-Product Coke Manufacturing Facilities: Coke Oven Doors, Lids, Offtakes, and Charging, Q1</t>
  </si>
  <si>
    <t>1. Identify the 2021 equipment subject to part 63, subpart L below, as per the following list:</t>
  </si>
  <si>
    <t>a. Battery name/number</t>
  </si>
  <si>
    <t>b. Number of lids per oven (average estimate)</t>
  </si>
  <si>
    <t>c. Number of offtakes per oven</t>
  </si>
  <si>
    <t>d. Total number of doors</t>
  </si>
  <si>
    <t>e. Total number of offtakes</t>
  </si>
  <si>
    <t>g. Charges per year, per oven (average estimate)</t>
  </si>
  <si>
    <t>h. Total charges per year (2021)</t>
  </si>
  <si>
    <t>i. Typical Charging cycle time (total hours)</t>
  </si>
  <si>
    <t>4 charging lids per oven and 1 mini standpipe which has been classified as a lid for charging purposes for Method 303.</t>
  </si>
  <si>
    <t>82 on each battery standpipes, and 82 mini standpipes</t>
  </si>
  <si>
    <t>462 charges/oven/yr</t>
  </si>
  <si>
    <t>Refer to Part C, Question 2.b.</t>
  </si>
  <si>
    <t>5 charging lids per oven and 1 mini standpipe which has been classified as a lid for charging purposes for Method 303.</t>
  </si>
  <si>
    <t>447 charges/oven/yr</t>
  </si>
  <si>
    <t>567 charges/oven/yr</t>
  </si>
  <si>
    <t>27,474 (2019 - normal production year)</t>
  </si>
  <si>
    <t>CC-Warren-OH</t>
  </si>
  <si>
    <t>Battery #4</t>
  </si>
  <si>
    <t>415 charges/oven/yr</t>
  </si>
  <si>
    <t>Coke Oven Battery 1</t>
  </si>
  <si>
    <t>~ 22 hrs</t>
  </si>
  <si>
    <t>Coke Oven Battery 3</t>
  </si>
  <si>
    <t>Coke Oven Battery 13</t>
  </si>
  <si>
    <t>~ 24 hrs</t>
  </si>
  <si>
    <t>Coke Oven Battery 14</t>
  </si>
  <si>
    <t>Coke Oven Battery 15</t>
  </si>
  <si>
    <t>Coke Oven Battery 19</t>
  </si>
  <si>
    <t>~ 21 hrs</t>
  </si>
  <si>
    <t>Coke Oven Battery 20</t>
  </si>
  <si>
    <t xml:space="preserve">Coke Oven B Battery </t>
  </si>
  <si>
    <t>~ 18 hrs</t>
  </si>
  <si>
    <t>Coke Oven C Battery</t>
  </si>
  <si>
    <t>Wilputte/Battery 1</t>
  </si>
  <si>
    <t>Beckers/Battery 5</t>
  </si>
  <si>
    <t>Beckers/Battery 6</t>
  </si>
  <si>
    <r>
      <t>BSO</t>
    </r>
    <r>
      <rPr>
        <b/>
        <vertAlign val="subscript"/>
        <sz val="10"/>
        <rFont val="Arial"/>
        <family val="2"/>
      </rPr>
      <t>offtakes</t>
    </r>
    <r>
      <rPr>
        <b/>
        <sz val="10"/>
        <rFont val="Arial"/>
        <family val="2"/>
      </rPr>
      <t xml:space="preserve"> = N</t>
    </r>
    <r>
      <rPr>
        <b/>
        <vertAlign val="subscript"/>
        <sz val="10"/>
        <rFont val="Arial"/>
        <family val="2"/>
      </rPr>
      <t>O</t>
    </r>
    <r>
      <rPr>
        <b/>
        <sz val="10"/>
        <rFont val="Arial"/>
        <family val="2"/>
      </rPr>
      <t xml:space="preserve"> x (PLO/100) x (0.0075 lb/hr)</t>
    </r>
  </si>
  <si>
    <r>
      <t>BSO</t>
    </r>
    <r>
      <rPr>
        <b/>
        <vertAlign val="subscript"/>
        <sz val="10"/>
        <rFont val="Arial"/>
        <family val="2"/>
      </rPr>
      <t>charging</t>
    </r>
    <r>
      <rPr>
        <b/>
        <sz val="10"/>
        <rFont val="Arial"/>
        <family val="2"/>
      </rPr>
      <t xml:space="preserve"> = BSO emission rate from charging (lb/yr)</t>
    </r>
  </si>
  <si>
    <r>
      <t>BSO</t>
    </r>
    <r>
      <rPr>
        <b/>
        <vertAlign val="subscript"/>
        <sz val="10"/>
        <rFont val="Arial"/>
        <family val="2"/>
      </rPr>
      <t>offtakes</t>
    </r>
    <r>
      <rPr>
        <b/>
        <sz val="10"/>
        <rFont val="Arial"/>
        <family val="2"/>
      </rPr>
      <t xml:space="preserve"> = BSO emission rate from offtakes (lb/hr)</t>
    </r>
  </si>
  <si>
    <r>
      <t>N</t>
    </r>
    <r>
      <rPr>
        <b/>
        <vertAlign val="subscript"/>
        <sz val="10"/>
        <rFont val="Arial"/>
        <family val="2"/>
      </rPr>
      <t>O</t>
    </r>
    <r>
      <rPr>
        <b/>
        <sz val="10"/>
        <rFont val="Arial"/>
        <family val="2"/>
      </rPr>
      <t xml:space="preserve"> = total number of offtakes on battery</t>
    </r>
  </si>
  <si>
    <t>Facility Average</t>
  </si>
  <si>
    <t xml:space="preserve">Limit Charging s/charge </t>
  </si>
  <si>
    <t>LAER Track Jan 1, 2010 Limits</t>
  </si>
  <si>
    <t>MACT Track July 14, 2005 Limits</t>
  </si>
  <si>
    <t>MACT Track July 14, 2005 Limits - All other</t>
  </si>
  <si>
    <t>Facility Average as % of Limit</t>
  </si>
  <si>
    <t>Facility Total</t>
  </si>
  <si>
    <t>Limit PLL % leaking lids</t>
  </si>
  <si>
    <t>Limit PLO % leaking offtakes</t>
  </si>
  <si>
    <t>NEW EQN</t>
  </si>
  <si>
    <t>Limit PLD % Leaking Door</t>
  </si>
  <si>
    <t>Facility TPY</t>
  </si>
  <si>
    <t>BSO Charging lb/yr</t>
  </si>
  <si>
    <t>BSO Lids lb/yr</t>
  </si>
  <si>
    <t>BSO Offtakes lb/yr</t>
  </si>
  <si>
    <t>BSO Doors lb/yr</t>
  </si>
  <si>
    <t>facility average %</t>
  </si>
  <si>
    <t>88.h. Total charges per year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</si>
</sst>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0.###"/>
    <numFmt numFmtId="165" formatCode="#,##0.###%"/>
    <numFmt numFmtId="166" formatCode="#,##0.##"/>
    <numFmt numFmtId="167" formatCode="0.000%"/>
    <numFmt numFmtId="168" formatCode="0.000000"/>
    <numFmt numFmtId="169" formatCode="0.000"/>
    <numFmt numFmtId="170" formatCode="0.0000%"/>
    <numFmt numFmtId="171" formatCode="0.00000"/>
    <numFmt numFmtId="172" formatCode="0.0"/>
    <numFmt numFmtId="173" formatCode="0.0%"/>
    <numFmt numFmtId="174" formatCode="0.00000%"/>
    <numFmt numFmtId="175" formatCode="0.0E+00"/>
    <numFmt numFmtId="176" formatCode="0.0000"/>
    <numFmt numFmtId="177" formatCode="0.00000000"/>
    <numFmt numFmtId="178" formatCode="0.000000%"/>
    <numFmt numFmtId="179" formatCode="0.0000000"/>
  </numFmts>
  <fonts count="19" x14ac:knownFonts="1">
    <font>
      <sz val="11"/>
      <color theme="1"/>
      <name val="Calibri"/>
      <family val="2"/>
      <scheme val="minor"/>
    </font>
    <font>
      <b/>
      <sz val="10"/>
      <name val="Arial"/>
      <family val="2"/>
    </font>
    <font>
      <sz val="10"/>
      <name val="Arial"/>
      <family val="2"/>
    </font>
    <font>
      <sz val="10"/>
      <color indexed="8"/>
      <name val="Arial"/>
      <family val="2"/>
    </font>
    <font>
      <sz val="11"/>
      <color rgb="FF006100"/>
      <name val="Calibri"/>
      <family val="2"/>
      <scheme val="minor"/>
    </font>
    <font>
      <b/>
      <i/>
      <sz val="10"/>
      <name val="Arial"/>
      <family val="2"/>
    </font>
    <font>
      <b/>
      <sz val="10"/>
      <color indexed="8"/>
      <name val="Arial"/>
      <family val="2"/>
    </font>
    <font>
      <b/>
      <i/>
      <sz val="10"/>
      <color indexed="8"/>
      <name val="Arial"/>
      <family val="2"/>
    </font>
    <font>
      <b/>
      <sz val="10"/>
      <color rgb="FFFF0000"/>
      <name val="Arial"/>
      <family val="2"/>
    </font>
    <font>
      <sz val="10"/>
      <color theme="1"/>
      <name val="Arial"/>
      <family val="2"/>
    </font>
    <font>
      <sz val="10"/>
      <name val="Times New Roman"/>
      <family val="1"/>
    </font>
    <font>
      <b/>
      <sz val="10"/>
      <color theme="1"/>
      <name val="Arial"/>
      <family val="2"/>
    </font>
    <font>
      <b/>
      <vertAlign val="subscript"/>
      <sz val="10"/>
      <name val="Arial"/>
      <family val="2"/>
    </font>
    <font>
      <b/>
      <vertAlign val="subscript"/>
      <sz val="10"/>
      <color theme="1"/>
      <name val="Arial"/>
      <family val="2"/>
    </font>
    <font>
      <sz val="11"/>
      <color theme="1"/>
      <name val="Calibri"/>
      <family val="2"/>
      <scheme val="minor"/>
    </font>
    <font>
      <b/>
      <sz val="10"/>
      <color rgb="FF00B050"/>
      <name val="Arial"/>
      <family val="2"/>
    </font>
    <font>
      <b/>
      <sz val="10"/>
      <color rgb="FF000000"/>
      <name val="Arial"/>
      <family val="2"/>
    </font>
    <font>
      <sz val="8"/>
      <color rgb="FF000000"/>
      <name val="Arial"/>
      <family val="2"/>
    </font>
    <font>
      <sz val="10"/>
      <color rgb="FF000000"/>
      <name val="Arial"/>
      <family val="2"/>
    </font>
  </fonts>
  <fills count="16">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C6EFCE"/>
      </patternFill>
    </fill>
    <fill>
      <patternFill patternType="lightUp">
        <bgColor theme="0"/>
      </patternFill>
    </fill>
    <fill>
      <patternFill patternType="solid">
        <fgColor theme="2"/>
        <bgColor indexed="64"/>
      </patternFill>
    </fill>
    <fill>
      <patternFill patternType="solid">
        <fgColor theme="0"/>
        <bgColor indexed="64"/>
      </patternFill>
    </fill>
    <fill>
      <patternFill patternType="lightUp"/>
    </fill>
    <fill>
      <patternFill patternType="solid">
        <fgColor theme="7" tint="0.79998168889431442"/>
        <bgColor indexed="64"/>
      </patternFill>
    </fill>
    <fill>
      <patternFill patternType="solid">
        <fgColor theme="5" tint="0.59999389629810485"/>
        <bgColor indexed="64"/>
      </patternFill>
    </fill>
    <fill>
      <patternFill patternType="solid">
        <fgColor rgb="FFFFFFCC"/>
        <bgColor indexed="64"/>
      </patternFill>
    </fill>
    <fill>
      <patternFill patternType="solid">
        <fgColor theme="6" tint="0.59999389629810485"/>
        <bgColor indexed="64"/>
      </patternFill>
    </fill>
    <fill>
      <patternFill patternType="lightUp">
        <bgColor theme="6" tint="0.59999389629810485"/>
      </patternFill>
    </fill>
    <fill>
      <patternFill patternType="solid">
        <fgColor theme="7"/>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medium">
        <color auto="1"/>
      </top>
      <bottom style="thin">
        <color auto="1"/>
      </bottom>
      <diagonal/>
    </border>
    <border>
      <left style="thin">
        <color auto="1"/>
      </left>
      <right style="thin">
        <color auto="1"/>
      </right>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diagonal/>
    </border>
    <border>
      <left/>
      <right style="medium">
        <color indexed="64"/>
      </right>
      <top style="thin">
        <color indexed="64"/>
      </top>
      <bottom/>
      <diagonal/>
    </border>
  </borders>
  <cellStyleXfs count="5">
    <xf numFmtId="0" fontId="0" fillId="0" borderId="0"/>
    <xf numFmtId="0" fontId="4" fillId="5" borderId="0" applyNumberFormat="0" applyBorder="0" applyAlignment="0" applyProtection="0"/>
    <xf numFmtId="0" fontId="10" fillId="0" borderId="0"/>
    <xf numFmtId="0" fontId="2" fillId="0" borderId="0"/>
    <xf numFmtId="9" fontId="14" fillId="0" borderId="0" applyFont="0" applyFill="0" applyBorder="0" applyAlignment="0" applyProtection="0"/>
  </cellStyleXfs>
  <cellXfs count="286">
    <xf numFmtId="0" fontId="0" fillId="0" borderId="0" xfId="0"/>
    <xf numFmtId="0" fontId="2" fillId="0" borderId="0" xfId="0" applyFont="1"/>
    <xf numFmtId="0" fontId="2" fillId="0" borderId="1" xfId="0" applyFont="1" applyBorder="1"/>
    <xf numFmtId="0" fontId="0" fillId="0" borderId="0" xfId="0" applyAlignment="1">
      <alignment wrapText="1"/>
    </xf>
    <xf numFmtId="0" fontId="1" fillId="0" borderId="0" xfId="0" applyFont="1" applyAlignment="1">
      <alignment vertical="center"/>
    </xf>
    <xf numFmtId="0" fontId="1" fillId="0" borderId="0" xfId="0" applyFont="1"/>
    <xf numFmtId="0" fontId="6" fillId="2" borderId="8" xfId="0" applyFont="1" applyFill="1" applyBorder="1" applyAlignment="1">
      <alignment vertical="top" wrapText="1"/>
    </xf>
    <xf numFmtId="0" fontId="9" fillId="0" borderId="1" xfId="0" applyFont="1" applyBorder="1"/>
    <xf numFmtId="0" fontId="0" fillId="0" borderId="0" xfId="0" applyAlignment="1">
      <alignment vertical="center"/>
    </xf>
    <xf numFmtId="0" fontId="9" fillId="0" borderId="0" xfId="0" applyFont="1"/>
    <xf numFmtId="0" fontId="2" fillId="0" borderId="1" xfId="0" applyFont="1" applyFill="1" applyBorder="1"/>
    <xf numFmtId="0" fontId="11" fillId="3" borderId="1" xfId="0" applyFont="1" applyFill="1" applyBorder="1" applyAlignment="1">
      <alignment horizontal="center" wrapText="1"/>
    </xf>
    <xf numFmtId="0" fontId="2" fillId="0" borderId="1" xfId="3" applyFont="1" applyFill="1" applyBorder="1" applyAlignment="1">
      <alignment horizontal="left" vertical="center"/>
    </xf>
    <xf numFmtId="0" fontId="2" fillId="0" borderId="1" xfId="3" applyFont="1" applyFill="1" applyBorder="1" applyAlignment="1">
      <alignment horizontal="center" vertical="center"/>
    </xf>
    <xf numFmtId="0" fontId="9" fillId="0" borderId="10" xfId="0" applyFont="1" applyBorder="1"/>
    <xf numFmtId="0" fontId="1" fillId="2" borderId="1" xfId="2" applyFont="1" applyFill="1" applyBorder="1" applyAlignment="1">
      <alignment horizontal="center" wrapText="1"/>
    </xf>
    <xf numFmtId="0" fontId="1" fillId="10" borderId="1" xfId="2" applyFont="1" applyFill="1" applyBorder="1" applyAlignment="1">
      <alignment horizontal="center" wrapText="1"/>
    </xf>
    <xf numFmtId="0" fontId="1" fillId="11" borderId="1" xfId="2" applyFont="1" applyFill="1" applyBorder="1" applyAlignment="1">
      <alignment horizontal="center" wrapText="1"/>
    </xf>
    <xf numFmtId="0" fontId="1" fillId="4" borderId="1" xfId="2" applyFont="1" applyFill="1" applyBorder="1" applyAlignment="1">
      <alignment horizontal="center" wrapText="1"/>
    </xf>
    <xf numFmtId="0" fontId="1" fillId="3" borderId="1" xfId="2" applyFont="1" applyFill="1" applyBorder="1" applyAlignment="1">
      <alignment horizontal="center" wrapText="1"/>
    </xf>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1" fillId="10" borderId="1" xfId="0" applyFont="1" applyFill="1" applyBorder="1" applyAlignment="1">
      <alignment horizontal="center" wrapText="1"/>
    </xf>
    <xf numFmtId="0" fontId="11" fillId="10" borderId="1" xfId="0" applyFont="1" applyFill="1" applyBorder="1" applyAlignment="1">
      <alignment horizontal="center" wrapText="1"/>
    </xf>
    <xf numFmtId="0" fontId="1" fillId="11" borderId="1" xfId="0" applyFont="1" applyFill="1" applyBorder="1" applyAlignment="1">
      <alignment horizontal="center" wrapText="1"/>
    </xf>
    <xf numFmtId="0" fontId="1" fillId="4" borderId="1" xfId="0" applyFont="1" applyFill="1" applyBorder="1" applyAlignment="1">
      <alignment horizontal="center" wrapText="1"/>
    </xf>
    <xf numFmtId="0" fontId="1" fillId="3" borderId="1" xfId="0" applyFont="1" applyFill="1" applyBorder="1" applyAlignment="1">
      <alignment horizontal="center" wrapText="1"/>
    </xf>
    <xf numFmtId="3" fontId="9" fillId="0" borderId="1" xfId="0" applyNumberFormat="1" applyFont="1" applyBorder="1"/>
    <xf numFmtId="0" fontId="11" fillId="3" borderId="1" xfId="0" applyFont="1" applyFill="1" applyBorder="1" applyAlignment="1">
      <alignment horizontal="center"/>
    </xf>
    <xf numFmtId="0" fontId="1" fillId="4" borderId="1" xfId="2" applyFont="1" applyFill="1" applyBorder="1" applyAlignment="1"/>
    <xf numFmtId="0" fontId="11" fillId="3" borderId="1" xfId="0" applyFont="1" applyFill="1" applyBorder="1" applyAlignment="1"/>
    <xf numFmtId="0" fontId="1" fillId="10" borderId="1" xfId="2" applyFont="1" applyFill="1" applyBorder="1" applyAlignment="1"/>
    <xf numFmtId="0" fontId="1" fillId="11" borderId="1" xfId="2" applyFont="1" applyFill="1" applyBorder="1" applyAlignment="1"/>
    <xf numFmtId="167" fontId="2" fillId="0" borderId="1" xfId="0" applyNumberFormat="1" applyFont="1" applyFill="1" applyBorder="1"/>
    <xf numFmtId="0" fontId="2" fillId="0" borderId="1" xfId="0" applyFont="1" applyFill="1" applyBorder="1" applyAlignment="1">
      <alignment horizontal="center"/>
    </xf>
    <xf numFmtId="0" fontId="2" fillId="0" borderId="10" xfId="0" applyFont="1" applyFill="1" applyBorder="1"/>
    <xf numFmtId="0" fontId="9" fillId="0" borderId="1" xfId="0" applyFont="1" applyBorder="1" applyAlignment="1">
      <alignment wrapText="1"/>
    </xf>
    <xf numFmtId="0" fontId="15" fillId="10" borderId="1" xfId="2" applyFont="1" applyFill="1" applyBorder="1" applyAlignment="1">
      <alignment horizontal="center" wrapText="1"/>
    </xf>
    <xf numFmtId="0" fontId="15" fillId="11" borderId="1" xfId="2" applyFont="1" applyFill="1" applyBorder="1" applyAlignment="1">
      <alignment horizontal="center" wrapText="1"/>
    </xf>
    <xf numFmtId="0" fontId="15" fillId="4" borderId="1" xfId="2" applyFont="1" applyFill="1" applyBorder="1" applyAlignment="1">
      <alignment horizontal="center" wrapText="1"/>
    </xf>
    <xf numFmtId="0" fontId="15" fillId="3" borderId="1" xfId="2" applyFont="1" applyFill="1" applyBorder="1" applyAlignment="1">
      <alignment horizontal="center" wrapText="1"/>
    </xf>
    <xf numFmtId="0" fontId="2" fillId="0" borderId="10" xfId="0" applyFont="1" applyFill="1" applyBorder="1" applyAlignment="1">
      <alignment horizontal="center"/>
    </xf>
    <xf numFmtId="0" fontId="1" fillId="11" borderId="2" xfId="2" applyFont="1" applyFill="1" applyBorder="1" applyAlignment="1">
      <alignment horizontal="center" wrapText="1"/>
    </xf>
    <xf numFmtId="0" fontId="1" fillId="11" borderId="4" xfId="2" applyFont="1" applyFill="1" applyBorder="1" applyAlignment="1">
      <alignment horizontal="center" wrapText="1"/>
    </xf>
    <xf numFmtId="0" fontId="1" fillId="11" borderId="1" xfId="2" applyFont="1" applyFill="1" applyBorder="1"/>
    <xf numFmtId="0" fontId="6" fillId="2" borderId="16" xfId="0" applyFont="1" applyFill="1" applyBorder="1" applyAlignment="1">
      <alignment horizontal="center" wrapText="1"/>
    </xf>
    <xf numFmtId="0" fontId="2" fillId="0" borderId="10" xfId="0" applyFont="1" applyFill="1" applyBorder="1" applyAlignment="1"/>
    <xf numFmtId="167" fontId="2" fillId="0" borderId="1" xfId="0" applyNumberFormat="1" applyFont="1" applyFill="1" applyBorder="1" applyAlignment="1"/>
    <xf numFmtId="0" fontId="2" fillId="0" borderId="1" xfId="0" applyFont="1" applyFill="1" applyBorder="1" applyAlignment="1"/>
    <xf numFmtId="0" fontId="9" fillId="0" borderId="0" xfId="0" applyFont="1" applyAlignment="1">
      <alignment horizontal="center" vertical="center"/>
    </xf>
    <xf numFmtId="0" fontId="6" fillId="2" borderId="20" xfId="0" applyFont="1" applyFill="1" applyBorder="1" applyAlignment="1">
      <alignment wrapText="1"/>
    </xf>
    <xf numFmtId="0" fontId="6" fillId="2" borderId="19" xfId="0" applyFont="1" applyFill="1" applyBorder="1" applyAlignment="1">
      <alignment wrapText="1"/>
    </xf>
    <xf numFmtId="17" fontId="3" fillId="0" borderId="10" xfId="0" quotePrefix="1" applyNumberFormat="1" applyFont="1" applyBorder="1"/>
    <xf numFmtId="2" fontId="3" fillId="0" borderId="10" xfId="0" applyNumberFormat="1" applyFont="1" applyBorder="1"/>
    <xf numFmtId="2" fontId="3" fillId="9" borderId="10" xfId="0" applyNumberFormat="1" applyFont="1" applyFill="1" applyBorder="1"/>
    <xf numFmtId="17" fontId="3" fillId="0" borderId="29" xfId="0" quotePrefix="1" applyNumberFormat="1" applyFont="1" applyBorder="1"/>
    <xf numFmtId="2" fontId="3" fillId="0" borderId="29" xfId="0" applyNumberFormat="1" applyFont="1" applyBorder="1"/>
    <xf numFmtId="0" fontId="3" fillId="0" borderId="30" xfId="0" applyFont="1" applyBorder="1"/>
    <xf numFmtId="0" fontId="3" fillId="0" borderId="31" xfId="0" applyFont="1" applyBorder="1" applyAlignment="1">
      <alignment horizontal="center" vertical="center"/>
    </xf>
    <xf numFmtId="17" fontId="3" fillId="0" borderId="31" xfId="0" quotePrefix="1" applyNumberFormat="1" applyFont="1" applyBorder="1"/>
    <xf numFmtId="2" fontId="3" fillId="0" borderId="31" xfId="0" applyNumberFormat="1" applyFont="1" applyBorder="1"/>
    <xf numFmtId="2" fontId="3" fillId="0" borderId="32" xfId="0" applyNumberFormat="1" applyFont="1" applyBorder="1"/>
    <xf numFmtId="2" fontId="3" fillId="8" borderId="10" xfId="0" applyNumberFormat="1" applyFont="1" applyFill="1" applyBorder="1"/>
    <xf numFmtId="2" fontId="3" fillId="6" borderId="10" xfId="0" applyNumberFormat="1" applyFont="1" applyFill="1" applyBorder="1"/>
    <xf numFmtId="2" fontId="3" fillId="8" borderId="29" xfId="0" applyNumberFormat="1" applyFont="1" applyFill="1" applyBorder="1"/>
    <xf numFmtId="0" fontId="3" fillId="9" borderId="10" xfId="0" applyFont="1" applyFill="1" applyBorder="1"/>
    <xf numFmtId="0" fontId="3" fillId="0" borderId="10" xfId="0" applyFont="1" applyBorder="1"/>
    <xf numFmtId="0" fontId="3" fillId="0" borderId="29" xfId="0" applyFont="1" applyBorder="1"/>
    <xf numFmtId="2" fontId="3" fillId="0" borderId="10" xfId="0" quotePrefix="1" applyNumberFormat="1" applyFont="1" applyBorder="1"/>
    <xf numFmtId="2" fontId="3" fillId="0" borderId="29" xfId="0" quotePrefix="1" applyNumberFormat="1" applyFont="1" applyBorder="1"/>
    <xf numFmtId="2" fontId="3" fillId="13" borderId="10" xfId="0" applyNumberFormat="1" applyFont="1" applyFill="1" applyBorder="1"/>
    <xf numFmtId="2" fontId="3" fillId="14" borderId="10" xfId="0" applyNumberFormat="1" applyFont="1" applyFill="1" applyBorder="1"/>
    <xf numFmtId="2" fontId="9" fillId="13" borderId="0" xfId="0" applyNumberFormat="1" applyFont="1" applyFill="1"/>
    <xf numFmtId="2" fontId="3" fillId="13" borderId="29" xfId="0" applyNumberFormat="1" applyFont="1" applyFill="1" applyBorder="1"/>
    <xf numFmtId="176" fontId="3" fillId="0" borderId="10" xfId="0" applyNumberFormat="1" applyFont="1" applyBorder="1"/>
    <xf numFmtId="176" fontId="3" fillId="0" borderId="29" xfId="0" applyNumberFormat="1" applyFont="1" applyBorder="1"/>
    <xf numFmtId="0" fontId="1" fillId="10" borderId="1" xfId="2" applyFont="1" applyFill="1" applyBorder="1"/>
    <xf numFmtId="0" fontId="6" fillId="2" borderId="13" xfId="0" applyFont="1" applyFill="1" applyBorder="1" applyAlignment="1">
      <alignment vertical="top" wrapText="1"/>
    </xf>
    <xf numFmtId="0" fontId="9" fillId="0" borderId="1" xfId="0" applyFont="1" applyBorder="1" applyAlignment="1">
      <alignment horizontal="left" wrapText="1"/>
    </xf>
    <xf numFmtId="17" fontId="3" fillId="0" borderId="1" xfId="0" quotePrefix="1" applyNumberFormat="1" applyFont="1" applyBorder="1" applyAlignment="1">
      <alignment horizontal="left" wrapText="1"/>
    </xf>
    <xf numFmtId="164" fontId="9" fillId="0" borderId="1" xfId="0" applyNumberFormat="1" applyFont="1" applyBorder="1" applyAlignment="1">
      <alignment horizontal="left" wrapText="1"/>
    </xf>
    <xf numFmtId="0" fontId="3" fillId="0" borderId="1" xfId="0" applyFont="1" applyBorder="1" applyAlignment="1">
      <alignment horizontal="left" wrapText="1"/>
    </xf>
    <xf numFmtId="165" fontId="3" fillId="0" borderId="1" xfId="0" applyNumberFormat="1" applyFont="1" applyBorder="1" applyAlignment="1">
      <alignment horizontal="left" wrapText="1"/>
    </xf>
    <xf numFmtId="0" fontId="3" fillId="6" borderId="1" xfId="0" applyFont="1" applyFill="1" applyBorder="1" applyAlignment="1">
      <alignment horizontal="left" wrapText="1"/>
    </xf>
    <xf numFmtId="0" fontId="9" fillId="0" borderId="0" xfId="0" applyFont="1" applyAlignment="1">
      <alignment horizontal="left" wrapText="1"/>
    </xf>
    <xf numFmtId="164" fontId="3" fillId="0" borderId="1" xfId="0" applyNumberFormat="1" applyFont="1" applyBorder="1" applyAlignment="1">
      <alignment horizontal="left" wrapText="1"/>
    </xf>
    <xf numFmtId="0" fontId="3" fillId="7" borderId="0" xfId="0" applyFont="1" applyFill="1" applyAlignment="1">
      <alignment wrapText="1"/>
    </xf>
    <xf numFmtId="0" fontId="2" fillId="8" borderId="1" xfId="1" applyNumberFormat="1" applyFont="1" applyFill="1" applyBorder="1" applyAlignment="1">
      <alignment horizontal="left" wrapText="1"/>
    </xf>
    <xf numFmtId="0" fontId="3" fillId="9" borderId="1" xfId="0" applyFont="1" applyFill="1" applyBorder="1" applyAlignment="1">
      <alignment horizontal="left" wrapText="1"/>
    </xf>
    <xf numFmtId="10" fontId="2" fillId="8" borderId="1" xfId="0" applyNumberFormat="1" applyFont="1" applyFill="1" applyBorder="1" applyAlignment="1">
      <alignment horizontal="left" wrapText="1"/>
    </xf>
    <xf numFmtId="10" fontId="2" fillId="8" borderId="1" xfId="1" applyNumberFormat="1" applyFont="1" applyFill="1" applyBorder="1" applyAlignment="1">
      <alignment horizontal="left" wrapText="1"/>
    </xf>
    <xf numFmtId="0" fontId="3" fillId="8" borderId="1" xfId="0" applyFont="1" applyFill="1" applyBorder="1" applyAlignment="1">
      <alignment horizontal="left" wrapText="1"/>
    </xf>
    <xf numFmtId="2" fontId="3" fillId="0" borderId="1" xfId="0" applyNumberFormat="1" applyFont="1" applyBorder="1" applyAlignment="1">
      <alignment horizontal="left" wrapText="1"/>
    </xf>
    <xf numFmtId="10" fontId="3" fillId="0" borderId="1" xfId="0" applyNumberFormat="1" applyFont="1" applyBorder="1" applyAlignment="1">
      <alignment horizontal="left" wrapText="1"/>
    </xf>
    <xf numFmtId="2" fontId="2" fillId="0" borderId="1" xfId="0" applyNumberFormat="1" applyFont="1" applyBorder="1" applyAlignment="1">
      <alignment horizontal="left" wrapText="1"/>
    </xf>
    <xf numFmtId="2" fontId="2" fillId="9" borderId="1" xfId="0" applyNumberFormat="1" applyFont="1" applyFill="1" applyBorder="1" applyAlignment="1">
      <alignment horizontal="left" wrapText="1"/>
    </xf>
    <xf numFmtId="0" fontId="2" fillId="0" borderId="1" xfId="0" applyFont="1" applyBorder="1" applyAlignment="1">
      <alignment horizontal="left" wrapText="1"/>
    </xf>
    <xf numFmtId="0" fontId="2" fillId="9" borderId="1" xfId="0" applyFont="1" applyFill="1" applyBorder="1" applyAlignment="1">
      <alignment horizontal="left" wrapText="1"/>
    </xf>
    <xf numFmtId="4" fontId="3" fillId="0" borderId="1" xfId="0" applyNumberFormat="1" applyFont="1" applyBorder="1" applyAlignment="1">
      <alignment horizontal="left" wrapText="1"/>
    </xf>
    <xf numFmtId="0" fontId="9" fillId="0" borderId="1" xfId="0" quotePrefix="1" applyFont="1" applyBorder="1" applyAlignment="1">
      <alignment horizontal="left" wrapText="1"/>
    </xf>
    <xf numFmtId="17" fontId="3" fillId="8" borderId="1" xfId="0" quotePrefix="1" applyNumberFormat="1" applyFont="1" applyFill="1" applyBorder="1" applyAlignment="1">
      <alignment horizontal="left" wrapText="1"/>
    </xf>
    <xf numFmtId="164" fontId="9" fillId="8" borderId="1" xfId="0" applyNumberFormat="1" applyFont="1" applyFill="1" applyBorder="1" applyAlignment="1">
      <alignment horizontal="left" wrapText="1"/>
    </xf>
    <xf numFmtId="10" fontId="3" fillId="8" borderId="1" xfId="0" applyNumberFormat="1" applyFont="1" applyFill="1" applyBorder="1" applyAlignment="1">
      <alignment horizontal="left" wrapText="1"/>
    </xf>
    <xf numFmtId="164" fontId="3" fillId="8" borderId="1" xfId="0" applyNumberFormat="1" applyFont="1" applyFill="1" applyBorder="1" applyAlignment="1">
      <alignment horizontal="left" wrapText="1"/>
    </xf>
    <xf numFmtId="2" fontId="3" fillId="8" borderId="1" xfId="0" applyNumberFormat="1" applyFont="1" applyFill="1" applyBorder="1" applyAlignment="1">
      <alignment horizontal="left" wrapText="1"/>
    </xf>
    <xf numFmtId="164" fontId="3" fillId="8" borderId="1" xfId="0" applyNumberFormat="1" applyFont="1" applyFill="1" applyBorder="1" applyAlignment="1">
      <alignment wrapText="1"/>
    </xf>
    <xf numFmtId="166" fontId="3" fillId="8" borderId="1" xfId="0" applyNumberFormat="1" applyFont="1" applyFill="1" applyBorder="1" applyAlignment="1">
      <alignment horizontal="left" wrapText="1"/>
    </xf>
    <xf numFmtId="4" fontId="3" fillId="8" borderId="1" xfId="0" applyNumberFormat="1" applyFont="1" applyFill="1" applyBorder="1" applyAlignment="1">
      <alignment horizontal="left" wrapText="1"/>
    </xf>
    <xf numFmtId="49" fontId="3" fillId="0" borderId="1" xfId="0" applyNumberFormat="1" applyFont="1" applyBorder="1" applyAlignment="1">
      <alignment horizontal="left" wrapText="1"/>
    </xf>
    <xf numFmtId="0" fontId="18" fillId="0" borderId="1" xfId="0" applyFont="1" applyBorder="1"/>
    <xf numFmtId="0" fontId="9" fillId="0" borderId="10" xfId="0" applyFont="1" applyBorder="1" applyAlignment="1">
      <alignment wrapText="1"/>
    </xf>
    <xf numFmtId="3" fontId="9" fillId="0" borderId="10" xfId="0" applyNumberFormat="1" applyFont="1" applyBorder="1" applyAlignment="1">
      <alignment wrapText="1"/>
    </xf>
    <xf numFmtId="0" fontId="9" fillId="8" borderId="10" xfId="0" applyFont="1" applyFill="1" applyBorder="1" applyAlignment="1">
      <alignment wrapText="1"/>
    </xf>
    <xf numFmtId="1" fontId="9" fillId="0" borderId="10" xfId="0" applyNumberFormat="1" applyFont="1" applyBorder="1"/>
    <xf numFmtId="3" fontId="9" fillId="0" borderId="10" xfId="0" applyNumberFormat="1" applyFont="1" applyBorder="1"/>
    <xf numFmtId="1" fontId="9" fillId="0" borderId="1" xfId="0" applyNumberFormat="1" applyFont="1" applyBorder="1"/>
    <xf numFmtId="0" fontId="9" fillId="0" borderId="10" xfId="0" quotePrefix="1" applyFont="1" applyBorder="1"/>
    <xf numFmtId="0" fontId="3" fillId="0" borderId="1" xfId="0" applyFont="1" applyBorder="1"/>
    <xf numFmtId="0" fontId="2" fillId="0" borderId="1" xfId="0" applyFont="1" applyFill="1" applyBorder="1" applyAlignment="1">
      <alignment vertical="center"/>
    </xf>
    <xf numFmtId="0" fontId="1" fillId="3" borderId="1" xfId="0" applyFont="1" applyFill="1" applyBorder="1" applyAlignment="1">
      <alignment horizontal="center"/>
    </xf>
    <xf numFmtId="0" fontId="1" fillId="11" borderId="22" xfId="2" applyFont="1" applyFill="1" applyBorder="1" applyAlignment="1">
      <alignment horizontal="center" wrapText="1"/>
    </xf>
    <xf numFmtId="0" fontId="1" fillId="3" borderId="1" xfId="0" applyFont="1" applyFill="1" applyBorder="1" applyAlignment="1"/>
    <xf numFmtId="176" fontId="2" fillId="0" borderId="10" xfId="0" applyNumberFormat="1" applyFont="1" applyFill="1" applyBorder="1" applyAlignment="1">
      <alignment horizontal="center"/>
    </xf>
    <xf numFmtId="1" fontId="2" fillId="0" borderId="10" xfId="0" applyNumberFormat="1" applyFont="1" applyFill="1" applyBorder="1" applyAlignment="1">
      <alignment horizontal="center"/>
    </xf>
    <xf numFmtId="10" fontId="2" fillId="0" borderId="10" xfId="0" applyNumberFormat="1" applyFont="1" applyFill="1" applyBorder="1" applyAlignment="1">
      <alignment horizontal="center"/>
    </xf>
    <xf numFmtId="168" fontId="2" fillId="0" borderId="10" xfId="0" applyNumberFormat="1" applyFont="1" applyFill="1" applyBorder="1" applyAlignment="1">
      <alignment horizontal="center"/>
    </xf>
    <xf numFmtId="2" fontId="2" fillId="0" borderId="10" xfId="0" applyNumberFormat="1" applyFont="1" applyFill="1" applyBorder="1" applyAlignment="1">
      <alignment horizontal="center"/>
    </xf>
    <xf numFmtId="177" fontId="2" fillId="0" borderId="10" xfId="0" applyNumberFormat="1" applyFont="1" applyFill="1" applyBorder="1" applyAlignment="1">
      <alignment horizontal="center"/>
    </xf>
    <xf numFmtId="169" fontId="2" fillId="0" borderId="10" xfId="0" applyNumberFormat="1" applyFont="1" applyFill="1" applyBorder="1" applyAlignment="1">
      <alignment horizontal="center"/>
    </xf>
    <xf numFmtId="175" fontId="2" fillId="0" borderId="10" xfId="0" applyNumberFormat="1" applyFont="1" applyFill="1" applyBorder="1" applyAlignment="1">
      <alignment horizontal="center"/>
    </xf>
    <xf numFmtId="1" fontId="2" fillId="0" borderId="1" xfId="0" applyNumberFormat="1" applyFont="1" applyFill="1" applyBorder="1" applyAlignment="1">
      <alignment horizontal="center"/>
    </xf>
    <xf numFmtId="176" fontId="2" fillId="0" borderId="1" xfId="0" applyNumberFormat="1" applyFont="1" applyFill="1" applyBorder="1" applyAlignment="1">
      <alignment horizontal="center"/>
    </xf>
    <xf numFmtId="173" fontId="2" fillId="0" borderId="1" xfId="0" applyNumberFormat="1" applyFont="1" applyFill="1" applyBorder="1" applyAlignment="1">
      <alignment horizontal="center"/>
    </xf>
    <xf numFmtId="168" fontId="2" fillId="0" borderId="1" xfId="0" applyNumberFormat="1" applyFont="1" applyFill="1" applyBorder="1" applyAlignment="1">
      <alignment horizontal="center"/>
    </xf>
    <xf numFmtId="2" fontId="2" fillId="0" borderId="1" xfId="0" applyNumberFormat="1" applyFont="1" applyFill="1" applyBorder="1" applyAlignment="1">
      <alignment horizontal="center"/>
    </xf>
    <xf numFmtId="169" fontId="2" fillId="0" borderId="1" xfId="0" applyNumberFormat="1" applyFont="1" applyFill="1" applyBorder="1" applyAlignment="1">
      <alignment horizontal="center"/>
    </xf>
    <xf numFmtId="176" fontId="2" fillId="0" borderId="0" xfId="0" applyNumberFormat="1" applyFont="1" applyAlignment="1">
      <alignment horizontal="center"/>
    </xf>
    <xf numFmtId="168" fontId="2" fillId="0" borderId="1" xfId="0" applyNumberFormat="1" applyFont="1" applyFill="1" applyBorder="1" applyAlignment="1"/>
    <xf numFmtId="171" fontId="2" fillId="0" borderId="10" xfId="0" applyNumberFormat="1" applyFont="1" applyFill="1" applyBorder="1" applyAlignment="1"/>
    <xf numFmtId="171" fontId="2" fillId="0" borderId="1" xfId="0" applyNumberFormat="1" applyFont="1" applyFill="1" applyBorder="1" applyAlignment="1"/>
    <xf numFmtId="11" fontId="2" fillId="0" borderId="10" xfId="0" applyNumberFormat="1" applyFont="1" applyFill="1" applyBorder="1" applyAlignment="1"/>
    <xf numFmtId="11" fontId="2" fillId="0" borderId="1" xfId="0" applyNumberFormat="1" applyFont="1" applyFill="1" applyBorder="1" applyAlignment="1"/>
    <xf numFmtId="172" fontId="2" fillId="0" borderId="10" xfId="0" applyNumberFormat="1" applyFont="1" applyFill="1" applyBorder="1" applyAlignment="1">
      <alignment horizontal="center"/>
    </xf>
    <xf numFmtId="168" fontId="2" fillId="0" borderId="1" xfId="0" applyNumberFormat="1" applyFont="1" applyFill="1" applyBorder="1"/>
    <xf numFmtId="171" fontId="2" fillId="0" borderId="10" xfId="0" applyNumberFormat="1" applyFont="1" applyFill="1" applyBorder="1"/>
    <xf numFmtId="171" fontId="2" fillId="0" borderId="1" xfId="0" applyNumberFormat="1" applyFont="1" applyFill="1" applyBorder="1"/>
    <xf numFmtId="0" fontId="6" fillId="2" borderId="1" xfId="0" applyFont="1" applyFill="1" applyBorder="1" applyAlignment="1">
      <alignment horizontal="center" wrapText="1"/>
    </xf>
    <xf numFmtId="172" fontId="2" fillId="0" borderId="10" xfId="0" applyNumberFormat="1" applyFont="1" applyFill="1" applyBorder="1" applyAlignment="1"/>
    <xf numFmtId="172" fontId="2" fillId="0" borderId="1" xfId="0" applyNumberFormat="1" applyFont="1" applyFill="1" applyBorder="1" applyAlignment="1"/>
    <xf numFmtId="2" fontId="2" fillId="0" borderId="10" xfId="0" applyNumberFormat="1" applyFont="1" applyFill="1" applyBorder="1" applyAlignment="1"/>
    <xf numFmtId="0" fontId="1" fillId="10" borderId="1" xfId="2" applyFont="1" applyFill="1" applyBorder="1" applyAlignment="1">
      <alignment horizontal="left" wrapText="1"/>
    </xf>
    <xf numFmtId="0" fontId="1" fillId="10" borderId="1" xfId="2" applyFont="1" applyFill="1" applyBorder="1" applyAlignment="1">
      <alignment horizontal="left"/>
    </xf>
    <xf numFmtId="0" fontId="1" fillId="10" borderId="1" xfId="0" applyFont="1" applyFill="1" applyBorder="1" applyAlignment="1">
      <alignment horizontal="left" wrapText="1"/>
    </xf>
    <xf numFmtId="0" fontId="1" fillId="4" borderId="1" xfId="2" applyFont="1" applyFill="1" applyBorder="1"/>
    <xf numFmtId="0" fontId="1" fillId="3" borderId="1" xfId="0" applyFont="1" applyFill="1" applyBorder="1"/>
    <xf numFmtId="0" fontId="11" fillId="3" borderId="1" xfId="0" applyFont="1" applyFill="1" applyBorder="1"/>
    <xf numFmtId="169" fontId="2" fillId="0" borderId="10" xfId="0" applyNumberFormat="1" applyFont="1" applyFill="1" applyBorder="1" applyAlignment="1"/>
    <xf numFmtId="169" fontId="2" fillId="0" borderId="1" xfId="0" applyNumberFormat="1" applyFont="1" applyFill="1" applyBorder="1" applyAlignment="1"/>
    <xf numFmtId="176" fontId="2" fillId="0" borderId="10" xfId="0" applyNumberFormat="1" applyFont="1" applyFill="1" applyBorder="1" applyAlignment="1"/>
    <xf numFmtId="0" fontId="1" fillId="4" borderId="1" xfId="0" applyFont="1" applyFill="1" applyBorder="1" applyAlignment="1">
      <alignment horizontal="left" wrapText="1"/>
    </xf>
    <xf numFmtId="178" fontId="2" fillId="0" borderId="10" xfId="0" applyNumberFormat="1" applyFont="1" applyFill="1" applyBorder="1" applyAlignment="1"/>
    <xf numFmtId="178" fontId="2" fillId="0" borderId="1" xfId="0" applyNumberFormat="1" applyFont="1" applyFill="1" applyBorder="1" applyAlignment="1"/>
    <xf numFmtId="170" fontId="2" fillId="0" borderId="10" xfId="0" applyNumberFormat="1" applyFont="1" applyFill="1" applyBorder="1" applyAlignment="1"/>
    <xf numFmtId="167" fontId="2" fillId="0" borderId="10" xfId="0" applyNumberFormat="1" applyFont="1" applyFill="1" applyBorder="1" applyAlignment="1"/>
    <xf numFmtId="179" fontId="2" fillId="0" borderId="10" xfId="0" applyNumberFormat="1" applyFont="1" applyFill="1" applyBorder="1" applyAlignment="1"/>
    <xf numFmtId="10" fontId="2" fillId="0" borderId="10" xfId="0" applyNumberFormat="1" applyFont="1" applyFill="1" applyBorder="1" applyAlignment="1"/>
    <xf numFmtId="173" fontId="2" fillId="0" borderId="10" xfId="0" applyNumberFormat="1" applyFont="1" applyFill="1" applyBorder="1" applyAlignment="1"/>
    <xf numFmtId="0" fontId="15" fillId="15" borderId="1" xfId="2" applyFont="1" applyFill="1" applyBorder="1" applyAlignment="1">
      <alignment horizontal="center" wrapText="1"/>
    </xf>
    <xf numFmtId="0" fontId="1" fillId="15" borderId="1" xfId="2" applyFont="1" applyFill="1" applyBorder="1" applyAlignment="1">
      <alignment horizontal="center" wrapText="1"/>
    </xf>
    <xf numFmtId="175" fontId="2" fillId="0" borderId="1" xfId="0" applyNumberFormat="1" applyFont="1" applyFill="1" applyBorder="1"/>
    <xf numFmtId="10" fontId="2" fillId="0" borderId="1" xfId="0" applyNumberFormat="1" applyFont="1" applyFill="1" applyBorder="1" applyAlignment="1">
      <alignment horizontal="center"/>
    </xf>
    <xf numFmtId="167" fontId="2" fillId="0" borderId="10" xfId="0" applyNumberFormat="1" applyFont="1" applyFill="1" applyBorder="1" applyAlignment="1">
      <alignment horizontal="center"/>
    </xf>
    <xf numFmtId="173" fontId="2" fillId="0" borderId="10" xfId="0" applyNumberFormat="1" applyFont="1" applyFill="1" applyBorder="1" applyAlignment="1">
      <alignment horizontal="center"/>
    </xf>
    <xf numFmtId="0" fontId="2" fillId="0" borderId="10" xfId="0" applyFont="1" applyFill="1" applyBorder="1" applyAlignment="1">
      <alignment horizontal="left"/>
    </xf>
    <xf numFmtId="0" fontId="2" fillId="0" borderId="10" xfId="0" applyFont="1" applyFill="1" applyBorder="1" applyAlignment="1">
      <alignment horizontal="center" wrapText="1"/>
    </xf>
    <xf numFmtId="4" fontId="2" fillId="0" borderId="10" xfId="0" applyNumberFormat="1" applyFont="1" applyFill="1" applyBorder="1"/>
    <xf numFmtId="172" fontId="2" fillId="0" borderId="10" xfId="0" applyNumberFormat="1" applyFont="1" applyFill="1" applyBorder="1"/>
    <xf numFmtId="3" fontId="2" fillId="0" borderId="10" xfId="0" applyNumberFormat="1" applyFont="1" applyFill="1" applyBorder="1"/>
    <xf numFmtId="0" fontId="2" fillId="0" borderId="1" xfId="0" applyFont="1" applyFill="1" applyBorder="1" applyAlignment="1">
      <alignment horizontal="center" wrapText="1"/>
    </xf>
    <xf numFmtId="3" fontId="2" fillId="0" borderId="1" xfId="0" applyNumberFormat="1" applyFont="1" applyFill="1" applyBorder="1" applyAlignment="1">
      <alignment horizontal="center"/>
    </xf>
    <xf numFmtId="172" fontId="2" fillId="0" borderId="1" xfId="0" applyNumberFormat="1" applyFont="1" applyFill="1" applyBorder="1"/>
    <xf numFmtId="3" fontId="2" fillId="0" borderId="1" xfId="3" applyNumberFormat="1" applyFont="1" applyFill="1" applyBorder="1" applyAlignment="1">
      <alignment horizontal="right" vertical="center"/>
    </xf>
    <xf numFmtId="0" fontId="2" fillId="0" borderId="1" xfId="0" applyFont="1" applyFill="1" applyBorder="1" applyAlignment="1">
      <alignment horizontal="left"/>
    </xf>
    <xf numFmtId="170" fontId="2" fillId="0" borderId="1" xfId="0" applyNumberFormat="1" applyFont="1" applyFill="1" applyBorder="1"/>
    <xf numFmtId="10" fontId="2" fillId="0" borderId="1" xfId="0" applyNumberFormat="1" applyFont="1" applyFill="1" applyBorder="1"/>
    <xf numFmtId="4" fontId="2" fillId="0" borderId="1" xfId="0" applyNumberFormat="1" applyFont="1" applyFill="1" applyBorder="1"/>
    <xf numFmtId="174" fontId="2" fillId="0" borderId="1" xfId="0" applyNumberFormat="1" applyFont="1" applyFill="1" applyBorder="1"/>
    <xf numFmtId="2" fontId="2" fillId="0" borderId="1" xfId="0" applyNumberFormat="1" applyFont="1" applyFill="1" applyBorder="1"/>
    <xf numFmtId="0" fontId="2" fillId="0" borderId="1" xfId="3" applyFont="1" applyFill="1" applyBorder="1" applyAlignment="1">
      <alignment vertical="center"/>
    </xf>
    <xf numFmtId="169" fontId="2" fillId="0" borderId="1" xfId="0" applyNumberFormat="1" applyFont="1" applyFill="1" applyBorder="1"/>
    <xf numFmtId="3" fontId="2" fillId="0" borderId="1" xfId="3" applyNumberFormat="1" applyFont="1" applyFill="1" applyBorder="1" applyAlignment="1">
      <alignment horizontal="right"/>
    </xf>
    <xf numFmtId="3" fontId="2" fillId="0" borderId="1" xfId="3" applyNumberFormat="1" applyFont="1" applyFill="1" applyBorder="1" applyAlignment="1">
      <alignment horizontal="center" vertical="center"/>
    </xf>
    <xf numFmtId="0" fontId="2" fillId="0" borderId="0" xfId="0" applyFont="1" applyFill="1"/>
    <xf numFmtId="3" fontId="2" fillId="0" borderId="10" xfId="0" applyNumberFormat="1" applyFont="1" applyFill="1" applyBorder="1" applyAlignment="1">
      <alignment horizontal="center"/>
    </xf>
    <xf numFmtId="170" fontId="2" fillId="0" borderId="10" xfId="0" applyNumberFormat="1" applyFont="1" applyFill="1" applyBorder="1" applyAlignment="1">
      <alignment horizontal="center"/>
    </xf>
    <xf numFmtId="167" fontId="2" fillId="0" borderId="10" xfId="0" applyNumberFormat="1" applyFont="1" applyFill="1" applyBorder="1"/>
    <xf numFmtId="167" fontId="2" fillId="0" borderId="1" xfId="0" applyNumberFormat="1" applyFont="1" applyFill="1" applyBorder="1" applyAlignment="1">
      <alignment horizontal="center"/>
    </xf>
    <xf numFmtId="170" fontId="2" fillId="0" borderId="1" xfId="0" applyNumberFormat="1" applyFont="1" applyFill="1" applyBorder="1" applyAlignment="1">
      <alignment horizontal="center"/>
    </xf>
    <xf numFmtId="4" fontId="2" fillId="0" borderId="10" xfId="0" applyNumberFormat="1" applyFont="1" applyFill="1" applyBorder="1" applyAlignment="1"/>
    <xf numFmtId="3" fontId="2" fillId="0" borderId="10" xfId="0" applyNumberFormat="1" applyFont="1" applyFill="1" applyBorder="1" applyAlignment="1"/>
    <xf numFmtId="170" fontId="2" fillId="0" borderId="1" xfId="0" applyNumberFormat="1" applyFont="1" applyFill="1" applyBorder="1" applyAlignment="1"/>
    <xf numFmtId="10" fontId="2" fillId="0" borderId="1" xfId="0" applyNumberFormat="1" applyFont="1" applyFill="1" applyBorder="1" applyAlignment="1"/>
    <xf numFmtId="4" fontId="2" fillId="0" borderId="1" xfId="0" applyNumberFormat="1" applyFont="1" applyFill="1" applyBorder="1" applyAlignment="1"/>
    <xf numFmtId="0" fontId="2" fillId="0" borderId="16" xfId="0" applyFont="1" applyFill="1" applyBorder="1" applyAlignment="1"/>
    <xf numFmtId="174" fontId="2" fillId="0" borderId="1" xfId="0" applyNumberFormat="1" applyFont="1" applyFill="1" applyBorder="1" applyAlignment="1"/>
    <xf numFmtId="2" fontId="2" fillId="0" borderId="1" xfId="0" applyNumberFormat="1" applyFont="1" applyFill="1" applyBorder="1" applyAlignment="1"/>
    <xf numFmtId="0" fontId="2" fillId="0" borderId="0" xfId="0" applyFont="1" applyFill="1" applyAlignment="1"/>
    <xf numFmtId="1" fontId="2" fillId="0" borderId="0" xfId="0" applyNumberFormat="1" applyFont="1" applyFill="1" applyAlignment="1"/>
    <xf numFmtId="0" fontId="2" fillId="0" borderId="0" xfId="0" applyNumberFormat="1" applyFont="1" applyFill="1" applyAlignment="1"/>
    <xf numFmtId="10" fontId="2" fillId="0" borderId="0" xfId="0" applyNumberFormat="1" applyFont="1" applyFill="1" applyAlignment="1"/>
    <xf numFmtId="173" fontId="2" fillId="0" borderId="1" xfId="4" applyNumberFormat="1" applyFont="1" applyFill="1" applyBorder="1" applyAlignment="1">
      <alignment horizontal="center"/>
    </xf>
    <xf numFmtId="167" fontId="2" fillId="0" borderId="1" xfId="4" applyNumberFormat="1" applyFont="1" applyFill="1" applyBorder="1"/>
    <xf numFmtId="10" fontId="2" fillId="0" borderId="1" xfId="4" applyNumberFormat="1" applyFont="1" applyFill="1" applyBorder="1"/>
    <xf numFmtId="167" fontId="2" fillId="0" borderId="1" xfId="4" applyNumberFormat="1" applyFont="1" applyFill="1" applyBorder="1" applyAlignment="1">
      <alignment horizontal="center"/>
    </xf>
    <xf numFmtId="174" fontId="2" fillId="0" borderId="1" xfId="4" applyNumberFormat="1" applyFont="1" applyFill="1" applyBorder="1"/>
    <xf numFmtId="10" fontId="2" fillId="0" borderId="1" xfId="4" applyNumberFormat="1" applyFont="1" applyFill="1" applyBorder="1" applyAlignment="1">
      <alignment horizontal="center"/>
    </xf>
    <xf numFmtId="3" fontId="2" fillId="0" borderId="1" xfId="0" applyNumberFormat="1" applyFont="1" applyFill="1" applyBorder="1" applyAlignment="1"/>
    <xf numFmtId="173" fontId="2" fillId="0" borderId="1" xfId="4" applyNumberFormat="1" applyFont="1" applyFill="1" applyBorder="1"/>
    <xf numFmtId="170" fontId="2" fillId="0" borderId="1" xfId="4" applyNumberFormat="1" applyFont="1" applyFill="1" applyBorder="1"/>
    <xf numFmtId="0" fontId="2" fillId="0" borderId="16" xfId="0" applyFont="1" applyFill="1" applyBorder="1" applyAlignment="1">
      <alignment horizontal="center"/>
    </xf>
    <xf numFmtId="176" fontId="2" fillId="0" borderId="0" xfId="0" applyNumberFormat="1" applyFont="1" applyFill="1" applyAlignment="1">
      <alignment horizontal="center"/>
    </xf>
    <xf numFmtId="178" fontId="2" fillId="0" borderId="10" xfId="0" applyNumberFormat="1" applyFont="1" applyFill="1" applyBorder="1"/>
    <xf numFmtId="9" fontId="2" fillId="0" borderId="10" xfId="2" applyNumberFormat="1" applyFont="1" applyFill="1" applyBorder="1" applyAlignment="1">
      <alignment horizontal="left"/>
    </xf>
    <xf numFmtId="4" fontId="2" fillId="0" borderId="10" xfId="2" applyNumberFormat="1" applyFont="1" applyFill="1" applyBorder="1" applyAlignment="1">
      <alignment horizontal="left"/>
    </xf>
    <xf numFmtId="10" fontId="2" fillId="0" borderId="10" xfId="2" applyNumberFormat="1" applyFont="1" applyFill="1" applyBorder="1" applyAlignment="1">
      <alignment horizontal="left"/>
    </xf>
    <xf numFmtId="10" fontId="2" fillId="0" borderId="10" xfId="0" applyNumberFormat="1" applyFont="1" applyFill="1" applyBorder="1"/>
    <xf numFmtId="173" fontId="2" fillId="0" borderId="10" xfId="2" applyNumberFormat="1" applyFont="1" applyFill="1" applyBorder="1" applyAlignment="1">
      <alignment horizontal="left"/>
    </xf>
    <xf numFmtId="0" fontId="1" fillId="0" borderId="1" xfId="2" applyFont="1" applyFill="1" applyBorder="1" applyAlignment="1">
      <alignment horizontal="left"/>
    </xf>
    <xf numFmtId="0" fontId="5" fillId="0" borderId="1" xfId="2" applyFont="1" applyFill="1" applyBorder="1" applyAlignment="1">
      <alignment horizontal="left"/>
    </xf>
    <xf numFmtId="175" fontId="2" fillId="0" borderId="10" xfId="0" applyNumberFormat="1" applyFont="1" applyFill="1" applyBorder="1" applyAlignment="1"/>
    <xf numFmtId="9" fontId="1" fillId="0" borderId="10" xfId="2" applyNumberFormat="1" applyFont="1" applyFill="1" applyBorder="1" applyAlignment="1">
      <alignment horizontal="left"/>
    </xf>
    <xf numFmtId="175" fontId="2" fillId="0" borderId="1" xfId="0" applyNumberFormat="1" applyFont="1" applyFill="1" applyBorder="1" applyAlignment="1"/>
    <xf numFmtId="169" fontId="2" fillId="0" borderId="10" xfId="0" applyNumberFormat="1" applyFont="1" applyFill="1" applyBorder="1"/>
    <xf numFmtId="168" fontId="2" fillId="0" borderId="10" xfId="0" applyNumberFormat="1" applyFont="1" applyFill="1" applyBorder="1"/>
    <xf numFmtId="179" fontId="2" fillId="0" borderId="10" xfId="0" applyNumberFormat="1" applyFont="1" applyFill="1" applyBorder="1"/>
    <xf numFmtId="49" fontId="6" fillId="2" borderId="23" xfId="0" applyNumberFormat="1" applyFont="1" applyFill="1" applyBorder="1" applyAlignment="1">
      <alignment wrapText="1"/>
    </xf>
    <xf numFmtId="49" fontId="6" fillId="2" borderId="18" xfId="0" applyNumberFormat="1" applyFont="1" applyFill="1" applyBorder="1" applyAlignment="1">
      <alignment wrapText="1"/>
    </xf>
    <xf numFmtId="0" fontId="6" fillId="2" borderId="21" xfId="0" applyFont="1" applyFill="1" applyBorder="1" applyAlignment="1">
      <alignment wrapText="1"/>
    </xf>
    <xf numFmtId="0" fontId="6" fillId="2" borderId="24" xfId="0" applyFont="1" applyFill="1" applyBorder="1" applyAlignment="1">
      <alignment wrapText="1"/>
    </xf>
    <xf numFmtId="0" fontId="3" fillId="0" borderId="9" xfId="0" applyFont="1" applyBorder="1"/>
    <xf numFmtId="0" fontId="3" fillId="0" borderId="28" xfId="0" applyFont="1" applyBorder="1"/>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3" fillId="0" borderId="28" xfId="0" applyFont="1" applyBorder="1" applyAlignment="1">
      <alignment horizontal="center" vertical="center"/>
    </xf>
    <xf numFmtId="0" fontId="3" fillId="7" borderId="33" xfId="0" applyFont="1" applyFill="1" applyBorder="1"/>
    <xf numFmtId="0" fontId="3" fillId="7" borderId="34" xfId="0" applyFont="1" applyFill="1" applyBorder="1"/>
    <xf numFmtId="0" fontId="3" fillId="7" borderId="35" xfId="0" applyFont="1" applyFill="1" applyBorder="1"/>
    <xf numFmtId="0" fontId="3" fillId="0" borderId="9" xfId="0" quotePrefix="1" applyFont="1" applyBorder="1"/>
    <xf numFmtId="2" fontId="3" fillId="12" borderId="9" xfId="0" applyNumberFormat="1" applyFont="1" applyFill="1" applyBorder="1" applyAlignment="1">
      <alignment wrapText="1"/>
    </xf>
    <xf numFmtId="2" fontId="3" fillId="12" borderId="9" xfId="0" applyNumberFormat="1" applyFont="1" applyFill="1" applyBorder="1"/>
    <xf numFmtId="2" fontId="3" fillId="12" borderId="28" xfId="0" applyNumberFormat="1" applyFont="1" applyFill="1" applyBorder="1"/>
    <xf numFmtId="2" fontId="3" fillId="0" borderId="27" xfId="0" applyNumberFormat="1" applyFont="1" applyBorder="1" applyAlignment="1">
      <alignment horizontal="center" vertical="center"/>
    </xf>
    <xf numFmtId="2" fontId="3" fillId="0" borderId="9" xfId="0" applyNumberFormat="1" applyFont="1" applyBorder="1" applyAlignment="1">
      <alignment horizontal="center" vertical="center"/>
    </xf>
    <xf numFmtId="2" fontId="3" fillId="0" borderId="28" xfId="0" applyNumberFormat="1" applyFont="1" applyBorder="1" applyAlignment="1">
      <alignment horizontal="center" vertical="center"/>
    </xf>
    <xf numFmtId="2" fontId="3" fillId="7" borderId="33" xfId="0" applyNumberFormat="1" applyFont="1" applyFill="1" applyBorder="1"/>
    <xf numFmtId="2" fontId="3" fillId="7" borderId="34" xfId="0" applyNumberFormat="1" applyFont="1" applyFill="1" applyBorder="1"/>
    <xf numFmtId="2" fontId="3" fillId="7" borderId="35" xfId="0" applyNumberFormat="1" applyFont="1" applyFill="1" applyBorder="1"/>
    <xf numFmtId="2" fontId="3" fillId="0" borderId="9" xfId="0" applyNumberFormat="1" applyFont="1" applyBorder="1"/>
    <xf numFmtId="2" fontId="3" fillId="0" borderId="28" xfId="0" applyNumberFormat="1" applyFont="1" applyBorder="1"/>
    <xf numFmtId="0" fontId="3" fillId="0" borderId="36" xfId="0" applyFont="1" applyBorder="1" applyAlignment="1">
      <alignment horizontal="center" vertical="center"/>
    </xf>
    <xf numFmtId="0" fontId="3" fillId="0" borderId="27" xfId="0" applyFont="1" applyBorder="1"/>
    <xf numFmtId="49" fontId="6" fillId="2" borderId="25" xfId="0" applyNumberFormat="1" applyFont="1" applyFill="1" applyBorder="1" applyAlignment="1">
      <alignment wrapText="1"/>
    </xf>
    <xf numFmtId="0" fontId="6" fillId="2" borderId="1" xfId="0" applyFont="1" applyFill="1" applyBorder="1" applyAlignment="1">
      <alignment horizontal="center" wrapText="1"/>
    </xf>
    <xf numFmtId="0" fontId="6" fillId="2" borderId="20" xfId="0" applyFont="1" applyFill="1" applyBorder="1" applyAlignment="1">
      <alignment horizontal="center" wrapText="1"/>
    </xf>
    <xf numFmtId="0" fontId="6" fillId="2" borderId="1" xfId="0" applyFont="1" applyFill="1" applyBorder="1" applyAlignment="1">
      <alignment wrapText="1"/>
    </xf>
    <xf numFmtId="0" fontId="6" fillId="2" borderId="20" xfId="0" applyFont="1" applyFill="1" applyBorder="1" applyAlignment="1">
      <alignment wrapText="1"/>
    </xf>
    <xf numFmtId="0" fontId="1" fillId="2" borderId="1" xfId="0" applyFont="1" applyFill="1" applyBorder="1" applyAlignment="1">
      <alignment wrapText="1"/>
    </xf>
    <xf numFmtId="0" fontId="1" fillId="2" borderId="26" xfId="0" applyFont="1" applyFill="1" applyBorder="1" applyAlignment="1">
      <alignment wrapText="1"/>
    </xf>
    <xf numFmtId="0" fontId="6" fillId="2" borderId="26" xfId="0" applyFont="1" applyFill="1" applyBorder="1" applyAlignment="1">
      <alignment wrapText="1"/>
    </xf>
    <xf numFmtId="0" fontId="3" fillId="0" borderId="1" xfId="0" applyFont="1" applyBorder="1" applyAlignment="1">
      <alignment horizontal="left" vertical="center" wrapText="1"/>
    </xf>
    <xf numFmtId="0" fontId="3" fillId="8" borderId="1" xfId="0" applyFont="1" applyFill="1" applyBorder="1" applyAlignment="1">
      <alignment horizontal="left" vertical="center" wrapText="1"/>
    </xf>
    <xf numFmtId="0" fontId="6" fillId="2" borderId="11" xfId="0" applyFont="1" applyFill="1" applyBorder="1" applyAlignment="1">
      <alignment horizontal="left" wrapText="1"/>
    </xf>
    <xf numFmtId="0" fontId="6" fillId="2" borderId="14" xfId="0" applyFont="1" applyFill="1" applyBorder="1" applyAlignment="1">
      <alignment horizontal="left" wrapText="1"/>
    </xf>
    <xf numFmtId="0" fontId="6" fillId="2" borderId="12" xfId="0" applyFont="1" applyFill="1" applyBorder="1" applyAlignment="1">
      <alignment horizontal="left" wrapText="1"/>
    </xf>
    <xf numFmtId="0" fontId="6" fillId="2" borderId="8" xfId="0" applyFont="1" applyFill="1" applyBorder="1" applyAlignment="1">
      <alignment horizontal="left" wrapText="1"/>
    </xf>
    <xf numFmtId="0" fontId="6" fillId="2" borderId="15" xfId="0" applyFont="1" applyFill="1" applyBorder="1" applyAlignment="1">
      <alignment horizontal="center" wrapText="1"/>
    </xf>
    <xf numFmtId="0" fontId="6" fillId="2" borderId="17" xfId="0" applyFont="1" applyFill="1" applyBorder="1" applyAlignment="1">
      <alignment horizontal="center" wrapText="1"/>
    </xf>
    <xf numFmtId="0" fontId="6" fillId="2" borderId="16" xfId="0" applyFont="1" applyFill="1" applyBorder="1" applyAlignment="1">
      <alignment horizontal="center" wrapText="1"/>
    </xf>
    <xf numFmtId="0" fontId="6" fillId="2" borderId="9" xfId="0" applyFont="1" applyFill="1" applyBorder="1" applyAlignment="1">
      <alignment horizont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6" xfId="0" applyFont="1" applyFill="1" applyBorder="1" applyAlignment="1">
      <alignment horizontal="center" vertical="center" wrapText="1"/>
    </xf>
  </cellXfs>
  <cellStyles count="5">
    <cellStyle name="Good" xfId="1" builtinId="26"/>
    <cellStyle name="Normal" xfId="0" builtinId="0"/>
    <cellStyle name="Normal 2" xfId="3" xr:uid="{FF0BADBC-C744-4934-8CBA-6E19829DC1DA}"/>
    <cellStyle name="Normal_Steel plant info for ISIS" xfId="2" xr:uid="{C8955F52-5996-40F5-8804-3A4FEB31E08C}"/>
    <cellStyle name="Percent" xfId="4" builtinId="5"/>
  </cellStyles>
  <dxfs count="0"/>
  <tableStyles count="0" defaultTableStyle="TableStyleMedium2" defaultPivotStyle="PivotStyleLight16"/>
  <colors>
    <mruColors>
      <color rgb="FF66FFFF"/>
      <color rgb="FFFF3399"/>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0210426-EPA_SPPD_(Opt3)/0210426.003.014-Post_Promul/Data_and_Tools/Mineral%20Wool%20(2009)/ICR/MW%20Test%20Methods%20Templates%20Not%20Supported%20by%20ER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0217382-EPA_MME/0217382.012-Iron&amp;Steel/Data_and_Tools/Coke%20Ovens/Test%20Data%20Database/CokeOvens-Enclosure2-QA-Emissions-Data-Sept-2019-IndustryQA-Include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christ/AppData/Local/Temp/Example%20Docs%20from%20other%20ICRs/WF%20Test%20Methods%20Template%20Not%20Supported%20by%20E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utilitymacticr.rti.org/Copy_of_Fuel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jchrist/AppData/Local/Temp/Example%20Docs%20from%20other%20ICRs/Phosphate_ICR_HgASTM-D6784-02_(3-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cess Unit Information"/>
      <sheetName val="CO Emission Data"/>
      <sheetName val="COS Emission Data"/>
      <sheetName val="Formaldehyde Emission Data"/>
      <sheetName val="Phenol Emission Data"/>
      <sheetName val="Methanol Emission Data"/>
      <sheetName val="Hg Emission Data-30B"/>
      <sheetName val="Hex Chromium Emission Data"/>
      <sheetName val="HF Emission Data"/>
      <sheetName val="HCl Emission"/>
      <sheetName val="O2 and CO2 Emission Data"/>
      <sheetName val="Picklists"/>
    </sheetNames>
    <sheetDataSet>
      <sheetData sheetId="0" refreshError="1"/>
      <sheetData sheetId="1">
        <row r="9">
          <cell r="D9" t="str">
            <v>Listed (by Equipment/process(es) controlled) on Form C-1 of questionnaire</v>
          </cell>
        </row>
        <row r="10">
          <cell r="D10" t="str">
            <v>Listed (by Equipment/process(es) controlled) on Form C-2 of questionnaire</v>
          </cell>
        </row>
        <row r="11">
          <cell r="D11" t="str">
            <v>Listed (by Equipment/process(es) controlled) on Form C-3 of questionnaire</v>
          </cell>
        </row>
        <row r="12">
          <cell r="D12" t="str">
            <v>Listed (by Equipment/process(es) controlled) on Form C-4 of questionnaire</v>
          </cell>
        </row>
        <row r="13">
          <cell r="D13" t="str">
            <v>Listed (by Equipment/process(es) controlled) on Form C-5 of questionnaire</v>
          </cell>
        </row>
        <row r="14">
          <cell r="D14" t="str">
            <v>Listed (by Equipment/process(es) controlled) on Form C-6 of questionnaire</v>
          </cell>
        </row>
        <row r="15">
          <cell r="D15" t="str">
            <v>Listed (by Equipment/process(es) controlled) on Form C-7 of questionnaire</v>
          </cell>
        </row>
        <row r="16">
          <cell r="D16" t="str">
            <v>Listed (by Equipment/process(es) controlled) on Form C-8 of questionnaire</v>
          </cell>
        </row>
        <row r="17">
          <cell r="D17" t="str">
            <v>Listed (by Equipment/process(es) controlled) on Form C-9 of questionnaire</v>
          </cell>
        </row>
      </sheetData>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3">
          <cell r="B3" t="str">
            <v>anthracite</v>
          </cell>
        </row>
        <row r="4">
          <cell r="B4" t="str">
            <v>bituminous</v>
          </cell>
          <cell r="D4" t="str">
            <v>Acetone</v>
          </cell>
          <cell r="G4" t="str">
            <v>Acenaphthene</v>
          </cell>
        </row>
        <row r="5">
          <cell r="B5" t="str">
            <v>subbituminous</v>
          </cell>
          <cell r="D5" t="str">
            <v>Acetonitrile</v>
          </cell>
          <cell r="G5" t="str">
            <v>Acenaphthylene</v>
          </cell>
        </row>
        <row r="6">
          <cell r="B6" t="str">
            <v>lignite</v>
          </cell>
          <cell r="D6" t="str">
            <v>Acrolein (Propenal)</v>
          </cell>
          <cell r="G6" t="str">
            <v>Acetophenone</v>
          </cell>
        </row>
        <row r="7">
          <cell r="B7" t="str">
            <v>coal refuse (culm or gob)</v>
          </cell>
          <cell r="D7" t="str">
            <v>Acrylonitrile</v>
          </cell>
          <cell r="G7" t="str">
            <v>2-Acetylaminofluorene</v>
          </cell>
        </row>
        <row r="8">
          <cell r="B8" t="str">
            <v>No.2 Fuel Oil (distillate)</v>
          </cell>
          <cell r="D8" t="str">
            <v>Allyl alcohol</v>
          </cell>
          <cell r="G8" t="str">
            <v>1-Acetyl-2-thiourea</v>
          </cell>
        </row>
        <row r="9">
          <cell r="B9" t="str">
            <v>No.6 Fuel Oil (residual or bunker C)</v>
          </cell>
          <cell r="D9" t="str">
            <v>Allyl chloride</v>
          </cell>
          <cell r="G9" t="str">
            <v>Aldrin</v>
          </cell>
        </row>
        <row r="10">
          <cell r="B10" t="str">
            <v>synfuel</v>
          </cell>
          <cell r="D10" t="str">
            <v>Benzene</v>
          </cell>
          <cell r="G10" t="str">
            <v>2-Aminoanthraquinone</v>
          </cell>
        </row>
        <row r="11">
          <cell r="B11" t="str">
            <v>petroleum coke</v>
          </cell>
          <cell r="D11" t="str">
            <v>Benzyl chloride</v>
          </cell>
          <cell r="G11" t="str">
            <v>Aminoazobenzene</v>
          </cell>
        </row>
        <row r="12">
          <cell r="B12" t="str">
            <v>other</v>
          </cell>
          <cell r="D12" t="str">
            <v>Bis(2-chloroethyl)sulfide</v>
          </cell>
          <cell r="G12" t="str">
            <v>4-Aminobiphenyl</v>
          </cell>
        </row>
        <row r="13">
          <cell r="D13" t="str">
            <v>Bromoacetone</v>
          </cell>
          <cell r="G13" t="str">
            <v>3-Amino-9-ethylcarbazole</v>
          </cell>
        </row>
        <row r="14">
          <cell r="D14" t="str">
            <v>Bromochloromethane</v>
          </cell>
          <cell r="G14" t="str">
            <v>Anilazine</v>
          </cell>
        </row>
        <row r="15">
          <cell r="D15" t="str">
            <v>Bromodichloromethane</v>
          </cell>
          <cell r="G15" t="str">
            <v>Aniline</v>
          </cell>
        </row>
        <row r="16">
          <cell r="D16" t="str">
            <v>4-Bromofluorobenzene (surr)</v>
          </cell>
          <cell r="G16" t="str">
            <v>o-Anisidine</v>
          </cell>
        </row>
        <row r="17">
          <cell r="D17" t="str">
            <v>Bromoform</v>
          </cell>
          <cell r="G17" t="str">
            <v>Anthracene</v>
          </cell>
        </row>
        <row r="18">
          <cell r="D18" t="str">
            <v>Bromomethane</v>
          </cell>
          <cell r="G18" t="str">
            <v>Aramite</v>
          </cell>
        </row>
        <row r="19">
          <cell r="D19" t="str">
            <v>n-Butanol</v>
          </cell>
          <cell r="G19" t="str">
            <v>Aroclor 1016</v>
          </cell>
        </row>
        <row r="20">
          <cell r="D20" t="str">
            <v>2-Butanone (MEK)</v>
          </cell>
          <cell r="G20" t="str">
            <v>Aroclor 1221</v>
          </cell>
        </row>
        <row r="21">
          <cell r="B21" t="str">
            <v>MMBtu/hr</v>
          </cell>
          <cell r="D21" t="str">
            <v>t-Butyl alcohol</v>
          </cell>
          <cell r="G21" t="str">
            <v>Aroclor 1232</v>
          </cell>
        </row>
        <row r="22">
          <cell r="B22" t="str">
            <v>standard cubic feet per minute (scfm)</v>
          </cell>
          <cell r="D22" t="str">
            <v>Carbon disulfide</v>
          </cell>
          <cell r="G22" t="str">
            <v>Aroclor 1242</v>
          </cell>
        </row>
        <row r="23">
          <cell r="B23" t="str">
            <v>gallon/minute</v>
          </cell>
          <cell r="D23" t="str">
            <v>Carbon tetrachloride</v>
          </cell>
          <cell r="G23" t="str">
            <v>Aroclor 1248</v>
          </cell>
        </row>
        <row r="24">
          <cell r="B24" t="str">
            <v>lb/hour</v>
          </cell>
          <cell r="D24" t="str">
            <v>Chloral hydrate</v>
          </cell>
          <cell r="G24" t="str">
            <v>Aroclor 1254</v>
          </cell>
        </row>
        <row r="25">
          <cell r="B25" t="str">
            <v>ton/day</v>
          </cell>
          <cell r="D25" t="str">
            <v>Chlorobenzene</v>
          </cell>
          <cell r="G25" t="str">
            <v>Aroclor 1260</v>
          </cell>
        </row>
        <row r="26">
          <cell r="D26" t="str">
            <v>Chlorobenzene-d (IS)</v>
          </cell>
          <cell r="G26" t="str">
            <v>Azinphos-methyl</v>
          </cell>
        </row>
        <row r="27">
          <cell r="D27" t="str">
            <v>Chlorodibromomethane</v>
          </cell>
          <cell r="G27" t="str">
            <v>Barban</v>
          </cell>
        </row>
        <row r="28">
          <cell r="D28" t="str">
            <v>Chloroethane</v>
          </cell>
          <cell r="G28" t="str">
            <v>Benzidine</v>
          </cell>
        </row>
        <row r="29">
          <cell r="B29" t="str">
            <v>acfm</v>
          </cell>
          <cell r="D29" t="str">
            <v>2-Chloroethanol</v>
          </cell>
          <cell r="G29" t="str">
            <v>Benzoic acid</v>
          </cell>
        </row>
        <row r="30">
          <cell r="B30" t="str">
            <v>dscfm</v>
          </cell>
          <cell r="D30" t="str">
            <v>2-Chloroethyl vinyl ether</v>
          </cell>
          <cell r="G30" t="str">
            <v>Benz(a)anthracene</v>
          </cell>
        </row>
        <row r="31">
          <cell r="D31" t="str">
            <v>Chloroform</v>
          </cell>
          <cell r="G31" t="str">
            <v>Benzo(b)fluoranthene</v>
          </cell>
        </row>
        <row r="32">
          <cell r="D32" t="str">
            <v>Chloromethane</v>
          </cell>
          <cell r="G32" t="str">
            <v>Benzo(k)fluoranthene</v>
          </cell>
        </row>
        <row r="33">
          <cell r="D33" t="str">
            <v>Chloroprene</v>
          </cell>
          <cell r="G33" t="str">
            <v>Benzo(g,h,i)perylene</v>
          </cell>
        </row>
        <row r="34">
          <cell r="B34" t="str">
            <v>deg C</v>
          </cell>
          <cell r="D34" t="str">
            <v>3-Chloropropionitrile</v>
          </cell>
          <cell r="G34" t="str">
            <v>Benzo(a)pyrene</v>
          </cell>
        </row>
        <row r="35">
          <cell r="B35" t="str">
            <v>deg F</v>
          </cell>
          <cell r="D35" t="str">
            <v>Crotonaldehyde</v>
          </cell>
          <cell r="G35" t="str">
            <v>p-Benzoquinone</v>
          </cell>
        </row>
        <row r="36">
          <cell r="D36" t="str">
            <v>1,2-Dibromo-3-chloropropane</v>
          </cell>
          <cell r="G36" t="str">
            <v>Benzyl alcohol</v>
          </cell>
        </row>
        <row r="37">
          <cell r="D37" t="str">
            <v>1,2-Dibromoethane</v>
          </cell>
          <cell r="G37" t="str">
            <v>α-BHC</v>
          </cell>
        </row>
        <row r="38">
          <cell r="D38" t="str">
            <v>Dibromomethane</v>
          </cell>
          <cell r="G38" t="str">
            <v>β-BHC</v>
          </cell>
        </row>
        <row r="39">
          <cell r="B39" t="str">
            <v>F-Factor</v>
          </cell>
          <cell r="D39" t="str">
            <v>1,2-Dichlorobenzene</v>
          </cell>
          <cell r="G39" t="str">
            <v>δ-BHC</v>
          </cell>
        </row>
        <row r="40">
          <cell r="B40" t="str">
            <v>gas fuel meter</v>
          </cell>
          <cell r="D40" t="str">
            <v>1,3-Dichlorobenzene</v>
          </cell>
          <cell r="G40" t="str">
            <v>γ-BHC (Lindane)</v>
          </cell>
        </row>
        <row r="41">
          <cell r="B41" t="str">
            <v>boiler efficiency calculation</v>
          </cell>
          <cell r="D41" t="str">
            <v>1,4-Dichlorobenzene</v>
          </cell>
          <cell r="G41" t="str">
            <v>Bis(2-chloroethoxy)methane</v>
          </cell>
        </row>
        <row r="42">
          <cell r="B42" t="str">
            <v>Other</v>
          </cell>
          <cell r="D42" t="str">
            <v>1,4-Dichlorobenzene-d (IS)</v>
          </cell>
          <cell r="G42" t="str">
            <v>Bis(2-chloroethyl) ether</v>
          </cell>
        </row>
        <row r="43">
          <cell r="D43" t="str">
            <v>cis-1,4-Dichloro-2-butene</v>
          </cell>
          <cell r="G43" t="str">
            <v>Bis(2-chloroisopropyl) ether</v>
          </cell>
        </row>
        <row r="44">
          <cell r="D44" t="str">
            <v>trans-1,4-Dichloro-2-butene</v>
          </cell>
          <cell r="G44" t="str">
            <v>Bis(2-ethylhexyl) phthalate</v>
          </cell>
        </row>
        <row r="45">
          <cell r="D45" t="str">
            <v>Dichlorodifluoromethane</v>
          </cell>
          <cell r="G45" t="str">
            <v>4-Bromophenyl phenyl ether</v>
          </cell>
        </row>
        <row r="46">
          <cell r="B46" t="str">
            <v>U.S. EPA Method 10A</v>
          </cell>
          <cell r="D46" t="str">
            <v>1,1-Dichloroethane</v>
          </cell>
          <cell r="G46" t="str">
            <v>Bromoxynil</v>
          </cell>
        </row>
        <row r="47">
          <cell r="B47" t="str">
            <v>U.S. EPA Method 10B</v>
          </cell>
          <cell r="D47" t="str">
            <v>1,2-Dichloroethane</v>
          </cell>
          <cell r="G47" t="str">
            <v>Butyl benzyl phthalate</v>
          </cell>
        </row>
        <row r="48">
          <cell r="D48" t="str">
            <v>1,2-Dichloroethane-d (surr)</v>
          </cell>
          <cell r="G48" t="str">
            <v>Captafol</v>
          </cell>
        </row>
        <row r="49">
          <cell r="D49" t="str">
            <v>1,1-Dichloroethene</v>
          </cell>
          <cell r="G49" t="str">
            <v>Captan</v>
          </cell>
        </row>
        <row r="50">
          <cell r="D50" t="str">
            <v>trans-1,2-Dichloroethene</v>
          </cell>
          <cell r="G50" t="str">
            <v>Carbaryl</v>
          </cell>
        </row>
        <row r="51">
          <cell r="B51" t="str">
            <v>U.S. EPA Method 320</v>
          </cell>
          <cell r="D51" t="str">
            <v>1,2-Dichloropropane</v>
          </cell>
          <cell r="G51" t="str">
            <v>Carbofuran</v>
          </cell>
        </row>
        <row r="52">
          <cell r="D52" t="str">
            <v>1,3-Dichloro-2-propanol</v>
          </cell>
          <cell r="G52" t="str">
            <v>Carbophenothion</v>
          </cell>
        </row>
        <row r="53">
          <cell r="D53" t="str">
            <v>cis-1,3-Dichloropropene</v>
          </cell>
          <cell r="G53" t="str">
            <v>Chlordane (NOS)</v>
          </cell>
        </row>
        <row r="54">
          <cell r="D54" t="str">
            <v>trans-1,3-Dichloropropene</v>
          </cell>
          <cell r="G54" t="str">
            <v>Chlorfenvinphos</v>
          </cell>
        </row>
        <row r="55">
          <cell r="B55" t="str">
            <v>U.S. EPA Method 18</v>
          </cell>
          <cell r="D55" t="str">
            <v>1,2,3,4-Diepoxybutane</v>
          </cell>
          <cell r="G55" t="str">
            <v>4-Chloroaniline</v>
          </cell>
        </row>
        <row r="56">
          <cell r="B56" t="str">
            <v>U.S. EPA Method 320</v>
          </cell>
          <cell r="D56" t="str">
            <v>Diethyl ether</v>
          </cell>
          <cell r="G56" t="str">
            <v>Chlorobenzilate</v>
          </cell>
        </row>
        <row r="57">
          <cell r="D57" t="str">
            <v>1,4-Difluorobenzene (IS)</v>
          </cell>
          <cell r="G57" t="str">
            <v>5-Chloro-2-methylaniline</v>
          </cell>
        </row>
        <row r="58">
          <cell r="D58" t="str">
            <v>1,4-Dioxane</v>
          </cell>
          <cell r="G58" t="str">
            <v>4-Chloro-3-methylphenol</v>
          </cell>
        </row>
        <row r="59">
          <cell r="D59" t="str">
            <v>Epichlorohydrin</v>
          </cell>
          <cell r="G59" t="str">
            <v>3-(Chloromethyl)pyridine hydrochloride</v>
          </cell>
        </row>
        <row r="60">
          <cell r="B60" t="str">
            <v>U.S. EPA Method 6</v>
          </cell>
          <cell r="D60" t="str">
            <v>Ethanol</v>
          </cell>
          <cell r="G60" t="str">
            <v>1-Chloronaphthalene</v>
          </cell>
        </row>
        <row r="61">
          <cell r="D61" t="str">
            <v>Ethyl acetate</v>
          </cell>
          <cell r="G61" t="str">
            <v>2-Chloronaphthalene</v>
          </cell>
        </row>
        <row r="62">
          <cell r="D62" t="str">
            <v>Ethylbenzene</v>
          </cell>
          <cell r="G62" t="str">
            <v>2-Chlorophenol</v>
          </cell>
        </row>
        <row r="63">
          <cell r="D63" t="str">
            <v>Ethylene oxide</v>
          </cell>
          <cell r="G63" t="str">
            <v>4-Chloro-1,2-phenylenediamine</v>
          </cell>
        </row>
        <row r="64">
          <cell r="B64" t="str">
            <v>U.S. EPA Method 30B</v>
          </cell>
          <cell r="D64" t="str">
            <v>Ethyl methacrylate</v>
          </cell>
          <cell r="G64" t="str">
            <v>4-Chloro-1,3-phenylenediamine</v>
          </cell>
        </row>
        <row r="65">
          <cell r="D65" t="str">
            <v>Fluorobenzene (IS)</v>
          </cell>
          <cell r="G65" t="str">
            <v>4-Chlorophenyl phenyl ether</v>
          </cell>
        </row>
        <row r="66">
          <cell r="D66" t="str">
            <v>Hexachlorobutadiene</v>
          </cell>
          <cell r="G66" t="str">
            <v>Chrysene</v>
          </cell>
        </row>
        <row r="67">
          <cell r="D67" t="str">
            <v>Hexachloroethane</v>
          </cell>
          <cell r="G67" t="str">
            <v>Coumaphos</v>
          </cell>
        </row>
        <row r="68">
          <cell r="B68" t="str">
            <v>U.S. EPA Method 0031 with SW-846 Method 8260B</v>
          </cell>
          <cell r="D68" t="str">
            <v>2-Hexanone</v>
          </cell>
          <cell r="G68" t="str">
            <v>p-Cresidine</v>
          </cell>
        </row>
        <row r="69">
          <cell r="D69" t="str">
            <v>2-Hydroxypropionitrile</v>
          </cell>
          <cell r="G69" t="str">
            <v>Crotoxyphos</v>
          </cell>
        </row>
        <row r="70">
          <cell r="D70" t="str">
            <v>Iodomethane</v>
          </cell>
          <cell r="G70" t="str">
            <v>2-Cyclohexyl-4,6-dinitro-phenol</v>
          </cell>
        </row>
        <row r="71">
          <cell r="D71" t="str">
            <v>Isobutyl alcohol</v>
          </cell>
          <cell r="G71" t="str">
            <v>4,4'-DDD</v>
          </cell>
        </row>
        <row r="72">
          <cell r="B72" t="str">
            <v>U.S. EPA Method 0010 with SW-846 Method 8270D</v>
          </cell>
          <cell r="D72" t="str">
            <v>Isopropylbenzene</v>
          </cell>
          <cell r="G72" t="str">
            <v>4,4'-DDE</v>
          </cell>
        </row>
        <row r="73">
          <cell r="D73" t="str">
            <v>Malononitrile</v>
          </cell>
          <cell r="G73" t="str">
            <v>4,4'-DDT</v>
          </cell>
        </row>
        <row r="74">
          <cell r="D74" t="str">
            <v>Methacrylonitrile</v>
          </cell>
          <cell r="G74" t="str">
            <v>Demeton-O</v>
          </cell>
        </row>
        <row r="75">
          <cell r="D75" t="str">
            <v>Methanol</v>
          </cell>
          <cell r="G75" t="str">
            <v>Demeton-S</v>
          </cell>
        </row>
        <row r="76">
          <cell r="B76" t="str">
            <v>U.S. EPA Conditional Test Method 033 (CTM-033)</v>
          </cell>
          <cell r="D76" t="str">
            <v>Methylene chloride</v>
          </cell>
          <cell r="G76" t="str">
            <v>Diallate (cis or trans)</v>
          </cell>
        </row>
        <row r="77">
          <cell r="D77" t="str">
            <v>Methyl methacrylate</v>
          </cell>
          <cell r="G77" t="str">
            <v>2,4-Diaminotoluene</v>
          </cell>
        </row>
        <row r="78">
          <cell r="D78" t="str">
            <v>4-Methyl-2-pentanone (MIBK)</v>
          </cell>
          <cell r="G78" t="str">
            <v>Dibenz(a,j)acridine</v>
          </cell>
        </row>
        <row r="79">
          <cell r="D79" t="str">
            <v>Naphthalene</v>
          </cell>
          <cell r="G79" t="str">
            <v>Dibenz(a,h)anthracene</v>
          </cell>
        </row>
        <row r="80">
          <cell r="D80" t="str">
            <v>Nitrobenzene</v>
          </cell>
          <cell r="G80" t="str">
            <v>Dibenzofuran</v>
          </cell>
        </row>
        <row r="81">
          <cell r="D81" t="str">
            <v>2-Nitropropane</v>
          </cell>
          <cell r="G81" t="str">
            <v>Dibenzo(a,e)pyrene</v>
          </cell>
        </row>
        <row r="82">
          <cell r="D82" t="str">
            <v>N-Nitroso-di-n-butylamine</v>
          </cell>
          <cell r="G82" t="str">
            <v>1,2-Dibromo-3-chloropropane</v>
          </cell>
        </row>
        <row r="83">
          <cell r="D83" t="str">
            <v>Paraldehyde</v>
          </cell>
          <cell r="G83" t="str">
            <v>Di-n-butyl phthalate</v>
          </cell>
        </row>
        <row r="84">
          <cell r="B84" t="str">
            <v>U.S. EPA Method 7</v>
          </cell>
          <cell r="D84" t="str">
            <v>Pentachloroethane</v>
          </cell>
          <cell r="G84" t="str">
            <v>Dichlone</v>
          </cell>
        </row>
        <row r="85">
          <cell r="B85" t="str">
            <v>U.S. EPA Method 7A</v>
          </cell>
          <cell r="D85" t="str">
            <v>2-Pentanone</v>
          </cell>
          <cell r="G85" t="str">
            <v>1,2-Dichlorobenzene</v>
          </cell>
        </row>
        <row r="86">
          <cell r="B86" t="str">
            <v>U.S. EPA Method 7B</v>
          </cell>
          <cell r="D86" t="str">
            <v>2-Picoline</v>
          </cell>
          <cell r="G86" t="str">
            <v>1,3-Dichlorobenzene</v>
          </cell>
        </row>
        <row r="87">
          <cell r="B87" t="str">
            <v>U.S. EPA Method 7C</v>
          </cell>
          <cell r="D87" t="str">
            <v>1-Propanol</v>
          </cell>
          <cell r="G87" t="str">
            <v>1,4-Dichlorobenzene</v>
          </cell>
        </row>
        <row r="88">
          <cell r="B88" t="str">
            <v>U.S. EPA Method 7D</v>
          </cell>
          <cell r="D88" t="str">
            <v>2-Propanol</v>
          </cell>
          <cell r="G88" t="str">
            <v>3,3'-Dichlorobenzidine</v>
          </cell>
        </row>
        <row r="89">
          <cell r="D89" t="str">
            <v>Propargyl alcohol</v>
          </cell>
          <cell r="G89" t="str">
            <v>2,4-Dichlorophenol</v>
          </cell>
        </row>
        <row r="90">
          <cell r="D90" t="str">
            <v>$-Propiolactone</v>
          </cell>
          <cell r="G90" t="str">
            <v>2,6-Dichlorophenol</v>
          </cell>
        </row>
        <row r="91">
          <cell r="D91" t="str">
            <v>Propionitrile (ethyl cyanide)</v>
          </cell>
          <cell r="G91" t="str">
            <v>Dichlorovos</v>
          </cell>
        </row>
        <row r="92">
          <cell r="B92" t="str">
            <v>Standard Test Method for Filterable and Nonfilterable Matter in Water ASTM D5907</v>
          </cell>
          <cell r="D92" t="str">
            <v>n-Propylamine</v>
          </cell>
          <cell r="G92" t="str">
            <v>Dicrotophos</v>
          </cell>
        </row>
        <row r="93">
          <cell r="B93" t="str">
            <v>Standard Methods of the Examination of Water and Wastewater Method 2540B</v>
          </cell>
          <cell r="D93" t="str">
            <v>Pyridine</v>
          </cell>
          <cell r="G93" t="str">
            <v>Dieldrin</v>
          </cell>
        </row>
        <row r="94">
          <cell r="D94" t="str">
            <v>Styrene</v>
          </cell>
          <cell r="G94" t="str">
            <v>Diethyl phthalate</v>
          </cell>
        </row>
        <row r="95">
          <cell r="D95" t="str">
            <v>1,1,1,2-Tetrachloroethane</v>
          </cell>
          <cell r="G95" t="str">
            <v>Diethylstilbestrol</v>
          </cell>
        </row>
        <row r="96">
          <cell r="B96" t="str">
            <v>Listed (by boiler) in Question 16 (page 17) of the questionnaire</v>
          </cell>
          <cell r="D96" t="str">
            <v>1,1,2,2-Tetrachloroethane</v>
          </cell>
          <cell r="G96" t="str">
            <v>Diethyl sulfate</v>
          </cell>
        </row>
        <row r="97">
          <cell r="B97" t="str">
            <v>Listed (by boiler) in the Configuration Order Section of the Facility Unit Configurations Section of the Electronic ICR</v>
          </cell>
          <cell r="D97" t="str">
            <v>Tetrachloroethene</v>
          </cell>
          <cell r="G97" t="str">
            <v>Dimethoate</v>
          </cell>
        </row>
        <row r="98">
          <cell r="D98" t="str">
            <v>Toluene</v>
          </cell>
          <cell r="G98" t="str">
            <v>3,3'-Dimethoxybenzidine</v>
          </cell>
        </row>
        <row r="99">
          <cell r="D99" t="str">
            <v>Toluene-d (surr)</v>
          </cell>
          <cell r="G99" t="str">
            <v>Dimethylaminoazobenzene</v>
          </cell>
        </row>
        <row r="100">
          <cell r="D100" t="str">
            <v>o-Toluidine</v>
          </cell>
          <cell r="G100" t="str">
            <v>7,12-Dimethylbenz(a)-anthracene</v>
          </cell>
        </row>
        <row r="101">
          <cell r="B101" t="str">
            <v>ASTM Method D6784</v>
          </cell>
          <cell r="D101" t="str">
            <v>1,2,4-Trichlorobenzene</v>
          </cell>
          <cell r="G101" t="str">
            <v>3,3'-Dimethylbenzidine</v>
          </cell>
        </row>
        <row r="102">
          <cell r="D102" t="str">
            <v>1,1,1-Trichloroethane</v>
          </cell>
          <cell r="G102" t="str">
            <v>α,α-Dimethylphenethylamine</v>
          </cell>
        </row>
        <row r="103">
          <cell r="D103" t="str">
            <v>1,1,2-Trichloroethane</v>
          </cell>
          <cell r="G103" t="str">
            <v>2,4-Dimethylphenol</v>
          </cell>
        </row>
        <row r="104">
          <cell r="D104" t="str">
            <v>Trichloroethene</v>
          </cell>
          <cell r="G104" t="str">
            <v>Dimethyl phthalate</v>
          </cell>
        </row>
        <row r="105">
          <cell r="D105" t="str">
            <v>Trichlorofluoromethane</v>
          </cell>
          <cell r="G105" t="str">
            <v>1,2-Dinitrobenzene</v>
          </cell>
        </row>
        <row r="106">
          <cell r="D106" t="str">
            <v>1,2,3-Trichloropropane</v>
          </cell>
          <cell r="G106" t="str">
            <v>1,3-Dinitrobenzene</v>
          </cell>
        </row>
        <row r="107">
          <cell r="D107" t="str">
            <v>Vinyl acetate</v>
          </cell>
          <cell r="G107" t="str">
            <v>1,4-Dinitrobenzene</v>
          </cell>
        </row>
        <row r="108">
          <cell r="D108" t="str">
            <v>Vinyl chloride</v>
          </cell>
          <cell r="G108" t="str">
            <v>4,6-Dinitro-2-methylphenol</v>
          </cell>
        </row>
        <row r="109">
          <cell r="D109" t="str">
            <v>o-Xylene</v>
          </cell>
          <cell r="G109" t="str">
            <v>2,4-Dinitrophenol</v>
          </cell>
        </row>
        <row r="110">
          <cell r="D110" t="str">
            <v>m-Xylene</v>
          </cell>
          <cell r="G110" t="str">
            <v>2,4-Dinitrotoluene</v>
          </cell>
        </row>
        <row r="111">
          <cell r="D111" t="str">
            <v>p-Xylene</v>
          </cell>
          <cell r="G111" t="str">
            <v>2,6-Dinitrotoluene</v>
          </cell>
        </row>
        <row r="112">
          <cell r="G112" t="str">
            <v>Dinocap</v>
          </cell>
        </row>
        <row r="113">
          <cell r="G113" t="str">
            <v>Dinoseb</v>
          </cell>
        </row>
        <row r="114">
          <cell r="G114" t="str">
            <v>Diphenylamine</v>
          </cell>
        </row>
        <row r="115">
          <cell r="G115" t="str">
            <v>5,5-Diphenylhydantoin</v>
          </cell>
        </row>
        <row r="116">
          <cell r="G116" t="str">
            <v>1,2-Diphenylhydrazine</v>
          </cell>
        </row>
        <row r="117">
          <cell r="G117" t="str">
            <v>Di-n-octyl phthalate</v>
          </cell>
        </row>
        <row r="118">
          <cell r="G118" t="str">
            <v>Disulfoton</v>
          </cell>
        </row>
        <row r="119">
          <cell r="G119" t="str">
            <v>Endosulfan I</v>
          </cell>
        </row>
        <row r="120">
          <cell r="G120" t="str">
            <v>Endosulfan II</v>
          </cell>
        </row>
        <row r="121">
          <cell r="G121" t="str">
            <v>Endosulfan sulfate</v>
          </cell>
        </row>
        <row r="122">
          <cell r="G122" t="str">
            <v>Endrin</v>
          </cell>
        </row>
        <row r="123">
          <cell r="G123" t="str">
            <v>Endrin aldehyde</v>
          </cell>
        </row>
        <row r="124">
          <cell r="G124" t="str">
            <v>Endrin ketone 53494-70-5 X X ND X X</v>
          </cell>
        </row>
        <row r="125">
          <cell r="G125" t="str">
            <v>EPN</v>
          </cell>
        </row>
        <row r="126">
          <cell r="G126" t="str">
            <v>Ethion</v>
          </cell>
        </row>
        <row r="127">
          <cell r="G127" t="str">
            <v>Ethyl carbamate</v>
          </cell>
        </row>
        <row r="128">
          <cell r="G128" t="str">
            <v>Ethyl methanesulfonate</v>
          </cell>
        </row>
        <row r="129">
          <cell r="G129" t="str">
            <v>Famphur</v>
          </cell>
        </row>
        <row r="130">
          <cell r="G130" t="str">
            <v>Fensulfothion</v>
          </cell>
        </row>
        <row r="131">
          <cell r="G131" t="str">
            <v>Fenthion</v>
          </cell>
        </row>
        <row r="132">
          <cell r="G132" t="str">
            <v>Fluchloralin</v>
          </cell>
        </row>
        <row r="133">
          <cell r="G133" t="str">
            <v>Fluoranthene</v>
          </cell>
        </row>
        <row r="134">
          <cell r="G134" t="str">
            <v>Fluorene</v>
          </cell>
        </row>
        <row r="135">
          <cell r="G135" t="str">
            <v>2-Fluorobiphenyl (surr)</v>
          </cell>
        </row>
        <row r="136">
          <cell r="G136" t="str">
            <v>2-Fluorophenol (surr)</v>
          </cell>
        </row>
        <row r="137">
          <cell r="G137" t="str">
            <v>Heptachlor</v>
          </cell>
        </row>
        <row r="138">
          <cell r="G138" t="str">
            <v>Heptachlor epoxide</v>
          </cell>
        </row>
        <row r="139">
          <cell r="G139" t="str">
            <v>Hexachlorobenzene</v>
          </cell>
        </row>
        <row r="140">
          <cell r="G140" t="str">
            <v>Hexachlorobutadiene</v>
          </cell>
        </row>
        <row r="141">
          <cell r="G141" t="str">
            <v>Hexachlorocyclopentadiene</v>
          </cell>
        </row>
        <row r="142">
          <cell r="G142" t="str">
            <v>Hexachloroethane</v>
          </cell>
        </row>
        <row r="143">
          <cell r="G143" t="str">
            <v>Hexachlorophene</v>
          </cell>
        </row>
        <row r="144">
          <cell r="G144" t="str">
            <v>Hexachloropropene</v>
          </cell>
        </row>
        <row r="145">
          <cell r="G145" t="str">
            <v>Hexamethylphosphoramide</v>
          </cell>
        </row>
        <row r="146">
          <cell r="G146" t="str">
            <v>Hydroquinone</v>
          </cell>
        </row>
        <row r="147">
          <cell r="G147" t="str">
            <v>Indeno(1,2,3-cd)pyrene</v>
          </cell>
        </row>
        <row r="148">
          <cell r="G148" t="str">
            <v>Isodrin</v>
          </cell>
        </row>
        <row r="149">
          <cell r="G149" t="str">
            <v>Isophorone</v>
          </cell>
        </row>
        <row r="150">
          <cell r="G150" t="str">
            <v>Isosafrole</v>
          </cell>
        </row>
        <row r="151">
          <cell r="G151" t="str">
            <v>Kepone</v>
          </cell>
        </row>
        <row r="152">
          <cell r="G152" t="str">
            <v>Leptophos</v>
          </cell>
        </row>
        <row r="153">
          <cell r="G153" t="str">
            <v>Malathion</v>
          </cell>
        </row>
        <row r="154">
          <cell r="G154" t="str">
            <v>Maleic anhydride</v>
          </cell>
        </row>
        <row r="155">
          <cell r="G155" t="str">
            <v>Mestranol</v>
          </cell>
        </row>
        <row r="156">
          <cell r="G156" t="str">
            <v>Methapyrilene</v>
          </cell>
        </row>
        <row r="157">
          <cell r="G157" t="str">
            <v>Methoxychlor</v>
          </cell>
        </row>
        <row r="158">
          <cell r="G158" t="str">
            <v>3-Methylcholanthrene</v>
          </cell>
        </row>
        <row r="159">
          <cell r="G159" t="str">
            <v>4,4'-Methylenebis (2-chloroaniline)</v>
          </cell>
        </row>
        <row r="160">
          <cell r="G160" t="str">
            <v>4,4'-Methylenebis(N,N-dimethylaniline)</v>
          </cell>
        </row>
        <row r="161">
          <cell r="G161" t="str">
            <v>Methyl methanesulfonate</v>
          </cell>
        </row>
        <row r="162">
          <cell r="G162" t="str">
            <v>2-Methylnaphthalene</v>
          </cell>
        </row>
        <row r="163">
          <cell r="G163" t="str">
            <v>Methyl parathion</v>
          </cell>
        </row>
        <row r="164">
          <cell r="G164" t="str">
            <v>2-Methylphenol</v>
          </cell>
        </row>
        <row r="165">
          <cell r="G165" t="str">
            <v>3-Methylphenol</v>
          </cell>
        </row>
        <row r="166">
          <cell r="G166" t="str">
            <v>4-Methylphenol</v>
          </cell>
        </row>
        <row r="167">
          <cell r="G167" t="str">
            <v>Mevinphos</v>
          </cell>
        </row>
        <row r="168">
          <cell r="G168" t="str">
            <v>Mexacarbate</v>
          </cell>
        </row>
        <row r="169">
          <cell r="G169" t="str">
            <v>Mirex</v>
          </cell>
        </row>
        <row r="170">
          <cell r="G170" t="str">
            <v>Monocrotophos</v>
          </cell>
        </row>
        <row r="171">
          <cell r="G171" t="str">
            <v>Naled</v>
          </cell>
        </row>
        <row r="172">
          <cell r="G172" t="str">
            <v>Naphthalene</v>
          </cell>
        </row>
        <row r="173">
          <cell r="G173" t="str">
            <v>1,4-Naphthoquinone</v>
          </cell>
        </row>
        <row r="174">
          <cell r="G174" t="str">
            <v>1-Naphthylamine</v>
          </cell>
        </row>
        <row r="175">
          <cell r="G175" t="str">
            <v>2-Naphthylamine</v>
          </cell>
        </row>
        <row r="176">
          <cell r="G176" t="str">
            <v>Nicotine</v>
          </cell>
        </row>
        <row r="177">
          <cell r="G177" t="str">
            <v>5-Nitroacenaphthene</v>
          </cell>
        </row>
        <row r="178">
          <cell r="G178" t="str">
            <v>2-Nitroaniline</v>
          </cell>
        </row>
        <row r="179">
          <cell r="G179" t="str">
            <v>3-Nitroaniline</v>
          </cell>
        </row>
        <row r="180">
          <cell r="G180" t="str">
            <v>4-Nitroaniline</v>
          </cell>
        </row>
        <row r="181">
          <cell r="G181" t="str">
            <v>5-Nitro-o-anisidine</v>
          </cell>
        </row>
        <row r="182">
          <cell r="G182" t="str">
            <v>Nitrobenzene</v>
          </cell>
        </row>
        <row r="183">
          <cell r="G183" t="str">
            <v>4-Nitrobiphenyl</v>
          </cell>
        </row>
        <row r="184">
          <cell r="G184" t="str">
            <v>Nitrofen</v>
          </cell>
        </row>
        <row r="185">
          <cell r="G185" t="str">
            <v>2-Nitrophenol</v>
          </cell>
        </row>
        <row r="186">
          <cell r="G186" t="str">
            <v>4-Nitrophenol</v>
          </cell>
        </row>
        <row r="187">
          <cell r="G187" t="str">
            <v>5-Nitro-o-toluidine</v>
          </cell>
        </row>
        <row r="188">
          <cell r="G188" t="str">
            <v>Nitroquinoline-1-oxide</v>
          </cell>
        </row>
        <row r="189">
          <cell r="G189" t="str">
            <v>N-Nitrosodi-n-butylamine</v>
          </cell>
        </row>
        <row r="190">
          <cell r="G190" t="str">
            <v>N-Nitrosodiethylamine</v>
          </cell>
        </row>
        <row r="191">
          <cell r="G191" t="str">
            <v>N-Nitrosodimethylamine</v>
          </cell>
        </row>
        <row r="192">
          <cell r="G192" t="str">
            <v>N-Nitrosodiphenylamine</v>
          </cell>
        </row>
        <row r="193">
          <cell r="G193" t="str">
            <v>N-Nitrosodi-n-propylamine</v>
          </cell>
        </row>
        <row r="194">
          <cell r="G194" t="str">
            <v>N-Nitrosomethylethylamine</v>
          </cell>
        </row>
        <row r="195">
          <cell r="G195" t="str">
            <v>N-Nitrosomorpholine</v>
          </cell>
        </row>
        <row r="196">
          <cell r="G196" t="str">
            <v>N-Nitrosopiperidine</v>
          </cell>
        </row>
        <row r="197">
          <cell r="G197" t="str">
            <v>N-Nitrosopyrrolidine</v>
          </cell>
        </row>
        <row r="198">
          <cell r="G198" t="str">
            <v>Octamethyl pyrophosphoramide</v>
          </cell>
        </row>
        <row r="199">
          <cell r="G199" t="str">
            <v>4,4'-Oxydianiline</v>
          </cell>
        </row>
        <row r="200">
          <cell r="G200" t="str">
            <v>Parathion</v>
          </cell>
        </row>
        <row r="201">
          <cell r="G201" t="str">
            <v>Pentachlorobenzene</v>
          </cell>
        </row>
        <row r="202">
          <cell r="G202" t="str">
            <v>Pentachloronitrobenzene</v>
          </cell>
        </row>
        <row r="203">
          <cell r="G203" t="str">
            <v>Pentachlorophenol</v>
          </cell>
        </row>
        <row r="204">
          <cell r="G204" t="str">
            <v>Phenacetin</v>
          </cell>
        </row>
        <row r="205">
          <cell r="G205" t="str">
            <v>Phenanthrene</v>
          </cell>
        </row>
        <row r="206">
          <cell r="G206" t="str">
            <v>Phenobarbital</v>
          </cell>
        </row>
        <row r="207">
          <cell r="G207" t="str">
            <v>Phenol</v>
          </cell>
        </row>
        <row r="208">
          <cell r="G208" t="str">
            <v>1,4-Phenylenediamine</v>
          </cell>
        </row>
        <row r="209">
          <cell r="G209" t="str">
            <v>Phorate</v>
          </cell>
        </row>
        <row r="210">
          <cell r="G210" t="str">
            <v>Phosalone</v>
          </cell>
        </row>
        <row r="211">
          <cell r="G211" t="str">
            <v>Phosmet</v>
          </cell>
        </row>
        <row r="212">
          <cell r="G212" t="str">
            <v>Phosphamidon</v>
          </cell>
        </row>
        <row r="213">
          <cell r="G213" t="str">
            <v>Phthalic anhydride</v>
          </cell>
        </row>
        <row r="214">
          <cell r="G214" t="str">
            <v>2-Picoline (2-Methylpyridine)</v>
          </cell>
        </row>
        <row r="215">
          <cell r="G215" t="str">
            <v>Piperonyl sulfoxide</v>
          </cell>
        </row>
        <row r="216">
          <cell r="G216" t="str">
            <v>Pronamide</v>
          </cell>
        </row>
        <row r="217">
          <cell r="G217" t="str">
            <v>Propylthiouracil</v>
          </cell>
        </row>
        <row r="218">
          <cell r="G218" t="str">
            <v>Pyrene</v>
          </cell>
        </row>
        <row r="219">
          <cell r="G219" t="str">
            <v>Resorcinol</v>
          </cell>
        </row>
        <row r="220">
          <cell r="G220" t="str">
            <v>Safrole</v>
          </cell>
        </row>
        <row r="221">
          <cell r="G221" t="str">
            <v>Strychnine</v>
          </cell>
        </row>
        <row r="222">
          <cell r="G222" t="str">
            <v>Sulfallate</v>
          </cell>
        </row>
        <row r="223">
          <cell r="G223" t="str">
            <v>Terbufos</v>
          </cell>
        </row>
        <row r="224">
          <cell r="G224" t="str">
            <v>1,2,4,5-Tetrachlorobenzene</v>
          </cell>
        </row>
        <row r="225">
          <cell r="G225" t="str">
            <v>2,3,4,6-Tetrachlorophenol</v>
          </cell>
        </row>
        <row r="226">
          <cell r="G226" t="str">
            <v>Tetrachlorvinphos</v>
          </cell>
        </row>
        <row r="227">
          <cell r="G227" t="str">
            <v>Tetraethyl dithiopyrophosphate</v>
          </cell>
        </row>
        <row r="228">
          <cell r="G228" t="str">
            <v>Tetraethyl pyrophosphate</v>
          </cell>
        </row>
        <row r="229">
          <cell r="G229" t="str">
            <v>Thionazine</v>
          </cell>
        </row>
        <row r="230">
          <cell r="G230" t="str">
            <v>Thiophenol (Benzenethiol)</v>
          </cell>
        </row>
        <row r="231">
          <cell r="G231" t="str">
            <v>Toluene diisocyanate</v>
          </cell>
        </row>
        <row r="232">
          <cell r="G232" t="str">
            <v>o-Toluidine</v>
          </cell>
        </row>
        <row r="233">
          <cell r="G233" t="str">
            <v>Toxaphene</v>
          </cell>
        </row>
        <row r="234">
          <cell r="G234" t="str">
            <v>1,2,4-Trichlorobenzene</v>
          </cell>
        </row>
        <row r="235">
          <cell r="G235" t="str">
            <v>2,4,5-Trichlorophenol</v>
          </cell>
        </row>
        <row r="236">
          <cell r="G236" t="str">
            <v>2,4,6-Trichlorophenol</v>
          </cell>
        </row>
        <row r="237">
          <cell r="G237" t="str">
            <v>Trifluralin</v>
          </cell>
        </row>
        <row r="238">
          <cell r="G238" t="str">
            <v>2,4,5-Trimethylaniline</v>
          </cell>
        </row>
        <row r="239">
          <cell r="G239" t="str">
            <v>Trimethyl phosphate</v>
          </cell>
        </row>
        <row r="240">
          <cell r="G240" t="str">
            <v>1,3,5-Trinitrobenzene</v>
          </cell>
        </row>
        <row r="241">
          <cell r="G241" t="str">
            <v>Tris(2,3-dibromopropyl) phosphate</v>
          </cell>
        </row>
        <row r="242">
          <cell r="G242" t="str">
            <v>Tri-p-tolyl phosphate</v>
          </cell>
        </row>
        <row r="243">
          <cell r="G243" t="str">
            <v>O,O,O-Triethyl phosphorothioate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A Tracking"/>
      <sheetName val="Review Instructions"/>
      <sheetName val="A-1. Air Stack Tests"/>
      <sheetName val="A-2. Unit Conversions"/>
      <sheetName val="A-3. DF TEQ"/>
      <sheetName val="B-1. Table 2 Run Process Data"/>
      <sheetName val="B-2. Process Fuel Gas Annual"/>
      <sheetName val="B-3. Process Fuel Gas Testing"/>
      <sheetName val="C-1. Opacity M9"/>
      <sheetName val="C-2. Opacity Camera"/>
      <sheetName val="C-3. Visible Emissions M303"/>
      <sheetName val="C-4. Opacity COMS Hourly"/>
      <sheetName val="C-5. TDS Water Tests"/>
      <sheetName val="C-6. Other Water Tests"/>
      <sheetName val="C-7. Material Tests"/>
      <sheetName val="C-8. Flare"/>
      <sheetName val="C-9. COG Tests"/>
      <sheetName val="R-1. Resources"/>
      <sheetName val="R-2. Files"/>
      <sheetName val="R-3. Table 1A"/>
      <sheetName val="R-4. Pick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cess Unit Information"/>
      <sheetName val="Form-Phen-Meth Emission Data"/>
      <sheetName val="Mercury Emission Data"/>
      <sheetName val="Hex. Chromium Emission Data"/>
      <sheetName val="HF &amp; HCl Emission Data"/>
      <sheetName val="O2 and CO2 Emission Data"/>
      <sheetName val="Drop Down List Source"/>
    </sheetNames>
    <sheetDataSet>
      <sheetData sheetId="0" refreshError="1"/>
      <sheetData sheetId="1"/>
      <sheetData sheetId="2" refreshError="1"/>
      <sheetData sheetId="3" refreshError="1"/>
      <sheetData sheetId="4" refreshError="1"/>
      <sheetData sheetId="5" refreshError="1"/>
      <sheetData sheetId="6" refreshError="1"/>
      <sheetData sheetId="7">
        <row r="1">
          <cell r="A1" t="str">
            <v>Electrostatic Precipitator (ESP)</v>
          </cell>
        </row>
        <row r="2">
          <cell r="A2" t="str">
            <v>Scrubber</v>
          </cell>
        </row>
        <row r="3">
          <cell r="A3" t="str">
            <v>Mechanical Collector</v>
          </cell>
        </row>
        <row r="4">
          <cell r="A4" t="str">
            <v xml:space="preserve">Fabric Filter </v>
          </cell>
        </row>
        <row r="5">
          <cell r="A5" t="str">
            <v>Thermal Incinerator</v>
          </cell>
        </row>
        <row r="6">
          <cell r="A6" t="str">
            <v>High Velocity Air Filter (HVAF)</v>
          </cell>
        </row>
        <row r="7">
          <cell r="A7" t="str">
            <v>Mist Eliminator</v>
          </cell>
        </row>
        <row r="8">
          <cell r="A8" t="str">
            <v xml:space="preserve">Ventilation System </v>
          </cell>
        </row>
        <row r="9">
          <cell r="A9" t="str">
            <v>Other, please describe in "Other Supporting Information" cell</v>
          </cell>
        </row>
        <row r="10">
          <cell r="A10" t="str">
            <v>Combination of control devices, please describe in "Other Supporting Information" cell</v>
          </cell>
        </row>
        <row r="11">
          <cell r="A11" t="str">
            <v>Uncontrolled</v>
          </cell>
        </row>
        <row r="13">
          <cell r="A13" t="str">
            <v>EPA Method 318</v>
          </cell>
        </row>
        <row r="15">
          <cell r="A15" t="str">
            <v>EPA Method 30B</v>
          </cell>
        </row>
        <row r="17">
          <cell r="A17" t="str">
            <v>EPA Method 0061 with SW 845 Method 7199</v>
          </cell>
        </row>
        <row r="19">
          <cell r="A19" t="str">
            <v>EPA Method 320</v>
          </cell>
        </row>
        <row r="21">
          <cell r="A21" t="str">
            <v>EPA Method 3B</v>
          </cell>
        </row>
        <row r="23">
          <cell r="A23" t="str">
            <v>acfm</v>
          </cell>
        </row>
        <row r="24">
          <cell r="A24" t="str">
            <v>dscfm</v>
          </cell>
        </row>
        <row r="26">
          <cell r="A26" t="str">
            <v>°C</v>
          </cell>
        </row>
        <row r="27">
          <cell r="A27" t="str">
            <v>°F</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el"/>
      <sheetName val="Lookup"/>
    </sheetNames>
    <sheetDataSet>
      <sheetData sheetId="0"/>
      <sheetData sheetId="1">
        <row r="2">
          <cell r="C2" t="str">
            <v>(select)</v>
          </cell>
        </row>
        <row r="3">
          <cell r="C3" t="str">
            <v>Acetone: New and Used Solvent</v>
          </cell>
        </row>
        <row r="4">
          <cell r="C4" t="str">
            <v>Alcohol: Ethanol</v>
          </cell>
        </row>
        <row r="5">
          <cell r="C5" t="str">
            <v>Alcohol: Solvent</v>
          </cell>
        </row>
        <row r="6">
          <cell r="C6" t="str">
            <v>Animal Fat/Oils/Tallow</v>
          </cell>
        </row>
        <row r="7">
          <cell r="C7" t="str">
            <v xml:space="preserve">Ash pile char  </v>
          </cell>
        </row>
        <row r="8">
          <cell r="C8" t="str">
            <v>Bagasse</v>
          </cell>
        </row>
        <row r="9">
          <cell r="C9" t="str">
            <v>Bio liquids</v>
          </cell>
        </row>
        <row r="10">
          <cell r="C10" t="str">
            <v>Biogas</v>
          </cell>
        </row>
        <row r="11">
          <cell r="C11" t="str">
            <v>Biomass</v>
          </cell>
        </row>
        <row r="12">
          <cell r="C12" t="str">
            <v>Bitumen</v>
          </cell>
        </row>
        <row r="13">
          <cell r="C13" t="str">
            <v>Black Liquor</v>
          </cell>
        </row>
        <row r="14">
          <cell r="C14" t="str">
            <v>Blast Furnace Gas</v>
          </cell>
        </row>
        <row r="15">
          <cell r="C15" t="str">
            <v>Blond Fiber</v>
          </cell>
        </row>
        <row r="16">
          <cell r="C16" t="str">
            <v>Boiler ash</v>
          </cell>
        </row>
        <row r="17">
          <cell r="C17" t="str">
            <v>Cardboard</v>
          </cell>
        </row>
        <row r="18">
          <cell r="C18" t="str">
            <v>Carpet Scrap</v>
          </cell>
        </row>
        <row r="19">
          <cell r="C19" t="str">
            <v>Char</v>
          </cell>
        </row>
        <row r="20">
          <cell r="C20" t="str">
            <v>CO gas</v>
          </cell>
        </row>
        <row r="21">
          <cell r="C21" t="str">
            <v>coal refuse</v>
          </cell>
        </row>
        <row r="22">
          <cell r="C22" t="str">
            <v>coal tar</v>
          </cell>
        </row>
        <row r="23">
          <cell r="C23" t="str">
            <v>Coal: Anthracite</v>
          </cell>
        </row>
        <row r="24">
          <cell r="C24" t="str">
            <v>Coal: Bituminous</v>
          </cell>
        </row>
        <row r="25">
          <cell r="C25" t="str">
            <v>Coal: Lignite</v>
          </cell>
        </row>
        <row r="26">
          <cell r="C26" t="str">
            <v>Coal: Sub-bituminous</v>
          </cell>
        </row>
        <row r="27">
          <cell r="C27" t="str">
            <v>Coating Residues</v>
          </cell>
        </row>
        <row r="28">
          <cell r="C28" t="str">
            <v>Coke Oven Gas</v>
          </cell>
        </row>
        <row r="29">
          <cell r="C29" t="str">
            <v>Composite Water</v>
          </cell>
        </row>
        <row r="30">
          <cell r="C30" t="str">
            <v>Conforming Waste Materials</v>
          </cell>
        </row>
        <row r="31">
          <cell r="C31" t="str">
            <v>Construction/Demolition Derived Material</v>
          </cell>
        </row>
        <row r="32">
          <cell r="C32" t="str">
            <v>Corrugate Cardboard or Container Scraps</v>
          </cell>
        </row>
        <row r="33">
          <cell r="C33" t="str">
            <v>Cyanide</v>
          </cell>
        </row>
        <row r="34">
          <cell r="C34" t="str">
            <v>Decorative laminate/cast polymer scrap</v>
          </cell>
        </row>
        <row r="35">
          <cell r="C35" t="str">
            <v>Deinking residuals</v>
          </cell>
        </row>
        <row r="36">
          <cell r="C36" t="str">
            <v>Dewatered combustible residues</v>
          </cell>
        </row>
        <row r="37">
          <cell r="C37" t="str">
            <v>Diaper scraps</v>
          </cell>
        </row>
        <row r="38">
          <cell r="C38" t="str">
            <v>Diesel fuel</v>
          </cell>
        </row>
        <row r="39">
          <cell r="C39" t="str">
            <v>Envirofuel pellets</v>
          </cell>
        </row>
        <row r="40">
          <cell r="C40" t="str">
            <v>Filters</v>
          </cell>
        </row>
        <row r="41">
          <cell r="C41" t="str">
            <v>Foam Residues</v>
          </cell>
        </row>
        <row r="42">
          <cell r="C42" t="str">
            <v>Fuel cubes (paper diaper clippings/refuse)</v>
          </cell>
        </row>
        <row r="43">
          <cell r="C43" t="str">
            <v>Glycerol Distillation Byproduct</v>
          </cell>
        </row>
        <row r="44">
          <cell r="C44" t="str">
            <v>Heavy Recycle</v>
          </cell>
        </row>
        <row r="45">
          <cell r="C45" t="str">
            <v>High Caustic Fuel</v>
          </cell>
        </row>
        <row r="46">
          <cell r="C46" t="str">
            <v>Hog Fuel</v>
          </cell>
        </row>
        <row r="47">
          <cell r="C47" t="str">
            <v>Hydro pulper refuse</v>
          </cell>
        </row>
        <row r="48">
          <cell r="C48" t="str">
            <v>Hydrogen</v>
          </cell>
        </row>
        <row r="49">
          <cell r="C49" t="str">
            <v>Industrial Commercial or Municipal Sludge</v>
          </cell>
        </row>
        <row r="50">
          <cell r="C50" t="str">
            <v>Industrial plastics</v>
          </cell>
        </row>
        <row r="51">
          <cell r="C51" t="str">
            <v>Ink Solvents</v>
          </cell>
        </row>
        <row r="52">
          <cell r="C52" t="str">
            <v>JP-8 Aviation Fuel</v>
          </cell>
        </row>
        <row r="53">
          <cell r="C53" t="str">
            <v>Knots and Knotter Rejects</v>
          </cell>
        </row>
        <row r="54">
          <cell r="C54" t="str">
            <v>Landfill Gas</v>
          </cell>
        </row>
        <row r="55">
          <cell r="C55" t="str">
            <v>Latex Paint Water</v>
          </cell>
        </row>
        <row r="56">
          <cell r="C56" t="str">
            <v>Lightweight Asphalt</v>
          </cell>
        </row>
        <row r="57">
          <cell r="C57" t="str">
            <v>Lignin</v>
          </cell>
        </row>
        <row r="58">
          <cell r="C58" t="str">
            <v>Low carbonate corn fiber (LCCF)</v>
          </cell>
        </row>
        <row r="59">
          <cell r="C59" t="str">
            <v>LPG</v>
          </cell>
        </row>
        <row r="60">
          <cell r="C60" t="str">
            <v>Manure</v>
          </cell>
        </row>
        <row r="61">
          <cell r="C61" t="str">
            <v>Mechanical Pulp Mill Rejects</v>
          </cell>
        </row>
        <row r="62">
          <cell r="C62" t="str">
            <v>Mixed liquid residues</v>
          </cell>
        </row>
        <row r="63">
          <cell r="C63" t="str">
            <v>Natural gas</v>
          </cell>
        </row>
        <row r="64">
          <cell r="C64" t="str">
            <v>Neutralene</v>
          </cell>
        </row>
        <row r="65">
          <cell r="C65" t="str">
            <v>No. 2 Distillate</v>
          </cell>
        </row>
        <row r="66">
          <cell r="C66" t="str">
            <v>No. 4 Fuel oil</v>
          </cell>
        </row>
        <row r="67">
          <cell r="C67" t="str">
            <v>No. 5 Fuel oil</v>
          </cell>
        </row>
        <row r="68">
          <cell r="C68" t="str">
            <v>No. 6 Residual oil</v>
          </cell>
        </row>
        <row r="69">
          <cell r="C69" t="str">
            <v>Noncondensable Gas (includes stripper offgas)</v>
          </cell>
        </row>
        <row r="70">
          <cell r="C70" t="str">
            <v>Nonhalogenated solvent</v>
          </cell>
        </row>
        <row r="71">
          <cell r="C71" t="str">
            <v>Nonhazardous byproduct solvent</v>
          </cell>
        </row>
        <row r="72">
          <cell r="C72" t="str">
            <v>Oil Booms</v>
          </cell>
        </row>
        <row r="73">
          <cell r="C73" t="str">
            <v>Oily rags</v>
          </cell>
        </row>
        <row r="74">
          <cell r="C74" t="str">
            <v>Orimulsion</v>
          </cell>
        </row>
        <row r="75">
          <cell r="C75" t="str">
            <v>Other Petroleum-based Oils</v>
          </cell>
        </row>
        <row r="76">
          <cell r="C76" t="str">
            <v>Paint Rags/Residues</v>
          </cell>
        </row>
        <row r="77">
          <cell r="C77" t="str">
            <v>Paper and Paper Residues</v>
          </cell>
        </row>
        <row r="78">
          <cell r="C78" t="str">
            <v>Pathological: Animal or Human Remains</v>
          </cell>
        </row>
        <row r="79">
          <cell r="C79" t="str">
            <v>Peat</v>
          </cell>
        </row>
        <row r="80">
          <cell r="C80" t="str">
            <v>Petrochemical process gas</v>
          </cell>
        </row>
        <row r="81">
          <cell r="C81" t="str">
            <v>Petroleum Distillation Solvent</v>
          </cell>
        </row>
        <row r="82">
          <cell r="C82" t="str">
            <v>Pine tar</v>
          </cell>
        </row>
        <row r="83">
          <cell r="C83" t="str">
            <v>Plant-based Agricultural Residue</v>
          </cell>
        </row>
        <row r="84">
          <cell r="C84" t="str">
            <v>Plastics</v>
          </cell>
        </row>
        <row r="85">
          <cell r="C85" t="str">
            <v>Poultry litter</v>
          </cell>
        </row>
        <row r="86">
          <cell r="C86" t="str">
            <v>Process coproduct gas</v>
          </cell>
        </row>
        <row r="87">
          <cell r="C87" t="str">
            <v>Process coproduct liquid</v>
          </cell>
        </row>
        <row r="88">
          <cell r="C88" t="str">
            <v>Process coproduct solid</v>
          </cell>
        </row>
        <row r="89">
          <cell r="C89" t="str">
            <v>Process engineered fuels</v>
          </cell>
        </row>
        <row r="90">
          <cell r="C90" t="str">
            <v>Process gas</v>
          </cell>
        </row>
        <row r="91">
          <cell r="C91" t="str">
            <v>Propane</v>
          </cell>
        </row>
        <row r="92">
          <cell r="C92" t="str">
            <v>Pulp liquor</v>
          </cell>
        </row>
        <row r="93">
          <cell r="C93" t="str">
            <v>Pulp mill gas</v>
          </cell>
        </row>
        <row r="94">
          <cell r="C94" t="str">
            <v>Reclaimed Ink Solvent</v>
          </cell>
        </row>
        <row r="95">
          <cell r="C95" t="str">
            <v>Recovered Gaseous Butane</v>
          </cell>
        </row>
        <row r="96">
          <cell r="C96" t="str">
            <v>Rectified methanol</v>
          </cell>
        </row>
        <row r="97">
          <cell r="C97" t="str">
            <v>Red oil (steam stripper steam condensate, incl terpenes, terpenoids, methanol, TRS)</v>
          </cell>
        </row>
        <row r="98">
          <cell r="C98" t="str">
            <v>Refinery gas</v>
          </cell>
        </row>
        <row r="99">
          <cell r="C99" t="str">
            <v>Refuse</v>
          </cell>
        </row>
        <row r="100">
          <cell r="C100" t="str">
            <v>Refuse derived fuel (RDF)</v>
          </cell>
        </row>
        <row r="101">
          <cell r="C101" t="str">
            <v>Reinjection char</v>
          </cell>
        </row>
        <row r="102">
          <cell r="C102" t="str">
            <v>Resin Solid</v>
          </cell>
        </row>
        <row r="103">
          <cell r="C103" t="str">
            <v>Restaurant oils &amp; greases</v>
          </cell>
        </row>
        <row r="104">
          <cell r="C104" t="str">
            <v>Scrap X-Ray Film</v>
          </cell>
        </row>
        <row r="105">
          <cell r="C105" t="str">
            <v>Screen rejects</v>
          </cell>
        </row>
        <row r="106">
          <cell r="C106" t="str">
            <v>Shredded cloth</v>
          </cell>
        </row>
        <row r="107">
          <cell r="C107" t="str">
            <v>Solid paraffin</v>
          </cell>
        </row>
        <row r="108">
          <cell r="C108" t="str">
            <v>Solvents</v>
          </cell>
        </row>
        <row r="109">
          <cell r="C109" t="str">
            <v>Spent Coffee Grounds</v>
          </cell>
        </row>
        <row r="110">
          <cell r="C110" t="str">
            <v>Spent Oxide</v>
          </cell>
        </row>
        <row r="111">
          <cell r="C111" t="str">
            <v>Stripper condensate</v>
          </cell>
        </row>
        <row r="112">
          <cell r="C112" t="str">
            <v>Sulfur Free Organic Byproduct</v>
          </cell>
        </row>
        <row r="113">
          <cell r="C113" t="str">
            <v>Sunwax- Diatomaceous earth with sunflower oil wax</v>
          </cell>
        </row>
        <row r="114">
          <cell r="C114" t="str">
            <v>Tall oil, tall oil derivatives</v>
          </cell>
        </row>
        <row r="115">
          <cell r="C115" t="str">
            <v>Tar</v>
          </cell>
        </row>
        <row r="116">
          <cell r="C116" t="str">
            <v>Tire Derived Fuel (TDF)</v>
          </cell>
        </row>
        <row r="117">
          <cell r="C117" t="str">
            <v>Tires (whole)</v>
          </cell>
        </row>
        <row r="118">
          <cell r="C118" t="str">
            <v>Toluene</v>
          </cell>
        </row>
        <row r="119">
          <cell r="C119" t="str">
            <v>Trash</v>
          </cell>
        </row>
        <row r="120">
          <cell r="C120" t="str">
            <v>Turkey brood woodwaste</v>
          </cell>
        </row>
        <row r="121">
          <cell r="C121" t="str">
            <v>Turpentine</v>
          </cell>
        </row>
        <row r="122">
          <cell r="C122" t="str">
            <v>Used Alcohol</v>
          </cell>
        </row>
        <row r="123">
          <cell r="C123" t="str">
            <v>Used Petroleum-based Oils</v>
          </cell>
        </row>
        <row r="124">
          <cell r="C124" t="str">
            <v>Vegetable Oil</v>
          </cell>
        </row>
        <row r="125">
          <cell r="C125" t="str">
            <v>Waste Derived Liquid Fuel</v>
          </cell>
        </row>
        <row r="126">
          <cell r="C126" t="str">
            <v>Wax and cellophane wrapper and packaging trimmings</v>
          </cell>
        </row>
        <row r="127">
          <cell r="C127" t="str">
            <v>Wood: Bark</v>
          </cell>
        </row>
        <row r="128">
          <cell r="C128" t="str">
            <v>Wood: Painted or Varnished</v>
          </cell>
        </row>
        <row r="129">
          <cell r="C129" t="str">
            <v>Wood: Plywood, Particleboard (containing glues or resins)</v>
          </cell>
        </row>
        <row r="130">
          <cell r="C130" t="str">
            <v>Wood: Treated</v>
          </cell>
        </row>
        <row r="131">
          <cell r="C131" t="str">
            <v>Wood: Unadulterated Lumber</v>
          </cell>
        </row>
        <row r="132">
          <cell r="C132" t="str">
            <v>Wood: Unadulterated Timber</v>
          </cell>
        </row>
        <row r="133">
          <cell r="C133" t="str">
            <v>Other solid: please explain</v>
          </cell>
        </row>
        <row r="134">
          <cell r="C134" t="str">
            <v>Other liquid: please explain</v>
          </cell>
        </row>
        <row r="135">
          <cell r="C135" t="str">
            <v>Other gas: please explain</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g Emissions ASTM-D6784-02"/>
      <sheetName val="Sheet2"/>
    </sheetNames>
    <sheetDataSet>
      <sheetData sheetId="0"/>
      <sheetData sheetId="1">
        <row r="9">
          <cell r="C9" t="str">
            <v>(select fuel input units)</v>
          </cell>
        </row>
        <row r="10">
          <cell r="C10" t="str">
            <v>mmBtu/hr</v>
          </cell>
        </row>
        <row r="11">
          <cell r="C11" t="str">
            <v>standard cubic feet per minute (scfm)</v>
          </cell>
        </row>
        <row r="12">
          <cell r="C12" t="str">
            <v>gallon/minute</v>
          </cell>
        </row>
        <row r="13">
          <cell r="C13" t="str">
            <v>lb/hour</v>
          </cell>
        </row>
        <row r="14">
          <cell r="C14" t="str">
            <v>ton/day</v>
          </cell>
        </row>
        <row r="15">
          <cell r="C15" t="str">
            <v>Other: Please Explain</v>
          </cell>
        </row>
        <row r="23">
          <cell r="J23" t="str">
            <v>Yes</v>
          </cell>
        </row>
        <row r="24">
          <cell r="J24" t="str">
            <v>No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8B387-386F-4C43-8D7F-6BF629199FC6}">
  <dimension ref="B1:BL48"/>
  <sheetViews>
    <sheetView tabSelected="1" zoomScale="70" zoomScaleNormal="70" workbookViewId="0">
      <pane xSplit="3" ySplit="3" topLeftCell="D4" activePane="bottomRight" state="frozen"/>
      <selection pane="topRight" activeCell="C1" sqref="C1"/>
      <selection pane="bottomLeft" activeCell="A4" sqref="A4"/>
      <selection pane="bottomRight"/>
    </sheetView>
  </sheetViews>
  <sheetFormatPr defaultColWidth="9.140625" defaultRowHeight="12.75" x14ac:dyDescent="0.2"/>
  <cols>
    <col min="1" max="1" width="9.140625" style="9"/>
    <col min="2" max="2" width="21" style="9" bestFit="1" customWidth="1"/>
    <col min="3" max="3" width="17.7109375" style="9" customWidth="1"/>
    <col min="4" max="4" width="12.140625" style="9" customWidth="1"/>
    <col min="5" max="5" width="12.85546875" style="9" customWidth="1"/>
    <col min="6" max="12" width="13.7109375" style="9" customWidth="1"/>
    <col min="13" max="13" width="35.28515625" style="9" customWidth="1"/>
    <col min="14" max="15" width="13.7109375" style="9" customWidth="1"/>
    <col min="16" max="17" width="15.85546875" style="9" customWidth="1"/>
    <col min="18" max="23" width="13.7109375" style="9" customWidth="1"/>
    <col min="24" max="24" width="48.5703125" style="9" customWidth="1"/>
    <col min="25" max="25" width="13.7109375" style="9" customWidth="1"/>
    <col min="26" max="29" width="15" style="9" customWidth="1"/>
    <col min="30" max="30" width="14.5703125" style="9" customWidth="1"/>
    <col min="31" max="39" width="13.7109375" style="9" customWidth="1"/>
    <col min="40" max="40" width="37.42578125" style="9" customWidth="1"/>
    <col min="41" max="42" width="13.7109375" style="9" customWidth="1"/>
    <col min="43" max="44" width="16" style="9" customWidth="1"/>
    <col min="45" max="45" width="14.85546875" style="9" customWidth="1"/>
    <col min="46" max="52" width="13.7109375" style="9" customWidth="1"/>
    <col min="53" max="53" width="37.42578125" style="9" customWidth="1"/>
    <col min="54" max="55" width="14.140625" style="9" customWidth="1"/>
    <col min="56" max="57" width="15" style="9" customWidth="1"/>
    <col min="58" max="58" width="14.7109375" style="9" customWidth="1"/>
    <col min="59" max="64" width="13.7109375" style="9" customWidth="1"/>
    <col min="65" max="16384" width="9.140625" style="9"/>
  </cols>
  <sheetData>
    <row r="1" spans="2:64" ht="15" customHeight="1" x14ac:dyDescent="0.2">
      <c r="B1" s="15"/>
      <c r="C1" s="15"/>
      <c r="D1" s="15" t="s">
        <v>142</v>
      </c>
      <c r="E1" s="15"/>
      <c r="F1" s="15" t="s">
        <v>142</v>
      </c>
      <c r="G1" s="15" t="s">
        <v>142</v>
      </c>
      <c r="H1" s="15" t="s">
        <v>142</v>
      </c>
      <c r="I1" s="15" t="s">
        <v>142</v>
      </c>
      <c r="J1" s="15" t="s">
        <v>142</v>
      </c>
      <c r="K1" s="15" t="s">
        <v>144</v>
      </c>
      <c r="L1" s="16"/>
      <c r="M1" s="150"/>
      <c r="N1" s="150"/>
      <c r="O1" s="150"/>
      <c r="P1" s="37"/>
      <c r="Q1" s="37"/>
      <c r="R1" s="16"/>
      <c r="S1" s="16"/>
      <c r="T1" s="16"/>
      <c r="U1" s="16"/>
      <c r="V1" s="16"/>
      <c r="W1" s="17"/>
      <c r="X1" s="17"/>
      <c r="Y1" s="17"/>
      <c r="Z1" s="38"/>
      <c r="AA1" s="38"/>
      <c r="AB1" s="167"/>
      <c r="AC1" s="167"/>
      <c r="AD1" s="38"/>
      <c r="AE1" s="17"/>
      <c r="AF1" s="17"/>
      <c r="AG1" s="17"/>
      <c r="AH1" s="17"/>
      <c r="AI1" s="17"/>
      <c r="AJ1" s="17"/>
      <c r="AK1" s="17"/>
      <c r="AL1" s="17"/>
      <c r="AM1" s="18"/>
      <c r="AN1" s="18"/>
      <c r="AO1" s="18"/>
      <c r="AP1" s="18"/>
      <c r="AQ1" s="39"/>
      <c r="AR1" s="39"/>
      <c r="AS1" s="39"/>
      <c r="AT1" s="18"/>
      <c r="AU1" s="18"/>
      <c r="AV1" s="18"/>
      <c r="AW1" s="18"/>
      <c r="AX1" s="18"/>
      <c r="AY1" s="18"/>
      <c r="AZ1" s="119"/>
      <c r="BA1" s="28"/>
      <c r="BB1" s="28"/>
      <c r="BC1" s="28"/>
      <c r="BD1" s="40"/>
      <c r="BE1" s="40"/>
      <c r="BF1" s="40"/>
      <c r="BG1" s="28"/>
      <c r="BH1" s="28"/>
      <c r="BI1" s="28"/>
      <c r="BJ1" s="28"/>
      <c r="BK1" s="28"/>
      <c r="BL1" s="28"/>
    </row>
    <row r="2" spans="2:64" ht="26.25" x14ac:dyDescent="0.25">
      <c r="B2" s="15"/>
      <c r="C2" s="15" t="s">
        <v>95</v>
      </c>
      <c r="D2" s="15" t="s">
        <v>95</v>
      </c>
      <c r="E2" s="15" t="s">
        <v>62</v>
      </c>
      <c r="F2" s="15" t="s">
        <v>95</v>
      </c>
      <c r="G2" s="15" t="s">
        <v>95</v>
      </c>
      <c r="H2" s="15" t="s">
        <v>95</v>
      </c>
      <c r="I2" s="15" t="s">
        <v>95</v>
      </c>
      <c r="J2" s="15" t="s">
        <v>95</v>
      </c>
      <c r="K2" s="15" t="s">
        <v>95</v>
      </c>
      <c r="L2" s="76"/>
      <c r="M2" s="151"/>
      <c r="N2" s="151"/>
      <c r="O2" s="151"/>
      <c r="P2" s="16" t="s">
        <v>149</v>
      </c>
      <c r="Q2" s="16"/>
      <c r="R2" s="31" t="s">
        <v>100</v>
      </c>
      <c r="S2" s="31"/>
      <c r="T2" s="31"/>
      <c r="U2" s="31"/>
      <c r="V2" s="31"/>
      <c r="W2" s="32"/>
      <c r="X2" s="32"/>
      <c r="Y2" s="32"/>
      <c r="Z2" s="17" t="s">
        <v>149</v>
      </c>
      <c r="AA2" s="17"/>
      <c r="AB2" s="168" t="s">
        <v>255</v>
      </c>
      <c r="AC2" s="168"/>
      <c r="AD2" s="17"/>
      <c r="AE2" s="32" t="s">
        <v>125</v>
      </c>
      <c r="AF2" s="32"/>
      <c r="AG2" s="32"/>
      <c r="AH2" s="32"/>
      <c r="AI2" s="32"/>
      <c r="AJ2" s="32"/>
      <c r="AK2" s="32"/>
      <c r="AL2" s="32"/>
      <c r="AM2" s="153"/>
      <c r="AN2" s="153"/>
      <c r="AO2" s="153"/>
      <c r="AP2" s="153"/>
      <c r="AQ2" s="18" t="s">
        <v>149</v>
      </c>
      <c r="AR2" s="18"/>
      <c r="AS2" s="18"/>
      <c r="AT2" s="29" t="s">
        <v>132</v>
      </c>
      <c r="AU2" s="29"/>
      <c r="AV2" s="29"/>
      <c r="AW2" s="29"/>
      <c r="AX2" s="29"/>
      <c r="AY2" s="29"/>
      <c r="AZ2" s="154"/>
      <c r="BA2" s="155"/>
      <c r="BB2" s="155"/>
      <c r="BC2" s="155"/>
      <c r="BD2" s="19" t="s">
        <v>149</v>
      </c>
      <c r="BE2" s="19"/>
      <c r="BF2" s="19"/>
      <c r="BG2" s="30" t="s">
        <v>140</v>
      </c>
      <c r="BH2" s="30"/>
      <c r="BI2" s="30"/>
      <c r="BJ2" s="30"/>
      <c r="BK2" s="30"/>
      <c r="BL2" s="30"/>
    </row>
    <row r="3" spans="2:64" ht="89.25" x14ac:dyDescent="0.2">
      <c r="B3" s="15" t="s">
        <v>7</v>
      </c>
      <c r="C3" s="20" t="s">
        <v>63</v>
      </c>
      <c r="D3" s="21" t="s">
        <v>64</v>
      </c>
      <c r="E3" s="21" t="s">
        <v>65</v>
      </c>
      <c r="F3" s="146" t="s">
        <v>101</v>
      </c>
      <c r="G3" s="146" t="s">
        <v>102</v>
      </c>
      <c r="H3" s="146" t="s">
        <v>103</v>
      </c>
      <c r="I3" s="146" t="s">
        <v>104</v>
      </c>
      <c r="J3" s="146" t="s">
        <v>105</v>
      </c>
      <c r="K3" s="21" t="s">
        <v>263</v>
      </c>
      <c r="L3" s="22" t="s">
        <v>247</v>
      </c>
      <c r="M3" s="152" t="s">
        <v>201</v>
      </c>
      <c r="N3" s="152" t="s">
        <v>251</v>
      </c>
      <c r="O3" s="16" t="s">
        <v>258</v>
      </c>
      <c r="P3" s="16" t="s">
        <v>148</v>
      </c>
      <c r="Q3" s="23" t="s">
        <v>252</v>
      </c>
      <c r="R3" s="22" t="s">
        <v>141</v>
      </c>
      <c r="S3" s="23" t="s">
        <v>91</v>
      </c>
      <c r="T3" s="23" t="s">
        <v>246</v>
      </c>
      <c r="U3" s="23" t="s">
        <v>97</v>
      </c>
      <c r="V3" s="23" t="s">
        <v>98</v>
      </c>
      <c r="W3" s="24" t="s">
        <v>256</v>
      </c>
      <c r="X3" s="24" t="s">
        <v>201</v>
      </c>
      <c r="Y3" s="24" t="s">
        <v>251</v>
      </c>
      <c r="Z3" s="17" t="s">
        <v>150</v>
      </c>
      <c r="AA3" s="17" t="s">
        <v>252</v>
      </c>
      <c r="AB3" s="168" t="s">
        <v>150</v>
      </c>
      <c r="AC3" s="168" t="s">
        <v>252</v>
      </c>
      <c r="AD3" s="24" t="s">
        <v>151</v>
      </c>
      <c r="AE3" s="24" t="s">
        <v>126</v>
      </c>
      <c r="AF3" s="24" t="s">
        <v>127</v>
      </c>
      <c r="AG3" s="24" t="s">
        <v>92</v>
      </c>
      <c r="AH3" s="24" t="s">
        <v>246</v>
      </c>
      <c r="AI3" s="24" t="s">
        <v>128</v>
      </c>
      <c r="AJ3" s="24" t="s">
        <v>129</v>
      </c>
      <c r="AK3" s="24" t="s">
        <v>130</v>
      </c>
      <c r="AL3" s="24" t="s">
        <v>131</v>
      </c>
      <c r="AM3" s="25" t="s">
        <v>253</v>
      </c>
      <c r="AN3" s="25" t="s">
        <v>201</v>
      </c>
      <c r="AO3" s="159" t="s">
        <v>251</v>
      </c>
      <c r="AP3" s="18" t="s">
        <v>259</v>
      </c>
      <c r="AQ3" s="18" t="s">
        <v>152</v>
      </c>
      <c r="AR3" s="18" t="s">
        <v>252</v>
      </c>
      <c r="AS3" s="25" t="s">
        <v>151</v>
      </c>
      <c r="AT3" s="25" t="s">
        <v>133</v>
      </c>
      <c r="AU3" s="25" t="s">
        <v>134</v>
      </c>
      <c r="AV3" s="25" t="s">
        <v>93</v>
      </c>
      <c r="AW3" s="25" t="s">
        <v>246</v>
      </c>
      <c r="AX3" s="25" t="s">
        <v>135</v>
      </c>
      <c r="AY3" s="25" t="s">
        <v>136</v>
      </c>
      <c r="AZ3" s="26" t="s">
        <v>254</v>
      </c>
      <c r="BA3" s="11" t="s">
        <v>201</v>
      </c>
      <c r="BB3" s="11" t="s">
        <v>251</v>
      </c>
      <c r="BC3" s="19" t="s">
        <v>260</v>
      </c>
      <c r="BD3" s="19" t="s">
        <v>153</v>
      </c>
      <c r="BE3" s="19" t="s">
        <v>252</v>
      </c>
      <c r="BF3" s="26" t="s">
        <v>151</v>
      </c>
      <c r="BG3" s="11" t="s">
        <v>138</v>
      </c>
      <c r="BH3" s="11" t="s">
        <v>139</v>
      </c>
      <c r="BI3" s="11" t="s">
        <v>94</v>
      </c>
      <c r="BJ3" s="11" t="s">
        <v>246</v>
      </c>
      <c r="BK3" s="11" t="s">
        <v>137</v>
      </c>
      <c r="BL3" s="11" t="s">
        <v>136</v>
      </c>
    </row>
    <row r="4" spans="2:64" s="192" customFormat="1" x14ac:dyDescent="0.2">
      <c r="B4" s="173" t="s">
        <v>49</v>
      </c>
      <c r="C4" s="173" t="s">
        <v>66</v>
      </c>
      <c r="D4" s="174">
        <v>47</v>
      </c>
      <c r="E4" s="35" t="s">
        <v>67</v>
      </c>
      <c r="F4" s="41">
        <v>4</v>
      </c>
      <c r="G4" s="41">
        <v>1</v>
      </c>
      <c r="H4" s="41">
        <f>47*2</f>
        <v>94</v>
      </c>
      <c r="I4" s="41">
        <f t="shared" ref="I4:I30" si="0">F4*D4</f>
        <v>188</v>
      </c>
      <c r="J4" s="41">
        <v>47</v>
      </c>
      <c r="K4" s="193">
        <v>2978</v>
      </c>
      <c r="L4" s="175">
        <v>12</v>
      </c>
      <c r="M4" s="227" t="s">
        <v>248</v>
      </c>
      <c r="N4" s="222">
        <f>T4/L4</f>
        <v>0.5489756944444445</v>
      </c>
      <c r="O4" s="223">
        <f>P4*2000</f>
        <v>20.540755000000001</v>
      </c>
      <c r="P4" s="128">
        <f>R4/2000</f>
        <v>1.02703775E-2</v>
      </c>
      <c r="Q4" s="156">
        <f>SUM(P4:P7)</f>
        <v>6.8229985912500013E-2</v>
      </c>
      <c r="R4" s="175">
        <f>S4*U4*V4</f>
        <v>20.540755000000001</v>
      </c>
      <c r="S4" s="147">
        <v>7.416666666666667</v>
      </c>
      <c r="T4" s="147">
        <f>AVERAGE(S4:S7)</f>
        <v>6.5877083333333335</v>
      </c>
      <c r="U4" s="199">
        <f>K4</f>
        <v>2978</v>
      </c>
      <c r="V4" s="41">
        <f>0.0093/10</f>
        <v>9.2999999999999995E-4</v>
      </c>
      <c r="W4" s="124">
        <v>3.3000000000000002E-2</v>
      </c>
      <c r="X4" s="228" t="s">
        <v>204</v>
      </c>
      <c r="Y4" s="222">
        <f>AH4/W4</f>
        <v>0.13352272727272729</v>
      </c>
      <c r="Z4" s="126">
        <f>AE4*AD4/2000</f>
        <v>0.58153162666666669</v>
      </c>
      <c r="AA4" s="142">
        <f>SUM(Z4:Z7)</f>
        <v>3.1696317733333332</v>
      </c>
      <c r="AB4" s="122">
        <v>2.0578040080000002E-2</v>
      </c>
      <c r="AC4" s="126">
        <f>SUM(AB4:AB7)</f>
        <v>0.71131135322000016</v>
      </c>
      <c r="AD4" s="41">
        <v>8760</v>
      </c>
      <c r="AE4" s="126">
        <f>AF4*AI4*AJ4+AF4*AK4*AL4</f>
        <v>0.13276977777777779</v>
      </c>
      <c r="AF4" s="123">
        <f t="shared" ref="AF4:AF30" si="1">H4</f>
        <v>94</v>
      </c>
      <c r="AG4" s="124">
        <v>8.1111111111111108E-4</v>
      </c>
      <c r="AH4" s="165">
        <f>AVERAGE(AG4:AG7)</f>
        <v>4.4062500000000004E-3</v>
      </c>
      <c r="AI4" s="125">
        <f>AG4</f>
        <v>8.1111111111111108E-4</v>
      </c>
      <c r="AJ4" s="126">
        <v>0.04</v>
      </c>
      <c r="AK4" s="126">
        <f>6/100</f>
        <v>0.06</v>
      </c>
      <c r="AL4" s="128">
        <v>2.3E-2</v>
      </c>
      <c r="AM4" s="221">
        <v>4.0000000000000001E-3</v>
      </c>
      <c r="AN4" s="228" t="s">
        <v>248</v>
      </c>
      <c r="AO4" s="224">
        <f>AW4/AM4</f>
        <v>5.729166666666668E-3</v>
      </c>
      <c r="AP4" s="223">
        <f>AQ4*2000</f>
        <v>0</v>
      </c>
      <c r="AQ4" s="129">
        <f>AT4*AS4/2000</f>
        <v>0</v>
      </c>
      <c r="AR4" s="138">
        <f>SUM(AQ4:AQ7)</f>
        <v>9.515550000000003E-4</v>
      </c>
      <c r="AS4" s="41">
        <v>8760</v>
      </c>
      <c r="AT4" s="169">
        <f t="shared" ref="AT4:AT30" si="2">AU4*AX4*AY4</f>
        <v>0</v>
      </c>
      <c r="AU4" s="35">
        <f t="shared" ref="AU4:AU30" si="3">I4</f>
        <v>188</v>
      </c>
      <c r="AV4" s="47">
        <v>0</v>
      </c>
      <c r="AW4" s="162">
        <f>AVERAGE(AV4:AV7)</f>
        <v>2.2916666666666674E-5</v>
      </c>
      <c r="AX4" s="144">
        <f t="shared" ref="AX4:AX30" si="4">AV4</f>
        <v>0</v>
      </c>
      <c r="AY4" s="35">
        <v>7.4999999999999997E-3</v>
      </c>
      <c r="AZ4" s="225">
        <v>2.5000000000000001E-2</v>
      </c>
      <c r="BA4" s="228" t="s">
        <v>248</v>
      </c>
      <c r="BB4" s="226">
        <f>BJ4/AZ4</f>
        <v>9.8666666666666666E-2</v>
      </c>
      <c r="BC4" s="223">
        <f>BD4*2000</f>
        <v>0.58326999999999996</v>
      </c>
      <c r="BD4" s="129">
        <f>BG4*BF4/2000</f>
        <v>2.91635E-4</v>
      </c>
      <c r="BE4" s="156">
        <f>SUM(BD4:BD7)</f>
        <v>4.9169514999999997E-2</v>
      </c>
      <c r="BF4" s="41">
        <v>8760</v>
      </c>
      <c r="BG4" s="229">
        <f>BH4*BK4*BL4</f>
        <v>6.658333333333333E-5</v>
      </c>
      <c r="BH4" s="35">
        <f t="shared" ref="BH4:BH30" si="5">J4</f>
        <v>47</v>
      </c>
      <c r="BI4" s="163">
        <v>1.8888888888888888E-4</v>
      </c>
      <c r="BJ4" s="165">
        <f>AVERAGE(BI4:BI7)</f>
        <v>2.4666666666666669E-3</v>
      </c>
      <c r="BK4" s="144">
        <f>BI4</f>
        <v>1.8888888888888888E-4</v>
      </c>
      <c r="BL4" s="35">
        <v>7.4999999999999997E-3</v>
      </c>
    </row>
    <row r="5" spans="2:64" s="192" customFormat="1" x14ac:dyDescent="0.2">
      <c r="B5" s="182" t="s">
        <v>49</v>
      </c>
      <c r="C5" s="33" t="s">
        <v>68</v>
      </c>
      <c r="D5" s="178">
        <v>47</v>
      </c>
      <c r="E5" s="10" t="s">
        <v>67</v>
      </c>
      <c r="F5" s="34">
        <v>4</v>
      </c>
      <c r="G5" s="34">
        <v>1</v>
      </c>
      <c r="H5" s="34">
        <v>94</v>
      </c>
      <c r="I5" s="41">
        <f t="shared" si="0"/>
        <v>188</v>
      </c>
      <c r="J5" s="34">
        <v>47</v>
      </c>
      <c r="K5" s="179"/>
      <c r="L5" s="175">
        <v>12</v>
      </c>
      <c r="M5" s="227" t="s">
        <v>248</v>
      </c>
      <c r="N5" s="230"/>
      <c r="O5" s="223">
        <f t="shared" ref="O5:O30" si="6">P5*2000</f>
        <v>20.540755000000001</v>
      </c>
      <c r="P5" s="128">
        <f t="shared" ref="P5:P30" si="7">R5/2000</f>
        <v>1.02703775E-2</v>
      </c>
      <c r="Q5" s="157"/>
      <c r="R5" s="175">
        <f t="shared" ref="R5:R7" si="8">S5*U5*V5</f>
        <v>20.540755000000001</v>
      </c>
      <c r="S5" s="148">
        <f>S4</f>
        <v>7.416666666666667</v>
      </c>
      <c r="T5" s="148"/>
      <c r="U5" s="181">
        <f>U4</f>
        <v>2978</v>
      </c>
      <c r="V5" s="41">
        <f t="shared" ref="V5:V7" si="9">0.0093/10</f>
        <v>9.2999999999999995E-4</v>
      </c>
      <c r="W5" s="124">
        <v>3.3000000000000002E-2</v>
      </c>
      <c r="X5" s="228" t="s">
        <v>204</v>
      </c>
      <c r="Y5" s="230"/>
      <c r="Z5" s="126">
        <f t="shared" ref="Z5:Z30" si="10">AE5*AD5/2000</f>
        <v>0.58153162666666669</v>
      </c>
      <c r="AA5" s="126"/>
      <c r="AB5" s="122">
        <v>2.0578040080000002E-2</v>
      </c>
      <c r="AC5" s="126"/>
      <c r="AD5" s="41">
        <v>8760</v>
      </c>
      <c r="AE5" s="134">
        <f>AF5*AI5*AJ5+AF5*AK5*AL5</f>
        <v>0.13276977777777779</v>
      </c>
      <c r="AF5" s="130">
        <f t="shared" si="1"/>
        <v>94</v>
      </c>
      <c r="AG5" s="170">
        <f>AG4</f>
        <v>8.1111111111111108E-4</v>
      </c>
      <c r="AH5" s="161"/>
      <c r="AI5" s="125">
        <f>AG5</f>
        <v>8.1111111111111108E-4</v>
      </c>
      <c r="AJ5" s="126">
        <v>0.04</v>
      </c>
      <c r="AK5" s="126">
        <f>6/100</f>
        <v>0.06</v>
      </c>
      <c r="AL5" s="128">
        <v>2.3E-2</v>
      </c>
      <c r="AM5" s="221">
        <v>4.0000000000000001E-3</v>
      </c>
      <c r="AN5" s="228" t="s">
        <v>248</v>
      </c>
      <c r="AO5" s="230"/>
      <c r="AP5" s="223">
        <f t="shared" ref="AP5:AP30" si="11">AQ5*2000</f>
        <v>0</v>
      </c>
      <c r="AQ5" s="129">
        <f t="shared" ref="AQ5:AQ30" si="12">AT5*AS5/2000</f>
        <v>0</v>
      </c>
      <c r="AR5" s="157"/>
      <c r="AS5" s="41">
        <v>8760</v>
      </c>
      <c r="AT5" s="169">
        <f t="shared" si="2"/>
        <v>0</v>
      </c>
      <c r="AU5" s="10">
        <f t="shared" si="3"/>
        <v>188</v>
      </c>
      <c r="AV5" s="47">
        <f>AV4</f>
        <v>0</v>
      </c>
      <c r="AW5" s="161"/>
      <c r="AX5" s="144">
        <f t="shared" si="4"/>
        <v>0</v>
      </c>
      <c r="AY5" s="35">
        <v>7.4999999999999997E-3</v>
      </c>
      <c r="AZ5" s="225">
        <v>2.5000000000000001E-2</v>
      </c>
      <c r="BA5" s="228" t="s">
        <v>248</v>
      </c>
      <c r="BB5" s="230"/>
      <c r="BC5" s="223">
        <f t="shared" ref="BC5:BC30" si="13">BD5*2000</f>
        <v>0.58326999999999996</v>
      </c>
      <c r="BD5" s="129">
        <f t="shared" ref="BD5:BD30" si="14">BG5*BF5/2000</f>
        <v>2.91635E-4</v>
      </c>
      <c r="BE5" s="157"/>
      <c r="BF5" s="41">
        <v>8760</v>
      </c>
      <c r="BG5" s="229">
        <f>BH5*BK5*BL5</f>
        <v>6.658333333333333E-5</v>
      </c>
      <c r="BH5" s="10">
        <f t="shared" si="5"/>
        <v>47</v>
      </c>
      <c r="BI5" s="47">
        <f>BI4</f>
        <v>1.8888888888888888E-4</v>
      </c>
      <c r="BJ5" s="161"/>
      <c r="BK5" s="144">
        <f>BI5</f>
        <v>1.8888888888888888E-4</v>
      </c>
      <c r="BL5" s="35">
        <v>7.4999999999999997E-3</v>
      </c>
    </row>
    <row r="6" spans="2:64" s="192" customFormat="1" x14ac:dyDescent="0.2">
      <c r="B6" s="182" t="s">
        <v>49</v>
      </c>
      <c r="C6" s="33" t="s">
        <v>69</v>
      </c>
      <c r="D6" s="178">
        <v>51</v>
      </c>
      <c r="E6" s="10" t="s">
        <v>67</v>
      </c>
      <c r="F6" s="34">
        <v>4</v>
      </c>
      <c r="G6" s="34">
        <v>1</v>
      </c>
      <c r="H6" s="34">
        <v>102</v>
      </c>
      <c r="I6" s="41">
        <f t="shared" si="0"/>
        <v>204</v>
      </c>
      <c r="J6" s="34">
        <v>51</v>
      </c>
      <c r="K6" s="179"/>
      <c r="L6" s="175">
        <v>12</v>
      </c>
      <c r="M6" s="227" t="s">
        <v>248</v>
      </c>
      <c r="N6" s="230"/>
      <c r="O6" s="223">
        <f t="shared" si="6"/>
        <v>20.540755000000001</v>
      </c>
      <c r="P6" s="128">
        <f t="shared" si="7"/>
        <v>1.02703775E-2</v>
      </c>
      <c r="Q6" s="157"/>
      <c r="R6" s="175">
        <f t="shared" si="8"/>
        <v>20.540755000000001</v>
      </c>
      <c r="S6" s="148">
        <f>S4</f>
        <v>7.416666666666667</v>
      </c>
      <c r="T6" s="148"/>
      <c r="U6" s="181">
        <f>U4</f>
        <v>2978</v>
      </c>
      <c r="V6" s="41">
        <f t="shared" si="9"/>
        <v>9.2999999999999995E-4</v>
      </c>
      <c r="W6" s="124">
        <v>3.3000000000000002E-2</v>
      </c>
      <c r="X6" s="228" t="s">
        <v>204</v>
      </c>
      <c r="Y6" s="230"/>
      <c r="Z6" s="126">
        <f t="shared" si="10"/>
        <v>0.63102367999999998</v>
      </c>
      <c r="AA6" s="126"/>
      <c r="AB6" s="122">
        <v>2.2329362639999996E-2</v>
      </c>
      <c r="AC6" s="126"/>
      <c r="AD6" s="41">
        <v>8760</v>
      </c>
      <c r="AE6" s="134">
        <f t="shared" ref="AE6:AE30" si="15">AF6*AI6*AJ6+AF6*AK6*AL6</f>
        <v>0.14406933333333333</v>
      </c>
      <c r="AF6" s="130">
        <f t="shared" si="1"/>
        <v>102</v>
      </c>
      <c r="AG6" s="170">
        <f>AG4</f>
        <v>8.1111111111111108E-4</v>
      </c>
      <c r="AH6" s="161"/>
      <c r="AI6" s="125">
        <f>AG6</f>
        <v>8.1111111111111108E-4</v>
      </c>
      <c r="AJ6" s="126">
        <v>0.04</v>
      </c>
      <c r="AK6" s="126">
        <f>6/100</f>
        <v>0.06</v>
      </c>
      <c r="AL6" s="128">
        <v>2.3E-2</v>
      </c>
      <c r="AM6" s="221">
        <v>4.0000000000000001E-3</v>
      </c>
      <c r="AN6" s="228" t="s">
        <v>248</v>
      </c>
      <c r="AO6" s="230"/>
      <c r="AP6" s="223">
        <f t="shared" si="11"/>
        <v>0</v>
      </c>
      <c r="AQ6" s="129">
        <f t="shared" si="12"/>
        <v>0</v>
      </c>
      <c r="AR6" s="157"/>
      <c r="AS6" s="41">
        <v>8760</v>
      </c>
      <c r="AT6" s="169">
        <f t="shared" si="2"/>
        <v>0</v>
      </c>
      <c r="AU6" s="10">
        <f t="shared" si="3"/>
        <v>204</v>
      </c>
      <c r="AV6" s="47">
        <f>AV4</f>
        <v>0</v>
      </c>
      <c r="AW6" s="161"/>
      <c r="AX6" s="144">
        <f t="shared" si="4"/>
        <v>0</v>
      </c>
      <c r="AY6" s="35">
        <v>7.4999999999999997E-3</v>
      </c>
      <c r="AZ6" s="225">
        <v>2.5000000000000001E-2</v>
      </c>
      <c r="BA6" s="228" t="s">
        <v>248</v>
      </c>
      <c r="BB6" s="230"/>
      <c r="BC6" s="223">
        <f t="shared" si="13"/>
        <v>0.63290999999999997</v>
      </c>
      <c r="BD6" s="129">
        <f t="shared" si="14"/>
        <v>3.1645499999999999E-4</v>
      </c>
      <c r="BE6" s="157"/>
      <c r="BF6" s="41">
        <v>8760</v>
      </c>
      <c r="BG6" s="229">
        <f>BH6*BK6*BL6</f>
        <v>7.2249999999999994E-5</v>
      </c>
      <c r="BH6" s="10">
        <f t="shared" si="5"/>
        <v>51</v>
      </c>
      <c r="BI6" s="47">
        <f>BI4</f>
        <v>1.8888888888888888E-4</v>
      </c>
      <c r="BJ6" s="161"/>
      <c r="BK6" s="144">
        <f>BI6</f>
        <v>1.8888888888888888E-4</v>
      </c>
      <c r="BL6" s="35">
        <v>7.4999999999999997E-3</v>
      </c>
    </row>
    <row r="7" spans="2:64" s="192" customFormat="1" x14ac:dyDescent="0.2">
      <c r="B7" s="182" t="s">
        <v>49</v>
      </c>
      <c r="C7" s="182" t="s">
        <v>71</v>
      </c>
      <c r="D7" s="34">
        <v>79</v>
      </c>
      <c r="E7" s="10" t="s">
        <v>67</v>
      </c>
      <c r="F7" s="34">
        <v>4</v>
      </c>
      <c r="G7" s="34">
        <v>2</v>
      </c>
      <c r="H7" s="34">
        <f>79*2</f>
        <v>158</v>
      </c>
      <c r="I7" s="41">
        <f t="shared" si="0"/>
        <v>316</v>
      </c>
      <c r="J7" s="34">
        <v>158</v>
      </c>
      <c r="K7" s="179">
        <v>19623</v>
      </c>
      <c r="L7" s="175">
        <v>12</v>
      </c>
      <c r="M7" s="227" t="s">
        <v>248</v>
      </c>
      <c r="N7" s="230"/>
      <c r="O7" s="223">
        <f t="shared" si="6"/>
        <v>74.837706825000012</v>
      </c>
      <c r="P7" s="128">
        <f t="shared" si="7"/>
        <v>3.7418853412500008E-2</v>
      </c>
      <c r="Q7" s="156"/>
      <c r="R7" s="175">
        <f t="shared" si="8"/>
        <v>74.837706825000012</v>
      </c>
      <c r="S7" s="148">
        <v>4.100833333333334</v>
      </c>
      <c r="T7" s="147"/>
      <c r="U7" s="199">
        <f t="shared" ref="U7:U30" si="16">K7</f>
        <v>19623</v>
      </c>
      <c r="V7" s="41">
        <f t="shared" si="9"/>
        <v>9.2999999999999995E-4</v>
      </c>
      <c r="W7" s="124">
        <v>0.04</v>
      </c>
      <c r="X7" s="228" t="s">
        <v>203</v>
      </c>
      <c r="Y7" s="222">
        <f>AH4/W7</f>
        <v>0.11015625000000001</v>
      </c>
      <c r="Z7" s="142">
        <f t="shared" si="10"/>
        <v>1.3755448400000001</v>
      </c>
      <c r="AA7" s="142"/>
      <c r="AB7" s="122">
        <v>0.64782591042000015</v>
      </c>
      <c r="AC7" s="142"/>
      <c r="AD7" s="41">
        <v>8760</v>
      </c>
      <c r="AE7" s="134">
        <f t="shared" si="15"/>
        <v>0.31405133333333335</v>
      </c>
      <c r="AF7" s="130">
        <f t="shared" si="1"/>
        <v>158</v>
      </c>
      <c r="AG7" s="132">
        <v>1.5191666666666668E-2</v>
      </c>
      <c r="AH7" s="160"/>
      <c r="AI7" s="133">
        <f t="shared" ref="AI7:AI30" si="17">AG7</f>
        <v>1.5191666666666668E-2</v>
      </c>
      <c r="AJ7" s="134">
        <v>0.04</v>
      </c>
      <c r="AK7" s="134">
        <f t="shared" ref="AK7:AK30" si="18">6/100</f>
        <v>0.06</v>
      </c>
      <c r="AL7" s="135">
        <v>2.3E-2</v>
      </c>
      <c r="AM7" s="221">
        <v>4.0000000000000001E-3</v>
      </c>
      <c r="AN7" s="228" t="s">
        <v>248</v>
      </c>
      <c r="AO7" s="230"/>
      <c r="AP7" s="223">
        <f t="shared" si="11"/>
        <v>1.9031100000000005</v>
      </c>
      <c r="AQ7" s="129">
        <f t="shared" si="12"/>
        <v>9.515550000000003E-4</v>
      </c>
      <c r="AR7" s="156"/>
      <c r="AS7" s="41">
        <v>8760</v>
      </c>
      <c r="AT7" s="169">
        <f t="shared" si="2"/>
        <v>2.1725000000000005E-4</v>
      </c>
      <c r="AU7" s="10">
        <f t="shared" si="3"/>
        <v>316</v>
      </c>
      <c r="AV7" s="200">
        <v>9.1666666666666695E-5</v>
      </c>
      <c r="AW7" s="160"/>
      <c r="AX7" s="145">
        <f t="shared" si="4"/>
        <v>9.1666666666666695E-5</v>
      </c>
      <c r="AY7" s="10">
        <v>7.4999999999999997E-3</v>
      </c>
      <c r="AZ7" s="225">
        <v>2.5000000000000001E-2</v>
      </c>
      <c r="BA7" s="228" t="s">
        <v>248</v>
      </c>
      <c r="BB7" s="230"/>
      <c r="BC7" s="223">
        <f t="shared" si="13"/>
        <v>96.539580000000001</v>
      </c>
      <c r="BD7" s="129">
        <f t="shared" si="14"/>
        <v>4.826979E-2</v>
      </c>
      <c r="BE7" s="156"/>
      <c r="BF7" s="41">
        <v>8760</v>
      </c>
      <c r="BG7" s="231">
        <f t="shared" ref="BG7:BG30" si="19">BH7*BK7*BL7</f>
        <v>1.1020500000000001E-2</v>
      </c>
      <c r="BH7" s="10">
        <f t="shared" si="5"/>
        <v>158</v>
      </c>
      <c r="BI7" s="201">
        <v>9.300000000000001E-3</v>
      </c>
      <c r="BJ7" s="160"/>
      <c r="BK7" s="145">
        <f t="shared" ref="BK7:BK30" si="20">BI7</f>
        <v>9.300000000000001E-3</v>
      </c>
      <c r="BL7" s="10">
        <v>7.4999999999999997E-3</v>
      </c>
    </row>
    <row r="8" spans="2:64" s="192" customFormat="1" x14ac:dyDescent="0.2">
      <c r="B8" s="182" t="s">
        <v>0</v>
      </c>
      <c r="C8" s="182" t="s">
        <v>72</v>
      </c>
      <c r="D8" s="34">
        <v>76</v>
      </c>
      <c r="E8" s="10" t="s">
        <v>67</v>
      </c>
      <c r="F8" s="34">
        <v>3</v>
      </c>
      <c r="G8" s="34">
        <v>2</v>
      </c>
      <c r="H8" s="34">
        <v>152</v>
      </c>
      <c r="I8" s="41">
        <f t="shared" si="0"/>
        <v>228</v>
      </c>
      <c r="J8" s="34">
        <v>152</v>
      </c>
      <c r="K8" s="179">
        <v>32864</v>
      </c>
      <c r="L8" s="175">
        <v>12</v>
      </c>
      <c r="M8" s="227" t="s">
        <v>249</v>
      </c>
      <c r="N8" s="222">
        <f>T8/L8</f>
        <v>0.48678681817867681</v>
      </c>
      <c r="O8" s="223">
        <f t="shared" si="6"/>
        <v>178.53502383768421</v>
      </c>
      <c r="P8" s="128">
        <f t="shared" si="7"/>
        <v>8.9267511918842107E-2</v>
      </c>
      <c r="Q8" s="156">
        <f>SUM(P8)</f>
        <v>8.9267511918842107E-2</v>
      </c>
      <c r="R8" s="175">
        <f>S8*U8*V8</f>
        <v>178.53502383768421</v>
      </c>
      <c r="S8" s="148">
        <v>5.8414418181441219</v>
      </c>
      <c r="T8" s="147">
        <f>AVERAGE(S8)</f>
        <v>5.8414418181441219</v>
      </c>
      <c r="U8" s="199">
        <f t="shared" si="16"/>
        <v>32864</v>
      </c>
      <c r="V8" s="41">
        <f>0.0093/10</f>
        <v>9.2999999999999995E-4</v>
      </c>
      <c r="W8" s="124">
        <v>3.3000000000000002E-2</v>
      </c>
      <c r="X8" s="228" t="s">
        <v>250</v>
      </c>
      <c r="Y8" s="222">
        <f>AH8/W8</f>
        <v>0.51892984481645055</v>
      </c>
      <c r="Z8" s="142">
        <f t="shared" si="10"/>
        <v>1.3747860082002001</v>
      </c>
      <c r="AA8" s="142">
        <f>SUM(Z8)</f>
        <v>1.3747860082002001</v>
      </c>
      <c r="AB8" s="122">
        <v>0.70252531923240835</v>
      </c>
      <c r="AC8" s="126">
        <f>SUM(AB8)</f>
        <v>0.70252531923240835</v>
      </c>
      <c r="AD8" s="41">
        <v>8760</v>
      </c>
      <c r="AE8" s="134">
        <f t="shared" si="15"/>
        <v>0.31387808406397261</v>
      </c>
      <c r="AF8" s="130">
        <f t="shared" si="1"/>
        <v>152</v>
      </c>
      <c r="AG8" s="196">
        <v>1.7124684878942868E-2</v>
      </c>
      <c r="AH8" s="166">
        <f>AVERAGE(AG8)</f>
        <v>1.7124684878942868E-2</v>
      </c>
      <c r="AI8" s="133">
        <f t="shared" si="17"/>
        <v>1.7124684878942868E-2</v>
      </c>
      <c r="AJ8" s="134">
        <v>0.04</v>
      </c>
      <c r="AK8" s="134">
        <f t="shared" si="18"/>
        <v>0.06</v>
      </c>
      <c r="AL8" s="135">
        <v>2.3E-2</v>
      </c>
      <c r="AM8" s="221">
        <v>4.0000000000000001E-3</v>
      </c>
      <c r="AN8" s="228" t="s">
        <v>249</v>
      </c>
      <c r="AO8" s="226">
        <f>AW8/AM8</f>
        <v>1.3263888888888886E-2</v>
      </c>
      <c r="AP8" s="223">
        <f t="shared" si="11"/>
        <v>0.79475099999999976</v>
      </c>
      <c r="AQ8" s="129">
        <f t="shared" si="12"/>
        <v>3.973754999999999E-4</v>
      </c>
      <c r="AR8" s="138">
        <f>SUM(AQ8)</f>
        <v>3.973754999999999E-4</v>
      </c>
      <c r="AS8" s="41">
        <v>8760</v>
      </c>
      <c r="AT8" s="169">
        <f t="shared" si="2"/>
        <v>9.0724999999999969E-5</v>
      </c>
      <c r="AU8" s="10">
        <f t="shared" si="3"/>
        <v>228</v>
      </c>
      <c r="AV8" s="200">
        <v>5.3055555555555545E-5</v>
      </c>
      <c r="AW8" s="162">
        <f>AVERAGE(AV8)</f>
        <v>5.3055555555555545E-5</v>
      </c>
      <c r="AX8" s="143">
        <f t="shared" si="4"/>
        <v>5.3055555555555545E-5</v>
      </c>
      <c r="AY8" s="10">
        <v>7.4999999999999997E-3</v>
      </c>
      <c r="AZ8" s="225">
        <v>2.5000000000000001E-2</v>
      </c>
      <c r="BA8" s="228" t="s">
        <v>249</v>
      </c>
      <c r="BB8" s="224">
        <f>BJ8/AZ8</f>
        <v>5.5625207296849085E-3</v>
      </c>
      <c r="BC8" s="223">
        <f t="shared" si="13"/>
        <v>1.3887389253731341</v>
      </c>
      <c r="BD8" s="129">
        <f t="shared" si="14"/>
        <v>6.9436946268656703E-4</v>
      </c>
      <c r="BE8" s="138">
        <f>SUM(BD8)</f>
        <v>6.9436946268656703E-4</v>
      </c>
      <c r="BF8" s="41">
        <v>8760</v>
      </c>
      <c r="BG8" s="231">
        <f t="shared" si="19"/>
        <v>1.5853184079601989E-4</v>
      </c>
      <c r="BH8" s="10">
        <f t="shared" si="5"/>
        <v>152</v>
      </c>
      <c r="BI8" s="47">
        <v>1.3906301824212272E-4</v>
      </c>
      <c r="BJ8" s="163">
        <f>AVERAGE(BI8)</f>
        <v>1.3906301824212272E-4</v>
      </c>
      <c r="BK8" s="145">
        <f t="shared" si="20"/>
        <v>1.3906301824212272E-4</v>
      </c>
      <c r="BL8" s="10">
        <v>7.4999999999999997E-3</v>
      </c>
    </row>
    <row r="9" spans="2:64" s="192" customFormat="1" x14ac:dyDescent="0.2">
      <c r="B9" s="182" t="s">
        <v>34</v>
      </c>
      <c r="C9" s="182" t="s">
        <v>73</v>
      </c>
      <c r="D9" s="34">
        <v>82</v>
      </c>
      <c r="E9" s="10" t="s">
        <v>67</v>
      </c>
      <c r="F9" s="34">
        <v>4</v>
      </c>
      <c r="G9" s="34">
        <v>1</v>
      </c>
      <c r="H9" s="34">
        <v>164</v>
      </c>
      <c r="I9" s="41">
        <f t="shared" si="0"/>
        <v>328</v>
      </c>
      <c r="J9" s="34">
        <v>82</v>
      </c>
      <c r="K9" s="199">
        <v>37874</v>
      </c>
      <c r="L9" s="175">
        <v>12</v>
      </c>
      <c r="M9" s="227" t="s">
        <v>248</v>
      </c>
      <c r="N9" s="222">
        <f>T9/L9</f>
        <v>0.70291264507595164</v>
      </c>
      <c r="O9" s="223">
        <f t="shared" si="6"/>
        <v>295.49010744999998</v>
      </c>
      <c r="P9" s="126">
        <f t="shared" si="7"/>
        <v>0.14774505372499999</v>
      </c>
      <c r="Q9" s="149">
        <f>SUM(P9:P10)</f>
        <v>0.29217730214761906</v>
      </c>
      <c r="R9" s="175">
        <f t="shared" ref="R9:R12" si="21">S9*U9*V9</f>
        <v>295.49010744999998</v>
      </c>
      <c r="S9" s="180">
        <v>8.3891666666666662</v>
      </c>
      <c r="T9" s="147">
        <f>AVERAGE(S9:S10)</f>
        <v>8.4349517409114192</v>
      </c>
      <c r="U9" s="199">
        <f t="shared" si="16"/>
        <v>37874</v>
      </c>
      <c r="V9" s="41">
        <f t="shared" ref="V9:V12" si="22">0.0093/10</f>
        <v>9.2999999999999995E-4</v>
      </c>
      <c r="W9" s="124">
        <v>0.04</v>
      </c>
      <c r="X9" s="228" t="s">
        <v>203</v>
      </c>
      <c r="Y9" s="222">
        <f>AH9/W9</f>
        <v>0.45676373687916022</v>
      </c>
      <c r="Z9" s="142">
        <f t="shared" si="10"/>
        <v>1.7332977005222732</v>
      </c>
      <c r="AA9" s="142">
        <f>SUM(Z9:Z10)</f>
        <v>3.0324912879201227</v>
      </c>
      <c r="AB9" s="122">
        <v>1.143075802854562</v>
      </c>
      <c r="AC9" s="142">
        <f>SUM(AB9:AB10)</f>
        <v>1.6174142194409491</v>
      </c>
      <c r="AD9" s="41">
        <v>8760</v>
      </c>
      <c r="AE9" s="134">
        <f t="shared" si="15"/>
        <v>0.39573006861239113</v>
      </c>
      <c r="AF9" s="130">
        <f t="shared" si="1"/>
        <v>164</v>
      </c>
      <c r="AG9" s="210">
        <v>2.5824705581157192E-2</v>
      </c>
      <c r="AH9" s="166">
        <f>AVERAGE(AG9:AG10)</f>
        <v>1.827054947516641E-2</v>
      </c>
      <c r="AI9" s="133">
        <f t="shared" si="17"/>
        <v>2.5824705581157192E-2</v>
      </c>
      <c r="AJ9" s="134">
        <v>0.04</v>
      </c>
      <c r="AK9" s="134">
        <f t="shared" si="18"/>
        <v>0.06</v>
      </c>
      <c r="AL9" s="135">
        <v>2.3E-2</v>
      </c>
      <c r="AM9" s="221">
        <v>4.0000000000000001E-3</v>
      </c>
      <c r="AN9" s="228" t="s">
        <v>248</v>
      </c>
      <c r="AO9" s="222">
        <f>AW9/AM9</f>
        <v>0.18838277649769586</v>
      </c>
      <c r="AP9" s="223">
        <f t="shared" si="11"/>
        <v>11.858459096774192</v>
      </c>
      <c r="AQ9" s="129">
        <f t="shared" si="12"/>
        <v>5.9292295483870964E-3</v>
      </c>
      <c r="AR9" s="156">
        <f>SUM(AQ9:AQ10)</f>
        <v>1.8815560014976959E-2</v>
      </c>
      <c r="AS9" s="41">
        <v>8760</v>
      </c>
      <c r="AT9" s="169">
        <f t="shared" si="2"/>
        <v>1.3537053763440859E-3</v>
      </c>
      <c r="AU9" s="10">
        <f t="shared" si="3"/>
        <v>328</v>
      </c>
      <c r="AV9" s="211">
        <v>5.5028673835125447E-4</v>
      </c>
      <c r="AW9" s="163">
        <f>AVERAGE(AV9:AV10)</f>
        <v>7.5353110599078342E-4</v>
      </c>
      <c r="AX9" s="145">
        <f t="shared" si="4"/>
        <v>5.5028673835125447E-4</v>
      </c>
      <c r="AY9" s="10">
        <v>7.4999999999999997E-3</v>
      </c>
      <c r="AZ9" s="225">
        <v>2.5000000000000001E-2</v>
      </c>
      <c r="BA9" s="228" t="s">
        <v>248</v>
      </c>
      <c r="BB9" s="222">
        <f>BJ9/AZ9</f>
        <v>0.14471600102406557</v>
      </c>
      <c r="BC9" s="223">
        <f t="shared" si="13"/>
        <v>26.3769262546083</v>
      </c>
      <c r="BD9" s="129">
        <f t="shared" si="14"/>
        <v>1.3188463127304149E-2</v>
      </c>
      <c r="BE9" s="156">
        <f>SUM(BD9:BD10)</f>
        <v>1.9491074597926268E-2</v>
      </c>
      <c r="BF9" s="41">
        <v>8760</v>
      </c>
      <c r="BG9" s="231">
        <f t="shared" si="19"/>
        <v>3.0110646409370204E-3</v>
      </c>
      <c r="BH9" s="10">
        <f t="shared" si="5"/>
        <v>82</v>
      </c>
      <c r="BI9" s="212">
        <v>4.896040066564261E-3</v>
      </c>
      <c r="BJ9" s="165">
        <f>AVERAGE(BI9:BI10)</f>
        <v>3.6179000256016391E-3</v>
      </c>
      <c r="BK9" s="145">
        <f t="shared" si="20"/>
        <v>4.896040066564261E-3</v>
      </c>
      <c r="BL9" s="10">
        <v>7.4999999999999997E-3</v>
      </c>
    </row>
    <row r="10" spans="2:64" s="192" customFormat="1" x14ac:dyDescent="0.2">
      <c r="B10" s="182" t="s">
        <v>34</v>
      </c>
      <c r="C10" s="182" t="s">
        <v>74</v>
      </c>
      <c r="D10" s="34">
        <v>82</v>
      </c>
      <c r="E10" s="10" t="s">
        <v>67</v>
      </c>
      <c r="F10" s="34">
        <v>5</v>
      </c>
      <c r="G10" s="34">
        <v>1</v>
      </c>
      <c r="H10" s="34">
        <v>164</v>
      </c>
      <c r="I10" s="41">
        <f t="shared" si="0"/>
        <v>410</v>
      </c>
      <c r="J10" s="34">
        <v>82</v>
      </c>
      <c r="K10" s="199">
        <v>36625</v>
      </c>
      <c r="L10" s="175">
        <v>12</v>
      </c>
      <c r="M10" s="227" t="s">
        <v>248</v>
      </c>
      <c r="N10" s="230"/>
      <c r="O10" s="223">
        <f t="shared" si="6"/>
        <v>288.86449684523814</v>
      </c>
      <c r="P10" s="126">
        <f t="shared" si="7"/>
        <v>0.14443224842261906</v>
      </c>
      <c r="Q10" s="232"/>
      <c r="R10" s="175">
        <f t="shared" si="21"/>
        <v>288.86449684523814</v>
      </c>
      <c r="S10" s="180">
        <v>8.4807368151561722</v>
      </c>
      <c r="T10" s="233"/>
      <c r="U10" s="199">
        <f t="shared" si="16"/>
        <v>36625</v>
      </c>
      <c r="V10" s="41">
        <f t="shared" si="22"/>
        <v>9.2999999999999995E-4</v>
      </c>
      <c r="W10" s="124">
        <v>0.04</v>
      </c>
      <c r="X10" s="228" t="s">
        <v>203</v>
      </c>
      <c r="Y10" s="230"/>
      <c r="Z10" s="142">
        <f t="shared" si="10"/>
        <v>1.2991935873978495</v>
      </c>
      <c r="AA10" s="142"/>
      <c r="AB10" s="122">
        <v>0.47433841658638709</v>
      </c>
      <c r="AC10" s="142"/>
      <c r="AD10" s="41">
        <v>8760</v>
      </c>
      <c r="AE10" s="134">
        <f t="shared" si="15"/>
        <v>0.29661954050179212</v>
      </c>
      <c r="AF10" s="130">
        <f t="shared" si="1"/>
        <v>164</v>
      </c>
      <c r="AG10" s="210">
        <v>1.0716393369175627E-2</v>
      </c>
      <c r="AH10" s="221"/>
      <c r="AI10" s="133">
        <f t="shared" si="17"/>
        <v>1.0716393369175627E-2</v>
      </c>
      <c r="AJ10" s="134">
        <v>0.04</v>
      </c>
      <c r="AK10" s="134">
        <f t="shared" si="18"/>
        <v>0.06</v>
      </c>
      <c r="AL10" s="135">
        <v>2.3E-2</v>
      </c>
      <c r="AM10" s="221">
        <v>4.0000000000000001E-3</v>
      </c>
      <c r="AN10" s="228" t="s">
        <v>248</v>
      </c>
      <c r="AO10" s="230"/>
      <c r="AP10" s="223">
        <f t="shared" si="11"/>
        <v>25.772660933179726</v>
      </c>
      <c r="AQ10" s="129">
        <f t="shared" si="12"/>
        <v>1.2886330466589864E-2</v>
      </c>
      <c r="AR10" s="234"/>
      <c r="AS10" s="41">
        <v>8760</v>
      </c>
      <c r="AT10" s="169">
        <f t="shared" si="2"/>
        <v>2.9420845814132107E-3</v>
      </c>
      <c r="AU10" s="10">
        <f t="shared" si="3"/>
        <v>410</v>
      </c>
      <c r="AV10" s="211">
        <v>9.5677547363031247E-4</v>
      </c>
      <c r="AW10" s="221"/>
      <c r="AX10" s="145">
        <f t="shared" si="4"/>
        <v>9.5677547363031247E-4</v>
      </c>
      <c r="AY10" s="10">
        <v>7.4999999999999997E-3</v>
      </c>
      <c r="AZ10" s="225">
        <v>2.5000000000000001E-2</v>
      </c>
      <c r="BA10" s="228" t="s">
        <v>248</v>
      </c>
      <c r="BB10" s="230"/>
      <c r="BC10" s="223">
        <f t="shared" si="13"/>
        <v>12.605222941244239</v>
      </c>
      <c r="BD10" s="129">
        <f t="shared" si="14"/>
        <v>6.3026114706221199E-3</v>
      </c>
      <c r="BE10" s="234"/>
      <c r="BF10" s="41">
        <v>8760</v>
      </c>
      <c r="BG10" s="231">
        <f t="shared" si="19"/>
        <v>1.4389523905529954E-3</v>
      </c>
      <c r="BH10" s="10">
        <f t="shared" si="5"/>
        <v>82</v>
      </c>
      <c r="BI10" s="212">
        <v>2.3397599846390169E-3</v>
      </c>
      <c r="BJ10" s="221"/>
      <c r="BK10" s="145">
        <f t="shared" si="20"/>
        <v>2.3397599846390169E-3</v>
      </c>
      <c r="BL10" s="10">
        <v>7.4999999999999997E-3</v>
      </c>
    </row>
    <row r="11" spans="2:64" s="192" customFormat="1" x14ac:dyDescent="0.2">
      <c r="B11" s="182" t="s">
        <v>37</v>
      </c>
      <c r="C11" s="182" t="s">
        <v>38</v>
      </c>
      <c r="D11" s="34">
        <v>37</v>
      </c>
      <c r="E11" s="10" t="s">
        <v>67</v>
      </c>
      <c r="F11" s="34">
        <v>4</v>
      </c>
      <c r="G11" s="34">
        <v>2</v>
      </c>
      <c r="H11" s="34">
        <v>74</v>
      </c>
      <c r="I11" s="41">
        <f t="shared" si="0"/>
        <v>148</v>
      </c>
      <c r="J11" s="34">
        <v>74</v>
      </c>
      <c r="K11" s="199">
        <f>27474*D11/(D11+D12)</f>
        <v>18152.464285714286</v>
      </c>
      <c r="L11" s="175">
        <v>12</v>
      </c>
      <c r="M11" s="227" t="s">
        <v>248</v>
      </c>
      <c r="N11" s="222">
        <f>T11/L11</f>
        <v>0.3648610884429937</v>
      </c>
      <c r="O11" s="223">
        <f t="shared" si="6"/>
        <v>73.914107109644448</v>
      </c>
      <c r="P11" s="128">
        <f t="shared" si="7"/>
        <v>3.6957053554822226E-2</v>
      </c>
      <c r="Q11" s="156">
        <f>SUM(P11:P12)</f>
        <v>5.5934999974866069E-2</v>
      </c>
      <c r="R11" s="185">
        <f t="shared" si="21"/>
        <v>73.914107109644448</v>
      </c>
      <c r="S11" s="180">
        <v>4.3783330613159244</v>
      </c>
      <c r="T11" s="147">
        <f>AVERAGE(S11:S12)</f>
        <v>4.3783330613159244</v>
      </c>
      <c r="U11" s="199">
        <f t="shared" si="16"/>
        <v>18152.464285714286</v>
      </c>
      <c r="V11" s="41">
        <f t="shared" si="22"/>
        <v>9.2999999999999995E-4</v>
      </c>
      <c r="W11" s="124">
        <v>3.3000000000000002E-2</v>
      </c>
      <c r="X11" s="228" t="s">
        <v>204</v>
      </c>
      <c r="Y11" s="226">
        <f>AH11/W11</f>
        <v>3.3935735523437136E-2</v>
      </c>
      <c r="Z11" s="126">
        <f t="shared" si="10"/>
        <v>0.45839268456221199</v>
      </c>
      <c r="AA11" s="126">
        <f>SUM(Z11:Z12)</f>
        <v>0.69728766302995393</v>
      </c>
      <c r="AB11" s="122">
        <v>1.7110463768087555E-2</v>
      </c>
      <c r="AC11" s="128">
        <f>SUM(AB11:AB12)</f>
        <v>3.1295046497644002E-2</v>
      </c>
      <c r="AD11" s="41">
        <v>8760</v>
      </c>
      <c r="AE11" s="134">
        <f t="shared" si="15"/>
        <v>0.10465586405529953</v>
      </c>
      <c r="AF11" s="130">
        <f t="shared" si="1"/>
        <v>74</v>
      </c>
      <c r="AG11" s="213">
        <v>8.567108294930875E-4</v>
      </c>
      <c r="AH11" s="165">
        <f>AVERAGE(AG11:AG12)</f>
        <v>1.1198792722734254E-3</v>
      </c>
      <c r="AI11" s="133">
        <f t="shared" si="17"/>
        <v>8.567108294930875E-4</v>
      </c>
      <c r="AJ11" s="134">
        <v>0.04</v>
      </c>
      <c r="AK11" s="134">
        <f t="shared" si="18"/>
        <v>0.06</v>
      </c>
      <c r="AL11" s="135">
        <v>2.3E-2</v>
      </c>
      <c r="AM11" s="221">
        <v>4.0000000000000001E-3</v>
      </c>
      <c r="AN11" s="228" t="s">
        <v>248</v>
      </c>
      <c r="AO11" s="224">
        <f>AW11/AM11</f>
        <v>0</v>
      </c>
      <c r="AP11" s="223">
        <f t="shared" si="11"/>
        <v>0</v>
      </c>
      <c r="AQ11" s="129">
        <f t="shared" si="12"/>
        <v>0</v>
      </c>
      <c r="AR11" s="164">
        <f>SUM(AQ11:AQ12)</f>
        <v>0</v>
      </c>
      <c r="AS11" s="41">
        <v>8760</v>
      </c>
      <c r="AT11" s="169">
        <f t="shared" si="2"/>
        <v>0</v>
      </c>
      <c r="AU11" s="10">
        <f t="shared" si="3"/>
        <v>148</v>
      </c>
      <c r="AV11" s="214">
        <v>0</v>
      </c>
      <c r="AW11" s="160">
        <f>AVERAGE(AV11:AV12)</f>
        <v>0</v>
      </c>
      <c r="AX11" s="145">
        <f t="shared" si="4"/>
        <v>0</v>
      </c>
      <c r="AY11" s="10">
        <v>7.4999999999999997E-3</v>
      </c>
      <c r="AZ11" s="225">
        <v>2.5000000000000001E-2</v>
      </c>
      <c r="BA11" s="228" t="s">
        <v>248</v>
      </c>
      <c r="BB11" s="224">
        <f>BJ11/AZ11</f>
        <v>9.1037186379928307E-3</v>
      </c>
      <c r="BC11" s="223">
        <f t="shared" si="13"/>
        <v>1.1336358387096772</v>
      </c>
      <c r="BD11" s="129">
        <f t="shared" si="14"/>
        <v>5.6681791935483863E-4</v>
      </c>
      <c r="BE11" s="138">
        <f>SUM(BD11:BD12)</f>
        <v>8.439578568548386E-4</v>
      </c>
      <c r="BF11" s="41">
        <v>8760</v>
      </c>
      <c r="BG11" s="231">
        <f t="shared" si="19"/>
        <v>1.2941048387096773E-4</v>
      </c>
      <c r="BH11" s="10">
        <f t="shared" si="5"/>
        <v>74</v>
      </c>
      <c r="BI11" s="211">
        <v>2.3317204301075267E-4</v>
      </c>
      <c r="BJ11" s="163">
        <f>AVERAGE(BI11:BI12)</f>
        <v>2.2759296594982077E-4</v>
      </c>
      <c r="BK11" s="145">
        <f t="shared" si="20"/>
        <v>2.3317204301075267E-4</v>
      </c>
      <c r="BL11" s="10">
        <v>7.4999999999999997E-3</v>
      </c>
    </row>
    <row r="12" spans="2:64" s="192" customFormat="1" x14ac:dyDescent="0.2">
      <c r="B12" s="182" t="s">
        <v>37</v>
      </c>
      <c r="C12" s="182" t="s">
        <v>40</v>
      </c>
      <c r="D12" s="34">
        <v>19</v>
      </c>
      <c r="E12" s="10" t="s">
        <v>67</v>
      </c>
      <c r="F12" s="34">
        <v>4</v>
      </c>
      <c r="G12" s="34">
        <v>2</v>
      </c>
      <c r="H12" s="34">
        <v>38</v>
      </c>
      <c r="I12" s="41">
        <f t="shared" si="0"/>
        <v>76</v>
      </c>
      <c r="J12" s="34">
        <v>38</v>
      </c>
      <c r="K12" s="199">
        <f>27474*D12/(D11+D12)</f>
        <v>9321.5357142857138</v>
      </c>
      <c r="L12" s="175">
        <v>12</v>
      </c>
      <c r="M12" s="227" t="s">
        <v>248</v>
      </c>
      <c r="N12" s="230"/>
      <c r="O12" s="223">
        <f t="shared" si="6"/>
        <v>37.955892840087685</v>
      </c>
      <c r="P12" s="128">
        <f t="shared" si="7"/>
        <v>1.8977946420043842E-2</v>
      </c>
      <c r="Q12" s="232"/>
      <c r="R12" s="185">
        <f t="shared" si="21"/>
        <v>37.955892840087685</v>
      </c>
      <c r="S12" s="180">
        <v>4.3783330613159244</v>
      </c>
      <c r="T12" s="233"/>
      <c r="U12" s="199">
        <f t="shared" si="16"/>
        <v>9321.5357142857138</v>
      </c>
      <c r="V12" s="41">
        <f t="shared" si="22"/>
        <v>9.2999999999999995E-4</v>
      </c>
      <c r="W12" s="124">
        <v>3.3000000000000002E-2</v>
      </c>
      <c r="X12" s="228" t="s">
        <v>204</v>
      </c>
      <c r="Y12" s="230"/>
      <c r="Z12" s="126">
        <f t="shared" si="10"/>
        <v>0.23889497846774191</v>
      </c>
      <c r="AA12" s="126"/>
      <c r="AB12" s="122">
        <v>1.4184582729556449E-2</v>
      </c>
      <c r="AC12" s="126"/>
      <c r="AD12" s="41">
        <v>8760</v>
      </c>
      <c r="AE12" s="134">
        <f t="shared" si="15"/>
        <v>5.4542232526881715E-2</v>
      </c>
      <c r="AF12" s="130">
        <f t="shared" si="1"/>
        <v>38</v>
      </c>
      <c r="AG12" s="215">
        <v>1.3830477150537633E-3</v>
      </c>
      <c r="AH12" s="221"/>
      <c r="AI12" s="133">
        <f t="shared" si="17"/>
        <v>1.3830477150537633E-3</v>
      </c>
      <c r="AJ12" s="134">
        <v>0.04</v>
      </c>
      <c r="AK12" s="134">
        <f t="shared" si="18"/>
        <v>0.06</v>
      </c>
      <c r="AL12" s="135">
        <v>2.3E-2</v>
      </c>
      <c r="AM12" s="221">
        <v>4.0000000000000001E-3</v>
      </c>
      <c r="AN12" s="228" t="s">
        <v>248</v>
      </c>
      <c r="AO12" s="230"/>
      <c r="AP12" s="223">
        <f t="shared" si="11"/>
        <v>0</v>
      </c>
      <c r="AQ12" s="129">
        <f t="shared" si="12"/>
        <v>0</v>
      </c>
      <c r="AR12" s="234"/>
      <c r="AS12" s="41">
        <v>8760</v>
      </c>
      <c r="AT12" s="169">
        <f t="shared" si="2"/>
        <v>0</v>
      </c>
      <c r="AU12" s="10">
        <f t="shared" si="3"/>
        <v>76</v>
      </c>
      <c r="AV12" s="214">
        <v>0</v>
      </c>
      <c r="AW12" s="221"/>
      <c r="AX12" s="145">
        <f t="shared" si="4"/>
        <v>0</v>
      </c>
      <c r="AY12" s="10">
        <v>7.4999999999999997E-3</v>
      </c>
      <c r="AZ12" s="225">
        <v>2.5000000000000001E-2</v>
      </c>
      <c r="BA12" s="228" t="s">
        <v>248</v>
      </c>
      <c r="BB12" s="230"/>
      <c r="BC12" s="223">
        <f t="shared" si="13"/>
        <v>0.55427987499999998</v>
      </c>
      <c r="BD12" s="129">
        <f t="shared" si="14"/>
        <v>2.7713993749999997E-4</v>
      </c>
      <c r="BE12" s="234"/>
      <c r="BF12" s="41">
        <v>8760</v>
      </c>
      <c r="BG12" s="231">
        <f t="shared" si="19"/>
        <v>6.3273958333333333E-5</v>
      </c>
      <c r="BH12" s="10">
        <f t="shared" si="5"/>
        <v>38</v>
      </c>
      <c r="BI12" s="211">
        <v>2.2201388888888886E-4</v>
      </c>
      <c r="BJ12" s="221"/>
      <c r="BK12" s="145">
        <f t="shared" si="20"/>
        <v>2.2201388888888886E-4</v>
      </c>
      <c r="BL12" s="10">
        <v>7.4999999999999997E-3</v>
      </c>
    </row>
    <row r="13" spans="2:64" s="192" customFormat="1" x14ac:dyDescent="0.2">
      <c r="B13" s="182" t="s">
        <v>41</v>
      </c>
      <c r="C13" s="182" t="s">
        <v>75</v>
      </c>
      <c r="D13" s="34">
        <v>85</v>
      </c>
      <c r="E13" s="10" t="s">
        <v>67</v>
      </c>
      <c r="F13" s="34">
        <v>3</v>
      </c>
      <c r="G13" s="34">
        <v>2</v>
      </c>
      <c r="H13" s="34">
        <v>170</v>
      </c>
      <c r="I13" s="41">
        <f t="shared" si="0"/>
        <v>255</v>
      </c>
      <c r="J13" s="34">
        <v>170</v>
      </c>
      <c r="K13" s="216">
        <v>35287</v>
      </c>
      <c r="L13" s="175">
        <v>12</v>
      </c>
      <c r="M13" s="227" t="s">
        <v>248</v>
      </c>
      <c r="N13" s="222">
        <f>T13/L13</f>
        <v>0.37590031619494907</v>
      </c>
      <c r="O13" s="223">
        <f t="shared" si="6"/>
        <v>148.03064214649422</v>
      </c>
      <c r="P13" s="128">
        <f t="shared" si="7"/>
        <v>7.4015321073247112E-2</v>
      </c>
      <c r="Q13" s="156">
        <f>SUM(P13)</f>
        <v>7.4015321073247112E-2</v>
      </c>
      <c r="R13" s="175">
        <f>S13*U13*V13</f>
        <v>148.03064214649422</v>
      </c>
      <c r="S13" s="180">
        <v>4.5108037943393891</v>
      </c>
      <c r="T13" s="147">
        <f>AVERAGE(S13)</f>
        <v>4.5108037943393891</v>
      </c>
      <c r="U13" s="199">
        <f t="shared" si="16"/>
        <v>35287</v>
      </c>
      <c r="V13" s="41">
        <f>0.0093/10</f>
        <v>9.2999999999999995E-4</v>
      </c>
      <c r="W13" s="124">
        <v>3.3000000000000002E-2</v>
      </c>
      <c r="X13" s="228" t="s">
        <v>204</v>
      </c>
      <c r="Y13" s="222">
        <f>AH13/W13</f>
        <v>0.3561124749443092</v>
      </c>
      <c r="Z13" s="142">
        <f t="shared" si="10"/>
        <v>1.3775609804734632</v>
      </c>
      <c r="AA13" s="142">
        <f>SUM(Z13)</f>
        <v>1.3775609804734632</v>
      </c>
      <c r="AB13" s="122">
        <v>0.53919499641936985</v>
      </c>
      <c r="AC13" s="126">
        <f>SUM(AB13)</f>
        <v>0.53919499641936985</v>
      </c>
      <c r="AD13" s="41">
        <v>8760</v>
      </c>
      <c r="AE13" s="134">
        <f t="shared" si="15"/>
        <v>0.31451163937750298</v>
      </c>
      <c r="AF13" s="130">
        <f t="shared" si="1"/>
        <v>170</v>
      </c>
      <c r="AG13" s="210">
        <v>1.1751711673162205E-2</v>
      </c>
      <c r="AH13" s="166">
        <f>AVERAGE(AG13)</f>
        <v>1.1751711673162205E-2</v>
      </c>
      <c r="AI13" s="133">
        <f t="shared" si="17"/>
        <v>1.1751711673162205E-2</v>
      </c>
      <c r="AJ13" s="134">
        <v>0.04</v>
      </c>
      <c r="AK13" s="134">
        <f t="shared" si="18"/>
        <v>0.06</v>
      </c>
      <c r="AL13" s="135">
        <v>2.3E-2</v>
      </c>
      <c r="AM13" s="221">
        <v>4.0000000000000001E-3</v>
      </c>
      <c r="AN13" s="228" t="s">
        <v>248</v>
      </c>
      <c r="AO13" s="222">
        <f t="shared" ref="AO13:AO15" si="23">AW13/AM13</f>
        <v>0.20959374717596335</v>
      </c>
      <c r="AP13" s="223">
        <f t="shared" si="11"/>
        <v>14.045715373250008</v>
      </c>
      <c r="AQ13" s="129">
        <f t="shared" si="12"/>
        <v>7.0228576866250038E-3</v>
      </c>
      <c r="AR13" s="158">
        <f>SUM(AQ13)</f>
        <v>7.0228576866250038E-3</v>
      </c>
      <c r="AS13" s="41">
        <v>8760</v>
      </c>
      <c r="AT13" s="169">
        <f t="shared" si="2"/>
        <v>1.6033921658961197E-3</v>
      </c>
      <c r="AU13" s="10">
        <f t="shared" si="3"/>
        <v>255</v>
      </c>
      <c r="AV13" s="211">
        <v>8.383749887038534E-4</v>
      </c>
      <c r="AW13" s="163">
        <f>AVERAGE(AV13)</f>
        <v>8.383749887038534E-4</v>
      </c>
      <c r="AX13" s="145">
        <f t="shared" si="4"/>
        <v>8.383749887038534E-4</v>
      </c>
      <c r="AY13" s="10">
        <v>7.4999999999999997E-3</v>
      </c>
      <c r="AZ13" s="225">
        <v>2.5000000000000001E-2</v>
      </c>
      <c r="BA13" s="228" t="s">
        <v>248</v>
      </c>
      <c r="BB13" s="222">
        <f t="shared" ref="BB13:BB15" si="24">BJ13/AZ13</f>
        <v>0.51634537254884505</v>
      </c>
      <c r="BC13" s="223">
        <f t="shared" si="13"/>
        <v>144.17653664995126</v>
      </c>
      <c r="BD13" s="129">
        <f t="shared" si="14"/>
        <v>7.2088268324975627E-2</v>
      </c>
      <c r="BE13" s="156">
        <f>SUM(BD13)</f>
        <v>7.2088268324975627E-2</v>
      </c>
      <c r="BF13" s="41">
        <v>8760</v>
      </c>
      <c r="BG13" s="231">
        <f t="shared" si="19"/>
        <v>1.6458508749994435E-2</v>
      </c>
      <c r="BH13" s="10">
        <f t="shared" si="5"/>
        <v>170</v>
      </c>
      <c r="BI13" s="217">
        <v>1.2908634313721126E-2</v>
      </c>
      <c r="BJ13" s="166">
        <f>AVERAGE(BI13)</f>
        <v>1.2908634313721126E-2</v>
      </c>
      <c r="BK13" s="145">
        <f t="shared" si="20"/>
        <v>1.2908634313721126E-2</v>
      </c>
      <c r="BL13" s="10">
        <v>7.4999999999999997E-3</v>
      </c>
    </row>
    <row r="14" spans="2:64" s="192" customFormat="1" x14ac:dyDescent="0.2">
      <c r="B14" s="182" t="s">
        <v>43</v>
      </c>
      <c r="C14" s="182" t="s">
        <v>76</v>
      </c>
      <c r="D14" s="34">
        <v>85</v>
      </c>
      <c r="E14" s="10" t="s">
        <v>67</v>
      </c>
      <c r="F14" s="34">
        <v>4</v>
      </c>
      <c r="G14" s="34">
        <v>2</v>
      </c>
      <c r="H14" s="34">
        <v>170</v>
      </c>
      <c r="I14" s="41">
        <f t="shared" si="0"/>
        <v>340</v>
      </c>
      <c r="J14" s="34">
        <v>170</v>
      </c>
      <c r="K14" s="46">
        <v>41617</v>
      </c>
      <c r="L14" s="175">
        <v>12</v>
      </c>
      <c r="M14" s="227" t="s">
        <v>248</v>
      </c>
      <c r="N14" s="222">
        <f>T14/L14</f>
        <v>0.14979166666666668</v>
      </c>
      <c r="O14" s="223">
        <f t="shared" si="6"/>
        <v>69.570098475000009</v>
      </c>
      <c r="P14" s="128">
        <f t="shared" si="7"/>
        <v>3.4785049237500004E-2</v>
      </c>
      <c r="Q14" s="156">
        <f>SUM(P14)</f>
        <v>3.4785049237500004E-2</v>
      </c>
      <c r="R14" s="175">
        <f>S14*U14*V14</f>
        <v>69.570098475000009</v>
      </c>
      <c r="S14" s="180">
        <v>1.7975000000000001</v>
      </c>
      <c r="T14" s="147">
        <f>AVERAGE(S14)</f>
        <v>1.7975000000000001</v>
      </c>
      <c r="U14" s="199">
        <f t="shared" si="16"/>
        <v>41617</v>
      </c>
      <c r="V14" s="41">
        <f>0.0093/10</f>
        <v>9.2999999999999995E-4</v>
      </c>
      <c r="W14" s="124">
        <v>0.04</v>
      </c>
      <c r="X14" s="228" t="s">
        <v>203</v>
      </c>
      <c r="Y14" s="226">
        <f>AH14/W14</f>
        <v>2.8749999999999998E-2</v>
      </c>
      <c r="Z14" s="142">
        <f t="shared" si="10"/>
        <v>1.0617995999999998</v>
      </c>
      <c r="AA14" s="142">
        <f>SUM(Z14)</f>
        <v>1.0617995999999998</v>
      </c>
      <c r="AB14" s="122">
        <v>5.2764589800000004E-2</v>
      </c>
      <c r="AC14" s="128">
        <f>SUM(AB14)</f>
        <v>5.2764589800000004E-2</v>
      </c>
      <c r="AD14" s="41">
        <v>8760</v>
      </c>
      <c r="AE14" s="134">
        <f t="shared" si="15"/>
        <v>0.24241999999999997</v>
      </c>
      <c r="AF14" s="130">
        <f t="shared" si="1"/>
        <v>170</v>
      </c>
      <c r="AG14" s="215">
        <v>1.15E-3</v>
      </c>
      <c r="AH14" s="165">
        <f>AVERAGE(AG14)</f>
        <v>1.15E-3</v>
      </c>
      <c r="AI14" s="133">
        <f t="shared" si="17"/>
        <v>1.15E-3</v>
      </c>
      <c r="AJ14" s="134">
        <v>0.04</v>
      </c>
      <c r="AK14" s="134">
        <f t="shared" si="18"/>
        <v>0.06</v>
      </c>
      <c r="AL14" s="135">
        <v>2.3E-2</v>
      </c>
      <c r="AM14" s="221">
        <v>4.0000000000000001E-3</v>
      </c>
      <c r="AN14" s="228" t="s">
        <v>248</v>
      </c>
      <c r="AO14" s="226">
        <f t="shared" si="23"/>
        <v>3.3333333333333333E-2</v>
      </c>
      <c r="AP14" s="223">
        <f t="shared" si="11"/>
        <v>2.9784000000000002</v>
      </c>
      <c r="AQ14" s="129">
        <f t="shared" si="12"/>
        <v>1.4892E-3</v>
      </c>
      <c r="AR14" s="158">
        <f>SUM(AQ14)</f>
        <v>1.4892E-3</v>
      </c>
      <c r="AS14" s="41">
        <v>8760</v>
      </c>
      <c r="AT14" s="169">
        <f t="shared" si="2"/>
        <v>3.4000000000000002E-4</v>
      </c>
      <c r="AU14" s="10">
        <f t="shared" si="3"/>
        <v>340</v>
      </c>
      <c r="AV14" s="211">
        <v>1.3333333333333334E-4</v>
      </c>
      <c r="AW14" s="163">
        <f>AVERAGE(AV14)</f>
        <v>1.3333333333333334E-4</v>
      </c>
      <c r="AX14" s="145">
        <f t="shared" si="4"/>
        <v>1.3333333333333334E-4</v>
      </c>
      <c r="AY14" s="10">
        <v>7.4999999999999997E-3</v>
      </c>
      <c r="AZ14" s="225">
        <v>2.5000000000000001E-2</v>
      </c>
      <c r="BA14" s="228" t="s">
        <v>248</v>
      </c>
      <c r="BB14" s="226">
        <f t="shared" si="24"/>
        <v>2.6999999999999996E-2</v>
      </c>
      <c r="BC14" s="223">
        <f t="shared" si="13"/>
        <v>7.5390749999999995</v>
      </c>
      <c r="BD14" s="129">
        <f t="shared" si="14"/>
        <v>3.7695374999999996E-3</v>
      </c>
      <c r="BE14" s="158">
        <f>SUM(BD14)</f>
        <v>3.7695374999999996E-3</v>
      </c>
      <c r="BF14" s="41">
        <v>8760</v>
      </c>
      <c r="BG14" s="231">
        <f t="shared" si="19"/>
        <v>8.6062499999999995E-4</v>
      </c>
      <c r="BH14" s="10">
        <f t="shared" si="5"/>
        <v>170</v>
      </c>
      <c r="BI14" s="211">
        <v>6.7499999999999993E-4</v>
      </c>
      <c r="BJ14" s="163">
        <f>AVERAGE(BI14)</f>
        <v>6.7499999999999993E-4</v>
      </c>
      <c r="BK14" s="145">
        <f t="shared" si="20"/>
        <v>6.7499999999999993E-4</v>
      </c>
      <c r="BL14" s="10">
        <v>7.4999999999999997E-3</v>
      </c>
    </row>
    <row r="15" spans="2:64" s="192" customFormat="1" x14ac:dyDescent="0.2">
      <c r="B15" s="182" t="s">
        <v>3</v>
      </c>
      <c r="C15" s="182" t="s">
        <v>77</v>
      </c>
      <c r="D15" s="34">
        <v>64</v>
      </c>
      <c r="E15" s="10" t="s">
        <v>67</v>
      </c>
      <c r="F15" s="34">
        <v>4</v>
      </c>
      <c r="G15" s="34">
        <v>2</v>
      </c>
      <c r="H15" s="34">
        <f>64*2</f>
        <v>128</v>
      </c>
      <c r="I15" s="41">
        <f t="shared" si="0"/>
        <v>256</v>
      </c>
      <c r="J15" s="34">
        <f>2*64</f>
        <v>128</v>
      </c>
      <c r="K15" s="199">
        <f>63860/3</f>
        <v>21286.666666666668</v>
      </c>
      <c r="L15" s="175">
        <v>12</v>
      </c>
      <c r="M15" s="227" t="s">
        <v>248</v>
      </c>
      <c r="N15" s="222">
        <f>T15/L15</f>
        <v>0.19904732196193889</v>
      </c>
      <c r="O15" s="223">
        <f t="shared" si="6"/>
        <v>41.885896905158731</v>
      </c>
      <c r="P15" s="128">
        <f t="shared" si="7"/>
        <v>2.0942948452579366E-2</v>
      </c>
      <c r="Q15" s="149">
        <f>SUM(P15:P24)</f>
        <v>0.28871383856734623</v>
      </c>
      <c r="R15" s="175">
        <f t="shared" ref="R15:R30" si="25">S15*U15*V15</f>
        <v>41.885896905158731</v>
      </c>
      <c r="S15" s="180">
        <v>2.1158126600102407</v>
      </c>
      <c r="T15" s="147">
        <f>AVERAGE(S15:S24)</f>
        <v>2.3885678635432668</v>
      </c>
      <c r="U15" s="199">
        <f t="shared" si="16"/>
        <v>21286.666666666668</v>
      </c>
      <c r="V15" s="41">
        <f t="shared" ref="V15:V30" si="26">0.0093/10</f>
        <v>9.2999999999999995E-4</v>
      </c>
      <c r="W15" s="124">
        <v>3.3000000000000002E-2</v>
      </c>
      <c r="X15" s="228" t="s">
        <v>204</v>
      </c>
      <c r="Y15" s="222">
        <f>AH15/W15</f>
        <v>0.13896091095284646</v>
      </c>
      <c r="Z15" s="126">
        <f t="shared" si="10"/>
        <v>0.96806811133640558</v>
      </c>
      <c r="AA15" s="142">
        <f>SUM(Z15:Z24)</f>
        <v>9.6811704703778787</v>
      </c>
      <c r="AB15" s="122">
        <v>0.29944995591373269</v>
      </c>
      <c r="AC15" s="142">
        <f>SUM(AB15:AB24)</f>
        <v>1.7289032584171242</v>
      </c>
      <c r="AD15" s="41">
        <v>8760</v>
      </c>
      <c r="AE15" s="134">
        <f t="shared" si="15"/>
        <v>0.22102011674347158</v>
      </c>
      <c r="AF15" s="130">
        <f t="shared" si="1"/>
        <v>128</v>
      </c>
      <c r="AG15" s="215">
        <v>8.6679915514592948E-3</v>
      </c>
      <c r="AH15" s="165">
        <f>AVERAGE(AG15:AG24)</f>
        <v>4.5857100614439331E-3</v>
      </c>
      <c r="AI15" s="133">
        <f t="shared" si="17"/>
        <v>8.6679915514592948E-3</v>
      </c>
      <c r="AJ15" s="134">
        <v>0.04</v>
      </c>
      <c r="AK15" s="134">
        <f t="shared" si="18"/>
        <v>0.06</v>
      </c>
      <c r="AL15" s="135">
        <v>2.3E-2</v>
      </c>
      <c r="AM15" s="221">
        <v>4.0000000000000001E-3</v>
      </c>
      <c r="AN15" s="228" t="s">
        <v>248</v>
      </c>
      <c r="AO15" s="226">
        <f t="shared" si="23"/>
        <v>1.3510784690220178E-2</v>
      </c>
      <c r="AP15" s="223">
        <f t="shared" si="11"/>
        <v>0.83146529032258076</v>
      </c>
      <c r="AQ15" s="129">
        <f t="shared" si="12"/>
        <v>4.1573264516129037E-4</v>
      </c>
      <c r="AR15" s="158">
        <f>SUM(AQ15:AQ24)</f>
        <v>5.7345224009216602E-3</v>
      </c>
      <c r="AS15" s="41">
        <v>8760</v>
      </c>
      <c r="AT15" s="169">
        <f t="shared" si="2"/>
        <v>9.4916129032258074E-5</v>
      </c>
      <c r="AU15" s="10">
        <f t="shared" si="3"/>
        <v>256</v>
      </c>
      <c r="AV15" s="218">
        <v>4.9435483870967752E-5</v>
      </c>
      <c r="AW15" s="162">
        <f>AVERAGE(AV15:AV24)</f>
        <v>5.4043138760880713E-5</v>
      </c>
      <c r="AX15" s="145">
        <f t="shared" si="4"/>
        <v>4.9435483870967752E-5</v>
      </c>
      <c r="AY15" s="10">
        <v>7.4999999999999997E-3</v>
      </c>
      <c r="AZ15" s="225">
        <v>2.5000000000000001E-2</v>
      </c>
      <c r="BA15" s="228" t="s">
        <v>248</v>
      </c>
      <c r="BB15" s="222">
        <f t="shared" si="24"/>
        <v>0.16936972862263186</v>
      </c>
      <c r="BC15" s="223">
        <f t="shared" si="13"/>
        <v>41.021188055299547</v>
      </c>
      <c r="BD15" s="129">
        <f t="shared" si="14"/>
        <v>2.0510594027649775E-2</v>
      </c>
      <c r="BE15" s="149">
        <f>SUM(BD15:BD24)</f>
        <v>0.19388074966186639</v>
      </c>
      <c r="BF15" s="41">
        <v>8760</v>
      </c>
      <c r="BG15" s="231">
        <f t="shared" si="19"/>
        <v>4.6827840245775741E-3</v>
      </c>
      <c r="BH15" s="10">
        <f t="shared" si="5"/>
        <v>128</v>
      </c>
      <c r="BI15" s="212">
        <v>4.8779000256016398E-3</v>
      </c>
      <c r="BJ15" s="165">
        <f>AVERAGE(BI15:BI24)</f>
        <v>4.2342432155657965E-3</v>
      </c>
      <c r="BK15" s="145">
        <f t="shared" si="20"/>
        <v>4.8779000256016398E-3</v>
      </c>
      <c r="BL15" s="10">
        <v>7.4999999999999997E-3</v>
      </c>
    </row>
    <row r="16" spans="2:64" s="192" customFormat="1" x14ac:dyDescent="0.2">
      <c r="B16" s="182" t="s">
        <v>3</v>
      </c>
      <c r="C16" s="182" t="s">
        <v>40</v>
      </c>
      <c r="D16" s="34">
        <v>64</v>
      </c>
      <c r="E16" s="10" t="s">
        <v>67</v>
      </c>
      <c r="F16" s="34">
        <v>4</v>
      </c>
      <c r="G16" s="34">
        <v>2</v>
      </c>
      <c r="H16" s="34">
        <f>64*2</f>
        <v>128</v>
      </c>
      <c r="I16" s="41">
        <f t="shared" si="0"/>
        <v>256</v>
      </c>
      <c r="J16" s="34">
        <f t="shared" ref="J16:J17" si="27">2*64</f>
        <v>128</v>
      </c>
      <c r="K16" s="199">
        <f t="shared" ref="K16:K17" si="28">63860/3</f>
        <v>21286.666666666668</v>
      </c>
      <c r="L16" s="175">
        <v>12</v>
      </c>
      <c r="M16" s="227" t="s">
        <v>248</v>
      </c>
      <c r="N16" s="230"/>
      <c r="O16" s="223">
        <f t="shared" si="6"/>
        <v>45.0111153436508</v>
      </c>
      <c r="P16" s="128">
        <f t="shared" si="7"/>
        <v>2.25055576718254E-2</v>
      </c>
      <c r="Q16" s="232"/>
      <c r="R16" s="175">
        <f t="shared" si="25"/>
        <v>45.0111153436508</v>
      </c>
      <c r="S16" s="180">
        <v>2.2736790834613418</v>
      </c>
      <c r="T16" s="233"/>
      <c r="U16" s="199">
        <f t="shared" si="16"/>
        <v>21286.666666666668</v>
      </c>
      <c r="V16" s="41">
        <f t="shared" si="26"/>
        <v>9.2999999999999995E-4</v>
      </c>
      <c r="W16" s="124">
        <v>3.3000000000000002E-2</v>
      </c>
      <c r="X16" s="228" t="s">
        <v>204</v>
      </c>
      <c r="Y16" s="230"/>
      <c r="Z16" s="126">
        <f t="shared" si="10"/>
        <v>0.96381789748694313</v>
      </c>
      <c r="AA16" s="126"/>
      <c r="AB16" s="122">
        <v>0.292902501478636</v>
      </c>
      <c r="AC16" s="126"/>
      <c r="AD16" s="41">
        <v>8760</v>
      </c>
      <c r="AE16" s="134">
        <f t="shared" si="15"/>
        <v>0.22004974828469021</v>
      </c>
      <c r="AF16" s="130">
        <f t="shared" si="1"/>
        <v>128</v>
      </c>
      <c r="AG16" s="215">
        <v>8.4784664618535593E-3</v>
      </c>
      <c r="AH16" s="221"/>
      <c r="AI16" s="133">
        <f t="shared" si="17"/>
        <v>8.4784664618535593E-3</v>
      </c>
      <c r="AJ16" s="134">
        <v>0.04</v>
      </c>
      <c r="AK16" s="134">
        <f t="shared" si="18"/>
        <v>0.06</v>
      </c>
      <c r="AL16" s="135">
        <v>2.3E-2</v>
      </c>
      <c r="AM16" s="221">
        <v>4.0000000000000001E-3</v>
      </c>
      <c r="AN16" s="228" t="s">
        <v>248</v>
      </c>
      <c r="AO16" s="230"/>
      <c r="AP16" s="223">
        <f t="shared" si="11"/>
        <v>0.88845507834101423</v>
      </c>
      <c r="AQ16" s="129">
        <f t="shared" si="12"/>
        <v>4.4422753917050712E-4</v>
      </c>
      <c r="AR16" s="234"/>
      <c r="AS16" s="41">
        <v>8760</v>
      </c>
      <c r="AT16" s="169">
        <f t="shared" si="2"/>
        <v>1.0142181259600619E-4</v>
      </c>
      <c r="AU16" s="10">
        <f t="shared" si="3"/>
        <v>256</v>
      </c>
      <c r="AV16" s="218">
        <v>5.2823860727086561E-5</v>
      </c>
      <c r="AW16" s="221"/>
      <c r="AX16" s="145">
        <f t="shared" si="4"/>
        <v>5.2823860727086561E-5</v>
      </c>
      <c r="AY16" s="10">
        <v>7.4999999999999997E-3</v>
      </c>
      <c r="AZ16" s="225">
        <v>2.5000000000000001E-2</v>
      </c>
      <c r="BA16" s="228" t="s">
        <v>248</v>
      </c>
      <c r="BB16" s="230"/>
      <c r="BC16" s="223">
        <f t="shared" si="13"/>
        <v>33.014042101382486</v>
      </c>
      <c r="BD16" s="129">
        <f t="shared" si="14"/>
        <v>1.6507021050691243E-2</v>
      </c>
      <c r="BE16" s="234"/>
      <c r="BF16" s="41">
        <v>8760</v>
      </c>
      <c r="BG16" s="231">
        <f t="shared" si="19"/>
        <v>3.7687262672811061E-3</v>
      </c>
      <c r="BH16" s="10">
        <f t="shared" si="5"/>
        <v>128</v>
      </c>
      <c r="BI16" s="212">
        <v>3.9257565284178189E-3</v>
      </c>
      <c r="BJ16" s="221"/>
      <c r="BK16" s="145">
        <f t="shared" si="20"/>
        <v>3.9257565284178189E-3</v>
      </c>
      <c r="BL16" s="10">
        <v>7.4999999999999997E-3</v>
      </c>
    </row>
    <row r="17" spans="2:64" s="192" customFormat="1" x14ac:dyDescent="0.2">
      <c r="B17" s="182" t="s">
        <v>3</v>
      </c>
      <c r="C17" s="182" t="s">
        <v>78</v>
      </c>
      <c r="D17" s="34">
        <v>64</v>
      </c>
      <c r="E17" s="10" t="s">
        <v>67</v>
      </c>
      <c r="F17" s="34">
        <v>4</v>
      </c>
      <c r="G17" s="34">
        <v>2</v>
      </c>
      <c r="H17" s="34">
        <f>64*2</f>
        <v>128</v>
      </c>
      <c r="I17" s="41">
        <f t="shared" si="0"/>
        <v>256</v>
      </c>
      <c r="J17" s="34">
        <f t="shared" si="27"/>
        <v>128</v>
      </c>
      <c r="K17" s="199">
        <f t="shared" si="28"/>
        <v>21286.666666666668</v>
      </c>
      <c r="L17" s="175">
        <v>12</v>
      </c>
      <c r="M17" s="227" t="s">
        <v>248</v>
      </c>
      <c r="N17" s="230"/>
      <c r="O17" s="223">
        <f t="shared" si="6"/>
        <v>41.828690255555557</v>
      </c>
      <c r="P17" s="128">
        <f t="shared" si="7"/>
        <v>2.0914345127777779E-2</v>
      </c>
      <c r="Q17" s="232"/>
      <c r="R17" s="175">
        <f t="shared" si="25"/>
        <v>41.828690255555557</v>
      </c>
      <c r="S17" s="180">
        <v>2.1129229390681004</v>
      </c>
      <c r="T17" s="233"/>
      <c r="U17" s="199">
        <f t="shared" si="16"/>
        <v>21286.666666666668</v>
      </c>
      <c r="V17" s="41">
        <f t="shared" si="26"/>
        <v>9.2999999999999995E-4</v>
      </c>
      <c r="W17" s="124">
        <v>3.3000000000000002E-2</v>
      </c>
      <c r="X17" s="228" t="s">
        <v>204</v>
      </c>
      <c r="Y17" s="230"/>
      <c r="Z17" s="142">
        <f t="shared" si="10"/>
        <v>0.87834949210445468</v>
      </c>
      <c r="AA17" s="142"/>
      <c r="AB17" s="122">
        <v>0.16123842298691243</v>
      </c>
      <c r="AC17" s="142"/>
      <c r="AD17" s="41">
        <v>8760</v>
      </c>
      <c r="AE17" s="134">
        <f t="shared" si="15"/>
        <v>0.20053641372247824</v>
      </c>
      <c r="AF17" s="130">
        <f t="shared" si="1"/>
        <v>128</v>
      </c>
      <c r="AG17" s="215">
        <v>4.6672683051715309E-3</v>
      </c>
      <c r="AH17" s="221"/>
      <c r="AI17" s="133">
        <f t="shared" si="17"/>
        <v>4.6672683051715309E-3</v>
      </c>
      <c r="AJ17" s="134">
        <v>0.04</v>
      </c>
      <c r="AK17" s="134">
        <f t="shared" si="18"/>
        <v>0.06</v>
      </c>
      <c r="AL17" s="135">
        <v>2.3E-2</v>
      </c>
      <c r="AM17" s="221">
        <v>4.0000000000000001E-3</v>
      </c>
      <c r="AN17" s="228" t="s">
        <v>248</v>
      </c>
      <c r="AO17" s="230"/>
      <c r="AP17" s="223">
        <f t="shared" si="11"/>
        <v>0.41384877419354849</v>
      </c>
      <c r="AQ17" s="129">
        <f t="shared" si="12"/>
        <v>2.0692438709677424E-4</v>
      </c>
      <c r="AR17" s="234"/>
      <c r="AS17" s="41">
        <v>8760</v>
      </c>
      <c r="AT17" s="169">
        <f t="shared" si="2"/>
        <v>4.7243010752688184E-5</v>
      </c>
      <c r="AU17" s="10">
        <f t="shared" si="3"/>
        <v>256</v>
      </c>
      <c r="AV17" s="218">
        <v>2.4605734767025095E-5</v>
      </c>
      <c r="AW17" s="221"/>
      <c r="AX17" s="145">
        <f t="shared" si="4"/>
        <v>2.4605734767025095E-5</v>
      </c>
      <c r="AY17" s="10">
        <v>7.4999999999999997E-3</v>
      </c>
      <c r="AZ17" s="225">
        <v>2.5000000000000001E-2</v>
      </c>
      <c r="BA17" s="228" t="s">
        <v>248</v>
      </c>
      <c r="BB17" s="230"/>
      <c r="BC17" s="223">
        <f t="shared" si="13"/>
        <v>29.389969548387096</v>
      </c>
      <c r="BD17" s="129">
        <f t="shared" si="14"/>
        <v>1.4694984774193549E-2</v>
      </c>
      <c r="BE17" s="234"/>
      <c r="BF17" s="41">
        <v>8760</v>
      </c>
      <c r="BG17" s="231">
        <f t="shared" si="19"/>
        <v>3.3550193548387095E-3</v>
      </c>
      <c r="BH17" s="10">
        <f t="shared" si="5"/>
        <v>128</v>
      </c>
      <c r="BI17" s="212">
        <v>3.494811827956989E-3</v>
      </c>
      <c r="BJ17" s="221"/>
      <c r="BK17" s="145">
        <f t="shared" si="20"/>
        <v>3.494811827956989E-3</v>
      </c>
      <c r="BL17" s="10">
        <v>7.4999999999999997E-3</v>
      </c>
    </row>
    <row r="18" spans="2:64" s="192" customFormat="1" x14ac:dyDescent="0.2">
      <c r="B18" s="182" t="s">
        <v>3</v>
      </c>
      <c r="C18" s="182" t="s">
        <v>79</v>
      </c>
      <c r="D18" s="34">
        <v>61</v>
      </c>
      <c r="E18" s="10" t="s">
        <v>67</v>
      </c>
      <c r="F18" s="34">
        <v>4</v>
      </c>
      <c r="G18" s="34">
        <v>2</v>
      </c>
      <c r="H18" s="34">
        <f>61*2</f>
        <v>122</v>
      </c>
      <c r="I18" s="41">
        <f t="shared" si="0"/>
        <v>244</v>
      </c>
      <c r="J18" s="34">
        <f>2*61</f>
        <v>122</v>
      </c>
      <c r="K18" s="216">
        <f>39062/2</f>
        <v>19531</v>
      </c>
      <c r="L18" s="175">
        <v>12</v>
      </c>
      <c r="M18" s="227" t="s">
        <v>248</v>
      </c>
      <c r="N18" s="230"/>
      <c r="O18" s="223">
        <f t="shared" si="6"/>
        <v>32.838164348035711</v>
      </c>
      <c r="P18" s="128">
        <f t="shared" si="7"/>
        <v>1.6419082174017857E-2</v>
      </c>
      <c r="Q18" s="232"/>
      <c r="R18" s="175">
        <f t="shared" si="25"/>
        <v>32.838164348035711</v>
      </c>
      <c r="S18" s="180">
        <v>1.80788767281106</v>
      </c>
      <c r="T18" s="233"/>
      <c r="U18" s="199">
        <f t="shared" si="16"/>
        <v>19531</v>
      </c>
      <c r="V18" s="41">
        <f t="shared" si="26"/>
        <v>9.2999999999999995E-4</v>
      </c>
      <c r="W18" s="124">
        <v>3.3000000000000002E-2</v>
      </c>
      <c r="X18" s="228" t="s">
        <v>204</v>
      </c>
      <c r="Y18" s="230"/>
      <c r="Z18" s="126">
        <f t="shared" si="10"/>
        <v>0.77665905744700447</v>
      </c>
      <c r="AA18" s="126"/>
      <c r="AB18" s="122">
        <v>6.0452697597110604E-2</v>
      </c>
      <c r="AC18" s="126"/>
      <c r="AD18" s="41">
        <v>8760</v>
      </c>
      <c r="AE18" s="134">
        <f t="shared" si="15"/>
        <v>0.17731941950844851</v>
      </c>
      <c r="AF18" s="130">
        <f t="shared" si="1"/>
        <v>122</v>
      </c>
      <c r="AG18" s="215">
        <v>1.8359466205837174E-3</v>
      </c>
      <c r="AH18" s="221"/>
      <c r="AI18" s="133">
        <f t="shared" si="17"/>
        <v>1.8359466205837174E-3</v>
      </c>
      <c r="AJ18" s="134">
        <v>0.04</v>
      </c>
      <c r="AK18" s="134">
        <f t="shared" si="18"/>
        <v>0.06</v>
      </c>
      <c r="AL18" s="135">
        <v>2.3E-2</v>
      </c>
      <c r="AM18" s="221">
        <v>4.0000000000000001E-3</v>
      </c>
      <c r="AN18" s="228" t="s">
        <v>248</v>
      </c>
      <c r="AO18" s="230"/>
      <c r="AP18" s="223">
        <f t="shared" si="11"/>
        <v>0.5179844516129033</v>
      </c>
      <c r="AQ18" s="129">
        <f t="shared" si="12"/>
        <v>2.5899222580645165E-4</v>
      </c>
      <c r="AR18" s="234"/>
      <c r="AS18" s="41">
        <v>8760</v>
      </c>
      <c r="AT18" s="169">
        <f t="shared" si="2"/>
        <v>5.9130645161290329E-5</v>
      </c>
      <c r="AU18" s="10">
        <f t="shared" si="3"/>
        <v>244</v>
      </c>
      <c r="AV18" s="218">
        <v>3.2311827956989254E-5</v>
      </c>
      <c r="AW18" s="221"/>
      <c r="AX18" s="145">
        <f t="shared" si="4"/>
        <v>3.2311827956989254E-5</v>
      </c>
      <c r="AY18" s="10">
        <v>7.4999999999999997E-3</v>
      </c>
      <c r="AZ18" s="225">
        <v>2.5000000000000001E-2</v>
      </c>
      <c r="BA18" s="228" t="s">
        <v>248</v>
      </c>
      <c r="BB18" s="230"/>
      <c r="BC18" s="223">
        <f t="shared" si="13"/>
        <v>41.658564006912442</v>
      </c>
      <c r="BD18" s="129">
        <f t="shared" si="14"/>
        <v>2.0829282003456222E-2</v>
      </c>
      <c r="BE18" s="234"/>
      <c r="BF18" s="41">
        <v>8760</v>
      </c>
      <c r="BG18" s="231">
        <f t="shared" si="19"/>
        <v>4.75554383640553E-3</v>
      </c>
      <c r="BH18" s="10">
        <f t="shared" si="5"/>
        <v>122</v>
      </c>
      <c r="BI18" s="212">
        <v>5.1973156682027658E-3</v>
      </c>
      <c r="BJ18" s="221"/>
      <c r="BK18" s="145">
        <f t="shared" si="20"/>
        <v>5.1973156682027658E-3</v>
      </c>
      <c r="BL18" s="10">
        <v>7.4999999999999997E-3</v>
      </c>
    </row>
    <row r="19" spans="2:64" s="192" customFormat="1" x14ac:dyDescent="0.2">
      <c r="B19" s="182" t="s">
        <v>3</v>
      </c>
      <c r="C19" s="182" t="s">
        <v>80</v>
      </c>
      <c r="D19" s="34">
        <v>61</v>
      </c>
      <c r="E19" s="10" t="s">
        <v>67</v>
      </c>
      <c r="F19" s="34">
        <v>4</v>
      </c>
      <c r="G19" s="34">
        <v>2</v>
      </c>
      <c r="H19" s="34">
        <f>61*2</f>
        <v>122</v>
      </c>
      <c r="I19" s="41">
        <f t="shared" si="0"/>
        <v>244</v>
      </c>
      <c r="J19" s="34">
        <f t="shared" ref="J19:J20" si="29">2*61</f>
        <v>122</v>
      </c>
      <c r="K19" s="216">
        <f>39062/2</f>
        <v>19531</v>
      </c>
      <c r="L19" s="175">
        <v>12</v>
      </c>
      <c r="M19" s="227" t="s">
        <v>248</v>
      </c>
      <c r="N19" s="230"/>
      <c r="O19" s="223">
        <f t="shared" si="6"/>
        <v>32.769393139404762</v>
      </c>
      <c r="P19" s="128">
        <f t="shared" si="7"/>
        <v>1.638469656970238E-2</v>
      </c>
      <c r="Q19" s="232"/>
      <c r="R19" s="175">
        <f t="shared" si="25"/>
        <v>32.769393139404762</v>
      </c>
      <c r="S19" s="180">
        <v>1.804101510496672</v>
      </c>
      <c r="T19" s="233"/>
      <c r="U19" s="199">
        <f t="shared" si="16"/>
        <v>19531</v>
      </c>
      <c r="V19" s="41">
        <f t="shared" si="26"/>
        <v>9.2999999999999995E-4</v>
      </c>
      <c r="W19" s="124">
        <v>3.3000000000000002E-2</v>
      </c>
      <c r="X19" s="228" t="s">
        <v>204</v>
      </c>
      <c r="Y19" s="230"/>
      <c r="Z19" s="126">
        <f t="shared" si="10"/>
        <v>0.78360792632565268</v>
      </c>
      <c r="AA19" s="126"/>
      <c r="AB19" s="122">
        <v>7.1157430104668212E-2</v>
      </c>
      <c r="AC19" s="126"/>
      <c r="AD19" s="41">
        <v>8760</v>
      </c>
      <c r="AE19" s="134">
        <f t="shared" si="15"/>
        <v>0.17890591925243213</v>
      </c>
      <c r="AF19" s="130">
        <f t="shared" si="1"/>
        <v>122</v>
      </c>
      <c r="AG19" s="215">
        <v>2.1610490271377369E-3</v>
      </c>
      <c r="AH19" s="221"/>
      <c r="AI19" s="133">
        <f t="shared" si="17"/>
        <v>2.1610490271377369E-3</v>
      </c>
      <c r="AJ19" s="134">
        <v>0.04</v>
      </c>
      <c r="AK19" s="134">
        <f t="shared" si="18"/>
        <v>0.06</v>
      </c>
      <c r="AL19" s="135">
        <v>2.3E-2</v>
      </c>
      <c r="AM19" s="221">
        <v>4.0000000000000001E-3</v>
      </c>
      <c r="AN19" s="228" t="s">
        <v>248</v>
      </c>
      <c r="AO19" s="230"/>
      <c r="AP19" s="223">
        <f t="shared" si="11"/>
        <v>0.94676525806451639</v>
      </c>
      <c r="AQ19" s="129">
        <f t="shared" si="12"/>
        <v>4.733826290322582E-4</v>
      </c>
      <c r="AR19" s="234"/>
      <c r="AS19" s="41">
        <v>8760</v>
      </c>
      <c r="AT19" s="169">
        <f t="shared" si="2"/>
        <v>1.0807822580645164E-4</v>
      </c>
      <c r="AU19" s="10">
        <f t="shared" si="3"/>
        <v>244</v>
      </c>
      <c r="AV19" s="218">
        <v>5.9059139784946251E-5</v>
      </c>
      <c r="AW19" s="221"/>
      <c r="AX19" s="145">
        <f t="shared" si="4"/>
        <v>5.9059139784946251E-5</v>
      </c>
      <c r="AY19" s="10">
        <v>7.4999999999999997E-3</v>
      </c>
      <c r="AZ19" s="225">
        <v>2.5000000000000001E-2</v>
      </c>
      <c r="BA19" s="228" t="s">
        <v>248</v>
      </c>
      <c r="BB19" s="230"/>
      <c r="BC19" s="223">
        <f t="shared" si="13"/>
        <v>42.486288467741936</v>
      </c>
      <c r="BD19" s="129">
        <f t="shared" si="14"/>
        <v>2.1243144233870966E-2</v>
      </c>
      <c r="BE19" s="234"/>
      <c r="BF19" s="41">
        <v>8760</v>
      </c>
      <c r="BG19" s="231">
        <f t="shared" si="19"/>
        <v>4.8500329301075272E-3</v>
      </c>
      <c r="BH19" s="10">
        <f t="shared" si="5"/>
        <v>122</v>
      </c>
      <c r="BI19" s="212">
        <v>5.3005824372759861E-3</v>
      </c>
      <c r="BJ19" s="221"/>
      <c r="BK19" s="145">
        <f t="shared" si="20"/>
        <v>5.3005824372759861E-3</v>
      </c>
      <c r="BL19" s="10">
        <v>7.4999999999999997E-3</v>
      </c>
    </row>
    <row r="20" spans="2:64" s="192" customFormat="1" x14ac:dyDescent="0.2">
      <c r="B20" s="182" t="s">
        <v>3</v>
      </c>
      <c r="C20" s="182" t="s">
        <v>81</v>
      </c>
      <c r="D20" s="34">
        <v>61</v>
      </c>
      <c r="E20" s="10" t="s">
        <v>67</v>
      </c>
      <c r="F20" s="34">
        <v>4</v>
      </c>
      <c r="G20" s="34">
        <v>2</v>
      </c>
      <c r="H20" s="34">
        <f>61*2</f>
        <v>122</v>
      </c>
      <c r="I20" s="41">
        <f t="shared" si="0"/>
        <v>244</v>
      </c>
      <c r="J20" s="34">
        <f t="shared" si="29"/>
        <v>122</v>
      </c>
      <c r="K20" s="216">
        <v>0</v>
      </c>
      <c r="L20" s="175">
        <v>12</v>
      </c>
      <c r="M20" s="227" t="s">
        <v>248</v>
      </c>
      <c r="N20" s="230"/>
      <c r="O20" s="223">
        <f t="shared" si="6"/>
        <v>71.658203759999992</v>
      </c>
      <c r="P20" s="128">
        <f t="shared" si="7"/>
        <v>3.5829101879999999E-2</v>
      </c>
      <c r="Q20" s="156"/>
      <c r="R20" s="175">
        <f t="shared" si="25"/>
        <v>71.658203759999992</v>
      </c>
      <c r="S20" s="148">
        <v>3.7679999999999998</v>
      </c>
      <c r="T20" s="149"/>
      <c r="U20" s="199">
        <v>20449</v>
      </c>
      <c r="V20" s="41">
        <f t="shared" si="26"/>
        <v>9.2999999999999995E-4</v>
      </c>
      <c r="W20" s="124">
        <v>3.3000000000000002E-2</v>
      </c>
      <c r="X20" s="228" t="s">
        <v>204</v>
      </c>
      <c r="Y20" s="230"/>
      <c r="Z20" s="126">
        <f t="shared" si="10"/>
        <v>0.82077695999999989</v>
      </c>
      <c r="AA20" s="126"/>
      <c r="AB20" s="122">
        <v>0.12841632647999998</v>
      </c>
      <c r="AC20" s="126"/>
      <c r="AD20" s="41">
        <v>8760</v>
      </c>
      <c r="AE20" s="134">
        <f t="shared" si="15"/>
        <v>0.18739199999999998</v>
      </c>
      <c r="AF20" s="130">
        <f t="shared" si="1"/>
        <v>122</v>
      </c>
      <c r="AG20" s="170">
        <v>3.8999999999999998E-3</v>
      </c>
      <c r="AH20" s="160"/>
      <c r="AI20" s="133">
        <f t="shared" si="17"/>
        <v>3.8999999999999998E-3</v>
      </c>
      <c r="AJ20" s="134">
        <v>0.04</v>
      </c>
      <c r="AK20" s="134">
        <f t="shared" si="18"/>
        <v>0.06</v>
      </c>
      <c r="AL20" s="135">
        <v>2.3E-2</v>
      </c>
      <c r="AM20" s="221">
        <v>4.0000000000000001E-3</v>
      </c>
      <c r="AN20" s="228" t="s">
        <v>248</v>
      </c>
      <c r="AO20" s="230"/>
      <c r="AP20" s="223">
        <f t="shared" si="11"/>
        <v>0</v>
      </c>
      <c r="AQ20" s="129">
        <f t="shared" si="12"/>
        <v>0</v>
      </c>
      <c r="AR20" s="164"/>
      <c r="AS20" s="41">
        <v>8760</v>
      </c>
      <c r="AT20" s="169">
        <f t="shared" si="2"/>
        <v>0</v>
      </c>
      <c r="AU20" s="10">
        <f t="shared" si="3"/>
        <v>244</v>
      </c>
      <c r="AV20" s="47">
        <v>0</v>
      </c>
      <c r="AW20" s="160"/>
      <c r="AX20" s="145">
        <f t="shared" si="4"/>
        <v>0</v>
      </c>
      <c r="AY20" s="10">
        <v>7.4999999999999997E-3</v>
      </c>
      <c r="AZ20" s="225">
        <v>2.5000000000000001E-2</v>
      </c>
      <c r="BA20" s="228" t="s">
        <v>248</v>
      </c>
      <c r="BB20" s="230"/>
      <c r="BC20" s="223">
        <f t="shared" si="13"/>
        <v>31.260059999999999</v>
      </c>
      <c r="BD20" s="129">
        <f t="shared" si="14"/>
        <v>1.563003E-2</v>
      </c>
      <c r="BE20" s="164"/>
      <c r="BF20" s="41">
        <v>8760</v>
      </c>
      <c r="BG20" s="231">
        <f t="shared" si="19"/>
        <v>3.5685000000000001E-3</v>
      </c>
      <c r="BH20" s="10">
        <f t="shared" si="5"/>
        <v>122</v>
      </c>
      <c r="BI20" s="201">
        <v>3.8999999999999998E-3</v>
      </c>
      <c r="BJ20" s="160"/>
      <c r="BK20" s="145">
        <f t="shared" si="20"/>
        <v>3.8999999999999998E-3</v>
      </c>
      <c r="BL20" s="10">
        <v>7.4999999999999997E-3</v>
      </c>
    </row>
    <row r="21" spans="2:64" s="192" customFormat="1" x14ac:dyDescent="0.2">
      <c r="B21" s="182" t="s">
        <v>3</v>
      </c>
      <c r="C21" s="182" t="s">
        <v>82</v>
      </c>
      <c r="D21" s="34">
        <v>87</v>
      </c>
      <c r="E21" s="10" t="s">
        <v>67</v>
      </c>
      <c r="F21" s="34">
        <v>4</v>
      </c>
      <c r="G21" s="34">
        <v>2</v>
      </c>
      <c r="H21" s="34">
        <f>87*2</f>
        <v>174</v>
      </c>
      <c r="I21" s="41">
        <f t="shared" si="0"/>
        <v>348</v>
      </c>
      <c r="J21" s="34">
        <f>2*87</f>
        <v>174</v>
      </c>
      <c r="K21" s="216">
        <f>65911/2</f>
        <v>32955.5</v>
      </c>
      <c r="L21" s="175">
        <v>12</v>
      </c>
      <c r="M21" s="227" t="s">
        <v>248</v>
      </c>
      <c r="N21" s="230"/>
      <c r="O21" s="223">
        <f t="shared" si="6"/>
        <v>55.275599078363093</v>
      </c>
      <c r="P21" s="128">
        <f t="shared" si="7"/>
        <v>2.7637799539181548E-2</v>
      </c>
      <c r="Q21" s="232"/>
      <c r="R21" s="175">
        <f t="shared" si="25"/>
        <v>55.275599078363093</v>
      </c>
      <c r="S21" s="180">
        <v>1.8035268177163337</v>
      </c>
      <c r="T21" s="233"/>
      <c r="U21" s="199">
        <f t="shared" si="16"/>
        <v>32955.5</v>
      </c>
      <c r="V21" s="41">
        <f t="shared" si="26"/>
        <v>9.2999999999999995E-4</v>
      </c>
      <c r="W21" s="124">
        <v>3.3000000000000002E-2</v>
      </c>
      <c r="X21" s="228" t="s">
        <v>204</v>
      </c>
      <c r="Y21" s="230"/>
      <c r="Z21" s="142">
        <f t="shared" si="10"/>
        <v>1.139936521861751</v>
      </c>
      <c r="AA21" s="142"/>
      <c r="AB21" s="122">
        <v>0.13588892512802769</v>
      </c>
      <c r="AC21" s="142"/>
      <c r="AD21" s="41">
        <v>8760</v>
      </c>
      <c r="AE21" s="134">
        <f t="shared" si="15"/>
        <v>0.26025947987711212</v>
      </c>
      <c r="AF21" s="130">
        <f t="shared" si="1"/>
        <v>174</v>
      </c>
      <c r="AG21" s="215">
        <v>2.8936034306195602E-3</v>
      </c>
      <c r="AH21" s="221"/>
      <c r="AI21" s="133">
        <f t="shared" si="17"/>
        <v>2.8936034306195602E-3</v>
      </c>
      <c r="AJ21" s="134">
        <v>0.04</v>
      </c>
      <c r="AK21" s="134">
        <f t="shared" si="18"/>
        <v>0.06</v>
      </c>
      <c r="AL21" s="135">
        <v>2.3E-2</v>
      </c>
      <c r="AM21" s="221">
        <v>4.0000000000000001E-3</v>
      </c>
      <c r="AN21" s="228" t="s">
        <v>248</v>
      </c>
      <c r="AO21" s="230"/>
      <c r="AP21" s="223">
        <f t="shared" si="11"/>
        <v>1.908987677419355</v>
      </c>
      <c r="AQ21" s="129">
        <f t="shared" si="12"/>
        <v>9.544938387096775E-4</v>
      </c>
      <c r="AR21" s="234"/>
      <c r="AS21" s="41">
        <v>8760</v>
      </c>
      <c r="AT21" s="169">
        <f t="shared" si="2"/>
        <v>2.179209677419355E-4</v>
      </c>
      <c r="AU21" s="10">
        <f t="shared" si="3"/>
        <v>348</v>
      </c>
      <c r="AV21" s="218">
        <v>8.3494623655913991E-5</v>
      </c>
      <c r="AW21" s="221"/>
      <c r="AX21" s="145">
        <f t="shared" si="4"/>
        <v>8.3494623655913991E-5</v>
      </c>
      <c r="AY21" s="10">
        <v>7.4999999999999997E-3</v>
      </c>
      <c r="AZ21" s="225">
        <v>2.5000000000000001E-2</v>
      </c>
      <c r="BA21" s="228" t="s">
        <v>248</v>
      </c>
      <c r="BB21" s="230"/>
      <c r="BC21" s="223">
        <f t="shared" si="13"/>
        <v>66.312122661290317</v>
      </c>
      <c r="BD21" s="129">
        <f t="shared" si="14"/>
        <v>3.3156061330645158E-2</v>
      </c>
      <c r="BE21" s="234"/>
      <c r="BF21" s="41">
        <v>8760</v>
      </c>
      <c r="BG21" s="231">
        <f t="shared" si="19"/>
        <v>7.5698770161290313E-3</v>
      </c>
      <c r="BH21" s="10">
        <f t="shared" si="5"/>
        <v>174</v>
      </c>
      <c r="BI21" s="212">
        <v>5.8006720430107527E-3</v>
      </c>
      <c r="BJ21" s="221"/>
      <c r="BK21" s="145">
        <f t="shared" si="20"/>
        <v>5.8006720430107527E-3</v>
      </c>
      <c r="BL21" s="10">
        <v>7.4999999999999997E-3</v>
      </c>
    </row>
    <row r="22" spans="2:64" s="192" customFormat="1" x14ac:dyDescent="0.2">
      <c r="B22" s="182" t="s">
        <v>3</v>
      </c>
      <c r="C22" s="182" t="s">
        <v>83</v>
      </c>
      <c r="D22" s="34">
        <v>87</v>
      </c>
      <c r="E22" s="10" t="s">
        <v>67</v>
      </c>
      <c r="F22" s="34">
        <v>4</v>
      </c>
      <c r="G22" s="34">
        <v>2</v>
      </c>
      <c r="H22" s="34">
        <f>87*2</f>
        <v>174</v>
      </c>
      <c r="I22" s="41">
        <f t="shared" si="0"/>
        <v>348</v>
      </c>
      <c r="J22" s="34">
        <f>2*87</f>
        <v>174</v>
      </c>
      <c r="K22" s="216">
        <f>65911/2</f>
        <v>32955.5</v>
      </c>
      <c r="L22" s="175">
        <v>12</v>
      </c>
      <c r="M22" s="227" t="s">
        <v>248</v>
      </c>
      <c r="N22" s="230"/>
      <c r="O22" s="223">
        <f t="shared" si="6"/>
        <v>54.406674356666642</v>
      </c>
      <c r="P22" s="128">
        <f t="shared" si="7"/>
        <v>2.7203337178333321E-2</v>
      </c>
      <c r="Q22" s="232"/>
      <c r="R22" s="175">
        <f t="shared" si="25"/>
        <v>54.406674356666642</v>
      </c>
      <c r="S22" s="180">
        <v>1.7751756272401427</v>
      </c>
      <c r="T22" s="233"/>
      <c r="U22" s="199">
        <f t="shared" si="16"/>
        <v>32955.5</v>
      </c>
      <c r="V22" s="41">
        <f t="shared" si="26"/>
        <v>9.2999999999999995E-4</v>
      </c>
      <c r="W22" s="124">
        <v>3.3000000000000002E-2</v>
      </c>
      <c r="X22" s="228" t="s">
        <v>204</v>
      </c>
      <c r="Y22" s="230"/>
      <c r="Z22" s="142">
        <f t="shared" si="10"/>
        <v>1.1396651556313364</v>
      </c>
      <c r="AA22" s="142"/>
      <c r="AB22" s="122">
        <v>0.13547088545007369</v>
      </c>
      <c r="AC22" s="142"/>
      <c r="AD22" s="41">
        <v>8760</v>
      </c>
      <c r="AE22" s="134">
        <f t="shared" si="15"/>
        <v>0.26019752411674346</v>
      </c>
      <c r="AF22" s="130">
        <f t="shared" si="1"/>
        <v>174</v>
      </c>
      <c r="AG22" s="215">
        <v>2.8847017409114177E-3</v>
      </c>
      <c r="AH22" s="221"/>
      <c r="AI22" s="133">
        <f t="shared" si="17"/>
        <v>2.8847017409114177E-3</v>
      </c>
      <c r="AJ22" s="134">
        <v>0.04</v>
      </c>
      <c r="AK22" s="134">
        <f t="shared" si="18"/>
        <v>0.06</v>
      </c>
      <c r="AL22" s="135">
        <v>2.3E-2</v>
      </c>
      <c r="AM22" s="221">
        <v>4.0000000000000001E-3</v>
      </c>
      <c r="AN22" s="228" t="s">
        <v>248</v>
      </c>
      <c r="AO22" s="230"/>
      <c r="AP22" s="223">
        <f t="shared" si="11"/>
        <v>1.9208116589861759</v>
      </c>
      <c r="AQ22" s="129">
        <f t="shared" si="12"/>
        <v>9.6040582949308794E-4</v>
      </c>
      <c r="AR22" s="234"/>
      <c r="AS22" s="41">
        <v>8760</v>
      </c>
      <c r="AT22" s="169">
        <f t="shared" si="2"/>
        <v>2.1927073732718903E-4</v>
      </c>
      <c r="AU22" s="10">
        <f t="shared" si="3"/>
        <v>348</v>
      </c>
      <c r="AV22" s="218">
        <v>8.4011776753712273E-5</v>
      </c>
      <c r="AW22" s="221"/>
      <c r="AX22" s="145">
        <f t="shared" si="4"/>
        <v>8.4011776753712273E-5</v>
      </c>
      <c r="AY22" s="10">
        <v>7.4999999999999997E-3</v>
      </c>
      <c r="AZ22" s="225">
        <v>2.5000000000000001E-2</v>
      </c>
      <c r="BA22" s="228" t="s">
        <v>248</v>
      </c>
      <c r="BB22" s="230"/>
      <c r="BC22" s="223">
        <f t="shared" si="13"/>
        <v>70.514904228110595</v>
      </c>
      <c r="BD22" s="129">
        <f t="shared" si="14"/>
        <v>3.5257452114055295E-2</v>
      </c>
      <c r="BE22" s="234"/>
      <c r="BF22" s="41">
        <v>8760</v>
      </c>
      <c r="BG22" s="231">
        <f t="shared" si="19"/>
        <v>8.0496466013824878E-3</v>
      </c>
      <c r="BH22" s="10">
        <f t="shared" si="5"/>
        <v>174</v>
      </c>
      <c r="BI22" s="212">
        <v>6.1683115719406035E-3</v>
      </c>
      <c r="BJ22" s="221"/>
      <c r="BK22" s="145">
        <f t="shared" si="20"/>
        <v>6.1683115719406035E-3</v>
      </c>
      <c r="BL22" s="10">
        <v>7.4999999999999997E-3</v>
      </c>
    </row>
    <row r="23" spans="2:64" s="192" customFormat="1" x14ac:dyDescent="0.2">
      <c r="B23" s="182" t="s">
        <v>3</v>
      </c>
      <c r="C23" s="182" t="s">
        <v>4</v>
      </c>
      <c r="D23" s="34">
        <v>75</v>
      </c>
      <c r="E23" s="10" t="s">
        <v>67</v>
      </c>
      <c r="F23" s="34">
        <v>4</v>
      </c>
      <c r="G23" s="34">
        <v>2</v>
      </c>
      <c r="H23" s="34">
        <f>75*2</f>
        <v>150</v>
      </c>
      <c r="I23" s="41">
        <f t="shared" si="0"/>
        <v>300</v>
      </c>
      <c r="J23" s="34">
        <f>2*75</f>
        <v>150</v>
      </c>
      <c r="K23" s="216">
        <v>31342</v>
      </c>
      <c r="L23" s="175">
        <v>12</v>
      </c>
      <c r="M23" s="227" t="s">
        <v>248</v>
      </c>
      <c r="N23" s="230"/>
      <c r="O23" s="223">
        <f t="shared" si="6"/>
        <v>84.79329789273811</v>
      </c>
      <c r="P23" s="128">
        <f t="shared" si="7"/>
        <v>4.2396648946369055E-2</v>
      </c>
      <c r="Q23" s="232"/>
      <c r="R23" s="175">
        <f t="shared" si="25"/>
        <v>84.79329789273811</v>
      </c>
      <c r="S23" s="180">
        <v>2.909054595494112</v>
      </c>
      <c r="T23" s="233"/>
      <c r="U23" s="199">
        <f t="shared" si="16"/>
        <v>31342</v>
      </c>
      <c r="V23" s="41">
        <f t="shared" si="26"/>
        <v>9.2999999999999995E-4</v>
      </c>
      <c r="W23" s="124">
        <v>0.04</v>
      </c>
      <c r="X23" s="228" t="s">
        <v>203</v>
      </c>
      <c r="Y23" s="222">
        <f>AH15/W23</f>
        <v>0.11464275153609832</v>
      </c>
      <c r="Z23" s="126">
        <f t="shared" si="10"/>
        <v>1.048323160829493</v>
      </c>
      <c r="AA23" s="126"/>
      <c r="AB23" s="122">
        <v>0.2182320992578341</v>
      </c>
      <c r="AC23" s="126"/>
      <c r="AD23" s="41">
        <v>8760</v>
      </c>
      <c r="AE23" s="134">
        <f t="shared" si="15"/>
        <v>0.23934318740399385</v>
      </c>
      <c r="AF23" s="130">
        <f t="shared" si="1"/>
        <v>150</v>
      </c>
      <c r="AG23" s="215">
        <v>5.3905312339989761E-3</v>
      </c>
      <c r="AH23" s="221"/>
      <c r="AI23" s="133">
        <f t="shared" si="17"/>
        <v>5.3905312339989761E-3</v>
      </c>
      <c r="AJ23" s="134">
        <v>0.04</v>
      </c>
      <c r="AK23" s="134">
        <f t="shared" si="18"/>
        <v>0.06</v>
      </c>
      <c r="AL23" s="135">
        <v>2.3E-2</v>
      </c>
      <c r="AM23" s="221">
        <v>4.0000000000000001E-3</v>
      </c>
      <c r="AN23" s="228" t="s">
        <v>248</v>
      </c>
      <c r="AO23" s="230"/>
      <c r="AP23" s="223">
        <f t="shared" si="11"/>
        <v>0.56940000000000002</v>
      </c>
      <c r="AQ23" s="129">
        <f t="shared" si="12"/>
        <v>2.8470000000000004E-4</v>
      </c>
      <c r="AR23" s="234"/>
      <c r="AS23" s="41">
        <v>8760</v>
      </c>
      <c r="AT23" s="169">
        <f t="shared" si="2"/>
        <v>6.5000000000000008E-5</v>
      </c>
      <c r="AU23" s="10">
        <f t="shared" si="3"/>
        <v>300</v>
      </c>
      <c r="AV23" s="218">
        <v>2.8888888888888892E-5</v>
      </c>
      <c r="AW23" s="221"/>
      <c r="AX23" s="145">
        <f t="shared" si="4"/>
        <v>2.8888888888888892E-5</v>
      </c>
      <c r="AY23" s="10">
        <v>7.4999999999999997E-3</v>
      </c>
      <c r="AZ23" s="225">
        <v>2.5000000000000001E-2</v>
      </c>
      <c r="BA23" s="228" t="s">
        <v>248</v>
      </c>
      <c r="BB23" s="230"/>
      <c r="BC23" s="223">
        <f t="shared" si="13"/>
        <v>26.843817770737331</v>
      </c>
      <c r="BD23" s="129">
        <f t="shared" si="14"/>
        <v>1.3421908885368665E-2</v>
      </c>
      <c r="BE23" s="234"/>
      <c r="BF23" s="41">
        <v>8760</v>
      </c>
      <c r="BG23" s="231">
        <f t="shared" si="19"/>
        <v>3.0643627592165904E-3</v>
      </c>
      <c r="BH23" s="10">
        <f t="shared" si="5"/>
        <v>150</v>
      </c>
      <c r="BI23" s="212">
        <v>2.7238780081925247E-3</v>
      </c>
      <c r="BJ23" s="221"/>
      <c r="BK23" s="145">
        <f t="shared" si="20"/>
        <v>2.7238780081925247E-3</v>
      </c>
      <c r="BL23" s="10">
        <v>7.4999999999999997E-3</v>
      </c>
    </row>
    <row r="24" spans="2:64" s="192" customFormat="1" x14ac:dyDescent="0.2">
      <c r="B24" s="182" t="s">
        <v>3</v>
      </c>
      <c r="C24" s="182" t="s">
        <v>84</v>
      </c>
      <c r="D24" s="34">
        <v>84</v>
      </c>
      <c r="E24" s="10" t="s">
        <v>67</v>
      </c>
      <c r="F24" s="34">
        <v>5</v>
      </c>
      <c r="G24" s="34">
        <v>1</v>
      </c>
      <c r="H24" s="34">
        <f>84*2</f>
        <v>168</v>
      </c>
      <c r="I24" s="41">
        <f t="shared" si="0"/>
        <v>420</v>
      </c>
      <c r="J24" s="34">
        <v>84</v>
      </c>
      <c r="K24" s="216">
        <v>35774</v>
      </c>
      <c r="L24" s="175">
        <v>12</v>
      </c>
      <c r="M24" s="227" t="s">
        <v>248</v>
      </c>
      <c r="N24" s="230"/>
      <c r="O24" s="223">
        <f t="shared" si="6"/>
        <v>116.96064205511902</v>
      </c>
      <c r="P24" s="126">
        <f t="shared" si="7"/>
        <v>5.8480321027559512E-2</v>
      </c>
      <c r="Q24" s="232"/>
      <c r="R24" s="175">
        <f t="shared" si="25"/>
        <v>116.96064205511902</v>
      </c>
      <c r="S24" s="180">
        <v>3.5155177291346642</v>
      </c>
      <c r="T24" s="233"/>
      <c r="U24" s="199">
        <f t="shared" si="16"/>
        <v>35774</v>
      </c>
      <c r="V24" s="41">
        <f t="shared" si="26"/>
        <v>9.2999999999999995E-4</v>
      </c>
      <c r="W24" s="124">
        <v>0.04</v>
      </c>
      <c r="X24" s="228" t="s">
        <v>203</v>
      </c>
      <c r="Y24" s="230"/>
      <c r="Z24" s="142">
        <f t="shared" si="10"/>
        <v>1.1619661873548386</v>
      </c>
      <c r="AA24" s="142"/>
      <c r="AB24" s="122">
        <v>0.22569401402012895</v>
      </c>
      <c r="AC24" s="142"/>
      <c r="AD24" s="41">
        <v>8760</v>
      </c>
      <c r="AE24" s="134">
        <f t="shared" si="15"/>
        <v>0.26528908387096772</v>
      </c>
      <c r="AF24" s="130">
        <f t="shared" si="1"/>
        <v>168</v>
      </c>
      <c r="AG24" s="215">
        <v>4.9775422427035323E-3</v>
      </c>
      <c r="AH24" s="221"/>
      <c r="AI24" s="133">
        <f t="shared" si="17"/>
        <v>4.9775422427035323E-3</v>
      </c>
      <c r="AJ24" s="134">
        <v>0.04</v>
      </c>
      <c r="AK24" s="134">
        <f t="shared" si="18"/>
        <v>0.06</v>
      </c>
      <c r="AL24" s="135">
        <v>2.3E-2</v>
      </c>
      <c r="AM24" s="221">
        <v>4.0000000000000001E-3</v>
      </c>
      <c r="AN24" s="228" t="s">
        <v>248</v>
      </c>
      <c r="AO24" s="230"/>
      <c r="AP24" s="223">
        <f t="shared" si="11"/>
        <v>3.4713266129032263</v>
      </c>
      <c r="AQ24" s="129">
        <f t="shared" si="12"/>
        <v>1.7356633064516131E-3</v>
      </c>
      <c r="AR24" s="234"/>
      <c r="AS24" s="41">
        <v>8760</v>
      </c>
      <c r="AT24" s="169">
        <f t="shared" si="2"/>
        <v>3.9627016129032262E-4</v>
      </c>
      <c r="AU24" s="10">
        <f t="shared" si="3"/>
        <v>420</v>
      </c>
      <c r="AV24" s="211">
        <v>1.2580005120327702E-4</v>
      </c>
      <c r="AW24" s="221"/>
      <c r="AX24" s="145">
        <f t="shared" si="4"/>
        <v>1.2580005120327702E-4</v>
      </c>
      <c r="AY24" s="10">
        <v>7.4999999999999997E-3</v>
      </c>
      <c r="AZ24" s="225">
        <v>2.5000000000000001E-2</v>
      </c>
      <c r="BA24" s="228" t="s">
        <v>248</v>
      </c>
      <c r="BB24" s="230"/>
      <c r="BC24" s="223">
        <f t="shared" si="13"/>
        <v>5.26054248387097</v>
      </c>
      <c r="BD24" s="129">
        <f t="shared" si="14"/>
        <v>2.6302712419354851E-3</v>
      </c>
      <c r="BE24" s="234"/>
      <c r="BF24" s="41">
        <v>8760</v>
      </c>
      <c r="BG24" s="231">
        <f t="shared" si="19"/>
        <v>6.0051854838709699E-4</v>
      </c>
      <c r="BH24" s="10">
        <f t="shared" si="5"/>
        <v>84</v>
      </c>
      <c r="BI24" s="211">
        <v>9.5320404505888417E-4</v>
      </c>
      <c r="BJ24" s="221"/>
      <c r="BK24" s="145">
        <f t="shared" si="20"/>
        <v>9.5320404505888417E-4</v>
      </c>
      <c r="BL24" s="10">
        <v>7.4999999999999997E-3</v>
      </c>
    </row>
    <row r="25" spans="2:64" s="192" customFormat="1" x14ac:dyDescent="0.2">
      <c r="B25" s="118" t="s">
        <v>85</v>
      </c>
      <c r="C25" s="188" t="s">
        <v>86</v>
      </c>
      <c r="D25" s="13">
        <v>78</v>
      </c>
      <c r="E25" s="12" t="s">
        <v>70</v>
      </c>
      <c r="F25" s="41">
        <v>4</v>
      </c>
      <c r="G25" s="41">
        <v>1</v>
      </c>
      <c r="H25" s="34">
        <f t="shared" ref="H25:H30" si="30">D25*2</f>
        <v>156</v>
      </c>
      <c r="I25" s="41">
        <f t="shared" si="0"/>
        <v>312</v>
      </c>
      <c r="J25" s="41">
        <v>78</v>
      </c>
      <c r="K25" s="46">
        <v>21735</v>
      </c>
      <c r="L25" s="175">
        <v>12</v>
      </c>
      <c r="M25" s="227" t="s">
        <v>248</v>
      </c>
      <c r="N25" s="222">
        <f>T25/L25</f>
        <v>0.39381944444444444</v>
      </c>
      <c r="O25" s="223">
        <f t="shared" si="6"/>
        <v>90.169277624999978</v>
      </c>
      <c r="P25" s="128">
        <f t="shared" si="7"/>
        <v>4.5084638812499987E-2</v>
      </c>
      <c r="Q25" s="156">
        <f>SUM(P25:P27)</f>
        <v>7.016738477499998E-2</v>
      </c>
      <c r="R25" s="175">
        <f t="shared" si="25"/>
        <v>90.169277624999978</v>
      </c>
      <c r="S25" s="180">
        <v>4.4608333333333325</v>
      </c>
      <c r="T25" s="147">
        <f>AVERAGE(S25:S27)</f>
        <v>4.7258333333333331</v>
      </c>
      <c r="U25" s="199">
        <f t="shared" si="16"/>
        <v>21735</v>
      </c>
      <c r="V25" s="41">
        <f t="shared" si="26"/>
        <v>9.2999999999999995E-4</v>
      </c>
      <c r="W25" s="124">
        <v>0.04</v>
      </c>
      <c r="X25" s="228" t="s">
        <v>202</v>
      </c>
      <c r="Y25" s="222">
        <f>AH25/W25</f>
        <v>0.21176388888888889</v>
      </c>
      <c r="Z25" s="142">
        <f t="shared" si="10"/>
        <v>1.6084411199999999</v>
      </c>
      <c r="AA25" s="142">
        <f>SUM(Z25:Z27)</f>
        <v>2.2711018319999998</v>
      </c>
      <c r="AB25" s="122">
        <v>1.0252254261599998</v>
      </c>
      <c r="AC25" s="142">
        <f>SUM(AB25:AB27)</f>
        <v>1.0404232473959998</v>
      </c>
      <c r="AD25" s="41">
        <v>8760</v>
      </c>
      <c r="AE25" s="134">
        <f t="shared" si="15"/>
        <v>0.36722399999999999</v>
      </c>
      <c r="AF25" s="130">
        <f t="shared" si="1"/>
        <v>156</v>
      </c>
      <c r="AG25" s="210">
        <v>2.435E-2</v>
      </c>
      <c r="AH25" s="165">
        <f>AVERAGE(AG25:AG27)</f>
        <v>8.4705555555555558E-3</v>
      </c>
      <c r="AI25" s="133">
        <f t="shared" si="17"/>
        <v>2.435E-2</v>
      </c>
      <c r="AJ25" s="134">
        <v>0.04</v>
      </c>
      <c r="AK25" s="134">
        <f t="shared" si="18"/>
        <v>0.06</v>
      </c>
      <c r="AL25" s="135">
        <v>2.3E-2</v>
      </c>
      <c r="AM25" s="221">
        <v>4.0000000000000001E-3</v>
      </c>
      <c r="AN25" s="228" t="s">
        <v>248</v>
      </c>
      <c r="AO25" s="226">
        <f>AW25/AM25</f>
        <v>3.5416666666666666E-2</v>
      </c>
      <c r="AP25" s="223">
        <f t="shared" si="11"/>
        <v>4.7829600000000001</v>
      </c>
      <c r="AQ25" s="129">
        <f t="shared" si="12"/>
        <v>2.3914800000000001E-3</v>
      </c>
      <c r="AR25" s="158">
        <f>SUM(AQ25:AQ27)</f>
        <v>3.2387362500000002E-3</v>
      </c>
      <c r="AS25" s="41">
        <v>8760</v>
      </c>
      <c r="AT25" s="169">
        <f t="shared" si="2"/>
        <v>5.4600000000000004E-4</v>
      </c>
      <c r="AU25" s="10">
        <f t="shared" si="3"/>
        <v>312</v>
      </c>
      <c r="AV25" s="211">
        <v>2.3333333333333333E-4</v>
      </c>
      <c r="AW25" s="163">
        <f>AVERAGE(AV25:AV27)</f>
        <v>1.4166666666666668E-4</v>
      </c>
      <c r="AX25" s="145">
        <f t="shared" si="4"/>
        <v>2.3333333333333333E-4</v>
      </c>
      <c r="AY25" s="10">
        <v>7.4999999999999997E-3</v>
      </c>
      <c r="AZ25" s="225">
        <v>2.5000000000000001E-2</v>
      </c>
      <c r="BA25" s="228" t="s">
        <v>248</v>
      </c>
      <c r="BB25" s="224">
        <f>BJ25/AZ25</f>
        <v>2.4588888888888885E-3</v>
      </c>
      <c r="BC25" s="223">
        <f t="shared" si="13"/>
        <v>0.13452074999999999</v>
      </c>
      <c r="BD25" s="129">
        <f t="shared" si="14"/>
        <v>6.7260374999999996E-5</v>
      </c>
      <c r="BE25" s="138">
        <f>SUM(BD25:BD27)</f>
        <v>1.9715475000000002E-4</v>
      </c>
      <c r="BF25" s="41">
        <v>8760</v>
      </c>
      <c r="BG25" s="231">
        <f t="shared" si="19"/>
        <v>1.5356250000000001E-5</v>
      </c>
      <c r="BH25" s="10">
        <f t="shared" si="5"/>
        <v>78</v>
      </c>
      <c r="BI25" s="218">
        <v>2.6250000000000001E-5</v>
      </c>
      <c r="BJ25" s="162">
        <f>AVERAGE(BI25:BI27)</f>
        <v>6.1472222222222215E-5</v>
      </c>
      <c r="BK25" s="145">
        <f t="shared" si="20"/>
        <v>2.6250000000000001E-5</v>
      </c>
      <c r="BL25" s="10">
        <v>7.4999999999999997E-3</v>
      </c>
    </row>
    <row r="26" spans="2:64" s="192" customFormat="1" x14ac:dyDescent="0.2">
      <c r="B26" s="10" t="s">
        <v>85</v>
      </c>
      <c r="C26" s="188" t="s">
        <v>76</v>
      </c>
      <c r="D26" s="13">
        <v>25</v>
      </c>
      <c r="E26" s="12" t="s">
        <v>70</v>
      </c>
      <c r="F26" s="34">
        <v>5</v>
      </c>
      <c r="G26" s="34">
        <v>1</v>
      </c>
      <c r="H26" s="34">
        <f t="shared" si="30"/>
        <v>50</v>
      </c>
      <c r="I26" s="41">
        <f t="shared" si="0"/>
        <v>125</v>
      </c>
      <c r="J26" s="34">
        <v>25</v>
      </c>
      <c r="K26" s="48">
        <v>5140</v>
      </c>
      <c r="L26" s="175">
        <v>12</v>
      </c>
      <c r="M26" s="227" t="s">
        <v>248</v>
      </c>
      <c r="N26" s="230"/>
      <c r="O26" s="223">
        <f t="shared" si="6"/>
        <v>23.227788499999999</v>
      </c>
      <c r="P26" s="128">
        <f t="shared" si="7"/>
        <v>1.1613894249999999E-2</v>
      </c>
      <c r="Q26" s="232"/>
      <c r="R26" s="175">
        <f t="shared" si="25"/>
        <v>23.227788499999999</v>
      </c>
      <c r="S26" s="180">
        <v>4.8591666666666669</v>
      </c>
      <c r="T26" s="233"/>
      <c r="U26" s="199">
        <f t="shared" si="16"/>
        <v>5140</v>
      </c>
      <c r="V26" s="41">
        <f t="shared" si="26"/>
        <v>9.2999999999999995E-4</v>
      </c>
      <c r="W26" s="124">
        <v>0.04</v>
      </c>
      <c r="X26" s="228" t="s">
        <v>202</v>
      </c>
      <c r="Y26" s="230"/>
      <c r="Z26" s="126">
        <f t="shared" si="10"/>
        <v>0.30798700000000001</v>
      </c>
      <c r="AA26" s="126"/>
      <c r="AB26" s="122">
        <v>8.8840634999999991E-3</v>
      </c>
      <c r="AC26" s="126"/>
      <c r="AD26" s="41">
        <v>8760</v>
      </c>
      <c r="AE26" s="134">
        <f t="shared" si="15"/>
        <v>7.0316666666666666E-2</v>
      </c>
      <c r="AF26" s="130">
        <f t="shared" si="1"/>
        <v>50</v>
      </c>
      <c r="AG26" s="215">
        <v>6.5833333333333336E-4</v>
      </c>
      <c r="AH26" s="221"/>
      <c r="AI26" s="133">
        <f t="shared" si="17"/>
        <v>6.5833333333333336E-4</v>
      </c>
      <c r="AJ26" s="134">
        <v>0.04</v>
      </c>
      <c r="AK26" s="134">
        <f t="shared" si="18"/>
        <v>0.06</v>
      </c>
      <c r="AL26" s="135">
        <v>2.3E-2</v>
      </c>
      <c r="AM26" s="221">
        <v>4.0000000000000001E-3</v>
      </c>
      <c r="AN26" s="228" t="s">
        <v>248</v>
      </c>
      <c r="AO26" s="230"/>
      <c r="AP26" s="223">
        <f t="shared" si="11"/>
        <v>0.82125000000000004</v>
      </c>
      <c r="AQ26" s="129">
        <f t="shared" si="12"/>
        <v>4.1062500000000002E-4</v>
      </c>
      <c r="AR26" s="234"/>
      <c r="AS26" s="41">
        <v>8760</v>
      </c>
      <c r="AT26" s="169">
        <f t="shared" si="2"/>
        <v>9.3750000000000002E-5</v>
      </c>
      <c r="AU26" s="10">
        <f t="shared" si="3"/>
        <v>125</v>
      </c>
      <c r="AV26" s="211">
        <v>1E-4</v>
      </c>
      <c r="AW26" s="221"/>
      <c r="AX26" s="145">
        <f t="shared" si="4"/>
        <v>1E-4</v>
      </c>
      <c r="AY26" s="10">
        <v>7.4999999999999997E-3</v>
      </c>
      <c r="AZ26" s="225">
        <v>2.5000000000000001E-2</v>
      </c>
      <c r="BA26" s="228" t="s">
        <v>248</v>
      </c>
      <c r="BB26" s="230"/>
      <c r="BC26" s="223">
        <f t="shared" si="13"/>
        <v>0.25978875000000001</v>
      </c>
      <c r="BD26" s="129">
        <f t="shared" si="14"/>
        <v>1.2989437500000002E-4</v>
      </c>
      <c r="BE26" s="234"/>
      <c r="BF26" s="41">
        <v>8760</v>
      </c>
      <c r="BG26" s="231">
        <f t="shared" si="19"/>
        <v>2.9656249999999999E-5</v>
      </c>
      <c r="BH26" s="10">
        <f t="shared" si="5"/>
        <v>25</v>
      </c>
      <c r="BI26" s="211">
        <v>1.5816666666666667E-4</v>
      </c>
      <c r="BJ26" s="221"/>
      <c r="BK26" s="145">
        <f t="shared" si="20"/>
        <v>1.5816666666666667E-4</v>
      </c>
      <c r="BL26" s="10">
        <v>7.4999999999999997E-3</v>
      </c>
    </row>
    <row r="27" spans="2:64" s="192" customFormat="1" x14ac:dyDescent="0.2">
      <c r="B27" s="10" t="s">
        <v>85</v>
      </c>
      <c r="C27" s="188" t="s">
        <v>87</v>
      </c>
      <c r="D27" s="13">
        <v>29</v>
      </c>
      <c r="E27" s="12" t="s">
        <v>70</v>
      </c>
      <c r="F27" s="219">
        <v>5</v>
      </c>
      <c r="G27" s="219">
        <v>1</v>
      </c>
      <c r="H27" s="34">
        <f t="shared" si="30"/>
        <v>58</v>
      </c>
      <c r="I27" s="41">
        <f t="shared" si="0"/>
        <v>145</v>
      </c>
      <c r="J27" s="219">
        <v>29</v>
      </c>
      <c r="K27" s="203">
        <v>5963</v>
      </c>
      <c r="L27" s="175">
        <v>12</v>
      </c>
      <c r="M27" s="227" t="s">
        <v>248</v>
      </c>
      <c r="N27" s="230"/>
      <c r="O27" s="223">
        <f t="shared" si="6"/>
        <v>26.937703424999995</v>
      </c>
      <c r="P27" s="128">
        <f t="shared" si="7"/>
        <v>1.3468851712499997E-2</v>
      </c>
      <c r="Q27" s="232"/>
      <c r="R27" s="175">
        <f t="shared" si="25"/>
        <v>26.937703424999995</v>
      </c>
      <c r="S27" s="180">
        <v>4.857499999999999</v>
      </c>
      <c r="T27" s="233"/>
      <c r="U27" s="199">
        <f t="shared" si="16"/>
        <v>5963</v>
      </c>
      <c r="V27" s="41">
        <f t="shared" si="26"/>
        <v>9.2999999999999995E-4</v>
      </c>
      <c r="W27" s="124">
        <v>0.04</v>
      </c>
      <c r="X27" s="228" t="s">
        <v>202</v>
      </c>
      <c r="Y27" s="230"/>
      <c r="Z27" s="126">
        <f t="shared" si="10"/>
        <v>0.35467371199999997</v>
      </c>
      <c r="AA27" s="126"/>
      <c r="AB27" s="122">
        <v>6.3137577360000002E-3</v>
      </c>
      <c r="AC27" s="126"/>
      <c r="AD27" s="41">
        <v>8760</v>
      </c>
      <c r="AE27" s="134">
        <f t="shared" si="15"/>
        <v>8.0975733333333327E-2</v>
      </c>
      <c r="AF27" s="130">
        <f t="shared" si="1"/>
        <v>58</v>
      </c>
      <c r="AG27" s="213">
        <v>4.033333333333334E-4</v>
      </c>
      <c r="AH27" s="221"/>
      <c r="AI27" s="133">
        <f t="shared" si="17"/>
        <v>4.033333333333334E-4</v>
      </c>
      <c r="AJ27" s="134">
        <v>0.04</v>
      </c>
      <c r="AK27" s="134">
        <f t="shared" si="18"/>
        <v>0.06</v>
      </c>
      <c r="AL27" s="135">
        <v>2.3E-2</v>
      </c>
      <c r="AM27" s="221">
        <v>4.0000000000000001E-3</v>
      </c>
      <c r="AN27" s="228" t="s">
        <v>248</v>
      </c>
      <c r="AO27" s="230"/>
      <c r="AP27" s="223">
        <f t="shared" si="11"/>
        <v>0.87326250000000016</v>
      </c>
      <c r="AQ27" s="129">
        <f t="shared" si="12"/>
        <v>4.3663125000000007E-4</v>
      </c>
      <c r="AR27" s="234"/>
      <c r="AS27" s="41">
        <v>8760</v>
      </c>
      <c r="AT27" s="169">
        <f t="shared" si="2"/>
        <v>9.9687500000000018E-5</v>
      </c>
      <c r="AU27" s="10">
        <f t="shared" si="3"/>
        <v>145</v>
      </c>
      <c r="AV27" s="218">
        <v>9.1666666666666681E-5</v>
      </c>
      <c r="AW27" s="221"/>
      <c r="AX27" s="145">
        <f t="shared" si="4"/>
        <v>9.1666666666666681E-5</v>
      </c>
      <c r="AY27" s="10">
        <v>7.4999999999999997E-3</v>
      </c>
      <c r="AZ27" s="225">
        <v>2.5000000000000001E-2</v>
      </c>
      <c r="BA27" s="228" t="s">
        <v>248</v>
      </c>
      <c r="BB27" s="230"/>
      <c r="BC27" s="223">
        <f t="shared" si="13"/>
        <v>0</v>
      </c>
      <c r="BD27" s="129">
        <f t="shared" si="14"/>
        <v>0</v>
      </c>
      <c r="BE27" s="234"/>
      <c r="BF27" s="41">
        <v>8760</v>
      </c>
      <c r="BG27" s="231">
        <f t="shared" si="19"/>
        <v>0</v>
      </c>
      <c r="BH27" s="10">
        <f t="shared" si="5"/>
        <v>29</v>
      </c>
      <c r="BI27" s="218">
        <v>0</v>
      </c>
      <c r="BJ27" s="221"/>
      <c r="BK27" s="145">
        <f t="shared" si="20"/>
        <v>0</v>
      </c>
      <c r="BL27" s="10">
        <v>7.4999999999999997E-3</v>
      </c>
    </row>
    <row r="28" spans="2:64" s="192" customFormat="1" x14ac:dyDescent="0.2">
      <c r="B28" s="118" t="s">
        <v>147</v>
      </c>
      <c r="C28" s="188" t="s">
        <v>88</v>
      </c>
      <c r="D28" s="13">
        <v>30</v>
      </c>
      <c r="E28" s="12" t="s">
        <v>70</v>
      </c>
      <c r="F28" s="34">
        <v>5</v>
      </c>
      <c r="G28" s="34">
        <v>1</v>
      </c>
      <c r="H28" s="34">
        <f t="shared" si="30"/>
        <v>60</v>
      </c>
      <c r="I28" s="41">
        <f t="shared" si="0"/>
        <v>150</v>
      </c>
      <c r="J28" s="34">
        <f>G28*D28</f>
        <v>30</v>
      </c>
      <c r="K28" s="191">
        <v>9449</v>
      </c>
      <c r="L28" s="175">
        <v>12</v>
      </c>
      <c r="M28" s="227" t="s">
        <v>248</v>
      </c>
      <c r="N28" s="222">
        <f>T28/L28</f>
        <v>0.33611111111111108</v>
      </c>
      <c r="O28" s="223">
        <f t="shared" si="6"/>
        <v>37.874426699999994</v>
      </c>
      <c r="P28" s="128">
        <f t="shared" si="7"/>
        <v>1.8937213349999996E-2</v>
      </c>
      <c r="Q28" s="156">
        <f>SUM(P28:P30)</f>
        <v>5.6343994199999997E-2</v>
      </c>
      <c r="R28" s="175">
        <f t="shared" si="25"/>
        <v>37.874426699999994</v>
      </c>
      <c r="S28" s="205">
        <v>4.3099999999999996</v>
      </c>
      <c r="T28" s="147">
        <f>AVERAGE(S28:S30)</f>
        <v>4.0333333333333332</v>
      </c>
      <c r="U28" s="199">
        <f t="shared" si="16"/>
        <v>9449</v>
      </c>
      <c r="V28" s="41">
        <f t="shared" si="26"/>
        <v>9.2999999999999995E-4</v>
      </c>
      <c r="W28" s="124">
        <v>0.04</v>
      </c>
      <c r="X28" s="228" t="s">
        <v>202</v>
      </c>
      <c r="Y28" s="222">
        <f>AH28/W28</f>
        <v>0.36000000000000004</v>
      </c>
      <c r="Z28" s="126">
        <f t="shared" si="10"/>
        <v>0.53400959999999986</v>
      </c>
      <c r="AA28" s="142">
        <f>SUM(Z28:Z30)</f>
        <v>2.0172527999999996</v>
      </c>
      <c r="AB28" s="122">
        <v>0.26395789679999998</v>
      </c>
      <c r="AC28" s="126">
        <f>SUM(AB28:AB30)</f>
        <v>0.8728423703999999</v>
      </c>
      <c r="AD28" s="41">
        <v>8760</v>
      </c>
      <c r="AE28" s="134">
        <f t="shared" si="15"/>
        <v>0.12191999999999997</v>
      </c>
      <c r="AF28" s="130">
        <f t="shared" si="1"/>
        <v>60</v>
      </c>
      <c r="AG28" s="170">
        <v>1.6299999999999999E-2</v>
      </c>
      <c r="AH28" s="166">
        <f>AVERAGE(AG28:AG30)</f>
        <v>1.4400000000000001E-2</v>
      </c>
      <c r="AI28" s="133">
        <f t="shared" si="17"/>
        <v>1.6299999999999999E-2</v>
      </c>
      <c r="AJ28" s="134">
        <v>0.04</v>
      </c>
      <c r="AK28" s="134">
        <f t="shared" si="18"/>
        <v>0.06</v>
      </c>
      <c r="AL28" s="135">
        <v>2.3E-2</v>
      </c>
      <c r="AM28" s="221">
        <v>4.0000000000000001E-3</v>
      </c>
      <c r="AN28" s="228" t="s">
        <v>248</v>
      </c>
      <c r="AO28" s="222">
        <f>AW28/AM28</f>
        <v>0.21666666666666667</v>
      </c>
      <c r="AP28" s="223">
        <f t="shared" si="11"/>
        <v>10.8405</v>
      </c>
      <c r="AQ28" s="129">
        <f t="shared" si="12"/>
        <v>5.4202500000000006E-3</v>
      </c>
      <c r="AR28" s="156">
        <f>SUM(AQ28:AQ30)</f>
        <v>1.6260750000000001E-2</v>
      </c>
      <c r="AS28" s="41">
        <v>8760</v>
      </c>
      <c r="AT28" s="169">
        <f t="shared" si="2"/>
        <v>1.2375000000000001E-3</v>
      </c>
      <c r="AU28" s="10">
        <f t="shared" si="3"/>
        <v>150</v>
      </c>
      <c r="AV28" s="201">
        <v>1.1000000000000001E-3</v>
      </c>
      <c r="AW28" s="163">
        <f>AVERAGE(AV28:AV30)</f>
        <v>8.6666666666666674E-4</v>
      </c>
      <c r="AX28" s="145">
        <f t="shared" si="4"/>
        <v>1.1000000000000001E-3</v>
      </c>
      <c r="AY28" s="10">
        <v>7.4999999999999997E-3</v>
      </c>
      <c r="AZ28" s="225">
        <v>2.5000000000000001E-2</v>
      </c>
      <c r="BA28" s="228" t="s">
        <v>248</v>
      </c>
      <c r="BB28" s="222">
        <f>BJ28/AZ28</f>
        <v>0.27466666666666667</v>
      </c>
      <c r="BC28" s="223">
        <f t="shared" si="13"/>
        <v>15.5709</v>
      </c>
      <c r="BD28" s="129">
        <f t="shared" si="14"/>
        <v>7.7854500000000002E-3</v>
      </c>
      <c r="BE28" s="156">
        <f>SUM(BD28:BD30)</f>
        <v>2.7791099999999999E-2</v>
      </c>
      <c r="BF28" s="41">
        <v>8760</v>
      </c>
      <c r="BG28" s="231">
        <f t="shared" si="19"/>
        <v>1.7775E-3</v>
      </c>
      <c r="BH28" s="10">
        <f t="shared" si="5"/>
        <v>30</v>
      </c>
      <c r="BI28" s="201">
        <v>7.9000000000000008E-3</v>
      </c>
      <c r="BJ28" s="165">
        <f>AVERAGE(BI28:BI30)</f>
        <v>6.8666666666666668E-3</v>
      </c>
      <c r="BK28" s="145">
        <f t="shared" si="20"/>
        <v>7.9000000000000008E-3</v>
      </c>
      <c r="BL28" s="10">
        <v>7.4999999999999997E-3</v>
      </c>
    </row>
    <row r="29" spans="2:64" s="192" customFormat="1" x14ac:dyDescent="0.2">
      <c r="B29" s="118" t="s">
        <v>147</v>
      </c>
      <c r="C29" s="188" t="s">
        <v>89</v>
      </c>
      <c r="D29" s="13">
        <v>30</v>
      </c>
      <c r="E29" s="12" t="s">
        <v>70</v>
      </c>
      <c r="F29" s="34">
        <v>5</v>
      </c>
      <c r="G29" s="34">
        <v>1</v>
      </c>
      <c r="H29" s="34">
        <f t="shared" si="30"/>
        <v>60</v>
      </c>
      <c r="I29" s="41">
        <f t="shared" si="0"/>
        <v>150</v>
      </c>
      <c r="J29" s="34">
        <f>G29*D29</f>
        <v>30</v>
      </c>
      <c r="K29" s="191">
        <v>8827</v>
      </c>
      <c r="L29" s="175">
        <v>12</v>
      </c>
      <c r="M29" s="227" t="s">
        <v>248</v>
      </c>
      <c r="N29" s="230"/>
      <c r="O29" s="223">
        <f t="shared" si="6"/>
        <v>35.381264099999996</v>
      </c>
      <c r="P29" s="128">
        <f t="shared" si="7"/>
        <v>1.7690632049999998E-2</v>
      </c>
      <c r="Q29" s="156"/>
      <c r="R29" s="175">
        <f t="shared" si="25"/>
        <v>35.381264099999996</v>
      </c>
      <c r="S29" s="205">
        <v>4.3099999999999996</v>
      </c>
      <c r="T29" s="149"/>
      <c r="U29" s="199">
        <f t="shared" si="16"/>
        <v>8827</v>
      </c>
      <c r="V29" s="41">
        <f t="shared" si="26"/>
        <v>9.2999999999999995E-4</v>
      </c>
      <c r="W29" s="124">
        <v>0.04</v>
      </c>
      <c r="X29" s="228" t="s">
        <v>202</v>
      </c>
      <c r="Y29" s="230"/>
      <c r="Z29" s="126">
        <f t="shared" si="10"/>
        <v>0.53295839999999983</v>
      </c>
      <c r="AA29" s="126"/>
      <c r="AB29" s="122">
        <v>0.26233852320000001</v>
      </c>
      <c r="AC29" s="126"/>
      <c r="AD29" s="41">
        <v>8760</v>
      </c>
      <c r="AE29" s="134">
        <f t="shared" si="15"/>
        <v>0.12167999999999998</v>
      </c>
      <c r="AF29" s="130">
        <f t="shared" si="1"/>
        <v>60</v>
      </c>
      <c r="AG29" s="170">
        <v>1.6199999999999999E-2</v>
      </c>
      <c r="AH29" s="160"/>
      <c r="AI29" s="133">
        <f t="shared" si="17"/>
        <v>1.6199999999999999E-2</v>
      </c>
      <c r="AJ29" s="134">
        <v>0.04</v>
      </c>
      <c r="AK29" s="134">
        <f t="shared" si="18"/>
        <v>0.06</v>
      </c>
      <c r="AL29" s="135">
        <v>2.3E-2</v>
      </c>
      <c r="AM29" s="221">
        <v>4.0000000000000001E-3</v>
      </c>
      <c r="AN29" s="228" t="s">
        <v>248</v>
      </c>
      <c r="AO29" s="230"/>
      <c r="AP29" s="223">
        <f t="shared" si="11"/>
        <v>7.8840000000000003</v>
      </c>
      <c r="AQ29" s="129">
        <f t="shared" si="12"/>
        <v>3.9420000000000002E-3</v>
      </c>
      <c r="AR29" s="164"/>
      <c r="AS29" s="41">
        <v>8760</v>
      </c>
      <c r="AT29" s="169">
        <f t="shared" si="2"/>
        <v>9.0000000000000008E-4</v>
      </c>
      <c r="AU29" s="10">
        <f t="shared" si="3"/>
        <v>150</v>
      </c>
      <c r="AV29" s="201">
        <v>8.0000000000000004E-4</v>
      </c>
      <c r="AW29" s="160"/>
      <c r="AX29" s="145">
        <f t="shared" si="4"/>
        <v>8.0000000000000004E-4</v>
      </c>
      <c r="AY29" s="10">
        <v>7.4999999999999997E-3</v>
      </c>
      <c r="AZ29" s="225">
        <v>2.5000000000000001E-2</v>
      </c>
      <c r="BA29" s="228" t="s">
        <v>248</v>
      </c>
      <c r="BB29" s="230"/>
      <c r="BC29" s="223">
        <f t="shared" si="13"/>
        <v>10.052100000000001</v>
      </c>
      <c r="BD29" s="129">
        <f t="shared" si="14"/>
        <v>5.0260500000000007E-3</v>
      </c>
      <c r="BE29" s="164"/>
      <c r="BF29" s="41">
        <v>8760</v>
      </c>
      <c r="BG29" s="231">
        <f t="shared" si="19"/>
        <v>1.1475000000000001E-3</v>
      </c>
      <c r="BH29" s="10">
        <f t="shared" si="5"/>
        <v>30</v>
      </c>
      <c r="BI29" s="201">
        <v>5.1000000000000004E-3</v>
      </c>
      <c r="BJ29" s="160"/>
      <c r="BK29" s="145">
        <f t="shared" si="20"/>
        <v>5.1000000000000004E-3</v>
      </c>
      <c r="BL29" s="10">
        <v>7.4999999999999997E-3</v>
      </c>
    </row>
    <row r="30" spans="2:64" s="192" customFormat="1" x14ac:dyDescent="0.2">
      <c r="B30" s="118" t="s">
        <v>147</v>
      </c>
      <c r="C30" s="188" t="s">
        <v>90</v>
      </c>
      <c r="D30" s="13">
        <v>60</v>
      </c>
      <c r="E30" s="12" t="s">
        <v>70</v>
      </c>
      <c r="F30" s="34">
        <v>5</v>
      </c>
      <c r="G30" s="34">
        <v>1</v>
      </c>
      <c r="H30" s="34">
        <f t="shared" si="30"/>
        <v>120</v>
      </c>
      <c r="I30" s="41">
        <f t="shared" si="0"/>
        <v>300</v>
      </c>
      <c r="J30" s="34">
        <f>G30*D30</f>
        <v>60</v>
      </c>
      <c r="K30" s="191">
        <v>12184</v>
      </c>
      <c r="L30" s="175">
        <v>12</v>
      </c>
      <c r="M30" s="227" t="s">
        <v>248</v>
      </c>
      <c r="N30" s="230"/>
      <c r="O30" s="223">
        <f t="shared" si="6"/>
        <v>39.432297599999998</v>
      </c>
      <c r="P30" s="128">
        <f t="shared" si="7"/>
        <v>1.97161488E-2</v>
      </c>
      <c r="Q30" s="156"/>
      <c r="R30" s="175">
        <f t="shared" si="25"/>
        <v>39.432297599999998</v>
      </c>
      <c r="S30" s="205">
        <v>3.48</v>
      </c>
      <c r="T30" s="149"/>
      <c r="U30" s="199">
        <f t="shared" si="16"/>
        <v>12184</v>
      </c>
      <c r="V30" s="41">
        <f t="shared" si="26"/>
        <v>9.2999999999999995E-4</v>
      </c>
      <c r="W30" s="124">
        <v>0.04</v>
      </c>
      <c r="X30" s="228" t="s">
        <v>202</v>
      </c>
      <c r="Y30" s="230"/>
      <c r="Z30" s="126">
        <f t="shared" si="10"/>
        <v>0.95028479999999993</v>
      </c>
      <c r="AA30" s="126"/>
      <c r="AB30" s="122">
        <v>0.34654595039999997</v>
      </c>
      <c r="AC30" s="126"/>
      <c r="AD30" s="41">
        <v>8760</v>
      </c>
      <c r="AE30" s="134">
        <f t="shared" si="15"/>
        <v>0.21695999999999999</v>
      </c>
      <c r="AF30" s="130">
        <f t="shared" si="1"/>
        <v>120</v>
      </c>
      <c r="AG30" s="170">
        <v>1.0699999999999999E-2</v>
      </c>
      <c r="AH30" s="160"/>
      <c r="AI30" s="133">
        <f t="shared" si="17"/>
        <v>1.0699999999999999E-2</v>
      </c>
      <c r="AJ30" s="134">
        <v>0.04</v>
      </c>
      <c r="AK30" s="134">
        <f t="shared" si="18"/>
        <v>0.06</v>
      </c>
      <c r="AL30" s="135">
        <v>2.3E-2</v>
      </c>
      <c r="AM30" s="221">
        <v>4.0000000000000001E-3</v>
      </c>
      <c r="AN30" s="228" t="s">
        <v>248</v>
      </c>
      <c r="AO30" s="230"/>
      <c r="AP30" s="223">
        <f t="shared" si="11"/>
        <v>13.796999999999999</v>
      </c>
      <c r="AQ30" s="129">
        <f t="shared" si="12"/>
        <v>6.8984999999999993E-3</v>
      </c>
      <c r="AR30" s="164"/>
      <c r="AS30" s="41">
        <v>8760</v>
      </c>
      <c r="AT30" s="169">
        <f t="shared" si="2"/>
        <v>1.5749999999999998E-3</v>
      </c>
      <c r="AU30" s="10">
        <f t="shared" si="3"/>
        <v>300</v>
      </c>
      <c r="AV30" s="201">
        <v>6.9999999999999999E-4</v>
      </c>
      <c r="AW30" s="160"/>
      <c r="AX30" s="145">
        <f t="shared" si="4"/>
        <v>6.9999999999999999E-4</v>
      </c>
      <c r="AY30" s="10">
        <v>7.4999999999999997E-3</v>
      </c>
      <c r="AZ30" s="225">
        <v>2.5000000000000001E-2</v>
      </c>
      <c r="BA30" s="228" t="s">
        <v>248</v>
      </c>
      <c r="BB30" s="230"/>
      <c r="BC30" s="223">
        <f t="shared" si="13"/>
        <v>29.959199999999999</v>
      </c>
      <c r="BD30" s="129">
        <f t="shared" si="14"/>
        <v>1.4979599999999999E-2</v>
      </c>
      <c r="BE30" s="164"/>
      <c r="BF30" s="41">
        <v>8760</v>
      </c>
      <c r="BG30" s="231">
        <f t="shared" si="19"/>
        <v>3.4199999999999999E-3</v>
      </c>
      <c r="BH30" s="10">
        <f t="shared" si="5"/>
        <v>60</v>
      </c>
      <c r="BI30" s="201">
        <v>7.6E-3</v>
      </c>
      <c r="BJ30" s="160"/>
      <c r="BK30" s="145">
        <f t="shared" si="20"/>
        <v>7.6E-3</v>
      </c>
      <c r="BL30" s="10">
        <v>7.4999999999999997E-3</v>
      </c>
    </row>
    <row r="31" spans="2:64" ht="15" x14ac:dyDescent="0.25">
      <c r="X31"/>
    </row>
    <row r="32" spans="2:64" ht="15" x14ac:dyDescent="0.25">
      <c r="X32"/>
    </row>
    <row r="33" spans="24:24" ht="15" x14ac:dyDescent="0.25">
      <c r="X33"/>
    </row>
    <row r="34" spans="24:24" ht="15" x14ac:dyDescent="0.25">
      <c r="X34"/>
    </row>
    <row r="35" spans="24:24" ht="15" x14ac:dyDescent="0.25">
      <c r="X35"/>
    </row>
    <row r="36" spans="24:24" ht="15" x14ac:dyDescent="0.25">
      <c r="X36"/>
    </row>
    <row r="37" spans="24:24" ht="15" x14ac:dyDescent="0.25">
      <c r="X37"/>
    </row>
    <row r="38" spans="24:24" ht="15" x14ac:dyDescent="0.25">
      <c r="X38"/>
    </row>
    <row r="39" spans="24:24" ht="15" x14ac:dyDescent="0.25">
      <c r="X39"/>
    </row>
    <row r="40" spans="24:24" ht="15" x14ac:dyDescent="0.25">
      <c r="X40"/>
    </row>
    <row r="41" spans="24:24" ht="15" x14ac:dyDescent="0.25">
      <c r="X41"/>
    </row>
    <row r="42" spans="24:24" ht="15" x14ac:dyDescent="0.25">
      <c r="X42"/>
    </row>
    <row r="43" spans="24:24" ht="15" x14ac:dyDescent="0.25">
      <c r="X43"/>
    </row>
    <row r="44" spans="24:24" ht="15" x14ac:dyDescent="0.25">
      <c r="X44"/>
    </row>
    <row r="45" spans="24:24" ht="15" x14ac:dyDescent="0.25">
      <c r="X45"/>
    </row>
    <row r="46" spans="24:24" ht="15" x14ac:dyDescent="0.25">
      <c r="X46"/>
    </row>
    <row r="47" spans="24:24" ht="15" x14ac:dyDescent="0.25">
      <c r="X47"/>
    </row>
    <row r="48" spans="24:24" ht="15" x14ac:dyDescent="0.25">
      <c r="X48"/>
    </row>
  </sheetData>
  <autoFilter ref="B3:BL30" xr:uid="{B9D15D55-5E13-4BCF-AA66-6C66902EF48B}"/>
  <sortState xmlns:xlrd2="http://schemas.microsoft.com/office/spreadsheetml/2017/richdata2" ref="X31:X48">
    <sortCondition ref="X31:X48"/>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A94EE-0B2D-4923-9CC2-7102810C0B8D}">
  <dimension ref="B1:AV39"/>
  <sheetViews>
    <sheetView zoomScale="70" zoomScaleNormal="70" workbookViewId="0">
      <pane xSplit="3" ySplit="3" topLeftCell="D4" activePane="bottomRight" state="frozen"/>
      <selection pane="topRight" activeCell="C1" sqref="C1"/>
      <selection pane="bottomLeft" activeCell="A4" sqref="A4"/>
      <selection pane="bottomRight"/>
    </sheetView>
  </sheetViews>
  <sheetFormatPr defaultColWidth="9.140625" defaultRowHeight="12.75" x14ac:dyDescent="0.2"/>
  <cols>
    <col min="1" max="1" width="9.140625" style="1"/>
    <col min="2" max="2" width="21" style="1" bestFit="1" customWidth="1"/>
    <col min="3" max="3" width="21.42578125" style="1" customWidth="1"/>
    <col min="4" max="4" width="12.140625" style="1" customWidth="1"/>
    <col min="5" max="5" width="12.85546875" style="1" customWidth="1"/>
    <col min="6" max="11" width="13.7109375" style="1" customWidth="1"/>
    <col min="12" max="12" width="15.85546875" style="1" customWidth="1"/>
    <col min="13" max="16" width="13.7109375" style="1" customWidth="1"/>
    <col min="17" max="18" width="15" style="1" customWidth="1"/>
    <col min="19" max="19" width="14.5703125" style="1" customWidth="1"/>
    <col min="20" max="20" width="17" style="1" customWidth="1"/>
    <col min="21" max="21" width="17.42578125" style="1" customWidth="1"/>
    <col min="22" max="23" width="19.5703125" style="1" customWidth="1"/>
    <col min="24" max="24" width="18.140625" style="1" customWidth="1"/>
    <col min="25" max="25" width="15.7109375" style="1" customWidth="1"/>
    <col min="26" max="26" width="19.42578125" style="1" customWidth="1"/>
    <col min="27" max="27" width="13.7109375" style="1" customWidth="1"/>
    <col min="28" max="28" width="16" style="1" customWidth="1"/>
    <col min="29" max="29" width="14.85546875" style="1" customWidth="1"/>
    <col min="30" max="35" width="13.7109375" style="1" customWidth="1"/>
    <col min="36" max="36" width="15" style="1" customWidth="1"/>
    <col min="37" max="37" width="14.7109375" style="1" customWidth="1"/>
    <col min="38" max="43" width="13.7109375" style="1" customWidth="1"/>
    <col min="44" max="16384" width="9.140625" style="1"/>
  </cols>
  <sheetData>
    <row r="1" spans="2:48" ht="15" customHeight="1" thickBot="1" x14ac:dyDescent="0.25">
      <c r="B1" s="15"/>
      <c r="C1" s="15"/>
      <c r="D1" s="15" t="s">
        <v>142</v>
      </c>
      <c r="E1" s="15"/>
      <c r="F1" s="15" t="s">
        <v>142</v>
      </c>
      <c r="G1" s="15" t="s">
        <v>142</v>
      </c>
      <c r="H1" s="15" t="s">
        <v>142</v>
      </c>
      <c r="I1" s="15" t="s">
        <v>142</v>
      </c>
      <c r="J1" s="15" t="s">
        <v>142</v>
      </c>
      <c r="K1" s="15" t="s">
        <v>144</v>
      </c>
      <c r="L1" s="16"/>
      <c r="M1" s="16"/>
      <c r="N1" s="16"/>
      <c r="O1" s="16"/>
      <c r="P1" s="16"/>
      <c r="Q1" s="17"/>
      <c r="R1" s="17"/>
      <c r="S1" s="17"/>
      <c r="T1" s="44"/>
      <c r="U1" s="17"/>
      <c r="V1" s="17"/>
      <c r="W1" s="17"/>
      <c r="X1" s="17"/>
      <c r="Y1" s="42"/>
      <c r="Z1" s="42" t="s">
        <v>155</v>
      </c>
      <c r="AA1" s="43"/>
      <c r="AB1" s="18"/>
      <c r="AC1" s="18"/>
      <c r="AD1" s="18"/>
      <c r="AE1" s="18"/>
      <c r="AF1" s="18"/>
      <c r="AG1" s="18"/>
      <c r="AH1" s="18"/>
      <c r="AI1" s="18"/>
      <c r="AJ1" s="19"/>
      <c r="AK1" s="19"/>
      <c r="AL1" s="119"/>
      <c r="AM1" s="119"/>
      <c r="AN1" s="119"/>
      <c r="AO1" s="119"/>
      <c r="AP1" s="119"/>
      <c r="AQ1" s="119"/>
    </row>
    <row r="2" spans="2:48" ht="27" thickBot="1" x14ac:dyDescent="0.3">
      <c r="B2" s="15"/>
      <c r="C2" s="15" t="s">
        <v>95</v>
      </c>
      <c r="D2" s="15" t="s">
        <v>95</v>
      </c>
      <c r="E2" s="15" t="s">
        <v>62</v>
      </c>
      <c r="F2" s="15" t="s">
        <v>95</v>
      </c>
      <c r="G2" s="15" t="s">
        <v>95</v>
      </c>
      <c r="H2" s="15" t="s">
        <v>95</v>
      </c>
      <c r="I2" s="15" t="s">
        <v>95</v>
      </c>
      <c r="J2" s="15" t="s">
        <v>95</v>
      </c>
      <c r="K2" s="15" t="s">
        <v>95</v>
      </c>
      <c r="L2" s="16" t="s">
        <v>149</v>
      </c>
      <c r="M2" s="31" t="s">
        <v>100</v>
      </c>
      <c r="N2" s="31"/>
      <c r="O2" s="31"/>
      <c r="P2" s="31"/>
      <c r="Q2" s="17" t="s">
        <v>149</v>
      </c>
      <c r="R2" s="17"/>
      <c r="S2" s="17"/>
      <c r="T2" s="44" t="s">
        <v>200</v>
      </c>
      <c r="U2" s="32"/>
      <c r="V2" s="32"/>
      <c r="W2" s="32"/>
      <c r="X2" s="32"/>
      <c r="Y2" s="32"/>
      <c r="Z2" s="120">
        <v>0.94</v>
      </c>
      <c r="AA2" s="32"/>
      <c r="AB2" s="18" t="s">
        <v>149</v>
      </c>
      <c r="AC2" s="18"/>
      <c r="AD2" s="29" t="s">
        <v>132</v>
      </c>
      <c r="AE2" s="29"/>
      <c r="AF2" s="29"/>
      <c r="AG2" s="29"/>
      <c r="AH2" s="29"/>
      <c r="AI2" s="29"/>
      <c r="AJ2" s="19" t="s">
        <v>149</v>
      </c>
      <c r="AK2" s="19"/>
      <c r="AL2" s="121" t="s">
        <v>242</v>
      </c>
      <c r="AM2" s="121"/>
      <c r="AN2" s="121"/>
      <c r="AO2" s="121"/>
      <c r="AP2" s="121"/>
      <c r="AQ2" s="121"/>
    </row>
    <row r="3" spans="2:48" ht="65.25" x14ac:dyDescent="0.2">
      <c r="B3" s="15" t="s">
        <v>7</v>
      </c>
      <c r="C3" s="20" t="s">
        <v>63</v>
      </c>
      <c r="D3" s="21" t="s">
        <v>64</v>
      </c>
      <c r="E3" s="21" t="s">
        <v>65</v>
      </c>
      <c r="F3" s="21" t="s">
        <v>101</v>
      </c>
      <c r="G3" s="21" t="s">
        <v>102</v>
      </c>
      <c r="H3" s="21" t="s">
        <v>103</v>
      </c>
      <c r="I3" s="21" t="s">
        <v>104</v>
      </c>
      <c r="J3" s="21" t="s">
        <v>105</v>
      </c>
      <c r="K3" s="21" t="s">
        <v>263</v>
      </c>
      <c r="L3" s="16" t="s">
        <v>148</v>
      </c>
      <c r="M3" s="22" t="s">
        <v>243</v>
      </c>
      <c r="N3" s="22" t="s">
        <v>91</v>
      </c>
      <c r="O3" s="22" t="s">
        <v>97</v>
      </c>
      <c r="P3" s="22" t="s">
        <v>98</v>
      </c>
      <c r="Q3" s="17" t="s">
        <v>150</v>
      </c>
      <c r="R3" s="17" t="s">
        <v>252</v>
      </c>
      <c r="S3" s="24" t="s">
        <v>151</v>
      </c>
      <c r="T3" s="24" t="s">
        <v>126</v>
      </c>
      <c r="U3" s="24" t="s">
        <v>127</v>
      </c>
      <c r="V3" s="24" t="s">
        <v>92</v>
      </c>
      <c r="W3" s="24" t="s">
        <v>262</v>
      </c>
      <c r="X3" s="24" t="s">
        <v>128</v>
      </c>
      <c r="Y3" s="24" t="s">
        <v>129</v>
      </c>
      <c r="Z3" s="24" t="s">
        <v>156</v>
      </c>
      <c r="AA3" s="24" t="s">
        <v>131</v>
      </c>
      <c r="AB3" s="18" t="s">
        <v>152</v>
      </c>
      <c r="AC3" s="25" t="s">
        <v>151</v>
      </c>
      <c r="AD3" s="25" t="s">
        <v>133</v>
      </c>
      <c r="AE3" s="25" t="s">
        <v>134</v>
      </c>
      <c r="AF3" s="25" t="s">
        <v>93</v>
      </c>
      <c r="AG3" s="25" t="s">
        <v>246</v>
      </c>
      <c r="AH3" s="25" t="s">
        <v>135</v>
      </c>
      <c r="AI3" s="25" t="s">
        <v>136</v>
      </c>
      <c r="AJ3" s="19" t="s">
        <v>153</v>
      </c>
      <c r="AK3" s="26" t="s">
        <v>151</v>
      </c>
      <c r="AL3" s="26" t="s">
        <v>244</v>
      </c>
      <c r="AM3" s="26" t="s">
        <v>245</v>
      </c>
      <c r="AN3" s="26" t="s">
        <v>94</v>
      </c>
      <c r="AO3" s="26" t="s">
        <v>246</v>
      </c>
      <c r="AP3" s="26" t="s">
        <v>137</v>
      </c>
      <c r="AQ3" s="26" t="s">
        <v>136</v>
      </c>
    </row>
    <row r="4" spans="2:48" s="206" customFormat="1" x14ac:dyDescent="0.2">
      <c r="B4" s="173" t="s">
        <v>49</v>
      </c>
      <c r="C4" s="173" t="s">
        <v>66</v>
      </c>
      <c r="D4" s="41">
        <v>47</v>
      </c>
      <c r="E4" s="46" t="s">
        <v>67</v>
      </c>
      <c r="F4" s="41">
        <v>4</v>
      </c>
      <c r="G4" s="41">
        <v>1</v>
      </c>
      <c r="H4" s="41">
        <f>47*2</f>
        <v>94</v>
      </c>
      <c r="I4" s="41">
        <f t="shared" ref="I4:I30" si="0">F4*D4</f>
        <v>188</v>
      </c>
      <c r="J4" s="41">
        <v>47</v>
      </c>
      <c r="K4" s="193">
        <v>2978</v>
      </c>
      <c r="L4" s="128">
        <f>M4/2000</f>
        <v>1.02703775E-2</v>
      </c>
      <c r="M4" s="198">
        <f>N4*O4*P4</f>
        <v>20.540755000000001</v>
      </c>
      <c r="N4" s="147">
        <v>7.416666666666667</v>
      </c>
      <c r="O4" s="199">
        <f>K4</f>
        <v>2978</v>
      </c>
      <c r="P4" s="41">
        <f>0.0093/10</f>
        <v>9.2999999999999995E-4</v>
      </c>
      <c r="Q4" s="128">
        <f>T4*S4/2000</f>
        <v>2.0578040080000002E-2</v>
      </c>
      <c r="R4" s="126">
        <f>SUM(Q4:Q7)</f>
        <v>0.71131135322000016</v>
      </c>
      <c r="S4" s="41">
        <v>8760</v>
      </c>
      <c r="T4" s="122">
        <f>U4*X4*Y4+U4*Z4*AA4</f>
        <v>4.6981826666666667E-3</v>
      </c>
      <c r="U4" s="123">
        <f t="shared" ref="U4:U30" si="1">H4</f>
        <v>94</v>
      </c>
      <c r="V4" s="171">
        <v>8.1111111111111108E-4</v>
      </c>
      <c r="W4" s="124">
        <f>AVERAGE(V4:V7)</f>
        <v>4.4062500000000004E-3</v>
      </c>
      <c r="X4" s="125">
        <f>V4</f>
        <v>8.1111111111111108E-4</v>
      </c>
      <c r="Y4" s="126">
        <v>0.04</v>
      </c>
      <c r="Z4" s="127">
        <f t="shared" ref="Z4:Z30" si="2">$Z$2*X4</f>
        <v>7.6244444444444439E-4</v>
      </c>
      <c r="AA4" s="128">
        <v>2.3E-2</v>
      </c>
      <c r="AB4" s="129">
        <f>AD4*AC4/2000</f>
        <v>0</v>
      </c>
      <c r="AC4" s="41">
        <v>8760</v>
      </c>
      <c r="AD4" s="137">
        <f>AE4*AH4*AI4</f>
        <v>0</v>
      </c>
      <c r="AE4" s="46">
        <f>I4</f>
        <v>188</v>
      </c>
      <c r="AF4" s="47">
        <v>0</v>
      </c>
      <c r="AG4" s="162">
        <f>AVERAGE(AF4:AF7)</f>
        <v>2.2916666666666674E-5</v>
      </c>
      <c r="AH4" s="138">
        <f t="shared" ref="AH4:AH30" si="3">AF4</f>
        <v>0</v>
      </c>
      <c r="AI4" s="46">
        <v>7.4999999999999997E-3</v>
      </c>
      <c r="AJ4" s="129">
        <f>AL4*AK4/2000</f>
        <v>2.91635E-4</v>
      </c>
      <c r="AK4" s="41">
        <v>8760</v>
      </c>
      <c r="AL4" s="140">
        <f>AM4*AP4*AQ4</f>
        <v>6.658333333333333E-5</v>
      </c>
      <c r="AM4" s="46">
        <f t="shared" ref="AM4:AM30" si="4">J4</f>
        <v>47</v>
      </c>
      <c r="AN4" s="163">
        <v>1.8888888888888888E-4</v>
      </c>
      <c r="AO4" s="165">
        <f>AVERAGE(AN4:AN7)</f>
        <v>2.4666666666666669E-3</v>
      </c>
      <c r="AP4" s="138">
        <f>AN4</f>
        <v>1.8888888888888888E-4</v>
      </c>
      <c r="AQ4" s="46">
        <v>7.4999999999999997E-3</v>
      </c>
      <c r="AT4" s="207"/>
      <c r="AV4" s="208"/>
    </row>
    <row r="5" spans="2:48" s="206" customFormat="1" x14ac:dyDescent="0.2">
      <c r="B5" s="182" t="s">
        <v>49</v>
      </c>
      <c r="C5" s="47" t="s">
        <v>68</v>
      </c>
      <c r="D5" s="34">
        <v>47</v>
      </c>
      <c r="E5" s="48" t="s">
        <v>67</v>
      </c>
      <c r="F5" s="34">
        <v>4</v>
      </c>
      <c r="G5" s="34">
        <v>1</v>
      </c>
      <c r="H5" s="34">
        <v>94</v>
      </c>
      <c r="I5" s="41">
        <f t="shared" si="0"/>
        <v>188</v>
      </c>
      <c r="J5" s="34">
        <v>47</v>
      </c>
      <c r="K5" s="179"/>
      <c r="L5" s="128">
        <f t="shared" ref="L5:L30" si="5">M5/2000</f>
        <v>1.02703775E-2</v>
      </c>
      <c r="M5" s="198">
        <f t="shared" ref="M5:M7" si="6">N5*O5*P5</f>
        <v>20.540755000000001</v>
      </c>
      <c r="N5" s="148">
        <f>N4</f>
        <v>7.416666666666667</v>
      </c>
      <c r="O5" s="181">
        <f>O4</f>
        <v>2978</v>
      </c>
      <c r="P5" s="41">
        <f t="shared" ref="P5:P7" si="7">0.0093/10</f>
        <v>9.2999999999999995E-4</v>
      </c>
      <c r="Q5" s="128">
        <f t="shared" ref="Q5:Q30" si="8">T5*S5/2000</f>
        <v>2.0578040080000002E-2</v>
      </c>
      <c r="R5" s="126"/>
      <c r="S5" s="41">
        <v>8760</v>
      </c>
      <c r="T5" s="131">
        <f>U5*X5*Y5+U5*Z5*AA5</f>
        <v>4.6981826666666667E-3</v>
      </c>
      <c r="U5" s="130">
        <f t="shared" si="1"/>
        <v>94</v>
      </c>
      <c r="V5" s="196">
        <f>V4</f>
        <v>8.1111111111111108E-4</v>
      </c>
      <c r="W5" s="124"/>
      <c r="X5" s="125">
        <f>V5</f>
        <v>8.1111111111111108E-4</v>
      </c>
      <c r="Y5" s="126">
        <v>0.04</v>
      </c>
      <c r="Z5" s="127">
        <f t="shared" si="2"/>
        <v>7.6244444444444439E-4</v>
      </c>
      <c r="AA5" s="128">
        <v>2.3E-2</v>
      </c>
      <c r="AB5" s="129">
        <f t="shared" ref="AB5:AB30" si="9">AD5*AC5/2000</f>
        <v>0</v>
      </c>
      <c r="AC5" s="41">
        <v>8760</v>
      </c>
      <c r="AD5" s="137">
        <f t="shared" ref="AD5:AD30" si="10">AE5*AH5*AI5</f>
        <v>0</v>
      </c>
      <c r="AE5" s="48">
        <f t="shared" ref="AE5:AE30" si="11">I5</f>
        <v>188</v>
      </c>
      <c r="AF5" s="47">
        <f>AF4</f>
        <v>0</v>
      </c>
      <c r="AG5" s="161"/>
      <c r="AH5" s="138">
        <f t="shared" si="3"/>
        <v>0</v>
      </c>
      <c r="AI5" s="46">
        <v>7.4999999999999997E-3</v>
      </c>
      <c r="AJ5" s="129">
        <f t="shared" ref="AJ5:AJ30" si="12">AL5*AK5/2000</f>
        <v>2.91635E-4</v>
      </c>
      <c r="AK5" s="41">
        <v>8760</v>
      </c>
      <c r="AL5" s="140">
        <f>AM5*AP5*AQ5</f>
        <v>6.658333333333333E-5</v>
      </c>
      <c r="AM5" s="48">
        <f t="shared" si="4"/>
        <v>47</v>
      </c>
      <c r="AN5" s="47">
        <f>AN4</f>
        <v>1.8888888888888888E-4</v>
      </c>
      <c r="AO5" s="161"/>
      <c r="AP5" s="138">
        <f>AN5</f>
        <v>1.8888888888888888E-4</v>
      </c>
      <c r="AQ5" s="46">
        <v>7.4999999999999997E-3</v>
      </c>
      <c r="AT5" s="207"/>
      <c r="AV5" s="209"/>
    </row>
    <row r="6" spans="2:48" s="206" customFormat="1" x14ac:dyDescent="0.2">
      <c r="B6" s="182" t="s">
        <v>49</v>
      </c>
      <c r="C6" s="47" t="s">
        <v>69</v>
      </c>
      <c r="D6" s="34">
        <v>51</v>
      </c>
      <c r="E6" s="48" t="s">
        <v>67</v>
      </c>
      <c r="F6" s="34">
        <v>4</v>
      </c>
      <c r="G6" s="34">
        <v>1</v>
      </c>
      <c r="H6" s="34">
        <v>102</v>
      </c>
      <c r="I6" s="41">
        <f t="shared" si="0"/>
        <v>204</v>
      </c>
      <c r="J6" s="34">
        <v>51</v>
      </c>
      <c r="K6" s="179"/>
      <c r="L6" s="128">
        <f t="shared" si="5"/>
        <v>1.02703775E-2</v>
      </c>
      <c r="M6" s="198">
        <f t="shared" si="6"/>
        <v>20.540755000000001</v>
      </c>
      <c r="N6" s="148">
        <f>N4</f>
        <v>7.416666666666667</v>
      </c>
      <c r="O6" s="181">
        <f>O4</f>
        <v>2978</v>
      </c>
      <c r="P6" s="41">
        <f t="shared" si="7"/>
        <v>9.2999999999999995E-4</v>
      </c>
      <c r="Q6" s="128">
        <f t="shared" si="8"/>
        <v>2.2329362639999996E-2</v>
      </c>
      <c r="R6" s="126"/>
      <c r="S6" s="41">
        <v>8760</v>
      </c>
      <c r="T6" s="131">
        <f t="shared" ref="T6:T30" si="13">U6*X6*Y6+U6*Z6*AA6</f>
        <v>5.0980279999999992E-3</v>
      </c>
      <c r="U6" s="130">
        <f t="shared" si="1"/>
        <v>102</v>
      </c>
      <c r="V6" s="196">
        <f>V4</f>
        <v>8.1111111111111108E-4</v>
      </c>
      <c r="W6" s="124"/>
      <c r="X6" s="125">
        <f>V6</f>
        <v>8.1111111111111108E-4</v>
      </c>
      <c r="Y6" s="126">
        <v>0.04</v>
      </c>
      <c r="Z6" s="127">
        <f t="shared" si="2"/>
        <v>7.6244444444444439E-4</v>
      </c>
      <c r="AA6" s="128">
        <v>2.3E-2</v>
      </c>
      <c r="AB6" s="129">
        <f t="shared" si="9"/>
        <v>0</v>
      </c>
      <c r="AC6" s="41">
        <v>8760</v>
      </c>
      <c r="AD6" s="137">
        <f t="shared" si="10"/>
        <v>0</v>
      </c>
      <c r="AE6" s="48">
        <f t="shared" si="11"/>
        <v>204</v>
      </c>
      <c r="AF6" s="47">
        <f>AF4</f>
        <v>0</v>
      </c>
      <c r="AG6" s="161"/>
      <c r="AH6" s="138">
        <f t="shared" si="3"/>
        <v>0</v>
      </c>
      <c r="AI6" s="46">
        <v>7.4999999999999997E-3</v>
      </c>
      <c r="AJ6" s="129">
        <f t="shared" si="12"/>
        <v>3.1645499999999999E-4</v>
      </c>
      <c r="AK6" s="41">
        <v>8760</v>
      </c>
      <c r="AL6" s="140">
        <f>AM6*AP6*AQ6</f>
        <v>7.2249999999999994E-5</v>
      </c>
      <c r="AM6" s="48">
        <f t="shared" si="4"/>
        <v>51</v>
      </c>
      <c r="AN6" s="47">
        <f>AN4</f>
        <v>1.8888888888888888E-4</v>
      </c>
      <c r="AO6" s="161"/>
      <c r="AP6" s="138">
        <f>AN6</f>
        <v>1.8888888888888888E-4</v>
      </c>
      <c r="AQ6" s="46">
        <v>7.4999999999999997E-3</v>
      </c>
      <c r="AT6" s="207"/>
      <c r="AV6" s="209"/>
    </row>
    <row r="7" spans="2:48" s="206" customFormat="1" x14ac:dyDescent="0.2">
      <c r="B7" s="182" t="s">
        <v>49</v>
      </c>
      <c r="C7" s="182" t="s">
        <v>71</v>
      </c>
      <c r="D7" s="34">
        <v>79</v>
      </c>
      <c r="E7" s="48" t="s">
        <v>67</v>
      </c>
      <c r="F7" s="34">
        <v>4</v>
      </c>
      <c r="G7" s="34">
        <v>2</v>
      </c>
      <c r="H7" s="34">
        <f>79*2</f>
        <v>158</v>
      </c>
      <c r="I7" s="41">
        <f t="shared" si="0"/>
        <v>316</v>
      </c>
      <c r="J7" s="34">
        <v>158</v>
      </c>
      <c r="K7" s="179">
        <v>19623</v>
      </c>
      <c r="L7" s="128">
        <f t="shared" si="5"/>
        <v>3.7418853412500008E-2</v>
      </c>
      <c r="M7" s="198">
        <f t="shared" si="6"/>
        <v>74.837706825000012</v>
      </c>
      <c r="N7" s="148">
        <v>4.100833333333334</v>
      </c>
      <c r="O7" s="199">
        <f t="shared" ref="O7:O30" si="14">K7</f>
        <v>19623</v>
      </c>
      <c r="P7" s="41">
        <f t="shared" si="7"/>
        <v>9.2999999999999995E-4</v>
      </c>
      <c r="Q7" s="126">
        <f t="shared" si="8"/>
        <v>0.64782591042000015</v>
      </c>
      <c r="R7" s="142"/>
      <c r="S7" s="41">
        <v>8760</v>
      </c>
      <c r="T7" s="134">
        <f t="shared" si="13"/>
        <v>0.14790545900000002</v>
      </c>
      <c r="U7" s="130">
        <f t="shared" si="1"/>
        <v>158</v>
      </c>
      <c r="V7" s="132">
        <v>1.5191666666666668E-2</v>
      </c>
      <c r="W7" s="132"/>
      <c r="X7" s="133">
        <f t="shared" ref="X7:X30" si="15">V7</f>
        <v>1.5191666666666668E-2</v>
      </c>
      <c r="Y7" s="134">
        <v>0.04</v>
      </c>
      <c r="Z7" s="127">
        <f t="shared" si="2"/>
        <v>1.4280166666666667E-2</v>
      </c>
      <c r="AA7" s="135">
        <v>2.3E-2</v>
      </c>
      <c r="AB7" s="129">
        <f t="shared" si="9"/>
        <v>9.515550000000003E-4</v>
      </c>
      <c r="AC7" s="41">
        <v>8760</v>
      </c>
      <c r="AD7" s="137">
        <f t="shared" si="10"/>
        <v>2.1725000000000005E-4</v>
      </c>
      <c r="AE7" s="48">
        <f t="shared" si="11"/>
        <v>316</v>
      </c>
      <c r="AF7" s="200">
        <v>9.1666666666666695E-5</v>
      </c>
      <c r="AG7" s="160"/>
      <c r="AH7" s="137">
        <f t="shared" si="3"/>
        <v>9.1666666666666695E-5</v>
      </c>
      <c r="AI7" s="48">
        <v>7.4999999999999997E-3</v>
      </c>
      <c r="AJ7" s="129">
        <f t="shared" si="12"/>
        <v>4.826979E-2</v>
      </c>
      <c r="AK7" s="41">
        <v>8760</v>
      </c>
      <c r="AL7" s="141">
        <f t="shared" ref="AL7:AL30" si="16">AM7*AP7*AQ7</f>
        <v>1.1020500000000001E-2</v>
      </c>
      <c r="AM7" s="48">
        <f t="shared" si="4"/>
        <v>158</v>
      </c>
      <c r="AN7" s="201">
        <v>9.300000000000001E-3</v>
      </c>
      <c r="AO7" s="160"/>
      <c r="AP7" s="139">
        <f t="shared" ref="AP7:AP30" si="17">AN7</f>
        <v>9.300000000000001E-3</v>
      </c>
      <c r="AQ7" s="48">
        <v>7.4999999999999997E-3</v>
      </c>
      <c r="AT7" s="207"/>
      <c r="AV7" s="209"/>
    </row>
    <row r="8" spans="2:48" s="206" customFormat="1" x14ac:dyDescent="0.2">
      <c r="B8" s="182" t="s">
        <v>0</v>
      </c>
      <c r="C8" s="182" t="s">
        <v>72</v>
      </c>
      <c r="D8" s="34">
        <v>76</v>
      </c>
      <c r="E8" s="48" t="s">
        <v>67</v>
      </c>
      <c r="F8" s="34">
        <v>3</v>
      </c>
      <c r="G8" s="34">
        <v>2</v>
      </c>
      <c r="H8" s="34">
        <v>152</v>
      </c>
      <c r="I8" s="41">
        <f t="shared" si="0"/>
        <v>228</v>
      </c>
      <c r="J8" s="34">
        <v>152</v>
      </c>
      <c r="K8" s="179">
        <v>32864</v>
      </c>
      <c r="L8" s="128">
        <f t="shared" si="5"/>
        <v>8.9267511918842107E-2</v>
      </c>
      <c r="M8" s="198">
        <f>N8*O8*P8</f>
        <v>178.53502383768421</v>
      </c>
      <c r="N8" s="148">
        <v>5.8414418181441219</v>
      </c>
      <c r="O8" s="199">
        <f t="shared" si="14"/>
        <v>32864</v>
      </c>
      <c r="P8" s="41">
        <f>0.0093/10</f>
        <v>9.2999999999999995E-4</v>
      </c>
      <c r="Q8" s="126">
        <f t="shared" si="8"/>
        <v>0.70252531923240835</v>
      </c>
      <c r="R8" s="126">
        <f>SUM(Q8)</f>
        <v>0.70252531923240835</v>
      </c>
      <c r="S8" s="41">
        <v>8760</v>
      </c>
      <c r="T8" s="134">
        <f t="shared" si="13"/>
        <v>0.16039390850054985</v>
      </c>
      <c r="U8" s="130">
        <f t="shared" si="1"/>
        <v>152</v>
      </c>
      <c r="V8" s="132">
        <v>1.7124684878942868E-2</v>
      </c>
      <c r="W8" s="132">
        <f>AVERAGE(V8)</f>
        <v>1.7124684878942868E-2</v>
      </c>
      <c r="X8" s="133">
        <f t="shared" si="15"/>
        <v>1.7124684878942868E-2</v>
      </c>
      <c r="Y8" s="134">
        <v>0.04</v>
      </c>
      <c r="Z8" s="127">
        <f t="shared" si="2"/>
        <v>1.6097203786206295E-2</v>
      </c>
      <c r="AA8" s="135">
        <v>2.3E-2</v>
      </c>
      <c r="AB8" s="129">
        <f t="shared" si="9"/>
        <v>3.973754999999999E-4</v>
      </c>
      <c r="AC8" s="41">
        <v>8760</v>
      </c>
      <c r="AD8" s="137">
        <f t="shared" si="10"/>
        <v>9.0724999999999969E-5</v>
      </c>
      <c r="AE8" s="48">
        <f t="shared" si="11"/>
        <v>228</v>
      </c>
      <c r="AF8" s="200">
        <v>5.3055555555555545E-5</v>
      </c>
      <c r="AG8" s="162">
        <f>AVERAGE(AF8)</f>
        <v>5.3055555555555545E-5</v>
      </c>
      <c r="AH8" s="137">
        <f t="shared" si="3"/>
        <v>5.3055555555555545E-5</v>
      </c>
      <c r="AI8" s="48">
        <v>7.4999999999999997E-3</v>
      </c>
      <c r="AJ8" s="129">
        <f t="shared" si="12"/>
        <v>6.9436946268656703E-4</v>
      </c>
      <c r="AK8" s="41">
        <v>8760</v>
      </c>
      <c r="AL8" s="137">
        <f t="shared" si="16"/>
        <v>1.5853184079601989E-4</v>
      </c>
      <c r="AM8" s="48">
        <f t="shared" si="4"/>
        <v>152</v>
      </c>
      <c r="AN8" s="47">
        <v>1.3906301824212272E-4</v>
      </c>
      <c r="AO8" s="163">
        <f>AVERAGE(AN8)</f>
        <v>1.3906301824212272E-4</v>
      </c>
      <c r="AP8" s="139">
        <f t="shared" si="17"/>
        <v>1.3906301824212272E-4</v>
      </c>
      <c r="AQ8" s="48">
        <v>7.4999999999999997E-3</v>
      </c>
      <c r="AT8" s="207"/>
      <c r="AV8" s="209"/>
    </row>
    <row r="9" spans="2:48" s="206" customFormat="1" x14ac:dyDescent="0.2">
      <c r="B9" s="182" t="s">
        <v>34</v>
      </c>
      <c r="C9" s="182" t="s">
        <v>73</v>
      </c>
      <c r="D9" s="34">
        <v>82</v>
      </c>
      <c r="E9" s="48" t="s">
        <v>67</v>
      </c>
      <c r="F9" s="34">
        <v>4</v>
      </c>
      <c r="G9" s="34">
        <v>1</v>
      </c>
      <c r="H9" s="34">
        <v>164</v>
      </c>
      <c r="I9" s="41">
        <f t="shared" si="0"/>
        <v>328</v>
      </c>
      <c r="J9" s="34">
        <v>82</v>
      </c>
      <c r="K9" s="199">
        <v>37874</v>
      </c>
      <c r="L9" s="126">
        <f t="shared" si="5"/>
        <v>0.14774505372499999</v>
      </c>
      <c r="M9" s="198">
        <f t="shared" ref="M9:M12" si="18">N9*O9*P9</f>
        <v>295.49010744999998</v>
      </c>
      <c r="N9" s="143">
        <v>8.3891666666666662</v>
      </c>
      <c r="O9" s="199">
        <f t="shared" si="14"/>
        <v>37874</v>
      </c>
      <c r="P9" s="41">
        <f t="shared" ref="P9:P12" si="19">0.0093/10</f>
        <v>9.2999999999999995E-4</v>
      </c>
      <c r="Q9" s="142">
        <f t="shared" si="8"/>
        <v>1.143075802854562</v>
      </c>
      <c r="R9" s="142">
        <f>SUM(Q9:Q10)</f>
        <v>1.6174142194409491</v>
      </c>
      <c r="S9" s="41">
        <v>8760</v>
      </c>
      <c r="T9" s="134">
        <f t="shared" si="13"/>
        <v>0.26097621069738858</v>
      </c>
      <c r="U9" s="130">
        <f t="shared" si="1"/>
        <v>164</v>
      </c>
      <c r="V9" s="210">
        <v>2.5824705581157192E-2</v>
      </c>
      <c r="W9" s="210">
        <f>AVERAGE(V9:V10)</f>
        <v>1.827054947516641E-2</v>
      </c>
      <c r="X9" s="133">
        <f t="shared" si="15"/>
        <v>2.5824705581157192E-2</v>
      </c>
      <c r="Y9" s="134">
        <v>0.04</v>
      </c>
      <c r="Z9" s="127">
        <f t="shared" si="2"/>
        <v>2.427522324628776E-2</v>
      </c>
      <c r="AA9" s="135">
        <v>2.3E-2</v>
      </c>
      <c r="AB9" s="129">
        <f t="shared" si="9"/>
        <v>5.9292295483870964E-3</v>
      </c>
      <c r="AC9" s="41">
        <v>8760</v>
      </c>
      <c r="AD9" s="137">
        <f>AE9*AH9*AI9</f>
        <v>1.3537053763440859E-3</v>
      </c>
      <c r="AE9" s="48">
        <f t="shared" si="11"/>
        <v>328</v>
      </c>
      <c r="AF9" s="211">
        <v>5.5028673835125447E-4</v>
      </c>
      <c r="AG9" s="163">
        <f>AVERAGE(AF9:AF10)</f>
        <v>7.5353110599078342E-4</v>
      </c>
      <c r="AH9" s="137">
        <f t="shared" si="3"/>
        <v>5.5028673835125447E-4</v>
      </c>
      <c r="AI9" s="48">
        <v>7.4999999999999997E-3</v>
      </c>
      <c r="AJ9" s="129">
        <f t="shared" si="12"/>
        <v>1.3188463127304149E-2</v>
      </c>
      <c r="AK9" s="41">
        <v>8760</v>
      </c>
      <c r="AL9" s="137">
        <f t="shared" si="16"/>
        <v>3.0110646409370204E-3</v>
      </c>
      <c r="AM9" s="48">
        <f t="shared" si="4"/>
        <v>82</v>
      </c>
      <c r="AN9" s="212">
        <v>4.896040066564261E-3</v>
      </c>
      <c r="AO9" s="165">
        <f>AVERAGE(AN9:AN10)</f>
        <v>3.6179000256016391E-3</v>
      </c>
      <c r="AP9" s="139">
        <f t="shared" si="17"/>
        <v>4.896040066564261E-3</v>
      </c>
      <c r="AQ9" s="48">
        <v>7.4999999999999997E-3</v>
      </c>
      <c r="AT9" s="207"/>
      <c r="AV9" s="209"/>
    </row>
    <row r="10" spans="2:48" s="206" customFormat="1" x14ac:dyDescent="0.2">
      <c r="B10" s="182" t="s">
        <v>34</v>
      </c>
      <c r="C10" s="182" t="s">
        <v>74</v>
      </c>
      <c r="D10" s="34">
        <v>82</v>
      </c>
      <c r="E10" s="48" t="s">
        <v>67</v>
      </c>
      <c r="F10" s="34">
        <v>5</v>
      </c>
      <c r="G10" s="34">
        <v>1</v>
      </c>
      <c r="H10" s="34">
        <v>164</v>
      </c>
      <c r="I10" s="41">
        <f t="shared" si="0"/>
        <v>410</v>
      </c>
      <c r="J10" s="34">
        <v>82</v>
      </c>
      <c r="K10" s="199">
        <v>36625</v>
      </c>
      <c r="L10" s="126">
        <f t="shared" si="5"/>
        <v>0.14443224842261906</v>
      </c>
      <c r="M10" s="198">
        <f t="shared" si="18"/>
        <v>288.86449684523814</v>
      </c>
      <c r="N10" s="143">
        <v>8.4807368151561722</v>
      </c>
      <c r="O10" s="199">
        <f t="shared" si="14"/>
        <v>36625</v>
      </c>
      <c r="P10" s="41">
        <f t="shared" si="19"/>
        <v>9.2999999999999995E-4</v>
      </c>
      <c r="Q10" s="126">
        <f t="shared" si="8"/>
        <v>0.47433841658638709</v>
      </c>
      <c r="R10" s="142"/>
      <c r="S10" s="41">
        <v>8760</v>
      </c>
      <c r="T10" s="134">
        <f t="shared" si="13"/>
        <v>0.10829644214301075</v>
      </c>
      <c r="U10" s="130">
        <f t="shared" si="1"/>
        <v>164</v>
      </c>
      <c r="V10" s="210">
        <v>1.0716393369175627E-2</v>
      </c>
      <c r="W10" s="210"/>
      <c r="X10" s="133">
        <f t="shared" si="15"/>
        <v>1.0716393369175627E-2</v>
      </c>
      <c r="Y10" s="134">
        <v>0.04</v>
      </c>
      <c r="Z10" s="127">
        <f t="shared" si="2"/>
        <v>1.0073409767025089E-2</v>
      </c>
      <c r="AA10" s="135">
        <v>2.3E-2</v>
      </c>
      <c r="AB10" s="129">
        <f t="shared" si="9"/>
        <v>1.2886330466589864E-2</v>
      </c>
      <c r="AC10" s="41">
        <v>8760</v>
      </c>
      <c r="AD10" s="137">
        <f>AE10*AH10*AI10</f>
        <v>2.9420845814132107E-3</v>
      </c>
      <c r="AE10" s="48">
        <f t="shared" si="11"/>
        <v>410</v>
      </c>
      <c r="AF10" s="211">
        <v>9.5677547363031247E-4</v>
      </c>
      <c r="AG10" s="221"/>
      <c r="AH10" s="137">
        <f t="shared" si="3"/>
        <v>9.5677547363031247E-4</v>
      </c>
      <c r="AI10" s="48">
        <v>7.4999999999999997E-3</v>
      </c>
      <c r="AJ10" s="129">
        <f t="shared" si="12"/>
        <v>6.3026114706221199E-3</v>
      </c>
      <c r="AK10" s="41">
        <v>8760</v>
      </c>
      <c r="AL10" s="137">
        <f t="shared" si="16"/>
        <v>1.4389523905529954E-3</v>
      </c>
      <c r="AM10" s="48">
        <f t="shared" si="4"/>
        <v>82</v>
      </c>
      <c r="AN10" s="212">
        <v>2.3397599846390169E-3</v>
      </c>
      <c r="AO10" s="221"/>
      <c r="AP10" s="139">
        <f t="shared" si="17"/>
        <v>2.3397599846390169E-3</v>
      </c>
      <c r="AQ10" s="48">
        <v>7.4999999999999997E-3</v>
      </c>
      <c r="AT10" s="207"/>
      <c r="AV10" s="209"/>
    </row>
    <row r="11" spans="2:48" s="206" customFormat="1" x14ac:dyDescent="0.2">
      <c r="B11" s="182" t="s">
        <v>37</v>
      </c>
      <c r="C11" s="182" t="s">
        <v>38</v>
      </c>
      <c r="D11" s="34">
        <v>37</v>
      </c>
      <c r="E11" s="48" t="s">
        <v>67</v>
      </c>
      <c r="F11" s="34">
        <v>4</v>
      </c>
      <c r="G11" s="34">
        <v>2</v>
      </c>
      <c r="H11" s="34">
        <v>74</v>
      </c>
      <c r="I11" s="41">
        <f t="shared" si="0"/>
        <v>148</v>
      </c>
      <c r="J11" s="34">
        <v>74</v>
      </c>
      <c r="K11" s="199">
        <f>27474*D11/(D11+D12)</f>
        <v>18152.464285714286</v>
      </c>
      <c r="L11" s="128">
        <f t="shared" si="5"/>
        <v>3.6957053554822226E-2</v>
      </c>
      <c r="M11" s="202">
        <f t="shared" si="18"/>
        <v>73.914107109644448</v>
      </c>
      <c r="N11" s="143">
        <v>4.3783330613159244</v>
      </c>
      <c r="O11" s="199">
        <f t="shared" si="14"/>
        <v>18152.464285714286</v>
      </c>
      <c r="P11" s="41">
        <f t="shared" si="19"/>
        <v>9.2999999999999995E-4</v>
      </c>
      <c r="Q11" s="128">
        <f t="shared" si="8"/>
        <v>1.7110463768087555E-2</v>
      </c>
      <c r="R11" s="128">
        <f>SUM(Q11:Q12)</f>
        <v>3.1295046497644002E-2</v>
      </c>
      <c r="S11" s="41">
        <v>8760</v>
      </c>
      <c r="T11" s="131">
        <f t="shared" si="13"/>
        <v>3.9064985771889394E-3</v>
      </c>
      <c r="U11" s="130">
        <f t="shared" si="1"/>
        <v>74</v>
      </c>
      <c r="V11" s="213">
        <v>8.567108294930875E-4</v>
      </c>
      <c r="W11" s="215">
        <f>AVERAGE(V11:V12)</f>
        <v>1.1198792722734254E-3</v>
      </c>
      <c r="X11" s="133">
        <f t="shared" si="15"/>
        <v>8.567108294930875E-4</v>
      </c>
      <c r="Y11" s="134">
        <v>0.04</v>
      </c>
      <c r="Z11" s="127">
        <f t="shared" si="2"/>
        <v>8.0530817972350216E-4</v>
      </c>
      <c r="AA11" s="135">
        <v>2.3E-2</v>
      </c>
      <c r="AB11" s="129">
        <f t="shared" si="9"/>
        <v>0</v>
      </c>
      <c r="AC11" s="41">
        <v>8760</v>
      </c>
      <c r="AD11" s="137">
        <f>AE11*AH11*AI11</f>
        <v>0</v>
      </c>
      <c r="AE11" s="48">
        <f t="shared" si="11"/>
        <v>148</v>
      </c>
      <c r="AF11" s="214">
        <v>0</v>
      </c>
      <c r="AG11" s="160">
        <f>AVERAGE(AF11:AF12)</f>
        <v>0</v>
      </c>
      <c r="AH11" s="137">
        <f t="shared" si="3"/>
        <v>0</v>
      </c>
      <c r="AI11" s="48">
        <v>7.4999999999999997E-3</v>
      </c>
      <c r="AJ11" s="129">
        <f t="shared" si="12"/>
        <v>5.6681791935483863E-4</v>
      </c>
      <c r="AK11" s="41">
        <v>8760</v>
      </c>
      <c r="AL11" s="137">
        <f t="shared" si="16"/>
        <v>1.2941048387096773E-4</v>
      </c>
      <c r="AM11" s="48">
        <f t="shared" si="4"/>
        <v>74</v>
      </c>
      <c r="AN11" s="211">
        <v>2.3317204301075267E-4</v>
      </c>
      <c r="AO11" s="163">
        <f>AVERAGE(AN11:AN12)</f>
        <v>2.2759296594982077E-4</v>
      </c>
      <c r="AP11" s="139">
        <f t="shared" si="17"/>
        <v>2.3317204301075267E-4</v>
      </c>
      <c r="AQ11" s="48">
        <v>7.4999999999999997E-3</v>
      </c>
      <c r="AT11" s="207"/>
      <c r="AV11" s="209"/>
    </row>
    <row r="12" spans="2:48" s="206" customFormat="1" x14ac:dyDescent="0.2">
      <c r="B12" s="182" t="s">
        <v>37</v>
      </c>
      <c r="C12" s="182" t="s">
        <v>40</v>
      </c>
      <c r="D12" s="34">
        <v>19</v>
      </c>
      <c r="E12" s="48" t="s">
        <v>67</v>
      </c>
      <c r="F12" s="34">
        <v>4</v>
      </c>
      <c r="G12" s="34">
        <v>2</v>
      </c>
      <c r="H12" s="34">
        <v>38</v>
      </c>
      <c r="I12" s="41">
        <f t="shared" si="0"/>
        <v>76</v>
      </c>
      <c r="J12" s="34">
        <v>38</v>
      </c>
      <c r="K12" s="199">
        <f>27474*D12/(D11+D12)</f>
        <v>9321.5357142857138</v>
      </c>
      <c r="L12" s="128">
        <f t="shared" si="5"/>
        <v>1.8977946420043842E-2</v>
      </c>
      <c r="M12" s="202">
        <f t="shared" si="18"/>
        <v>37.955892840087685</v>
      </c>
      <c r="N12" s="143">
        <v>4.3783330613159244</v>
      </c>
      <c r="O12" s="199">
        <f t="shared" si="14"/>
        <v>9321.5357142857138</v>
      </c>
      <c r="P12" s="41">
        <f t="shared" si="19"/>
        <v>9.2999999999999995E-4</v>
      </c>
      <c r="Q12" s="128">
        <f t="shared" si="8"/>
        <v>1.4184582729556449E-2</v>
      </c>
      <c r="R12" s="122"/>
      <c r="S12" s="41">
        <v>8760</v>
      </c>
      <c r="T12" s="131">
        <f t="shared" si="13"/>
        <v>3.2384892076612899E-3</v>
      </c>
      <c r="U12" s="130">
        <f t="shared" si="1"/>
        <v>38</v>
      </c>
      <c r="V12" s="215">
        <v>1.3830477150537633E-3</v>
      </c>
      <c r="W12" s="215"/>
      <c r="X12" s="133">
        <f t="shared" si="15"/>
        <v>1.3830477150537633E-3</v>
      </c>
      <c r="Y12" s="134">
        <v>0.04</v>
      </c>
      <c r="Z12" s="127">
        <f t="shared" si="2"/>
        <v>1.3000648521505373E-3</v>
      </c>
      <c r="AA12" s="135">
        <v>2.3E-2</v>
      </c>
      <c r="AB12" s="129">
        <f t="shared" si="9"/>
        <v>0</v>
      </c>
      <c r="AC12" s="41">
        <v>8760</v>
      </c>
      <c r="AD12" s="137">
        <f t="shared" si="10"/>
        <v>0</v>
      </c>
      <c r="AE12" s="48">
        <f t="shared" si="11"/>
        <v>76</v>
      </c>
      <c r="AF12" s="214">
        <v>0</v>
      </c>
      <c r="AG12" s="221"/>
      <c r="AH12" s="137">
        <f t="shared" si="3"/>
        <v>0</v>
      </c>
      <c r="AI12" s="48">
        <v>7.4999999999999997E-3</v>
      </c>
      <c r="AJ12" s="129">
        <f t="shared" si="12"/>
        <v>2.7713993749999997E-4</v>
      </c>
      <c r="AK12" s="41">
        <v>8760</v>
      </c>
      <c r="AL12" s="137">
        <f t="shared" si="16"/>
        <v>6.3273958333333333E-5</v>
      </c>
      <c r="AM12" s="48">
        <f t="shared" si="4"/>
        <v>38</v>
      </c>
      <c r="AN12" s="211">
        <v>2.2201388888888886E-4</v>
      </c>
      <c r="AO12" s="221"/>
      <c r="AP12" s="139">
        <f t="shared" si="17"/>
        <v>2.2201388888888886E-4</v>
      </c>
      <c r="AQ12" s="48">
        <v>7.4999999999999997E-3</v>
      </c>
      <c r="AT12" s="207"/>
      <c r="AV12" s="209"/>
    </row>
    <row r="13" spans="2:48" s="206" customFormat="1" x14ac:dyDescent="0.2">
      <c r="B13" s="182" t="s">
        <v>41</v>
      </c>
      <c r="C13" s="182" t="s">
        <v>75</v>
      </c>
      <c r="D13" s="34">
        <v>85</v>
      </c>
      <c r="E13" s="48" t="s">
        <v>67</v>
      </c>
      <c r="F13" s="34">
        <v>3</v>
      </c>
      <c r="G13" s="34">
        <v>2</v>
      </c>
      <c r="H13" s="34">
        <v>170</v>
      </c>
      <c r="I13" s="41">
        <f t="shared" si="0"/>
        <v>255</v>
      </c>
      <c r="J13" s="34">
        <v>170</v>
      </c>
      <c r="K13" s="216">
        <v>35287</v>
      </c>
      <c r="L13" s="128">
        <f t="shared" si="5"/>
        <v>7.4015321073247112E-2</v>
      </c>
      <c r="M13" s="198">
        <f>N13*O13*P13</f>
        <v>148.03064214649422</v>
      </c>
      <c r="N13" s="143">
        <v>4.5108037943393891</v>
      </c>
      <c r="O13" s="199">
        <f t="shared" si="14"/>
        <v>35287</v>
      </c>
      <c r="P13" s="41">
        <f>0.0093/10</f>
        <v>9.2999999999999995E-4</v>
      </c>
      <c r="Q13" s="126">
        <f t="shared" si="8"/>
        <v>0.53919499641936985</v>
      </c>
      <c r="R13" s="126">
        <f>SUM(Q13)</f>
        <v>0.53919499641936985</v>
      </c>
      <c r="S13" s="41">
        <v>8760</v>
      </c>
      <c r="T13" s="134">
        <f t="shared" si="13"/>
        <v>0.12310388046104336</v>
      </c>
      <c r="U13" s="130">
        <f t="shared" si="1"/>
        <v>170</v>
      </c>
      <c r="V13" s="210">
        <v>1.1751711673162205E-2</v>
      </c>
      <c r="W13" s="210">
        <f>AVERAGE(V13)</f>
        <v>1.1751711673162205E-2</v>
      </c>
      <c r="X13" s="133">
        <f t="shared" si="15"/>
        <v>1.1751711673162205E-2</v>
      </c>
      <c r="Y13" s="134">
        <v>0.04</v>
      </c>
      <c r="Z13" s="127">
        <f t="shared" si="2"/>
        <v>1.1046608972772471E-2</v>
      </c>
      <c r="AA13" s="135">
        <v>2.3E-2</v>
      </c>
      <c r="AB13" s="129">
        <f t="shared" si="9"/>
        <v>7.0228576866250038E-3</v>
      </c>
      <c r="AC13" s="41">
        <v>8760</v>
      </c>
      <c r="AD13" s="137">
        <f t="shared" si="10"/>
        <v>1.6033921658961197E-3</v>
      </c>
      <c r="AE13" s="48">
        <f t="shared" si="11"/>
        <v>255</v>
      </c>
      <c r="AF13" s="211">
        <v>8.383749887038534E-4</v>
      </c>
      <c r="AG13" s="163">
        <f>AVERAGE(AF13)</f>
        <v>8.383749887038534E-4</v>
      </c>
      <c r="AH13" s="137">
        <f t="shared" si="3"/>
        <v>8.383749887038534E-4</v>
      </c>
      <c r="AI13" s="48">
        <v>7.4999999999999997E-3</v>
      </c>
      <c r="AJ13" s="129">
        <f t="shared" si="12"/>
        <v>7.2088268324975627E-2</v>
      </c>
      <c r="AK13" s="41">
        <v>8760</v>
      </c>
      <c r="AL13" s="137">
        <f t="shared" si="16"/>
        <v>1.6458508749994435E-2</v>
      </c>
      <c r="AM13" s="48">
        <f t="shared" si="4"/>
        <v>170</v>
      </c>
      <c r="AN13" s="217">
        <v>1.2908634313721126E-2</v>
      </c>
      <c r="AO13" s="166">
        <f>AVERAGE(AN13)</f>
        <v>1.2908634313721126E-2</v>
      </c>
      <c r="AP13" s="139">
        <f t="shared" si="17"/>
        <v>1.2908634313721126E-2</v>
      </c>
      <c r="AQ13" s="48">
        <v>7.4999999999999997E-3</v>
      </c>
      <c r="AT13" s="207"/>
      <c r="AV13" s="209"/>
    </row>
    <row r="14" spans="2:48" s="206" customFormat="1" x14ac:dyDescent="0.2">
      <c r="B14" s="182" t="s">
        <v>43</v>
      </c>
      <c r="C14" s="182" t="s">
        <v>76</v>
      </c>
      <c r="D14" s="34">
        <v>85</v>
      </c>
      <c r="E14" s="48" t="s">
        <v>67</v>
      </c>
      <c r="F14" s="34">
        <v>4</v>
      </c>
      <c r="G14" s="34">
        <v>2</v>
      </c>
      <c r="H14" s="34">
        <v>170</v>
      </c>
      <c r="I14" s="41">
        <f t="shared" si="0"/>
        <v>340</v>
      </c>
      <c r="J14" s="34">
        <v>170</v>
      </c>
      <c r="K14" s="46">
        <v>41617</v>
      </c>
      <c r="L14" s="128">
        <f t="shared" si="5"/>
        <v>3.4785049237500004E-2</v>
      </c>
      <c r="M14" s="198">
        <f>N14*O14*P14</f>
        <v>69.570098475000009</v>
      </c>
      <c r="N14" s="143">
        <v>1.7975000000000001</v>
      </c>
      <c r="O14" s="199">
        <f t="shared" si="14"/>
        <v>41617</v>
      </c>
      <c r="P14" s="41">
        <f>0.0093/10</f>
        <v>9.2999999999999995E-4</v>
      </c>
      <c r="Q14" s="128">
        <f t="shared" si="8"/>
        <v>5.2764589800000004E-2</v>
      </c>
      <c r="R14" s="128">
        <f>SUM(Q14)</f>
        <v>5.2764589800000004E-2</v>
      </c>
      <c r="S14" s="41">
        <v>8760</v>
      </c>
      <c r="T14" s="135">
        <f t="shared" si="13"/>
        <v>1.204671E-2</v>
      </c>
      <c r="U14" s="130">
        <f t="shared" si="1"/>
        <v>170</v>
      </c>
      <c r="V14" s="215">
        <v>1.15E-3</v>
      </c>
      <c r="W14" s="215">
        <f>AVERAGE(V14)</f>
        <v>1.15E-3</v>
      </c>
      <c r="X14" s="133">
        <f t="shared" si="15"/>
        <v>1.15E-3</v>
      </c>
      <c r="Y14" s="134">
        <v>0.04</v>
      </c>
      <c r="Z14" s="127">
        <f t="shared" si="2"/>
        <v>1.0809999999999999E-3</v>
      </c>
      <c r="AA14" s="135">
        <v>2.3E-2</v>
      </c>
      <c r="AB14" s="129">
        <f t="shared" si="9"/>
        <v>1.4892E-3</v>
      </c>
      <c r="AC14" s="41">
        <v>8760</v>
      </c>
      <c r="AD14" s="137">
        <f t="shared" si="10"/>
        <v>3.4000000000000002E-4</v>
      </c>
      <c r="AE14" s="48">
        <f t="shared" si="11"/>
        <v>340</v>
      </c>
      <c r="AF14" s="211">
        <v>1.3333333333333334E-4</v>
      </c>
      <c r="AG14" s="163">
        <f>AVERAGE(AF14)</f>
        <v>1.3333333333333334E-4</v>
      </c>
      <c r="AH14" s="137">
        <f t="shared" si="3"/>
        <v>1.3333333333333334E-4</v>
      </c>
      <c r="AI14" s="48">
        <v>7.4999999999999997E-3</v>
      </c>
      <c r="AJ14" s="129">
        <f t="shared" si="12"/>
        <v>3.7695374999999996E-3</v>
      </c>
      <c r="AK14" s="41">
        <v>8760</v>
      </c>
      <c r="AL14" s="137">
        <f t="shared" si="16"/>
        <v>8.6062499999999995E-4</v>
      </c>
      <c r="AM14" s="48">
        <f t="shared" si="4"/>
        <v>170</v>
      </c>
      <c r="AN14" s="211">
        <v>6.7499999999999993E-4</v>
      </c>
      <c r="AO14" s="163">
        <f>AVERAGE(AN14)</f>
        <v>6.7499999999999993E-4</v>
      </c>
      <c r="AP14" s="139">
        <f t="shared" si="17"/>
        <v>6.7499999999999993E-4</v>
      </c>
      <c r="AQ14" s="48">
        <v>7.4999999999999997E-3</v>
      </c>
      <c r="AT14" s="207"/>
      <c r="AV14" s="209"/>
    </row>
    <row r="15" spans="2:48" s="206" customFormat="1" x14ac:dyDescent="0.2">
      <c r="B15" s="182" t="s">
        <v>3</v>
      </c>
      <c r="C15" s="182" t="s">
        <v>77</v>
      </c>
      <c r="D15" s="34">
        <v>64</v>
      </c>
      <c r="E15" s="48" t="s">
        <v>67</v>
      </c>
      <c r="F15" s="34">
        <v>4</v>
      </c>
      <c r="G15" s="34">
        <v>2</v>
      </c>
      <c r="H15" s="34">
        <f>64*2</f>
        <v>128</v>
      </c>
      <c r="I15" s="41">
        <f t="shared" si="0"/>
        <v>256</v>
      </c>
      <c r="J15" s="34">
        <f>2*64</f>
        <v>128</v>
      </c>
      <c r="K15" s="199">
        <f>63860/3</f>
        <v>21286.666666666668</v>
      </c>
      <c r="L15" s="128">
        <f t="shared" si="5"/>
        <v>2.0942948452579366E-2</v>
      </c>
      <c r="M15" s="198">
        <f t="shared" ref="M15:M30" si="20">N15*O15*P15</f>
        <v>41.885896905158731</v>
      </c>
      <c r="N15" s="143">
        <v>2.1158126600102407</v>
      </c>
      <c r="O15" s="199">
        <f t="shared" si="14"/>
        <v>21286.666666666668</v>
      </c>
      <c r="P15" s="41">
        <f t="shared" ref="P15:P30" si="21">0.0093/10</f>
        <v>9.2999999999999995E-4</v>
      </c>
      <c r="Q15" s="126">
        <f t="shared" si="8"/>
        <v>0.29944995591373269</v>
      </c>
      <c r="R15" s="142">
        <f>SUM(Q15:Q24)</f>
        <v>1.7289032584171242</v>
      </c>
      <c r="S15" s="41">
        <v>8760</v>
      </c>
      <c r="T15" s="135">
        <f t="shared" si="13"/>
        <v>6.8367569843317974E-2</v>
      </c>
      <c r="U15" s="130">
        <f t="shared" si="1"/>
        <v>128</v>
      </c>
      <c r="V15" s="215">
        <v>8.6679915514592948E-3</v>
      </c>
      <c r="W15" s="215">
        <f>AVERAGE(V15:V24)</f>
        <v>4.5857100614439331E-3</v>
      </c>
      <c r="X15" s="133">
        <f t="shared" si="15"/>
        <v>8.6679915514592948E-3</v>
      </c>
      <c r="Y15" s="134">
        <v>0.04</v>
      </c>
      <c r="Z15" s="127">
        <f t="shared" si="2"/>
        <v>8.1479120583717365E-3</v>
      </c>
      <c r="AA15" s="135">
        <v>2.3E-2</v>
      </c>
      <c r="AB15" s="129">
        <f t="shared" si="9"/>
        <v>4.1573264516129037E-4</v>
      </c>
      <c r="AC15" s="41">
        <v>8760</v>
      </c>
      <c r="AD15" s="137">
        <f t="shared" si="10"/>
        <v>9.4916129032258074E-5</v>
      </c>
      <c r="AE15" s="48">
        <f t="shared" si="11"/>
        <v>256</v>
      </c>
      <c r="AF15" s="218">
        <v>4.9435483870967752E-5</v>
      </c>
      <c r="AG15" s="162">
        <f>AVERAGE(AF15:AF24)</f>
        <v>5.4043138760880713E-5</v>
      </c>
      <c r="AH15" s="137">
        <f t="shared" si="3"/>
        <v>4.9435483870967752E-5</v>
      </c>
      <c r="AI15" s="48">
        <v>7.4999999999999997E-3</v>
      </c>
      <c r="AJ15" s="129">
        <f t="shared" si="12"/>
        <v>2.0510594027649775E-2</v>
      </c>
      <c r="AK15" s="41">
        <v>8760</v>
      </c>
      <c r="AL15" s="137">
        <f t="shared" si="16"/>
        <v>4.6827840245775741E-3</v>
      </c>
      <c r="AM15" s="48">
        <f t="shared" si="4"/>
        <v>128</v>
      </c>
      <c r="AN15" s="212">
        <v>4.8779000256016398E-3</v>
      </c>
      <c r="AO15" s="165">
        <f>AVERAGE(AN15:AN24)</f>
        <v>4.2342432155657965E-3</v>
      </c>
      <c r="AP15" s="139">
        <f t="shared" si="17"/>
        <v>4.8779000256016398E-3</v>
      </c>
      <c r="AQ15" s="48">
        <v>7.4999999999999997E-3</v>
      </c>
      <c r="AT15" s="207"/>
      <c r="AV15" s="209"/>
    </row>
    <row r="16" spans="2:48" s="206" customFormat="1" x14ac:dyDescent="0.2">
      <c r="B16" s="182" t="s">
        <v>3</v>
      </c>
      <c r="C16" s="182" t="s">
        <v>40</v>
      </c>
      <c r="D16" s="34">
        <v>64</v>
      </c>
      <c r="E16" s="48" t="s">
        <v>67</v>
      </c>
      <c r="F16" s="34">
        <v>4</v>
      </c>
      <c r="G16" s="34">
        <v>2</v>
      </c>
      <c r="H16" s="34">
        <f>64*2</f>
        <v>128</v>
      </c>
      <c r="I16" s="41">
        <f t="shared" si="0"/>
        <v>256</v>
      </c>
      <c r="J16" s="34">
        <f t="shared" ref="J16:J17" si="22">2*64</f>
        <v>128</v>
      </c>
      <c r="K16" s="199">
        <f t="shared" ref="K16:K17" si="23">63860/3</f>
        <v>21286.666666666668</v>
      </c>
      <c r="L16" s="128">
        <f t="shared" si="5"/>
        <v>2.25055576718254E-2</v>
      </c>
      <c r="M16" s="198">
        <f t="shared" si="20"/>
        <v>45.0111153436508</v>
      </c>
      <c r="N16" s="143">
        <v>2.2736790834613418</v>
      </c>
      <c r="O16" s="199">
        <f t="shared" si="14"/>
        <v>21286.666666666668</v>
      </c>
      <c r="P16" s="41">
        <f t="shared" si="21"/>
        <v>9.2999999999999995E-4</v>
      </c>
      <c r="Q16" s="126">
        <f t="shared" si="8"/>
        <v>0.292902501478636</v>
      </c>
      <c r="R16" s="126"/>
      <c r="S16" s="41">
        <v>8760</v>
      </c>
      <c r="T16" s="135">
        <f t="shared" si="13"/>
        <v>6.6872717232565299E-2</v>
      </c>
      <c r="U16" s="130">
        <f t="shared" si="1"/>
        <v>128</v>
      </c>
      <c r="V16" s="215">
        <v>8.4784664618535593E-3</v>
      </c>
      <c r="W16" s="215"/>
      <c r="X16" s="133">
        <f t="shared" si="15"/>
        <v>8.4784664618535593E-3</v>
      </c>
      <c r="Y16" s="134">
        <v>0.04</v>
      </c>
      <c r="Z16" s="127">
        <f t="shared" si="2"/>
        <v>7.9697584741423456E-3</v>
      </c>
      <c r="AA16" s="135">
        <v>2.3E-2</v>
      </c>
      <c r="AB16" s="129">
        <f t="shared" si="9"/>
        <v>4.4422753917050712E-4</v>
      </c>
      <c r="AC16" s="41">
        <v>8760</v>
      </c>
      <c r="AD16" s="137">
        <f t="shared" si="10"/>
        <v>1.0142181259600619E-4</v>
      </c>
      <c r="AE16" s="48">
        <f t="shared" si="11"/>
        <v>256</v>
      </c>
      <c r="AF16" s="218">
        <v>5.2823860727086561E-5</v>
      </c>
      <c r="AG16" s="221"/>
      <c r="AH16" s="137">
        <f t="shared" si="3"/>
        <v>5.2823860727086561E-5</v>
      </c>
      <c r="AI16" s="48">
        <v>7.4999999999999997E-3</v>
      </c>
      <c r="AJ16" s="129">
        <f t="shared" si="12"/>
        <v>1.6507021050691243E-2</v>
      </c>
      <c r="AK16" s="41">
        <v>8760</v>
      </c>
      <c r="AL16" s="137">
        <f t="shared" si="16"/>
        <v>3.7687262672811061E-3</v>
      </c>
      <c r="AM16" s="48">
        <f t="shared" si="4"/>
        <v>128</v>
      </c>
      <c r="AN16" s="212">
        <v>3.9257565284178189E-3</v>
      </c>
      <c r="AO16" s="221"/>
      <c r="AP16" s="139">
        <f t="shared" si="17"/>
        <v>3.9257565284178189E-3</v>
      </c>
      <c r="AQ16" s="48">
        <v>7.4999999999999997E-3</v>
      </c>
      <c r="AT16" s="207"/>
      <c r="AV16" s="209"/>
    </row>
    <row r="17" spans="2:48" s="206" customFormat="1" x14ac:dyDescent="0.2">
      <c r="B17" s="182" t="s">
        <v>3</v>
      </c>
      <c r="C17" s="182" t="s">
        <v>78</v>
      </c>
      <c r="D17" s="34">
        <v>64</v>
      </c>
      <c r="E17" s="48" t="s">
        <v>67</v>
      </c>
      <c r="F17" s="34">
        <v>4</v>
      </c>
      <c r="G17" s="34">
        <v>2</v>
      </c>
      <c r="H17" s="34">
        <f>64*2</f>
        <v>128</v>
      </c>
      <c r="I17" s="41">
        <f t="shared" si="0"/>
        <v>256</v>
      </c>
      <c r="J17" s="34">
        <f t="shared" si="22"/>
        <v>128</v>
      </c>
      <c r="K17" s="199">
        <f t="shared" si="23"/>
        <v>21286.666666666668</v>
      </c>
      <c r="L17" s="128">
        <f t="shared" si="5"/>
        <v>2.0914345127777779E-2</v>
      </c>
      <c r="M17" s="198">
        <f t="shared" si="20"/>
        <v>41.828690255555557</v>
      </c>
      <c r="N17" s="143">
        <v>2.1129229390681004</v>
      </c>
      <c r="O17" s="199">
        <f t="shared" si="14"/>
        <v>21286.666666666668</v>
      </c>
      <c r="P17" s="41">
        <f t="shared" si="21"/>
        <v>9.2999999999999995E-4</v>
      </c>
      <c r="Q17" s="126">
        <f t="shared" si="8"/>
        <v>0.16123842298691243</v>
      </c>
      <c r="R17" s="142"/>
      <c r="S17" s="41">
        <v>8760</v>
      </c>
      <c r="T17" s="135">
        <f t="shared" si="13"/>
        <v>3.6812425339477726E-2</v>
      </c>
      <c r="U17" s="130">
        <f t="shared" si="1"/>
        <v>128</v>
      </c>
      <c r="V17" s="215">
        <v>4.6672683051715309E-3</v>
      </c>
      <c r="W17" s="215"/>
      <c r="X17" s="133">
        <f t="shared" si="15"/>
        <v>4.6672683051715309E-3</v>
      </c>
      <c r="Y17" s="134">
        <v>0.04</v>
      </c>
      <c r="Z17" s="127">
        <f t="shared" si="2"/>
        <v>4.3872322068612387E-3</v>
      </c>
      <c r="AA17" s="135">
        <v>2.3E-2</v>
      </c>
      <c r="AB17" s="129">
        <f t="shared" si="9"/>
        <v>2.0692438709677424E-4</v>
      </c>
      <c r="AC17" s="41">
        <v>8760</v>
      </c>
      <c r="AD17" s="137">
        <f t="shared" si="10"/>
        <v>4.7243010752688184E-5</v>
      </c>
      <c r="AE17" s="48">
        <f t="shared" si="11"/>
        <v>256</v>
      </c>
      <c r="AF17" s="218">
        <v>2.4605734767025095E-5</v>
      </c>
      <c r="AG17" s="221"/>
      <c r="AH17" s="137">
        <f t="shared" si="3"/>
        <v>2.4605734767025095E-5</v>
      </c>
      <c r="AI17" s="48">
        <v>7.4999999999999997E-3</v>
      </c>
      <c r="AJ17" s="129">
        <f t="shared" si="12"/>
        <v>1.4694984774193549E-2</v>
      </c>
      <c r="AK17" s="41">
        <v>8760</v>
      </c>
      <c r="AL17" s="137">
        <f t="shared" si="16"/>
        <v>3.3550193548387095E-3</v>
      </c>
      <c r="AM17" s="48">
        <f t="shared" si="4"/>
        <v>128</v>
      </c>
      <c r="AN17" s="212">
        <v>3.494811827956989E-3</v>
      </c>
      <c r="AO17" s="221"/>
      <c r="AP17" s="139">
        <f t="shared" si="17"/>
        <v>3.494811827956989E-3</v>
      </c>
      <c r="AQ17" s="48">
        <v>7.4999999999999997E-3</v>
      </c>
      <c r="AT17" s="207"/>
      <c r="AV17" s="209"/>
    </row>
    <row r="18" spans="2:48" s="206" customFormat="1" x14ac:dyDescent="0.2">
      <c r="B18" s="182" t="s">
        <v>3</v>
      </c>
      <c r="C18" s="182" t="s">
        <v>79</v>
      </c>
      <c r="D18" s="34">
        <v>61</v>
      </c>
      <c r="E18" s="48" t="s">
        <v>67</v>
      </c>
      <c r="F18" s="34">
        <v>4</v>
      </c>
      <c r="G18" s="34">
        <v>2</v>
      </c>
      <c r="H18" s="34">
        <f>61*2</f>
        <v>122</v>
      </c>
      <c r="I18" s="41">
        <f t="shared" si="0"/>
        <v>244</v>
      </c>
      <c r="J18" s="34">
        <f>2*61</f>
        <v>122</v>
      </c>
      <c r="K18" s="216">
        <f>39062/2</f>
        <v>19531</v>
      </c>
      <c r="L18" s="128">
        <f t="shared" si="5"/>
        <v>1.6419082174017857E-2</v>
      </c>
      <c r="M18" s="198">
        <f t="shared" si="20"/>
        <v>32.838164348035711</v>
      </c>
      <c r="N18" s="143">
        <v>1.80788767281106</v>
      </c>
      <c r="O18" s="199">
        <f t="shared" si="14"/>
        <v>19531</v>
      </c>
      <c r="P18" s="41">
        <f t="shared" si="21"/>
        <v>9.2999999999999995E-4</v>
      </c>
      <c r="Q18" s="128">
        <f t="shared" si="8"/>
        <v>6.0452697597110604E-2</v>
      </c>
      <c r="R18" s="126"/>
      <c r="S18" s="41">
        <v>8760</v>
      </c>
      <c r="T18" s="135">
        <f t="shared" si="13"/>
        <v>1.3801985752764978E-2</v>
      </c>
      <c r="U18" s="130">
        <f t="shared" si="1"/>
        <v>122</v>
      </c>
      <c r="V18" s="215">
        <v>1.8359466205837174E-3</v>
      </c>
      <c r="W18" s="215"/>
      <c r="X18" s="133">
        <f t="shared" si="15"/>
        <v>1.8359466205837174E-3</v>
      </c>
      <c r="Y18" s="134">
        <v>0.04</v>
      </c>
      <c r="Z18" s="127">
        <f t="shared" si="2"/>
        <v>1.7257898233486943E-3</v>
      </c>
      <c r="AA18" s="135">
        <v>2.3E-2</v>
      </c>
      <c r="AB18" s="129">
        <f t="shared" si="9"/>
        <v>2.5899222580645165E-4</v>
      </c>
      <c r="AC18" s="41">
        <v>8760</v>
      </c>
      <c r="AD18" s="137">
        <f t="shared" si="10"/>
        <v>5.9130645161290329E-5</v>
      </c>
      <c r="AE18" s="48">
        <f t="shared" si="11"/>
        <v>244</v>
      </c>
      <c r="AF18" s="218">
        <v>3.2311827956989254E-5</v>
      </c>
      <c r="AG18" s="221"/>
      <c r="AH18" s="137">
        <f t="shared" si="3"/>
        <v>3.2311827956989254E-5</v>
      </c>
      <c r="AI18" s="48">
        <v>7.4999999999999997E-3</v>
      </c>
      <c r="AJ18" s="129">
        <f t="shared" si="12"/>
        <v>2.0829282003456222E-2</v>
      </c>
      <c r="AK18" s="41">
        <v>8760</v>
      </c>
      <c r="AL18" s="137">
        <f t="shared" si="16"/>
        <v>4.75554383640553E-3</v>
      </c>
      <c r="AM18" s="48">
        <f t="shared" si="4"/>
        <v>122</v>
      </c>
      <c r="AN18" s="212">
        <v>5.1973156682027658E-3</v>
      </c>
      <c r="AO18" s="221"/>
      <c r="AP18" s="139">
        <f t="shared" si="17"/>
        <v>5.1973156682027658E-3</v>
      </c>
      <c r="AQ18" s="48">
        <v>7.4999999999999997E-3</v>
      </c>
      <c r="AT18" s="207"/>
      <c r="AV18" s="209"/>
    </row>
    <row r="19" spans="2:48" s="206" customFormat="1" x14ac:dyDescent="0.2">
      <c r="B19" s="182" t="s">
        <v>3</v>
      </c>
      <c r="C19" s="182" t="s">
        <v>80</v>
      </c>
      <c r="D19" s="34">
        <v>61</v>
      </c>
      <c r="E19" s="48" t="s">
        <v>67</v>
      </c>
      <c r="F19" s="34">
        <v>4</v>
      </c>
      <c r="G19" s="34">
        <v>2</v>
      </c>
      <c r="H19" s="34">
        <f>61*2</f>
        <v>122</v>
      </c>
      <c r="I19" s="41">
        <f t="shared" si="0"/>
        <v>244</v>
      </c>
      <c r="J19" s="34">
        <f t="shared" ref="J19:J20" si="24">2*61</f>
        <v>122</v>
      </c>
      <c r="K19" s="216">
        <f>39062/2</f>
        <v>19531</v>
      </c>
      <c r="L19" s="128">
        <f t="shared" si="5"/>
        <v>1.638469656970238E-2</v>
      </c>
      <c r="M19" s="198">
        <f t="shared" si="20"/>
        <v>32.769393139404762</v>
      </c>
      <c r="N19" s="143">
        <v>1.804101510496672</v>
      </c>
      <c r="O19" s="199">
        <f t="shared" si="14"/>
        <v>19531</v>
      </c>
      <c r="P19" s="41">
        <f t="shared" si="21"/>
        <v>9.2999999999999995E-4</v>
      </c>
      <c r="Q19" s="128">
        <f t="shared" si="8"/>
        <v>7.1157430104668212E-2</v>
      </c>
      <c r="R19" s="126"/>
      <c r="S19" s="41">
        <v>8760</v>
      </c>
      <c r="T19" s="135">
        <f t="shared" si="13"/>
        <v>1.6245988608371738E-2</v>
      </c>
      <c r="U19" s="130">
        <f t="shared" si="1"/>
        <v>122</v>
      </c>
      <c r="V19" s="215">
        <v>2.1610490271377369E-3</v>
      </c>
      <c r="W19" s="215"/>
      <c r="X19" s="133">
        <f t="shared" si="15"/>
        <v>2.1610490271377369E-3</v>
      </c>
      <c r="Y19" s="134">
        <v>0.04</v>
      </c>
      <c r="Z19" s="127">
        <f t="shared" si="2"/>
        <v>2.0313860855094724E-3</v>
      </c>
      <c r="AA19" s="135">
        <v>2.3E-2</v>
      </c>
      <c r="AB19" s="129">
        <f t="shared" si="9"/>
        <v>4.733826290322582E-4</v>
      </c>
      <c r="AC19" s="41">
        <v>8760</v>
      </c>
      <c r="AD19" s="137">
        <f t="shared" si="10"/>
        <v>1.0807822580645164E-4</v>
      </c>
      <c r="AE19" s="48">
        <f t="shared" si="11"/>
        <v>244</v>
      </c>
      <c r="AF19" s="218">
        <v>5.9059139784946251E-5</v>
      </c>
      <c r="AG19" s="221"/>
      <c r="AH19" s="137">
        <f t="shared" si="3"/>
        <v>5.9059139784946251E-5</v>
      </c>
      <c r="AI19" s="48">
        <v>7.4999999999999997E-3</v>
      </c>
      <c r="AJ19" s="129">
        <f t="shared" si="12"/>
        <v>2.1243144233870966E-2</v>
      </c>
      <c r="AK19" s="41">
        <v>8760</v>
      </c>
      <c r="AL19" s="137">
        <f t="shared" si="16"/>
        <v>4.8500329301075272E-3</v>
      </c>
      <c r="AM19" s="48">
        <f t="shared" si="4"/>
        <v>122</v>
      </c>
      <c r="AN19" s="212">
        <v>5.3005824372759861E-3</v>
      </c>
      <c r="AO19" s="221"/>
      <c r="AP19" s="139">
        <f t="shared" si="17"/>
        <v>5.3005824372759861E-3</v>
      </c>
      <c r="AQ19" s="48">
        <v>7.4999999999999997E-3</v>
      </c>
      <c r="AT19" s="207"/>
      <c r="AV19" s="209"/>
    </row>
    <row r="20" spans="2:48" s="206" customFormat="1" x14ac:dyDescent="0.2">
      <c r="B20" s="182" t="s">
        <v>3</v>
      </c>
      <c r="C20" s="182" t="s">
        <v>81</v>
      </c>
      <c r="D20" s="34">
        <v>61</v>
      </c>
      <c r="E20" s="48" t="s">
        <v>67</v>
      </c>
      <c r="F20" s="34">
        <v>4</v>
      </c>
      <c r="G20" s="34">
        <v>2</v>
      </c>
      <c r="H20" s="34">
        <f>61*2</f>
        <v>122</v>
      </c>
      <c r="I20" s="41">
        <f t="shared" si="0"/>
        <v>244</v>
      </c>
      <c r="J20" s="34">
        <f t="shared" si="24"/>
        <v>122</v>
      </c>
      <c r="K20" s="216">
        <v>0</v>
      </c>
      <c r="L20" s="128">
        <f t="shared" si="5"/>
        <v>3.5829101879999999E-2</v>
      </c>
      <c r="M20" s="198">
        <f t="shared" si="20"/>
        <v>71.658203759999992</v>
      </c>
      <c r="N20" s="205">
        <v>3.7679999999999998</v>
      </c>
      <c r="O20" s="199">
        <v>20449</v>
      </c>
      <c r="P20" s="41">
        <f t="shared" si="21"/>
        <v>9.2999999999999995E-4</v>
      </c>
      <c r="Q20" s="126">
        <f t="shared" si="8"/>
        <v>0.12841632647999998</v>
      </c>
      <c r="R20" s="126"/>
      <c r="S20" s="41">
        <v>8760</v>
      </c>
      <c r="T20" s="135">
        <f t="shared" si="13"/>
        <v>2.9318795999999998E-2</v>
      </c>
      <c r="U20" s="130">
        <f t="shared" si="1"/>
        <v>122</v>
      </c>
      <c r="V20" s="170">
        <v>3.8999999999999998E-3</v>
      </c>
      <c r="W20" s="170"/>
      <c r="X20" s="133">
        <f t="shared" si="15"/>
        <v>3.8999999999999998E-3</v>
      </c>
      <c r="Y20" s="134">
        <v>0.04</v>
      </c>
      <c r="Z20" s="127">
        <f t="shared" si="2"/>
        <v>3.6659999999999996E-3</v>
      </c>
      <c r="AA20" s="135">
        <v>2.3E-2</v>
      </c>
      <c r="AB20" s="129">
        <f t="shared" si="9"/>
        <v>0</v>
      </c>
      <c r="AC20" s="41">
        <v>8760</v>
      </c>
      <c r="AD20" s="137">
        <f t="shared" si="10"/>
        <v>0</v>
      </c>
      <c r="AE20" s="48">
        <f t="shared" si="11"/>
        <v>244</v>
      </c>
      <c r="AF20" s="47">
        <v>0</v>
      </c>
      <c r="AG20" s="160"/>
      <c r="AH20" s="137">
        <f t="shared" si="3"/>
        <v>0</v>
      </c>
      <c r="AI20" s="48">
        <v>7.4999999999999997E-3</v>
      </c>
      <c r="AJ20" s="129">
        <f t="shared" si="12"/>
        <v>1.563003E-2</v>
      </c>
      <c r="AK20" s="41">
        <v>8760</v>
      </c>
      <c r="AL20" s="137">
        <f t="shared" si="16"/>
        <v>3.5685000000000001E-3</v>
      </c>
      <c r="AM20" s="48">
        <f t="shared" si="4"/>
        <v>122</v>
      </c>
      <c r="AN20" s="201">
        <v>3.8999999999999998E-3</v>
      </c>
      <c r="AO20" s="160"/>
      <c r="AP20" s="139">
        <f t="shared" si="17"/>
        <v>3.8999999999999998E-3</v>
      </c>
      <c r="AQ20" s="48">
        <v>7.4999999999999997E-3</v>
      </c>
      <c r="AT20" s="207"/>
      <c r="AV20" s="209"/>
    </row>
    <row r="21" spans="2:48" s="206" customFormat="1" x14ac:dyDescent="0.2">
      <c r="B21" s="182" t="s">
        <v>3</v>
      </c>
      <c r="C21" s="182" t="s">
        <v>82</v>
      </c>
      <c r="D21" s="34">
        <v>87</v>
      </c>
      <c r="E21" s="48" t="s">
        <v>67</v>
      </c>
      <c r="F21" s="34">
        <v>4</v>
      </c>
      <c r="G21" s="34">
        <v>2</v>
      </c>
      <c r="H21" s="34">
        <f>87*2</f>
        <v>174</v>
      </c>
      <c r="I21" s="41">
        <f t="shared" si="0"/>
        <v>348</v>
      </c>
      <c r="J21" s="34">
        <f>2*87</f>
        <v>174</v>
      </c>
      <c r="K21" s="216">
        <f>65911/2</f>
        <v>32955.5</v>
      </c>
      <c r="L21" s="128">
        <f t="shared" si="5"/>
        <v>2.7637799539181548E-2</v>
      </c>
      <c r="M21" s="198">
        <f t="shared" si="20"/>
        <v>55.275599078363093</v>
      </c>
      <c r="N21" s="143">
        <v>1.8035268177163337</v>
      </c>
      <c r="O21" s="199">
        <f t="shared" si="14"/>
        <v>32955.5</v>
      </c>
      <c r="P21" s="41">
        <f t="shared" si="21"/>
        <v>9.2999999999999995E-4</v>
      </c>
      <c r="Q21" s="126">
        <f t="shared" si="8"/>
        <v>0.13588892512802769</v>
      </c>
      <c r="R21" s="142"/>
      <c r="S21" s="41">
        <v>8760</v>
      </c>
      <c r="T21" s="135">
        <f t="shared" si="13"/>
        <v>3.1024868750691253E-2</v>
      </c>
      <c r="U21" s="130">
        <f t="shared" si="1"/>
        <v>174</v>
      </c>
      <c r="V21" s="215">
        <v>2.8936034306195602E-3</v>
      </c>
      <c r="W21" s="215"/>
      <c r="X21" s="133">
        <f t="shared" si="15"/>
        <v>2.8936034306195602E-3</v>
      </c>
      <c r="Y21" s="134">
        <v>0.04</v>
      </c>
      <c r="Z21" s="127">
        <f t="shared" si="2"/>
        <v>2.7199872247823864E-3</v>
      </c>
      <c r="AA21" s="135">
        <v>2.3E-2</v>
      </c>
      <c r="AB21" s="129">
        <f t="shared" si="9"/>
        <v>9.544938387096775E-4</v>
      </c>
      <c r="AC21" s="41">
        <v>8760</v>
      </c>
      <c r="AD21" s="137">
        <f t="shared" si="10"/>
        <v>2.179209677419355E-4</v>
      </c>
      <c r="AE21" s="48">
        <f t="shared" si="11"/>
        <v>348</v>
      </c>
      <c r="AF21" s="218">
        <v>8.3494623655913991E-5</v>
      </c>
      <c r="AG21" s="221"/>
      <c r="AH21" s="137">
        <f t="shared" si="3"/>
        <v>8.3494623655913991E-5</v>
      </c>
      <c r="AI21" s="48">
        <v>7.4999999999999997E-3</v>
      </c>
      <c r="AJ21" s="129">
        <f t="shared" si="12"/>
        <v>3.3156061330645158E-2</v>
      </c>
      <c r="AK21" s="41">
        <v>8760</v>
      </c>
      <c r="AL21" s="137">
        <f t="shared" si="16"/>
        <v>7.5698770161290313E-3</v>
      </c>
      <c r="AM21" s="48">
        <f t="shared" si="4"/>
        <v>174</v>
      </c>
      <c r="AN21" s="212">
        <v>5.8006720430107527E-3</v>
      </c>
      <c r="AO21" s="221"/>
      <c r="AP21" s="139">
        <f t="shared" si="17"/>
        <v>5.8006720430107527E-3</v>
      </c>
      <c r="AQ21" s="48">
        <v>7.4999999999999997E-3</v>
      </c>
      <c r="AT21" s="207"/>
      <c r="AV21" s="209"/>
    </row>
    <row r="22" spans="2:48" s="206" customFormat="1" x14ac:dyDescent="0.2">
      <c r="B22" s="182" t="s">
        <v>3</v>
      </c>
      <c r="C22" s="182" t="s">
        <v>83</v>
      </c>
      <c r="D22" s="34">
        <v>87</v>
      </c>
      <c r="E22" s="48" t="s">
        <v>67</v>
      </c>
      <c r="F22" s="34">
        <v>4</v>
      </c>
      <c r="G22" s="34">
        <v>2</v>
      </c>
      <c r="H22" s="34">
        <f>87*2</f>
        <v>174</v>
      </c>
      <c r="I22" s="41">
        <f t="shared" si="0"/>
        <v>348</v>
      </c>
      <c r="J22" s="34">
        <f>2*87</f>
        <v>174</v>
      </c>
      <c r="K22" s="216">
        <f>65911/2</f>
        <v>32955.5</v>
      </c>
      <c r="L22" s="128">
        <f t="shared" si="5"/>
        <v>2.7203337178333321E-2</v>
      </c>
      <c r="M22" s="198">
        <f t="shared" si="20"/>
        <v>54.406674356666642</v>
      </c>
      <c r="N22" s="143">
        <v>1.7751756272401427</v>
      </c>
      <c r="O22" s="199">
        <f t="shared" si="14"/>
        <v>32955.5</v>
      </c>
      <c r="P22" s="41">
        <f t="shared" si="21"/>
        <v>9.2999999999999995E-4</v>
      </c>
      <c r="Q22" s="126">
        <f t="shared" si="8"/>
        <v>0.13547088545007369</v>
      </c>
      <c r="R22" s="142"/>
      <c r="S22" s="41">
        <v>8760</v>
      </c>
      <c r="T22" s="135">
        <f t="shared" si="13"/>
        <v>3.0929425901843308E-2</v>
      </c>
      <c r="U22" s="130">
        <f t="shared" si="1"/>
        <v>174</v>
      </c>
      <c r="V22" s="215">
        <v>2.8847017409114177E-3</v>
      </c>
      <c r="W22" s="215"/>
      <c r="X22" s="133">
        <f t="shared" si="15"/>
        <v>2.8847017409114177E-3</v>
      </c>
      <c r="Y22" s="134">
        <v>0.04</v>
      </c>
      <c r="Z22" s="127">
        <f t="shared" si="2"/>
        <v>2.7116196364567326E-3</v>
      </c>
      <c r="AA22" s="135">
        <v>2.3E-2</v>
      </c>
      <c r="AB22" s="129">
        <f t="shared" si="9"/>
        <v>9.6040582949308794E-4</v>
      </c>
      <c r="AC22" s="41">
        <v>8760</v>
      </c>
      <c r="AD22" s="137">
        <f t="shared" si="10"/>
        <v>2.1927073732718903E-4</v>
      </c>
      <c r="AE22" s="48">
        <f t="shared" si="11"/>
        <v>348</v>
      </c>
      <c r="AF22" s="218">
        <v>8.4011776753712273E-5</v>
      </c>
      <c r="AG22" s="221"/>
      <c r="AH22" s="137">
        <f t="shared" si="3"/>
        <v>8.4011776753712273E-5</v>
      </c>
      <c r="AI22" s="48">
        <v>7.4999999999999997E-3</v>
      </c>
      <c r="AJ22" s="129">
        <f t="shared" si="12"/>
        <v>3.5257452114055295E-2</v>
      </c>
      <c r="AK22" s="41">
        <v>8760</v>
      </c>
      <c r="AL22" s="137">
        <f t="shared" si="16"/>
        <v>8.0496466013824878E-3</v>
      </c>
      <c r="AM22" s="48">
        <f t="shared" si="4"/>
        <v>174</v>
      </c>
      <c r="AN22" s="212">
        <v>6.1683115719406035E-3</v>
      </c>
      <c r="AO22" s="221"/>
      <c r="AP22" s="139">
        <f t="shared" si="17"/>
        <v>6.1683115719406035E-3</v>
      </c>
      <c r="AQ22" s="48">
        <v>7.4999999999999997E-3</v>
      </c>
      <c r="AT22" s="207"/>
      <c r="AV22" s="209"/>
    </row>
    <row r="23" spans="2:48" s="206" customFormat="1" x14ac:dyDescent="0.2">
      <c r="B23" s="182" t="s">
        <v>3</v>
      </c>
      <c r="C23" s="182" t="s">
        <v>4</v>
      </c>
      <c r="D23" s="34">
        <v>75</v>
      </c>
      <c r="E23" s="48" t="s">
        <v>67</v>
      </c>
      <c r="F23" s="34">
        <v>4</v>
      </c>
      <c r="G23" s="34">
        <v>2</v>
      </c>
      <c r="H23" s="34">
        <f>75*2</f>
        <v>150</v>
      </c>
      <c r="I23" s="41">
        <f t="shared" si="0"/>
        <v>300</v>
      </c>
      <c r="J23" s="34">
        <f>2*75</f>
        <v>150</v>
      </c>
      <c r="K23" s="216">
        <v>31342</v>
      </c>
      <c r="L23" s="128">
        <f t="shared" si="5"/>
        <v>4.2396648946369055E-2</v>
      </c>
      <c r="M23" s="198">
        <f t="shared" si="20"/>
        <v>84.79329789273811</v>
      </c>
      <c r="N23" s="143">
        <v>2.909054595494112</v>
      </c>
      <c r="O23" s="199">
        <f t="shared" si="14"/>
        <v>31342</v>
      </c>
      <c r="P23" s="41">
        <f t="shared" si="21"/>
        <v>9.2999999999999995E-4</v>
      </c>
      <c r="Q23" s="126">
        <f t="shared" si="8"/>
        <v>0.2182320992578341</v>
      </c>
      <c r="R23" s="126"/>
      <c r="S23" s="41">
        <v>8760</v>
      </c>
      <c r="T23" s="135">
        <f t="shared" si="13"/>
        <v>4.9824680195852539E-2</v>
      </c>
      <c r="U23" s="130">
        <f t="shared" si="1"/>
        <v>150</v>
      </c>
      <c r="V23" s="215">
        <v>5.3905312339989761E-3</v>
      </c>
      <c r="W23" s="215"/>
      <c r="X23" s="133">
        <f t="shared" si="15"/>
        <v>5.3905312339989761E-3</v>
      </c>
      <c r="Y23" s="134">
        <v>0.04</v>
      </c>
      <c r="Z23" s="127">
        <f t="shared" si="2"/>
        <v>5.0670993599590368E-3</v>
      </c>
      <c r="AA23" s="135">
        <v>2.3E-2</v>
      </c>
      <c r="AB23" s="129">
        <f t="shared" si="9"/>
        <v>2.8470000000000004E-4</v>
      </c>
      <c r="AC23" s="41">
        <v>8760</v>
      </c>
      <c r="AD23" s="137">
        <f t="shared" si="10"/>
        <v>6.5000000000000008E-5</v>
      </c>
      <c r="AE23" s="48">
        <f t="shared" si="11"/>
        <v>300</v>
      </c>
      <c r="AF23" s="218">
        <v>2.8888888888888892E-5</v>
      </c>
      <c r="AG23" s="221"/>
      <c r="AH23" s="137">
        <f t="shared" si="3"/>
        <v>2.8888888888888892E-5</v>
      </c>
      <c r="AI23" s="48">
        <v>7.4999999999999997E-3</v>
      </c>
      <c r="AJ23" s="129">
        <f t="shared" si="12"/>
        <v>1.3421908885368665E-2</v>
      </c>
      <c r="AK23" s="41">
        <v>8760</v>
      </c>
      <c r="AL23" s="137">
        <f t="shared" si="16"/>
        <v>3.0643627592165904E-3</v>
      </c>
      <c r="AM23" s="48">
        <f t="shared" si="4"/>
        <v>150</v>
      </c>
      <c r="AN23" s="212">
        <v>2.7238780081925247E-3</v>
      </c>
      <c r="AO23" s="221"/>
      <c r="AP23" s="139">
        <f t="shared" si="17"/>
        <v>2.7238780081925247E-3</v>
      </c>
      <c r="AQ23" s="48">
        <v>7.4999999999999997E-3</v>
      </c>
      <c r="AT23" s="207"/>
      <c r="AV23" s="209"/>
    </row>
    <row r="24" spans="2:48" s="206" customFormat="1" x14ac:dyDescent="0.2">
      <c r="B24" s="182" t="s">
        <v>3</v>
      </c>
      <c r="C24" s="182" t="s">
        <v>84</v>
      </c>
      <c r="D24" s="34">
        <v>84</v>
      </c>
      <c r="E24" s="48" t="s">
        <v>67</v>
      </c>
      <c r="F24" s="34">
        <v>5</v>
      </c>
      <c r="G24" s="34">
        <v>1</v>
      </c>
      <c r="H24" s="34">
        <f>84*2</f>
        <v>168</v>
      </c>
      <c r="I24" s="41">
        <f t="shared" si="0"/>
        <v>420</v>
      </c>
      <c r="J24" s="34">
        <v>84</v>
      </c>
      <c r="K24" s="216">
        <v>35774</v>
      </c>
      <c r="L24" s="126">
        <f t="shared" si="5"/>
        <v>5.8480321027559512E-2</v>
      </c>
      <c r="M24" s="198">
        <f t="shared" si="20"/>
        <v>116.96064205511902</v>
      </c>
      <c r="N24" s="143">
        <v>3.5155177291346642</v>
      </c>
      <c r="O24" s="199">
        <f t="shared" si="14"/>
        <v>35774</v>
      </c>
      <c r="P24" s="41">
        <f t="shared" si="21"/>
        <v>9.2999999999999995E-4</v>
      </c>
      <c r="Q24" s="126">
        <f t="shared" si="8"/>
        <v>0.22569401402012895</v>
      </c>
      <c r="R24" s="142"/>
      <c r="S24" s="41">
        <v>8760</v>
      </c>
      <c r="T24" s="135">
        <f t="shared" si="13"/>
        <v>5.1528313703225789E-2</v>
      </c>
      <c r="U24" s="130">
        <f t="shared" si="1"/>
        <v>168</v>
      </c>
      <c r="V24" s="215">
        <v>4.9775422427035323E-3</v>
      </c>
      <c r="W24" s="215"/>
      <c r="X24" s="133">
        <f t="shared" si="15"/>
        <v>4.9775422427035323E-3</v>
      </c>
      <c r="Y24" s="134">
        <v>0.04</v>
      </c>
      <c r="Z24" s="127">
        <f t="shared" si="2"/>
        <v>4.6788897081413202E-3</v>
      </c>
      <c r="AA24" s="135">
        <v>2.3E-2</v>
      </c>
      <c r="AB24" s="129">
        <f t="shared" si="9"/>
        <v>1.7356633064516131E-3</v>
      </c>
      <c r="AC24" s="41">
        <v>8760</v>
      </c>
      <c r="AD24" s="137">
        <f t="shared" si="10"/>
        <v>3.9627016129032262E-4</v>
      </c>
      <c r="AE24" s="48">
        <f t="shared" si="11"/>
        <v>420</v>
      </c>
      <c r="AF24" s="211">
        <v>1.2580005120327702E-4</v>
      </c>
      <c r="AG24" s="221"/>
      <c r="AH24" s="137">
        <f t="shared" si="3"/>
        <v>1.2580005120327702E-4</v>
      </c>
      <c r="AI24" s="48">
        <v>7.4999999999999997E-3</v>
      </c>
      <c r="AJ24" s="129">
        <f t="shared" si="12"/>
        <v>2.6302712419354851E-3</v>
      </c>
      <c r="AK24" s="41">
        <v>8760</v>
      </c>
      <c r="AL24" s="137">
        <f t="shared" si="16"/>
        <v>6.0051854838709699E-4</v>
      </c>
      <c r="AM24" s="48">
        <f t="shared" si="4"/>
        <v>84</v>
      </c>
      <c r="AN24" s="211">
        <v>9.5320404505888417E-4</v>
      </c>
      <c r="AO24" s="221"/>
      <c r="AP24" s="139">
        <f t="shared" si="17"/>
        <v>9.5320404505888417E-4</v>
      </c>
      <c r="AQ24" s="48">
        <v>7.4999999999999997E-3</v>
      </c>
      <c r="AT24" s="207"/>
      <c r="AV24" s="209"/>
    </row>
    <row r="25" spans="2:48" s="206" customFormat="1" x14ac:dyDescent="0.2">
      <c r="B25" s="118" t="s">
        <v>85</v>
      </c>
      <c r="C25" s="188" t="s">
        <v>86</v>
      </c>
      <c r="D25" s="13">
        <v>78</v>
      </c>
      <c r="E25" s="12" t="s">
        <v>70</v>
      </c>
      <c r="F25" s="41">
        <v>4</v>
      </c>
      <c r="G25" s="41">
        <v>1</v>
      </c>
      <c r="H25" s="34">
        <f t="shared" ref="H25:H30" si="25">D25*2</f>
        <v>156</v>
      </c>
      <c r="I25" s="41">
        <f t="shared" si="0"/>
        <v>312</v>
      </c>
      <c r="J25" s="41">
        <v>78</v>
      </c>
      <c r="K25" s="46">
        <v>21735</v>
      </c>
      <c r="L25" s="128">
        <f t="shared" si="5"/>
        <v>4.5084638812499987E-2</v>
      </c>
      <c r="M25" s="198">
        <f>N25*O25*P25</f>
        <v>90.169277624999978</v>
      </c>
      <c r="N25" s="180">
        <v>4.4608333333333325</v>
      </c>
      <c r="O25" s="199">
        <f t="shared" si="14"/>
        <v>21735</v>
      </c>
      <c r="P25" s="41">
        <f t="shared" si="21"/>
        <v>9.2999999999999995E-4</v>
      </c>
      <c r="Q25" s="142">
        <f t="shared" si="8"/>
        <v>1.0252254261599998</v>
      </c>
      <c r="R25" s="142">
        <f>SUM(Q25:Q27)</f>
        <v>1.0404232473959998</v>
      </c>
      <c r="S25" s="41">
        <v>8760</v>
      </c>
      <c r="T25" s="134">
        <f t="shared" si="13"/>
        <v>0.23406973199999997</v>
      </c>
      <c r="U25" s="130">
        <f t="shared" si="1"/>
        <v>156</v>
      </c>
      <c r="V25" s="210">
        <v>2.435E-2</v>
      </c>
      <c r="W25" s="215">
        <f>AVERAGE(V25:V27)</f>
        <v>8.4705555555555558E-3</v>
      </c>
      <c r="X25" s="133">
        <f t="shared" si="15"/>
        <v>2.435E-2</v>
      </c>
      <c r="Y25" s="134">
        <v>0.04</v>
      </c>
      <c r="Z25" s="127">
        <f t="shared" si="2"/>
        <v>2.2889E-2</v>
      </c>
      <c r="AA25" s="135">
        <v>2.3E-2</v>
      </c>
      <c r="AB25" s="129">
        <f t="shared" si="9"/>
        <v>2.3914800000000001E-3</v>
      </c>
      <c r="AC25" s="41">
        <v>8760</v>
      </c>
      <c r="AD25" s="137">
        <f t="shared" si="10"/>
        <v>5.4600000000000004E-4</v>
      </c>
      <c r="AE25" s="48">
        <f t="shared" si="11"/>
        <v>312</v>
      </c>
      <c r="AF25" s="211">
        <v>2.3333333333333333E-4</v>
      </c>
      <c r="AG25" s="163">
        <f>AVERAGE(AF25:AF27)</f>
        <v>1.4166666666666668E-4</v>
      </c>
      <c r="AH25" s="137">
        <f t="shared" si="3"/>
        <v>2.3333333333333333E-4</v>
      </c>
      <c r="AI25" s="48">
        <v>7.4999999999999997E-3</v>
      </c>
      <c r="AJ25" s="129">
        <f t="shared" si="12"/>
        <v>6.7260374999999996E-5</v>
      </c>
      <c r="AK25" s="41">
        <v>8760</v>
      </c>
      <c r="AL25" s="137">
        <f t="shared" si="16"/>
        <v>1.5356250000000001E-5</v>
      </c>
      <c r="AM25" s="48">
        <f t="shared" si="4"/>
        <v>78</v>
      </c>
      <c r="AN25" s="218">
        <v>2.6250000000000001E-5</v>
      </c>
      <c r="AO25" s="162">
        <f>AVERAGE(AN25:AN27)</f>
        <v>6.1472222222222215E-5</v>
      </c>
      <c r="AP25" s="137">
        <f t="shared" si="17"/>
        <v>2.6250000000000001E-5</v>
      </c>
      <c r="AQ25" s="48">
        <v>7.4999999999999997E-3</v>
      </c>
      <c r="AT25" s="207"/>
      <c r="AV25" s="209"/>
    </row>
    <row r="26" spans="2:48" s="206" customFormat="1" x14ac:dyDescent="0.2">
      <c r="B26" s="48" t="s">
        <v>85</v>
      </c>
      <c r="C26" s="188" t="s">
        <v>76</v>
      </c>
      <c r="D26" s="13">
        <v>25</v>
      </c>
      <c r="E26" s="12" t="s">
        <v>70</v>
      </c>
      <c r="F26" s="34">
        <v>5</v>
      </c>
      <c r="G26" s="34">
        <v>1</v>
      </c>
      <c r="H26" s="34">
        <f t="shared" si="25"/>
        <v>50</v>
      </c>
      <c r="I26" s="41">
        <f t="shared" si="0"/>
        <v>125</v>
      </c>
      <c r="J26" s="34">
        <v>25</v>
      </c>
      <c r="K26" s="48">
        <v>5140</v>
      </c>
      <c r="L26" s="128">
        <f t="shared" si="5"/>
        <v>1.1613894249999999E-2</v>
      </c>
      <c r="M26" s="198">
        <f>N26*O26*P26</f>
        <v>23.227788499999999</v>
      </c>
      <c r="N26" s="180">
        <v>4.8591666666666669</v>
      </c>
      <c r="O26" s="199">
        <f t="shared" si="14"/>
        <v>5140</v>
      </c>
      <c r="P26" s="41">
        <f t="shared" si="21"/>
        <v>9.2999999999999995E-4</v>
      </c>
      <c r="Q26" s="122">
        <f t="shared" si="8"/>
        <v>8.8840634999999991E-3</v>
      </c>
      <c r="R26" s="126"/>
      <c r="S26" s="41">
        <v>8760</v>
      </c>
      <c r="T26" s="131">
        <f t="shared" si="13"/>
        <v>2.0283250000000001E-3</v>
      </c>
      <c r="U26" s="130">
        <f t="shared" si="1"/>
        <v>50</v>
      </c>
      <c r="V26" s="213">
        <v>6.5833333333333336E-4</v>
      </c>
      <c r="W26" s="215"/>
      <c r="X26" s="133">
        <f t="shared" si="15"/>
        <v>6.5833333333333336E-4</v>
      </c>
      <c r="Y26" s="134">
        <v>0.04</v>
      </c>
      <c r="Z26" s="127">
        <f t="shared" si="2"/>
        <v>6.1883333333333332E-4</v>
      </c>
      <c r="AA26" s="135">
        <v>2.3E-2</v>
      </c>
      <c r="AB26" s="129">
        <f t="shared" si="9"/>
        <v>4.1062500000000002E-4</v>
      </c>
      <c r="AC26" s="41">
        <v>8760</v>
      </c>
      <c r="AD26" s="137">
        <f t="shared" si="10"/>
        <v>9.3750000000000002E-5</v>
      </c>
      <c r="AE26" s="48">
        <f t="shared" si="11"/>
        <v>125</v>
      </c>
      <c r="AF26" s="211">
        <v>1E-4</v>
      </c>
      <c r="AG26" s="221"/>
      <c r="AH26" s="137">
        <f t="shared" si="3"/>
        <v>1E-4</v>
      </c>
      <c r="AI26" s="48">
        <v>7.4999999999999997E-3</v>
      </c>
      <c r="AJ26" s="129">
        <f t="shared" si="12"/>
        <v>1.2989437500000002E-4</v>
      </c>
      <c r="AK26" s="41">
        <v>8760</v>
      </c>
      <c r="AL26" s="137">
        <f t="shared" si="16"/>
        <v>2.9656249999999999E-5</v>
      </c>
      <c r="AM26" s="48">
        <f t="shared" si="4"/>
        <v>25</v>
      </c>
      <c r="AN26" s="211">
        <v>1.5816666666666667E-4</v>
      </c>
      <c r="AO26" s="221"/>
      <c r="AP26" s="139">
        <f t="shared" si="17"/>
        <v>1.5816666666666667E-4</v>
      </c>
      <c r="AQ26" s="48">
        <v>7.4999999999999997E-3</v>
      </c>
      <c r="AT26" s="207"/>
      <c r="AV26" s="209"/>
    </row>
    <row r="27" spans="2:48" s="206" customFormat="1" x14ac:dyDescent="0.2">
      <c r="B27" s="48" t="s">
        <v>85</v>
      </c>
      <c r="C27" s="188" t="s">
        <v>87</v>
      </c>
      <c r="D27" s="13">
        <v>29</v>
      </c>
      <c r="E27" s="12" t="s">
        <v>70</v>
      </c>
      <c r="F27" s="219">
        <v>5</v>
      </c>
      <c r="G27" s="219">
        <v>1</v>
      </c>
      <c r="H27" s="34">
        <f t="shared" si="25"/>
        <v>58</v>
      </c>
      <c r="I27" s="41">
        <f t="shared" si="0"/>
        <v>145</v>
      </c>
      <c r="J27" s="219">
        <v>29</v>
      </c>
      <c r="K27" s="203">
        <v>5963</v>
      </c>
      <c r="L27" s="128">
        <f t="shared" si="5"/>
        <v>1.3468851712499997E-2</v>
      </c>
      <c r="M27" s="198">
        <f>N27*O27*P27</f>
        <v>26.937703424999995</v>
      </c>
      <c r="N27" s="180">
        <v>4.857499999999999</v>
      </c>
      <c r="O27" s="199">
        <f t="shared" si="14"/>
        <v>5963</v>
      </c>
      <c r="P27" s="41">
        <f t="shared" si="21"/>
        <v>9.2999999999999995E-4</v>
      </c>
      <c r="Q27" s="122">
        <f t="shared" si="8"/>
        <v>6.3137577360000002E-3</v>
      </c>
      <c r="R27" s="126"/>
      <c r="S27" s="41">
        <v>8760</v>
      </c>
      <c r="T27" s="131">
        <f t="shared" si="13"/>
        <v>1.4414972E-3</v>
      </c>
      <c r="U27" s="130">
        <f t="shared" si="1"/>
        <v>58</v>
      </c>
      <c r="V27" s="213">
        <v>4.033333333333334E-4</v>
      </c>
      <c r="W27" s="213"/>
      <c r="X27" s="133">
        <f t="shared" si="15"/>
        <v>4.033333333333334E-4</v>
      </c>
      <c r="Y27" s="134">
        <v>0.04</v>
      </c>
      <c r="Z27" s="127">
        <f t="shared" si="2"/>
        <v>3.7913333333333335E-4</v>
      </c>
      <c r="AA27" s="135">
        <v>2.3E-2</v>
      </c>
      <c r="AB27" s="129">
        <f t="shared" si="9"/>
        <v>4.3663125000000007E-4</v>
      </c>
      <c r="AC27" s="41">
        <v>8760</v>
      </c>
      <c r="AD27" s="137">
        <f t="shared" si="10"/>
        <v>9.9687500000000018E-5</v>
      </c>
      <c r="AE27" s="48">
        <f t="shared" si="11"/>
        <v>145</v>
      </c>
      <c r="AF27" s="218">
        <v>9.1666666666666681E-5</v>
      </c>
      <c r="AG27" s="221"/>
      <c r="AH27" s="137">
        <f t="shared" si="3"/>
        <v>9.1666666666666681E-5</v>
      </c>
      <c r="AI27" s="48">
        <v>7.4999999999999997E-3</v>
      </c>
      <c r="AJ27" s="129">
        <f t="shared" si="12"/>
        <v>0</v>
      </c>
      <c r="AK27" s="41">
        <v>8760</v>
      </c>
      <c r="AL27" s="137">
        <f t="shared" si="16"/>
        <v>0</v>
      </c>
      <c r="AM27" s="48">
        <f t="shared" si="4"/>
        <v>29</v>
      </c>
      <c r="AN27" s="218">
        <v>0</v>
      </c>
      <c r="AO27" s="221"/>
      <c r="AP27" s="139">
        <f t="shared" si="17"/>
        <v>0</v>
      </c>
      <c r="AQ27" s="48">
        <v>7.4999999999999997E-3</v>
      </c>
      <c r="AT27" s="207"/>
      <c r="AV27" s="209"/>
    </row>
    <row r="28" spans="2:48" s="206" customFormat="1" x14ac:dyDescent="0.2">
      <c r="B28" s="118" t="s">
        <v>147</v>
      </c>
      <c r="C28" s="188" t="s">
        <v>88</v>
      </c>
      <c r="D28" s="13">
        <v>30</v>
      </c>
      <c r="E28" s="12" t="s">
        <v>70</v>
      </c>
      <c r="F28" s="34">
        <v>5</v>
      </c>
      <c r="G28" s="34">
        <v>1</v>
      </c>
      <c r="H28" s="34">
        <f t="shared" si="25"/>
        <v>60</v>
      </c>
      <c r="I28" s="41">
        <f t="shared" si="0"/>
        <v>150</v>
      </c>
      <c r="J28" s="34">
        <f>G28*D28</f>
        <v>30</v>
      </c>
      <c r="K28" s="191">
        <v>9449</v>
      </c>
      <c r="L28" s="128">
        <f t="shared" si="5"/>
        <v>1.8937213349999996E-2</v>
      </c>
      <c r="M28" s="198">
        <f t="shared" si="20"/>
        <v>37.874426699999994</v>
      </c>
      <c r="N28" s="205">
        <v>4.3099999999999996</v>
      </c>
      <c r="O28" s="199">
        <f t="shared" si="14"/>
        <v>9449</v>
      </c>
      <c r="P28" s="41">
        <f t="shared" si="21"/>
        <v>9.2999999999999995E-4</v>
      </c>
      <c r="Q28" s="126">
        <f t="shared" si="8"/>
        <v>0.26395789679999998</v>
      </c>
      <c r="R28" s="126">
        <f>SUM(Q28:Q30)</f>
        <v>0.8728423703999999</v>
      </c>
      <c r="S28" s="41">
        <v>8760</v>
      </c>
      <c r="T28" s="135">
        <f t="shared" si="13"/>
        <v>6.0264359999999989E-2</v>
      </c>
      <c r="U28" s="130">
        <f t="shared" si="1"/>
        <v>60</v>
      </c>
      <c r="V28" s="170">
        <v>1.6299999999999999E-2</v>
      </c>
      <c r="W28" s="210">
        <f>AVERAGE(V28:V30)</f>
        <v>1.4400000000000001E-2</v>
      </c>
      <c r="X28" s="133">
        <f t="shared" si="15"/>
        <v>1.6299999999999999E-2</v>
      </c>
      <c r="Y28" s="134">
        <v>0.04</v>
      </c>
      <c r="Z28" s="127">
        <f t="shared" si="2"/>
        <v>1.5321999999999997E-2</v>
      </c>
      <c r="AA28" s="135">
        <v>2.3E-2</v>
      </c>
      <c r="AB28" s="129">
        <f t="shared" si="9"/>
        <v>5.4202500000000006E-3</v>
      </c>
      <c r="AC28" s="41">
        <v>8760</v>
      </c>
      <c r="AD28" s="137">
        <f t="shared" si="10"/>
        <v>1.2375000000000001E-3</v>
      </c>
      <c r="AE28" s="48">
        <f t="shared" si="11"/>
        <v>150</v>
      </c>
      <c r="AF28" s="201">
        <v>1.1000000000000001E-3</v>
      </c>
      <c r="AG28" s="163">
        <f>AVERAGE(AF28:AF30)</f>
        <v>8.6666666666666674E-4</v>
      </c>
      <c r="AH28" s="137">
        <f t="shared" si="3"/>
        <v>1.1000000000000001E-3</v>
      </c>
      <c r="AI28" s="48">
        <v>7.4999999999999997E-3</v>
      </c>
      <c r="AJ28" s="129">
        <f t="shared" si="12"/>
        <v>7.7854500000000002E-3</v>
      </c>
      <c r="AK28" s="41">
        <v>8760</v>
      </c>
      <c r="AL28" s="137">
        <f t="shared" si="16"/>
        <v>1.7775E-3</v>
      </c>
      <c r="AM28" s="48">
        <f t="shared" si="4"/>
        <v>30</v>
      </c>
      <c r="AN28" s="201">
        <v>7.9000000000000008E-3</v>
      </c>
      <c r="AO28" s="165">
        <f>AVERAGE(AN28:AN30)</f>
        <v>6.8666666666666668E-3</v>
      </c>
      <c r="AP28" s="139">
        <f t="shared" si="17"/>
        <v>7.9000000000000008E-3</v>
      </c>
      <c r="AQ28" s="48">
        <v>7.4999999999999997E-3</v>
      </c>
      <c r="AT28" s="207"/>
      <c r="AV28" s="209"/>
    </row>
    <row r="29" spans="2:48" s="206" customFormat="1" x14ac:dyDescent="0.2">
      <c r="B29" s="118" t="s">
        <v>147</v>
      </c>
      <c r="C29" s="188" t="s">
        <v>89</v>
      </c>
      <c r="D29" s="13">
        <v>30</v>
      </c>
      <c r="E29" s="12" t="s">
        <v>70</v>
      </c>
      <c r="F29" s="34">
        <v>5</v>
      </c>
      <c r="G29" s="34">
        <v>1</v>
      </c>
      <c r="H29" s="34">
        <f t="shared" si="25"/>
        <v>60</v>
      </c>
      <c r="I29" s="41">
        <f t="shared" si="0"/>
        <v>150</v>
      </c>
      <c r="J29" s="34">
        <f>G29*D29</f>
        <v>30</v>
      </c>
      <c r="K29" s="191">
        <v>8827</v>
      </c>
      <c r="L29" s="128">
        <f t="shared" si="5"/>
        <v>1.7690632049999998E-2</v>
      </c>
      <c r="M29" s="198">
        <f t="shared" si="20"/>
        <v>35.381264099999996</v>
      </c>
      <c r="N29" s="205">
        <v>4.3099999999999996</v>
      </c>
      <c r="O29" s="199">
        <f t="shared" si="14"/>
        <v>8827</v>
      </c>
      <c r="P29" s="41">
        <f t="shared" si="21"/>
        <v>9.2999999999999995E-4</v>
      </c>
      <c r="Q29" s="126">
        <f t="shared" si="8"/>
        <v>0.26233852320000001</v>
      </c>
      <c r="R29" s="126"/>
      <c r="S29" s="41">
        <v>8760</v>
      </c>
      <c r="T29" s="135">
        <f t="shared" si="13"/>
        <v>5.9894639999999999E-2</v>
      </c>
      <c r="U29" s="130">
        <f t="shared" si="1"/>
        <v>60</v>
      </c>
      <c r="V29" s="170">
        <v>1.6199999999999999E-2</v>
      </c>
      <c r="W29" s="170"/>
      <c r="X29" s="133">
        <f t="shared" si="15"/>
        <v>1.6199999999999999E-2</v>
      </c>
      <c r="Y29" s="134">
        <v>0.04</v>
      </c>
      <c r="Z29" s="127">
        <f t="shared" si="2"/>
        <v>1.5227999999999998E-2</v>
      </c>
      <c r="AA29" s="135">
        <v>2.3E-2</v>
      </c>
      <c r="AB29" s="129">
        <f t="shared" si="9"/>
        <v>3.9420000000000002E-3</v>
      </c>
      <c r="AC29" s="41">
        <v>8760</v>
      </c>
      <c r="AD29" s="137">
        <f t="shared" si="10"/>
        <v>9.0000000000000008E-4</v>
      </c>
      <c r="AE29" s="48">
        <f t="shared" si="11"/>
        <v>150</v>
      </c>
      <c r="AF29" s="201">
        <v>8.0000000000000004E-4</v>
      </c>
      <c r="AG29" s="160"/>
      <c r="AH29" s="137">
        <f t="shared" si="3"/>
        <v>8.0000000000000004E-4</v>
      </c>
      <c r="AI29" s="48">
        <v>7.4999999999999997E-3</v>
      </c>
      <c r="AJ29" s="129">
        <f t="shared" si="12"/>
        <v>5.0260500000000007E-3</v>
      </c>
      <c r="AK29" s="41">
        <v>8760</v>
      </c>
      <c r="AL29" s="137">
        <f t="shared" si="16"/>
        <v>1.1475000000000001E-3</v>
      </c>
      <c r="AM29" s="48">
        <f t="shared" si="4"/>
        <v>30</v>
      </c>
      <c r="AN29" s="201">
        <v>5.1000000000000004E-3</v>
      </c>
      <c r="AO29" s="160"/>
      <c r="AP29" s="139">
        <f t="shared" si="17"/>
        <v>5.1000000000000004E-3</v>
      </c>
      <c r="AQ29" s="48">
        <v>7.4999999999999997E-3</v>
      </c>
      <c r="AT29" s="207"/>
      <c r="AV29" s="209"/>
    </row>
    <row r="30" spans="2:48" s="206" customFormat="1" x14ac:dyDescent="0.2">
      <c r="B30" s="118" t="s">
        <v>147</v>
      </c>
      <c r="C30" s="188" t="s">
        <v>90</v>
      </c>
      <c r="D30" s="13">
        <v>60</v>
      </c>
      <c r="E30" s="12" t="s">
        <v>70</v>
      </c>
      <c r="F30" s="34">
        <v>5</v>
      </c>
      <c r="G30" s="34">
        <v>1</v>
      </c>
      <c r="H30" s="34">
        <f t="shared" si="25"/>
        <v>120</v>
      </c>
      <c r="I30" s="41">
        <f t="shared" si="0"/>
        <v>300</v>
      </c>
      <c r="J30" s="34">
        <f>G30*D30</f>
        <v>60</v>
      </c>
      <c r="K30" s="191">
        <v>12184</v>
      </c>
      <c r="L30" s="128">
        <f t="shared" si="5"/>
        <v>1.97161488E-2</v>
      </c>
      <c r="M30" s="198">
        <f t="shared" si="20"/>
        <v>39.432297599999998</v>
      </c>
      <c r="N30" s="205">
        <v>3.48</v>
      </c>
      <c r="O30" s="199">
        <f t="shared" si="14"/>
        <v>12184</v>
      </c>
      <c r="P30" s="41">
        <f t="shared" si="21"/>
        <v>9.2999999999999995E-4</v>
      </c>
      <c r="Q30" s="126">
        <f t="shared" si="8"/>
        <v>0.34654595039999997</v>
      </c>
      <c r="R30" s="126"/>
      <c r="S30" s="41">
        <v>8760</v>
      </c>
      <c r="T30" s="135">
        <f t="shared" si="13"/>
        <v>7.9120079999999995E-2</v>
      </c>
      <c r="U30" s="130">
        <f t="shared" si="1"/>
        <v>120</v>
      </c>
      <c r="V30" s="170">
        <v>1.0699999999999999E-2</v>
      </c>
      <c r="W30" s="170"/>
      <c r="X30" s="133">
        <f t="shared" si="15"/>
        <v>1.0699999999999999E-2</v>
      </c>
      <c r="Y30" s="134">
        <v>0.04</v>
      </c>
      <c r="Z30" s="127">
        <f t="shared" si="2"/>
        <v>1.0057999999999999E-2</v>
      </c>
      <c r="AA30" s="135">
        <v>2.3E-2</v>
      </c>
      <c r="AB30" s="129">
        <f t="shared" si="9"/>
        <v>6.8984999999999993E-3</v>
      </c>
      <c r="AC30" s="41">
        <v>8760</v>
      </c>
      <c r="AD30" s="137">
        <f t="shared" si="10"/>
        <v>1.5749999999999998E-3</v>
      </c>
      <c r="AE30" s="48">
        <f t="shared" si="11"/>
        <v>300</v>
      </c>
      <c r="AF30" s="201">
        <v>6.9999999999999999E-4</v>
      </c>
      <c r="AG30" s="160"/>
      <c r="AH30" s="137">
        <f t="shared" si="3"/>
        <v>6.9999999999999999E-4</v>
      </c>
      <c r="AI30" s="48">
        <v>7.4999999999999997E-3</v>
      </c>
      <c r="AJ30" s="129">
        <f t="shared" si="12"/>
        <v>1.4979599999999999E-2</v>
      </c>
      <c r="AK30" s="41">
        <v>8760</v>
      </c>
      <c r="AL30" s="137">
        <f t="shared" si="16"/>
        <v>3.4199999999999999E-3</v>
      </c>
      <c r="AM30" s="48">
        <f t="shared" si="4"/>
        <v>60</v>
      </c>
      <c r="AN30" s="201">
        <v>7.6E-3</v>
      </c>
      <c r="AO30" s="160"/>
      <c r="AP30" s="139">
        <f t="shared" si="17"/>
        <v>7.6E-3</v>
      </c>
      <c r="AQ30" s="48">
        <v>7.4999999999999997E-3</v>
      </c>
      <c r="AT30" s="207"/>
      <c r="AV30" s="209"/>
    </row>
    <row r="31" spans="2:48" s="192" customFormat="1" x14ac:dyDescent="0.2">
      <c r="Q31" s="220"/>
      <c r="R31" s="220"/>
    </row>
    <row r="32" spans="2:48" s="192" customFormat="1" x14ac:dyDescent="0.2">
      <c r="Q32" s="220"/>
      <c r="R32" s="220"/>
    </row>
    <row r="33" spans="17:18" s="192" customFormat="1" x14ac:dyDescent="0.2">
      <c r="Q33" s="220"/>
      <c r="R33" s="220"/>
    </row>
    <row r="34" spans="17:18" s="192" customFormat="1" x14ac:dyDescent="0.2">
      <c r="Q34" s="220"/>
      <c r="R34" s="220"/>
    </row>
    <row r="35" spans="17:18" s="192" customFormat="1" x14ac:dyDescent="0.2">
      <c r="Q35" s="220"/>
      <c r="R35" s="220"/>
    </row>
    <row r="36" spans="17:18" s="192" customFormat="1" x14ac:dyDescent="0.2">
      <c r="Q36" s="220"/>
      <c r="R36" s="220"/>
    </row>
    <row r="37" spans="17:18" x14ac:dyDescent="0.2">
      <c r="Q37" s="136"/>
      <c r="R37" s="136"/>
    </row>
    <row r="38" spans="17:18" x14ac:dyDescent="0.2">
      <c r="Q38" s="136"/>
      <c r="R38" s="136"/>
    </row>
    <row r="39" spans="17:18" x14ac:dyDescent="0.2">
      <c r="Q39" s="136"/>
      <c r="R39" s="136"/>
    </row>
  </sheetData>
  <autoFilter ref="B3:AQ30" xr:uid="{B9D15D55-5E13-4BCF-AA66-6C66902EF48B}"/>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359B7-5FFE-4C24-884C-E46503D5E6A1}">
  <dimension ref="B1:AO30"/>
  <sheetViews>
    <sheetView zoomScale="70" zoomScaleNormal="70" workbookViewId="0">
      <pane xSplit="3" ySplit="3" topLeftCell="D4" activePane="bottomRight" state="frozen"/>
      <selection pane="topRight" activeCell="C1" sqref="C1"/>
      <selection pane="bottomLeft" activeCell="A4" sqref="A4"/>
      <selection pane="bottomRight"/>
    </sheetView>
  </sheetViews>
  <sheetFormatPr defaultColWidth="9.140625" defaultRowHeight="12.75" x14ac:dyDescent="0.2"/>
  <cols>
    <col min="1" max="1" width="9.140625" style="9"/>
    <col min="2" max="2" width="21" style="9" bestFit="1" customWidth="1"/>
    <col min="3" max="3" width="17.7109375" style="9" customWidth="1"/>
    <col min="4" max="4" width="12.140625" style="9" customWidth="1"/>
    <col min="5" max="5" width="12.85546875" style="9" customWidth="1"/>
    <col min="6" max="11" width="13.7109375" style="9" customWidth="1"/>
    <col min="12" max="12" width="15.85546875" style="9" customWidth="1"/>
    <col min="13" max="16" width="13.7109375" style="9" customWidth="1"/>
    <col min="17" max="18" width="15" style="9" customWidth="1"/>
    <col min="19" max="19" width="14.5703125" style="9" customWidth="1"/>
    <col min="20" max="27" width="13.7109375" style="9" customWidth="1"/>
    <col min="28" max="28" width="16" style="9" customWidth="1"/>
    <col min="29" max="29" width="14.85546875" style="9" customWidth="1"/>
    <col min="30" max="34" width="13.7109375" style="9" customWidth="1"/>
    <col min="35" max="35" width="15" style="9" customWidth="1"/>
    <col min="36" max="36" width="14.7109375" style="9" customWidth="1"/>
    <col min="37" max="41" width="13.7109375" style="9" customWidth="1"/>
    <col min="42" max="16384" width="9.140625" style="9"/>
  </cols>
  <sheetData>
    <row r="1" spans="2:41" s="1" customFormat="1" ht="15" customHeight="1" x14ac:dyDescent="0.2">
      <c r="B1" s="15"/>
      <c r="C1" s="15"/>
      <c r="D1" s="15" t="s">
        <v>142</v>
      </c>
      <c r="E1" s="15"/>
      <c r="F1" s="15" t="s">
        <v>142</v>
      </c>
      <c r="G1" s="15" t="s">
        <v>142</v>
      </c>
      <c r="H1" s="15" t="s">
        <v>142</v>
      </c>
      <c r="I1" s="15" t="s">
        <v>142</v>
      </c>
      <c r="J1" s="15" t="s">
        <v>142</v>
      </c>
      <c r="K1" s="15" t="s">
        <v>144</v>
      </c>
      <c r="L1" s="16"/>
      <c r="M1" s="16"/>
      <c r="N1" s="16"/>
      <c r="O1" s="16"/>
      <c r="P1" s="16"/>
      <c r="Q1" s="17"/>
      <c r="R1" s="17"/>
      <c r="S1" s="17"/>
      <c r="T1" s="17"/>
      <c r="U1" s="17"/>
      <c r="V1" s="17"/>
      <c r="W1" s="17"/>
      <c r="X1" s="17"/>
      <c r="Y1" s="17"/>
      <c r="Z1" s="17"/>
      <c r="AA1" s="17"/>
      <c r="AB1" s="18"/>
      <c r="AC1" s="18"/>
      <c r="AD1" s="18"/>
      <c r="AE1" s="18"/>
      <c r="AF1" s="18"/>
      <c r="AG1" s="18"/>
      <c r="AH1" s="18"/>
      <c r="AI1" s="19"/>
      <c r="AJ1" s="19"/>
      <c r="AK1" s="119"/>
      <c r="AL1" s="119"/>
      <c r="AM1" s="119"/>
      <c r="AN1" s="119"/>
      <c r="AO1" s="119"/>
    </row>
    <row r="2" spans="2:41" s="1" customFormat="1" ht="26.25" x14ac:dyDescent="0.25">
      <c r="B2" s="15"/>
      <c r="C2" s="15" t="s">
        <v>95</v>
      </c>
      <c r="D2" s="15" t="s">
        <v>95</v>
      </c>
      <c r="E2" s="15" t="s">
        <v>62</v>
      </c>
      <c r="F2" s="15" t="s">
        <v>95</v>
      </c>
      <c r="G2" s="15" t="s">
        <v>95</v>
      </c>
      <c r="H2" s="15" t="s">
        <v>95</v>
      </c>
      <c r="I2" s="15" t="s">
        <v>95</v>
      </c>
      <c r="J2" s="15" t="s">
        <v>95</v>
      </c>
      <c r="K2" s="15" t="s">
        <v>95</v>
      </c>
      <c r="L2" s="16" t="s">
        <v>149</v>
      </c>
      <c r="M2" s="31" t="s">
        <v>100</v>
      </c>
      <c r="N2" s="31"/>
      <c r="O2" s="31"/>
      <c r="P2" s="31"/>
      <c r="Q2" s="17" t="s">
        <v>149</v>
      </c>
      <c r="R2" s="17"/>
      <c r="S2" s="17"/>
      <c r="T2" s="32" t="s">
        <v>125</v>
      </c>
      <c r="U2" s="32"/>
      <c r="V2" s="32"/>
      <c r="W2" s="32"/>
      <c r="X2" s="32"/>
      <c r="Y2" s="32"/>
      <c r="Z2" s="32"/>
      <c r="AA2" s="32"/>
      <c r="AB2" s="18" t="s">
        <v>149</v>
      </c>
      <c r="AC2" s="18"/>
      <c r="AD2" s="29" t="s">
        <v>132</v>
      </c>
      <c r="AE2" s="29"/>
      <c r="AF2" s="29"/>
      <c r="AG2" s="29"/>
      <c r="AH2" s="29"/>
      <c r="AI2" s="19" t="s">
        <v>149</v>
      </c>
      <c r="AJ2" s="19"/>
      <c r="AK2" s="121" t="s">
        <v>242</v>
      </c>
      <c r="AL2" s="121"/>
      <c r="AM2" s="121"/>
      <c r="AN2" s="121"/>
      <c r="AO2" s="121"/>
    </row>
    <row r="3" spans="2:41" s="1" customFormat="1" ht="89.25" x14ac:dyDescent="0.2">
      <c r="B3" s="15" t="s">
        <v>7</v>
      </c>
      <c r="C3" s="20" t="s">
        <v>63</v>
      </c>
      <c r="D3" s="21" t="s">
        <v>64</v>
      </c>
      <c r="E3" s="21" t="s">
        <v>65</v>
      </c>
      <c r="F3" s="21" t="s">
        <v>101</v>
      </c>
      <c r="G3" s="21" t="s">
        <v>102</v>
      </c>
      <c r="H3" s="21" t="s">
        <v>103</v>
      </c>
      <c r="I3" s="21" t="s">
        <v>104</v>
      </c>
      <c r="J3" s="21" t="s">
        <v>105</v>
      </c>
      <c r="K3" s="21" t="s">
        <v>263</v>
      </c>
      <c r="L3" s="16" t="s">
        <v>148</v>
      </c>
      <c r="M3" s="22" t="s">
        <v>243</v>
      </c>
      <c r="N3" s="22" t="s">
        <v>91</v>
      </c>
      <c r="O3" s="22" t="s">
        <v>97</v>
      </c>
      <c r="P3" s="22" t="s">
        <v>98</v>
      </c>
      <c r="Q3" s="17" t="s">
        <v>150</v>
      </c>
      <c r="R3" s="17" t="s">
        <v>252</v>
      </c>
      <c r="S3" s="24" t="s">
        <v>151</v>
      </c>
      <c r="T3" s="24" t="s">
        <v>126</v>
      </c>
      <c r="U3" s="24" t="s">
        <v>127</v>
      </c>
      <c r="V3" s="24" t="s">
        <v>92</v>
      </c>
      <c r="W3" s="24" t="s">
        <v>246</v>
      </c>
      <c r="X3" s="24" t="s">
        <v>128</v>
      </c>
      <c r="Y3" s="24" t="s">
        <v>129</v>
      </c>
      <c r="Z3" s="24" t="s">
        <v>130</v>
      </c>
      <c r="AA3" s="24" t="s">
        <v>131</v>
      </c>
      <c r="AB3" s="18" t="s">
        <v>152</v>
      </c>
      <c r="AC3" s="25" t="s">
        <v>151</v>
      </c>
      <c r="AD3" s="25" t="s">
        <v>133</v>
      </c>
      <c r="AE3" s="25" t="s">
        <v>134</v>
      </c>
      <c r="AF3" s="25" t="s">
        <v>93</v>
      </c>
      <c r="AG3" s="25" t="s">
        <v>135</v>
      </c>
      <c r="AH3" s="25" t="s">
        <v>136</v>
      </c>
      <c r="AI3" s="19" t="s">
        <v>153</v>
      </c>
      <c r="AJ3" s="26" t="s">
        <v>151</v>
      </c>
      <c r="AK3" s="26" t="s">
        <v>244</v>
      </c>
      <c r="AL3" s="26" t="s">
        <v>245</v>
      </c>
      <c r="AM3" s="26" t="s">
        <v>94</v>
      </c>
      <c r="AN3" s="26" t="s">
        <v>137</v>
      </c>
      <c r="AO3" s="26" t="s">
        <v>136</v>
      </c>
    </row>
    <row r="4" spans="2:41" s="192" customFormat="1" x14ac:dyDescent="0.2">
      <c r="B4" s="173" t="s">
        <v>49</v>
      </c>
      <c r="C4" s="173" t="s">
        <v>66</v>
      </c>
      <c r="D4" s="174">
        <v>47</v>
      </c>
      <c r="E4" s="35" t="s">
        <v>67</v>
      </c>
      <c r="F4" s="41">
        <v>4</v>
      </c>
      <c r="G4" s="41">
        <v>1</v>
      </c>
      <c r="H4" s="41">
        <f>47*2</f>
        <v>94</v>
      </c>
      <c r="I4" s="41">
        <f t="shared" ref="I4:I30" si="0">F4*D4</f>
        <v>188</v>
      </c>
      <c r="J4" s="41">
        <v>47</v>
      </c>
      <c r="K4" s="193">
        <v>2978</v>
      </c>
      <c r="L4" s="128">
        <f>M4/2000</f>
        <v>1.02703775E-2</v>
      </c>
      <c r="M4" s="175">
        <f>N4*O4*P4</f>
        <v>20.540755000000001</v>
      </c>
      <c r="N4" s="147">
        <v>7.416666666666667</v>
      </c>
      <c r="O4" s="199">
        <f>K4</f>
        <v>2978</v>
      </c>
      <c r="P4" s="41">
        <f>0.0093/10</f>
        <v>9.2999999999999995E-4</v>
      </c>
      <c r="Q4" s="126">
        <f>T4*S4/2000</f>
        <v>0.58153162666666669</v>
      </c>
      <c r="R4" s="142">
        <f>SUM(Q4:Q7)</f>
        <v>3.1696317733333332</v>
      </c>
      <c r="S4" s="41">
        <v>8760</v>
      </c>
      <c r="T4" s="126">
        <f>U4*X4*Y4+U4*Z4*AA4</f>
        <v>0.13276977777777779</v>
      </c>
      <c r="U4" s="123">
        <f t="shared" ref="U4:U30" si="1">H4</f>
        <v>94</v>
      </c>
      <c r="V4" s="171">
        <v>8.1111111111111108E-4</v>
      </c>
      <c r="W4" s="124">
        <f>AVERAGE(V4:V7)</f>
        <v>4.4062500000000004E-3</v>
      </c>
      <c r="X4" s="125">
        <f>V4</f>
        <v>8.1111111111111108E-4</v>
      </c>
      <c r="Y4" s="126">
        <v>0.04</v>
      </c>
      <c r="Z4" s="126">
        <f>6/100</f>
        <v>0.06</v>
      </c>
      <c r="AA4" s="128">
        <v>2.3E-2</v>
      </c>
      <c r="AB4" s="129">
        <f>AD4*AC4/2000</f>
        <v>0</v>
      </c>
      <c r="AC4" s="41">
        <v>8760</v>
      </c>
      <c r="AD4" s="143">
        <f t="shared" ref="AD4:AD30" si="2">AE4*AG4*AH4</f>
        <v>0</v>
      </c>
      <c r="AE4" s="35">
        <f t="shared" ref="AE4:AE30" si="3">I4</f>
        <v>188</v>
      </c>
      <c r="AF4" s="47">
        <v>0</v>
      </c>
      <c r="AG4" s="144">
        <f t="shared" ref="AG4:AG30" si="4">AF4</f>
        <v>0</v>
      </c>
      <c r="AH4" s="35">
        <v>7.4999999999999997E-3</v>
      </c>
      <c r="AI4" s="129">
        <f>AK4*AJ4/2000</f>
        <v>2.91635E-4</v>
      </c>
      <c r="AJ4" s="41">
        <v>8760</v>
      </c>
      <c r="AK4" s="140">
        <f>AL4*AN4*AO4</f>
        <v>6.658333333333333E-5</v>
      </c>
      <c r="AL4" s="35">
        <f t="shared" ref="AL4:AL30" si="5">J4</f>
        <v>47</v>
      </c>
      <c r="AM4" s="163">
        <v>1.8888888888888888E-4</v>
      </c>
      <c r="AN4" s="144">
        <f>AM4</f>
        <v>1.8888888888888888E-4</v>
      </c>
      <c r="AO4" s="35">
        <v>7.4999999999999997E-3</v>
      </c>
    </row>
    <row r="5" spans="2:41" s="192" customFormat="1" x14ac:dyDescent="0.2">
      <c r="B5" s="182" t="s">
        <v>49</v>
      </c>
      <c r="C5" s="33" t="s">
        <v>68</v>
      </c>
      <c r="D5" s="178">
        <v>47</v>
      </c>
      <c r="E5" s="10" t="s">
        <v>67</v>
      </c>
      <c r="F5" s="34">
        <v>4</v>
      </c>
      <c r="G5" s="34">
        <v>1</v>
      </c>
      <c r="H5" s="34">
        <v>94</v>
      </c>
      <c r="I5" s="41">
        <f t="shared" si="0"/>
        <v>188</v>
      </c>
      <c r="J5" s="34">
        <v>47</v>
      </c>
      <c r="K5" s="179"/>
      <c r="L5" s="128">
        <f t="shared" ref="L5:L30" si="6">M5/2000</f>
        <v>1.02703775E-2</v>
      </c>
      <c r="M5" s="175">
        <f t="shared" ref="M5:M7" si="7">N5*O5*P5</f>
        <v>20.540755000000001</v>
      </c>
      <c r="N5" s="148">
        <f>N4</f>
        <v>7.416666666666667</v>
      </c>
      <c r="O5" s="181">
        <f>O4</f>
        <v>2978</v>
      </c>
      <c r="P5" s="41">
        <f t="shared" ref="P5:P7" si="8">0.0093/10</f>
        <v>9.2999999999999995E-4</v>
      </c>
      <c r="Q5" s="126">
        <f t="shared" ref="Q5:Q30" si="9">T5*S5/2000</f>
        <v>0.58153162666666669</v>
      </c>
      <c r="R5" s="126"/>
      <c r="S5" s="41">
        <v>8760</v>
      </c>
      <c r="T5" s="134">
        <f>U5*X5*Y5+U5*Z5*AA5</f>
        <v>0.13276977777777779</v>
      </c>
      <c r="U5" s="130">
        <f t="shared" si="1"/>
        <v>94</v>
      </c>
      <c r="V5" s="196">
        <f>V4</f>
        <v>8.1111111111111108E-4</v>
      </c>
      <c r="W5" s="124"/>
      <c r="X5" s="125">
        <f>V5</f>
        <v>8.1111111111111108E-4</v>
      </c>
      <c r="Y5" s="126">
        <v>0.04</v>
      </c>
      <c r="Z5" s="126">
        <f>6/100</f>
        <v>0.06</v>
      </c>
      <c r="AA5" s="128">
        <v>2.3E-2</v>
      </c>
      <c r="AB5" s="129">
        <f t="shared" ref="AB5:AB30" si="10">AD5*AC5/2000</f>
        <v>0</v>
      </c>
      <c r="AC5" s="41">
        <v>8760</v>
      </c>
      <c r="AD5" s="143">
        <f t="shared" si="2"/>
        <v>0</v>
      </c>
      <c r="AE5" s="10">
        <f t="shared" si="3"/>
        <v>188</v>
      </c>
      <c r="AF5" s="47">
        <f>AF4</f>
        <v>0</v>
      </c>
      <c r="AG5" s="144">
        <f t="shared" si="4"/>
        <v>0</v>
      </c>
      <c r="AH5" s="35">
        <v>7.4999999999999997E-3</v>
      </c>
      <c r="AI5" s="129">
        <f t="shared" ref="AI5:AI30" si="11">AK5*AJ5/2000</f>
        <v>2.91635E-4</v>
      </c>
      <c r="AJ5" s="41">
        <v>8760</v>
      </c>
      <c r="AK5" s="140">
        <f>AL5*AN5*AO5</f>
        <v>6.658333333333333E-5</v>
      </c>
      <c r="AL5" s="10">
        <f t="shared" si="5"/>
        <v>47</v>
      </c>
      <c r="AM5" s="47">
        <f>AM4</f>
        <v>1.8888888888888888E-4</v>
      </c>
      <c r="AN5" s="144">
        <f>AM5</f>
        <v>1.8888888888888888E-4</v>
      </c>
      <c r="AO5" s="35">
        <v>7.4999999999999997E-3</v>
      </c>
    </row>
    <row r="6" spans="2:41" s="192" customFormat="1" x14ac:dyDescent="0.2">
      <c r="B6" s="182" t="s">
        <v>49</v>
      </c>
      <c r="C6" s="33" t="s">
        <v>69</v>
      </c>
      <c r="D6" s="178">
        <v>51</v>
      </c>
      <c r="E6" s="10" t="s">
        <v>67</v>
      </c>
      <c r="F6" s="34">
        <v>4</v>
      </c>
      <c r="G6" s="34">
        <v>1</v>
      </c>
      <c r="H6" s="34">
        <v>102</v>
      </c>
      <c r="I6" s="41">
        <f t="shared" si="0"/>
        <v>204</v>
      </c>
      <c r="J6" s="34">
        <v>51</v>
      </c>
      <c r="K6" s="179"/>
      <c r="L6" s="128">
        <f t="shared" si="6"/>
        <v>1.02703775E-2</v>
      </c>
      <c r="M6" s="175">
        <f t="shared" si="7"/>
        <v>20.540755000000001</v>
      </c>
      <c r="N6" s="148">
        <f>N4</f>
        <v>7.416666666666667</v>
      </c>
      <c r="O6" s="181">
        <f>O4</f>
        <v>2978</v>
      </c>
      <c r="P6" s="41">
        <f t="shared" si="8"/>
        <v>9.2999999999999995E-4</v>
      </c>
      <c r="Q6" s="126">
        <f t="shared" si="9"/>
        <v>0.63102367999999998</v>
      </c>
      <c r="R6" s="126"/>
      <c r="S6" s="41">
        <v>8760</v>
      </c>
      <c r="T6" s="134">
        <f t="shared" ref="T6:T30" si="12">U6*X6*Y6+U6*Z6*AA6</f>
        <v>0.14406933333333333</v>
      </c>
      <c r="U6" s="130">
        <f t="shared" si="1"/>
        <v>102</v>
      </c>
      <c r="V6" s="196">
        <f>V4</f>
        <v>8.1111111111111108E-4</v>
      </c>
      <c r="W6" s="124"/>
      <c r="X6" s="125">
        <f>V6</f>
        <v>8.1111111111111108E-4</v>
      </c>
      <c r="Y6" s="126">
        <v>0.04</v>
      </c>
      <c r="Z6" s="126">
        <f>6/100</f>
        <v>0.06</v>
      </c>
      <c r="AA6" s="128">
        <v>2.3E-2</v>
      </c>
      <c r="AB6" s="129">
        <f t="shared" si="10"/>
        <v>0</v>
      </c>
      <c r="AC6" s="41">
        <v>8760</v>
      </c>
      <c r="AD6" s="143">
        <f t="shared" si="2"/>
        <v>0</v>
      </c>
      <c r="AE6" s="10">
        <f t="shared" si="3"/>
        <v>204</v>
      </c>
      <c r="AF6" s="47">
        <f>AF4</f>
        <v>0</v>
      </c>
      <c r="AG6" s="144">
        <f t="shared" si="4"/>
        <v>0</v>
      </c>
      <c r="AH6" s="35">
        <v>7.4999999999999997E-3</v>
      </c>
      <c r="AI6" s="129">
        <f t="shared" si="11"/>
        <v>3.1645499999999999E-4</v>
      </c>
      <c r="AJ6" s="41">
        <v>8760</v>
      </c>
      <c r="AK6" s="140">
        <f>AL6*AN6*AO6</f>
        <v>7.2249999999999994E-5</v>
      </c>
      <c r="AL6" s="10">
        <f t="shared" si="5"/>
        <v>51</v>
      </c>
      <c r="AM6" s="47">
        <f>AM4</f>
        <v>1.8888888888888888E-4</v>
      </c>
      <c r="AN6" s="144">
        <f>AM6</f>
        <v>1.8888888888888888E-4</v>
      </c>
      <c r="AO6" s="35">
        <v>7.4999999999999997E-3</v>
      </c>
    </row>
    <row r="7" spans="2:41" s="192" customFormat="1" x14ac:dyDescent="0.2">
      <c r="B7" s="182" t="s">
        <v>49</v>
      </c>
      <c r="C7" s="182" t="s">
        <v>71</v>
      </c>
      <c r="D7" s="34">
        <v>79</v>
      </c>
      <c r="E7" s="10" t="s">
        <v>67</v>
      </c>
      <c r="F7" s="34">
        <v>4</v>
      </c>
      <c r="G7" s="34">
        <v>2</v>
      </c>
      <c r="H7" s="34">
        <f>79*2</f>
        <v>158</v>
      </c>
      <c r="I7" s="41">
        <f t="shared" si="0"/>
        <v>316</v>
      </c>
      <c r="J7" s="34">
        <v>158</v>
      </c>
      <c r="K7" s="179">
        <v>19623</v>
      </c>
      <c r="L7" s="128">
        <f t="shared" si="6"/>
        <v>3.7418853412500008E-2</v>
      </c>
      <c r="M7" s="175">
        <f t="shared" si="7"/>
        <v>74.837706825000012</v>
      </c>
      <c r="N7" s="148">
        <v>4.100833333333334</v>
      </c>
      <c r="O7" s="199">
        <f t="shared" ref="O7:O30" si="13">K7</f>
        <v>19623</v>
      </c>
      <c r="P7" s="41">
        <f t="shared" si="8"/>
        <v>9.2999999999999995E-4</v>
      </c>
      <c r="Q7" s="142">
        <f t="shared" si="9"/>
        <v>1.3755448400000001</v>
      </c>
      <c r="R7" s="142"/>
      <c r="S7" s="41">
        <v>8760</v>
      </c>
      <c r="T7" s="134">
        <f t="shared" si="12"/>
        <v>0.31405133333333335</v>
      </c>
      <c r="U7" s="130">
        <f t="shared" si="1"/>
        <v>158</v>
      </c>
      <c r="V7" s="132">
        <v>1.5191666666666668E-2</v>
      </c>
      <c r="W7" s="132"/>
      <c r="X7" s="133">
        <f t="shared" ref="X7:X30" si="14">V7</f>
        <v>1.5191666666666668E-2</v>
      </c>
      <c r="Y7" s="134">
        <v>0.04</v>
      </c>
      <c r="Z7" s="134">
        <f t="shared" ref="Z7:Z30" si="15">6/100</f>
        <v>0.06</v>
      </c>
      <c r="AA7" s="135">
        <v>2.3E-2</v>
      </c>
      <c r="AB7" s="129">
        <f t="shared" si="10"/>
        <v>9.515550000000003E-4</v>
      </c>
      <c r="AC7" s="41">
        <v>8760</v>
      </c>
      <c r="AD7" s="143">
        <f t="shared" si="2"/>
        <v>2.1725000000000005E-4</v>
      </c>
      <c r="AE7" s="10">
        <f t="shared" si="3"/>
        <v>316</v>
      </c>
      <c r="AF7" s="200">
        <v>9.1666666666666695E-5</v>
      </c>
      <c r="AG7" s="145">
        <f t="shared" si="4"/>
        <v>9.1666666666666695E-5</v>
      </c>
      <c r="AH7" s="10">
        <v>7.4999999999999997E-3</v>
      </c>
      <c r="AI7" s="129">
        <f t="shared" si="11"/>
        <v>4.826979E-2</v>
      </c>
      <c r="AJ7" s="41">
        <v>8760</v>
      </c>
      <c r="AK7" s="141">
        <f t="shared" ref="AK7:AK30" si="16">AL7*AN7*AO7</f>
        <v>1.1020500000000001E-2</v>
      </c>
      <c r="AL7" s="10">
        <f t="shared" si="5"/>
        <v>158</v>
      </c>
      <c r="AM7" s="201">
        <v>9.300000000000001E-3</v>
      </c>
      <c r="AN7" s="145">
        <f t="shared" ref="AN7:AN30" si="17">AM7</f>
        <v>9.300000000000001E-3</v>
      </c>
      <c r="AO7" s="10">
        <v>7.4999999999999997E-3</v>
      </c>
    </row>
    <row r="8" spans="2:41" s="192" customFormat="1" x14ac:dyDescent="0.2">
      <c r="B8" s="182" t="s">
        <v>0</v>
      </c>
      <c r="C8" s="182" t="s">
        <v>72</v>
      </c>
      <c r="D8" s="34">
        <v>76</v>
      </c>
      <c r="E8" s="10" t="s">
        <v>67</v>
      </c>
      <c r="F8" s="34">
        <v>3</v>
      </c>
      <c r="G8" s="34">
        <v>2</v>
      </c>
      <c r="H8" s="34">
        <v>152</v>
      </c>
      <c r="I8" s="41">
        <f t="shared" si="0"/>
        <v>228</v>
      </c>
      <c r="J8" s="34">
        <v>152</v>
      </c>
      <c r="K8" s="179">
        <v>32864</v>
      </c>
      <c r="L8" s="128">
        <f t="shared" si="6"/>
        <v>8.9267511918842107E-2</v>
      </c>
      <c r="M8" s="175">
        <f>N8*O8*P8</f>
        <v>178.53502383768421</v>
      </c>
      <c r="N8" s="148">
        <v>5.8414418181441219</v>
      </c>
      <c r="O8" s="199">
        <f t="shared" si="13"/>
        <v>32864</v>
      </c>
      <c r="P8" s="41">
        <f>0.0093/10</f>
        <v>9.2999999999999995E-4</v>
      </c>
      <c r="Q8" s="142">
        <f t="shared" si="9"/>
        <v>1.3747860082002001</v>
      </c>
      <c r="R8" s="142">
        <f>SUM(Q8)</f>
        <v>1.3747860082002001</v>
      </c>
      <c r="S8" s="41">
        <v>8760</v>
      </c>
      <c r="T8" s="134">
        <f t="shared" si="12"/>
        <v>0.31387808406397261</v>
      </c>
      <c r="U8" s="130">
        <f t="shared" si="1"/>
        <v>152</v>
      </c>
      <c r="V8" s="132">
        <v>1.7124684878942868E-2</v>
      </c>
      <c r="W8" s="172">
        <f>AVERAGE(V8)</f>
        <v>1.7124684878942868E-2</v>
      </c>
      <c r="X8" s="133">
        <f t="shared" si="14"/>
        <v>1.7124684878942868E-2</v>
      </c>
      <c r="Y8" s="134">
        <v>0.04</v>
      </c>
      <c r="Z8" s="134">
        <f t="shared" si="15"/>
        <v>0.06</v>
      </c>
      <c r="AA8" s="135">
        <v>2.3E-2</v>
      </c>
      <c r="AB8" s="129">
        <f t="shared" si="10"/>
        <v>3.973754999999999E-4</v>
      </c>
      <c r="AC8" s="41">
        <v>8760</v>
      </c>
      <c r="AD8" s="143">
        <f t="shared" si="2"/>
        <v>9.0724999999999969E-5</v>
      </c>
      <c r="AE8" s="10">
        <f t="shared" si="3"/>
        <v>228</v>
      </c>
      <c r="AF8" s="200">
        <v>5.3055555555555545E-5</v>
      </c>
      <c r="AG8" s="143">
        <f t="shared" si="4"/>
        <v>5.3055555555555545E-5</v>
      </c>
      <c r="AH8" s="10">
        <v>7.4999999999999997E-3</v>
      </c>
      <c r="AI8" s="129">
        <f t="shared" si="11"/>
        <v>6.9436946268656703E-4</v>
      </c>
      <c r="AJ8" s="41">
        <v>8760</v>
      </c>
      <c r="AK8" s="137">
        <f t="shared" si="16"/>
        <v>1.5853184079601989E-4</v>
      </c>
      <c r="AL8" s="10">
        <f t="shared" si="5"/>
        <v>152</v>
      </c>
      <c r="AM8" s="47">
        <v>1.3906301824212272E-4</v>
      </c>
      <c r="AN8" s="145">
        <f t="shared" si="17"/>
        <v>1.3906301824212272E-4</v>
      </c>
      <c r="AO8" s="10">
        <v>7.4999999999999997E-3</v>
      </c>
    </row>
    <row r="9" spans="2:41" s="192" customFormat="1" x14ac:dyDescent="0.2">
      <c r="B9" s="182" t="s">
        <v>34</v>
      </c>
      <c r="C9" s="182" t="s">
        <v>73</v>
      </c>
      <c r="D9" s="34">
        <v>82</v>
      </c>
      <c r="E9" s="10" t="s">
        <v>67</v>
      </c>
      <c r="F9" s="34">
        <v>4</v>
      </c>
      <c r="G9" s="34">
        <v>1</v>
      </c>
      <c r="H9" s="34">
        <v>164</v>
      </c>
      <c r="I9" s="41">
        <f t="shared" si="0"/>
        <v>328</v>
      </c>
      <c r="J9" s="34">
        <v>82</v>
      </c>
      <c r="K9" s="199">
        <v>37874</v>
      </c>
      <c r="L9" s="126">
        <f t="shared" si="6"/>
        <v>0.14774505372499999</v>
      </c>
      <c r="M9" s="175">
        <f t="shared" ref="M9:M12" si="18">N9*O9*P9</f>
        <v>295.49010744999998</v>
      </c>
      <c r="N9" s="143">
        <v>8.3891666666666662</v>
      </c>
      <c r="O9" s="199">
        <f t="shared" si="13"/>
        <v>37874</v>
      </c>
      <c r="P9" s="41">
        <f t="shared" ref="P9:P12" si="19">0.0093/10</f>
        <v>9.2999999999999995E-4</v>
      </c>
      <c r="Q9" s="142">
        <f t="shared" si="9"/>
        <v>1.7332977005222732</v>
      </c>
      <c r="R9" s="142">
        <f>SUM(Q9:Q10)</f>
        <v>3.0324912879201227</v>
      </c>
      <c r="S9" s="41">
        <v>8760</v>
      </c>
      <c r="T9" s="134">
        <f t="shared" si="12"/>
        <v>0.39573006861239113</v>
      </c>
      <c r="U9" s="130">
        <f t="shared" si="1"/>
        <v>164</v>
      </c>
      <c r="V9" s="210">
        <v>2.5824705581157192E-2</v>
      </c>
      <c r="W9" s="172">
        <f>AVERAGE(V9:V10)</f>
        <v>1.827054947516641E-2</v>
      </c>
      <c r="X9" s="133">
        <f t="shared" si="14"/>
        <v>2.5824705581157192E-2</v>
      </c>
      <c r="Y9" s="134">
        <v>0.04</v>
      </c>
      <c r="Z9" s="134">
        <f t="shared" si="15"/>
        <v>0.06</v>
      </c>
      <c r="AA9" s="135">
        <v>2.3E-2</v>
      </c>
      <c r="AB9" s="129">
        <f t="shared" si="10"/>
        <v>5.9292295483870964E-3</v>
      </c>
      <c r="AC9" s="41">
        <v>8760</v>
      </c>
      <c r="AD9" s="143">
        <f t="shared" si="2"/>
        <v>1.3537053763440859E-3</v>
      </c>
      <c r="AE9" s="10">
        <f t="shared" si="3"/>
        <v>328</v>
      </c>
      <c r="AF9" s="211">
        <v>5.5028673835125447E-4</v>
      </c>
      <c r="AG9" s="145">
        <f t="shared" si="4"/>
        <v>5.5028673835125447E-4</v>
      </c>
      <c r="AH9" s="10">
        <v>7.4999999999999997E-3</v>
      </c>
      <c r="AI9" s="129">
        <f t="shared" si="11"/>
        <v>1.3188463127304149E-2</v>
      </c>
      <c r="AJ9" s="41">
        <v>8760</v>
      </c>
      <c r="AK9" s="137">
        <f t="shared" si="16"/>
        <v>3.0110646409370204E-3</v>
      </c>
      <c r="AL9" s="10">
        <f t="shared" si="5"/>
        <v>82</v>
      </c>
      <c r="AM9" s="212">
        <v>4.896040066564261E-3</v>
      </c>
      <c r="AN9" s="145">
        <f t="shared" si="17"/>
        <v>4.896040066564261E-3</v>
      </c>
      <c r="AO9" s="10">
        <v>7.4999999999999997E-3</v>
      </c>
    </row>
    <row r="10" spans="2:41" s="192" customFormat="1" x14ac:dyDescent="0.2">
      <c r="B10" s="182" t="s">
        <v>34</v>
      </c>
      <c r="C10" s="182" t="s">
        <v>74</v>
      </c>
      <c r="D10" s="34">
        <v>82</v>
      </c>
      <c r="E10" s="10" t="s">
        <v>67</v>
      </c>
      <c r="F10" s="34">
        <v>5</v>
      </c>
      <c r="G10" s="34">
        <v>1</v>
      </c>
      <c r="H10" s="34">
        <v>164</v>
      </c>
      <c r="I10" s="41">
        <f t="shared" si="0"/>
        <v>410</v>
      </c>
      <c r="J10" s="34">
        <v>82</v>
      </c>
      <c r="K10" s="199">
        <v>36625</v>
      </c>
      <c r="L10" s="126">
        <f t="shared" si="6"/>
        <v>0.14443224842261906</v>
      </c>
      <c r="M10" s="175">
        <f t="shared" si="18"/>
        <v>288.86449684523814</v>
      </c>
      <c r="N10" s="143">
        <v>8.4807368151561722</v>
      </c>
      <c r="O10" s="199">
        <f t="shared" si="13"/>
        <v>36625</v>
      </c>
      <c r="P10" s="41">
        <f t="shared" si="19"/>
        <v>9.2999999999999995E-4</v>
      </c>
      <c r="Q10" s="142">
        <f t="shared" si="9"/>
        <v>1.2991935873978495</v>
      </c>
      <c r="R10" s="142"/>
      <c r="S10" s="41">
        <v>8760</v>
      </c>
      <c r="T10" s="134">
        <f t="shared" si="12"/>
        <v>0.29661954050179212</v>
      </c>
      <c r="U10" s="130">
        <f t="shared" si="1"/>
        <v>164</v>
      </c>
      <c r="V10" s="210">
        <v>1.0716393369175627E-2</v>
      </c>
      <c r="W10" s="210"/>
      <c r="X10" s="133">
        <f t="shared" si="14"/>
        <v>1.0716393369175627E-2</v>
      </c>
      <c r="Y10" s="134">
        <v>0.04</v>
      </c>
      <c r="Z10" s="134">
        <f t="shared" si="15"/>
        <v>0.06</v>
      </c>
      <c r="AA10" s="135">
        <v>2.3E-2</v>
      </c>
      <c r="AB10" s="129">
        <f t="shared" si="10"/>
        <v>1.2886330466589864E-2</v>
      </c>
      <c r="AC10" s="41">
        <v>8760</v>
      </c>
      <c r="AD10" s="143">
        <f t="shared" si="2"/>
        <v>2.9420845814132107E-3</v>
      </c>
      <c r="AE10" s="10">
        <f t="shared" si="3"/>
        <v>410</v>
      </c>
      <c r="AF10" s="211">
        <v>9.5677547363031247E-4</v>
      </c>
      <c r="AG10" s="145">
        <f t="shared" si="4"/>
        <v>9.5677547363031247E-4</v>
      </c>
      <c r="AH10" s="10">
        <v>7.4999999999999997E-3</v>
      </c>
      <c r="AI10" s="129">
        <f t="shared" si="11"/>
        <v>6.3026114706221199E-3</v>
      </c>
      <c r="AJ10" s="41">
        <v>8760</v>
      </c>
      <c r="AK10" s="137">
        <f t="shared" si="16"/>
        <v>1.4389523905529954E-3</v>
      </c>
      <c r="AL10" s="10">
        <f t="shared" si="5"/>
        <v>82</v>
      </c>
      <c r="AM10" s="212">
        <v>2.3397599846390169E-3</v>
      </c>
      <c r="AN10" s="145">
        <f t="shared" si="17"/>
        <v>2.3397599846390169E-3</v>
      </c>
      <c r="AO10" s="10">
        <v>7.4999999999999997E-3</v>
      </c>
    </row>
    <row r="11" spans="2:41" s="192" customFormat="1" x14ac:dyDescent="0.2">
      <c r="B11" s="182" t="s">
        <v>37</v>
      </c>
      <c r="C11" s="182" t="s">
        <v>38</v>
      </c>
      <c r="D11" s="34">
        <v>37</v>
      </c>
      <c r="E11" s="10" t="s">
        <v>67</v>
      </c>
      <c r="F11" s="34">
        <v>4</v>
      </c>
      <c r="G11" s="34">
        <v>2</v>
      </c>
      <c r="H11" s="34">
        <v>74</v>
      </c>
      <c r="I11" s="41">
        <f t="shared" si="0"/>
        <v>148</v>
      </c>
      <c r="J11" s="34">
        <v>74</v>
      </c>
      <c r="K11" s="199">
        <f>27474*D11/(D11+D12)</f>
        <v>18152.464285714286</v>
      </c>
      <c r="L11" s="128">
        <f t="shared" si="6"/>
        <v>3.6957053554822226E-2</v>
      </c>
      <c r="M11" s="185">
        <f t="shared" si="18"/>
        <v>73.914107109644448</v>
      </c>
      <c r="N11" s="143">
        <v>4.3783330613159244</v>
      </c>
      <c r="O11" s="199">
        <f t="shared" si="13"/>
        <v>18152.464285714286</v>
      </c>
      <c r="P11" s="41">
        <f t="shared" si="19"/>
        <v>9.2999999999999995E-4</v>
      </c>
      <c r="Q11" s="126">
        <f t="shared" si="9"/>
        <v>0.45839268456221199</v>
      </c>
      <c r="R11" s="126">
        <f>SUM(Q11:Q12)</f>
        <v>0.69728766302995393</v>
      </c>
      <c r="S11" s="41">
        <v>8760</v>
      </c>
      <c r="T11" s="134">
        <f t="shared" si="12"/>
        <v>0.10465586405529953</v>
      </c>
      <c r="U11" s="130">
        <f t="shared" si="1"/>
        <v>74</v>
      </c>
      <c r="V11" s="213">
        <v>8.567108294930875E-4</v>
      </c>
      <c r="W11" s="124">
        <f>AVERAGE(V11:V12)</f>
        <v>1.1198792722734254E-3</v>
      </c>
      <c r="X11" s="133">
        <f t="shared" si="14"/>
        <v>8.567108294930875E-4</v>
      </c>
      <c r="Y11" s="134">
        <v>0.04</v>
      </c>
      <c r="Z11" s="134">
        <f t="shared" si="15"/>
        <v>0.06</v>
      </c>
      <c r="AA11" s="135">
        <v>2.3E-2</v>
      </c>
      <c r="AB11" s="129">
        <f t="shared" si="10"/>
        <v>0</v>
      </c>
      <c r="AC11" s="41">
        <v>8760</v>
      </c>
      <c r="AD11" s="143">
        <f t="shared" si="2"/>
        <v>0</v>
      </c>
      <c r="AE11" s="10">
        <f t="shared" si="3"/>
        <v>148</v>
      </c>
      <c r="AF11" s="214">
        <v>0</v>
      </c>
      <c r="AG11" s="145">
        <f t="shared" si="4"/>
        <v>0</v>
      </c>
      <c r="AH11" s="10">
        <v>7.4999999999999997E-3</v>
      </c>
      <c r="AI11" s="129">
        <f t="shared" si="11"/>
        <v>5.6681791935483863E-4</v>
      </c>
      <c r="AJ11" s="41">
        <v>8760</v>
      </c>
      <c r="AK11" s="137">
        <f t="shared" si="16"/>
        <v>1.2941048387096773E-4</v>
      </c>
      <c r="AL11" s="10">
        <f t="shared" si="5"/>
        <v>74</v>
      </c>
      <c r="AM11" s="211">
        <v>2.3317204301075267E-4</v>
      </c>
      <c r="AN11" s="145">
        <f t="shared" si="17"/>
        <v>2.3317204301075267E-4</v>
      </c>
      <c r="AO11" s="10">
        <v>7.4999999999999997E-3</v>
      </c>
    </row>
    <row r="12" spans="2:41" s="192" customFormat="1" x14ac:dyDescent="0.2">
      <c r="B12" s="182" t="s">
        <v>37</v>
      </c>
      <c r="C12" s="182" t="s">
        <v>40</v>
      </c>
      <c r="D12" s="34">
        <v>19</v>
      </c>
      <c r="E12" s="10" t="s">
        <v>67</v>
      </c>
      <c r="F12" s="34">
        <v>4</v>
      </c>
      <c r="G12" s="34">
        <v>2</v>
      </c>
      <c r="H12" s="34">
        <v>38</v>
      </c>
      <c r="I12" s="41">
        <f t="shared" si="0"/>
        <v>76</v>
      </c>
      <c r="J12" s="34">
        <v>38</v>
      </c>
      <c r="K12" s="199">
        <f>27474*D12/(D11+D12)</f>
        <v>9321.5357142857138</v>
      </c>
      <c r="L12" s="128">
        <f t="shared" si="6"/>
        <v>1.8977946420043842E-2</v>
      </c>
      <c r="M12" s="185">
        <f t="shared" si="18"/>
        <v>37.955892840087685</v>
      </c>
      <c r="N12" s="143">
        <v>4.3783330613159244</v>
      </c>
      <c r="O12" s="199">
        <f t="shared" si="13"/>
        <v>9321.5357142857138</v>
      </c>
      <c r="P12" s="41">
        <f t="shared" si="19"/>
        <v>9.2999999999999995E-4</v>
      </c>
      <c r="Q12" s="126">
        <f t="shared" si="9"/>
        <v>0.23889497846774191</v>
      </c>
      <c r="R12" s="126"/>
      <c r="S12" s="41">
        <v>8760</v>
      </c>
      <c r="T12" s="135">
        <f t="shared" si="12"/>
        <v>5.4542232526881715E-2</v>
      </c>
      <c r="U12" s="130">
        <f t="shared" si="1"/>
        <v>38</v>
      </c>
      <c r="V12" s="215">
        <v>1.3830477150537633E-3</v>
      </c>
      <c r="W12" s="215"/>
      <c r="X12" s="133">
        <f t="shared" si="14"/>
        <v>1.3830477150537633E-3</v>
      </c>
      <c r="Y12" s="134">
        <v>0.04</v>
      </c>
      <c r="Z12" s="134">
        <f t="shared" si="15"/>
        <v>0.06</v>
      </c>
      <c r="AA12" s="135">
        <v>2.3E-2</v>
      </c>
      <c r="AB12" s="129">
        <f t="shared" si="10"/>
        <v>0</v>
      </c>
      <c r="AC12" s="41">
        <v>8760</v>
      </c>
      <c r="AD12" s="143">
        <f t="shared" si="2"/>
        <v>0</v>
      </c>
      <c r="AE12" s="10">
        <f t="shared" si="3"/>
        <v>76</v>
      </c>
      <c r="AF12" s="214">
        <v>0</v>
      </c>
      <c r="AG12" s="145">
        <f t="shared" si="4"/>
        <v>0</v>
      </c>
      <c r="AH12" s="10">
        <v>7.4999999999999997E-3</v>
      </c>
      <c r="AI12" s="129">
        <f t="shared" si="11"/>
        <v>2.7713993749999997E-4</v>
      </c>
      <c r="AJ12" s="41">
        <v>8760</v>
      </c>
      <c r="AK12" s="137">
        <f t="shared" si="16"/>
        <v>6.3273958333333333E-5</v>
      </c>
      <c r="AL12" s="10">
        <f t="shared" si="5"/>
        <v>38</v>
      </c>
      <c r="AM12" s="211">
        <v>2.2201388888888886E-4</v>
      </c>
      <c r="AN12" s="145">
        <f t="shared" si="17"/>
        <v>2.2201388888888886E-4</v>
      </c>
      <c r="AO12" s="10">
        <v>7.4999999999999997E-3</v>
      </c>
    </row>
    <row r="13" spans="2:41" s="192" customFormat="1" x14ac:dyDescent="0.2">
      <c r="B13" s="182" t="s">
        <v>41</v>
      </c>
      <c r="C13" s="182" t="s">
        <v>75</v>
      </c>
      <c r="D13" s="34">
        <v>85</v>
      </c>
      <c r="E13" s="10" t="s">
        <v>67</v>
      </c>
      <c r="F13" s="34">
        <v>3</v>
      </c>
      <c r="G13" s="34">
        <v>2</v>
      </c>
      <c r="H13" s="34">
        <v>170</v>
      </c>
      <c r="I13" s="41">
        <f t="shared" si="0"/>
        <v>255</v>
      </c>
      <c r="J13" s="34">
        <v>170</v>
      </c>
      <c r="K13" s="216">
        <v>35287</v>
      </c>
      <c r="L13" s="128">
        <f t="shared" si="6"/>
        <v>7.4015321073247112E-2</v>
      </c>
      <c r="M13" s="175">
        <f>N13*O13*P13</f>
        <v>148.03064214649422</v>
      </c>
      <c r="N13" s="143">
        <v>4.5108037943393891</v>
      </c>
      <c r="O13" s="199">
        <f t="shared" si="13"/>
        <v>35287</v>
      </c>
      <c r="P13" s="41">
        <f>0.0093/10</f>
        <v>9.2999999999999995E-4</v>
      </c>
      <c r="Q13" s="142">
        <f t="shared" si="9"/>
        <v>1.3775609804734632</v>
      </c>
      <c r="R13" s="142">
        <f>SUM(Q13)</f>
        <v>1.3775609804734632</v>
      </c>
      <c r="S13" s="41">
        <v>8760</v>
      </c>
      <c r="T13" s="134">
        <f t="shared" si="12"/>
        <v>0.31451163937750298</v>
      </c>
      <c r="U13" s="130">
        <f t="shared" si="1"/>
        <v>170</v>
      </c>
      <c r="V13" s="210">
        <v>1.1751711673162205E-2</v>
      </c>
      <c r="W13" s="172">
        <f>AVERAGE(V13)</f>
        <v>1.1751711673162205E-2</v>
      </c>
      <c r="X13" s="133">
        <f t="shared" si="14"/>
        <v>1.1751711673162205E-2</v>
      </c>
      <c r="Y13" s="134">
        <v>0.04</v>
      </c>
      <c r="Z13" s="134">
        <f t="shared" si="15"/>
        <v>0.06</v>
      </c>
      <c r="AA13" s="135">
        <v>2.3E-2</v>
      </c>
      <c r="AB13" s="129">
        <f t="shared" si="10"/>
        <v>7.0228576866250038E-3</v>
      </c>
      <c r="AC13" s="41">
        <v>8760</v>
      </c>
      <c r="AD13" s="143">
        <f t="shared" si="2"/>
        <v>1.6033921658961197E-3</v>
      </c>
      <c r="AE13" s="10">
        <f t="shared" si="3"/>
        <v>255</v>
      </c>
      <c r="AF13" s="211">
        <v>8.383749887038534E-4</v>
      </c>
      <c r="AG13" s="145">
        <f t="shared" si="4"/>
        <v>8.383749887038534E-4</v>
      </c>
      <c r="AH13" s="10">
        <v>7.4999999999999997E-3</v>
      </c>
      <c r="AI13" s="129">
        <f t="shared" si="11"/>
        <v>7.2088268324975627E-2</v>
      </c>
      <c r="AJ13" s="41">
        <v>8760</v>
      </c>
      <c r="AK13" s="137">
        <f t="shared" si="16"/>
        <v>1.6458508749994435E-2</v>
      </c>
      <c r="AL13" s="10">
        <f t="shared" si="5"/>
        <v>170</v>
      </c>
      <c r="AM13" s="217">
        <v>1.2908634313721126E-2</v>
      </c>
      <c r="AN13" s="145">
        <f t="shared" si="17"/>
        <v>1.2908634313721126E-2</v>
      </c>
      <c r="AO13" s="10">
        <v>7.4999999999999997E-3</v>
      </c>
    </row>
    <row r="14" spans="2:41" s="192" customFormat="1" x14ac:dyDescent="0.2">
      <c r="B14" s="182" t="s">
        <v>43</v>
      </c>
      <c r="C14" s="182" t="s">
        <v>76</v>
      </c>
      <c r="D14" s="34">
        <v>85</v>
      </c>
      <c r="E14" s="10" t="s">
        <v>67</v>
      </c>
      <c r="F14" s="34">
        <v>4</v>
      </c>
      <c r="G14" s="34">
        <v>2</v>
      </c>
      <c r="H14" s="34">
        <v>170</v>
      </c>
      <c r="I14" s="41">
        <f t="shared" si="0"/>
        <v>340</v>
      </c>
      <c r="J14" s="34">
        <v>170</v>
      </c>
      <c r="K14" s="46">
        <v>41617</v>
      </c>
      <c r="L14" s="128">
        <f t="shared" si="6"/>
        <v>3.4785049237500004E-2</v>
      </c>
      <c r="M14" s="175">
        <f>N14*O14*P14</f>
        <v>69.570098475000009</v>
      </c>
      <c r="N14" s="143">
        <v>1.7975000000000001</v>
      </c>
      <c r="O14" s="199">
        <f t="shared" si="13"/>
        <v>41617</v>
      </c>
      <c r="P14" s="41">
        <f>0.0093/10</f>
        <v>9.2999999999999995E-4</v>
      </c>
      <c r="Q14" s="142">
        <f t="shared" si="9"/>
        <v>1.0617995999999998</v>
      </c>
      <c r="R14" s="142">
        <f>SUM(Q14)</f>
        <v>1.0617995999999998</v>
      </c>
      <c r="S14" s="41">
        <v>8760</v>
      </c>
      <c r="T14" s="134">
        <f t="shared" si="12"/>
        <v>0.24241999999999997</v>
      </c>
      <c r="U14" s="130">
        <f t="shared" si="1"/>
        <v>170</v>
      </c>
      <c r="V14" s="215">
        <v>1.15E-3</v>
      </c>
      <c r="W14" s="124">
        <f>AVERAGE(V14)</f>
        <v>1.15E-3</v>
      </c>
      <c r="X14" s="133">
        <f t="shared" si="14"/>
        <v>1.15E-3</v>
      </c>
      <c r="Y14" s="134">
        <v>0.04</v>
      </c>
      <c r="Z14" s="134">
        <f t="shared" si="15"/>
        <v>0.06</v>
      </c>
      <c r="AA14" s="135">
        <v>2.3E-2</v>
      </c>
      <c r="AB14" s="129">
        <f t="shared" si="10"/>
        <v>1.4892E-3</v>
      </c>
      <c r="AC14" s="41">
        <v>8760</v>
      </c>
      <c r="AD14" s="143">
        <f t="shared" si="2"/>
        <v>3.4000000000000002E-4</v>
      </c>
      <c r="AE14" s="10">
        <f t="shared" si="3"/>
        <v>340</v>
      </c>
      <c r="AF14" s="211">
        <v>1.3333333333333334E-4</v>
      </c>
      <c r="AG14" s="145">
        <f t="shared" si="4"/>
        <v>1.3333333333333334E-4</v>
      </c>
      <c r="AH14" s="10">
        <v>7.4999999999999997E-3</v>
      </c>
      <c r="AI14" s="129">
        <f t="shared" si="11"/>
        <v>3.7695374999999996E-3</v>
      </c>
      <c r="AJ14" s="41">
        <v>8760</v>
      </c>
      <c r="AK14" s="137">
        <f t="shared" si="16"/>
        <v>8.6062499999999995E-4</v>
      </c>
      <c r="AL14" s="10">
        <f t="shared" si="5"/>
        <v>170</v>
      </c>
      <c r="AM14" s="211">
        <v>6.7499999999999993E-4</v>
      </c>
      <c r="AN14" s="145">
        <f t="shared" si="17"/>
        <v>6.7499999999999993E-4</v>
      </c>
      <c r="AO14" s="10">
        <v>7.4999999999999997E-3</v>
      </c>
    </row>
    <row r="15" spans="2:41" s="192" customFormat="1" x14ac:dyDescent="0.2">
      <c r="B15" s="182" t="s">
        <v>3</v>
      </c>
      <c r="C15" s="182" t="s">
        <v>77</v>
      </c>
      <c r="D15" s="34">
        <v>64</v>
      </c>
      <c r="E15" s="10" t="s">
        <v>67</v>
      </c>
      <c r="F15" s="34">
        <v>4</v>
      </c>
      <c r="G15" s="34">
        <v>2</v>
      </c>
      <c r="H15" s="34">
        <f>64*2</f>
        <v>128</v>
      </c>
      <c r="I15" s="41">
        <f t="shared" si="0"/>
        <v>256</v>
      </c>
      <c r="J15" s="34">
        <f>2*64</f>
        <v>128</v>
      </c>
      <c r="K15" s="199">
        <f>63860/3</f>
        <v>21286.666666666668</v>
      </c>
      <c r="L15" s="128">
        <f t="shared" si="6"/>
        <v>2.0942948452579366E-2</v>
      </c>
      <c r="M15" s="175">
        <f t="shared" ref="M15:M30" si="20">N15*O15*P15</f>
        <v>41.885896905158731</v>
      </c>
      <c r="N15" s="143">
        <v>2.1158126600102407</v>
      </c>
      <c r="O15" s="199">
        <f t="shared" si="13"/>
        <v>21286.666666666668</v>
      </c>
      <c r="P15" s="41">
        <f t="shared" ref="P15:P30" si="21">0.0093/10</f>
        <v>9.2999999999999995E-4</v>
      </c>
      <c r="Q15" s="126">
        <f t="shared" si="9"/>
        <v>0.96806811133640558</v>
      </c>
      <c r="R15" s="142">
        <f>SUM(Q15:Q24)</f>
        <v>9.6811704703778787</v>
      </c>
      <c r="S15" s="41">
        <v>8760</v>
      </c>
      <c r="T15" s="134">
        <f t="shared" si="12"/>
        <v>0.22102011674347158</v>
      </c>
      <c r="U15" s="130">
        <f t="shared" si="1"/>
        <v>128</v>
      </c>
      <c r="V15" s="215">
        <v>8.6679915514592948E-3</v>
      </c>
      <c r="W15" s="124">
        <f>AVERAGE(V15:V24)</f>
        <v>4.5857100614439331E-3</v>
      </c>
      <c r="X15" s="133">
        <f t="shared" si="14"/>
        <v>8.6679915514592948E-3</v>
      </c>
      <c r="Y15" s="134">
        <v>0.04</v>
      </c>
      <c r="Z15" s="134">
        <f t="shared" si="15"/>
        <v>0.06</v>
      </c>
      <c r="AA15" s="135">
        <v>2.3E-2</v>
      </c>
      <c r="AB15" s="129">
        <f t="shared" si="10"/>
        <v>4.1573264516129037E-4</v>
      </c>
      <c r="AC15" s="41">
        <v>8760</v>
      </c>
      <c r="AD15" s="143">
        <f t="shared" si="2"/>
        <v>9.4916129032258074E-5</v>
      </c>
      <c r="AE15" s="10">
        <f t="shared" si="3"/>
        <v>256</v>
      </c>
      <c r="AF15" s="218">
        <v>4.9435483870967752E-5</v>
      </c>
      <c r="AG15" s="145">
        <f t="shared" si="4"/>
        <v>4.9435483870967752E-5</v>
      </c>
      <c r="AH15" s="10">
        <v>7.4999999999999997E-3</v>
      </c>
      <c r="AI15" s="129">
        <f t="shared" si="11"/>
        <v>2.0510594027649775E-2</v>
      </c>
      <c r="AJ15" s="41">
        <v>8760</v>
      </c>
      <c r="AK15" s="137">
        <f t="shared" si="16"/>
        <v>4.6827840245775741E-3</v>
      </c>
      <c r="AL15" s="10">
        <f t="shared" si="5"/>
        <v>128</v>
      </c>
      <c r="AM15" s="212">
        <v>4.8779000256016398E-3</v>
      </c>
      <c r="AN15" s="145">
        <f t="shared" si="17"/>
        <v>4.8779000256016398E-3</v>
      </c>
      <c r="AO15" s="10">
        <v>7.4999999999999997E-3</v>
      </c>
    </row>
    <row r="16" spans="2:41" s="192" customFormat="1" x14ac:dyDescent="0.2">
      <c r="B16" s="182" t="s">
        <v>3</v>
      </c>
      <c r="C16" s="182" t="s">
        <v>40</v>
      </c>
      <c r="D16" s="34">
        <v>64</v>
      </c>
      <c r="E16" s="10" t="s">
        <v>67</v>
      </c>
      <c r="F16" s="34">
        <v>4</v>
      </c>
      <c r="G16" s="34">
        <v>2</v>
      </c>
      <c r="H16" s="34">
        <f>64*2</f>
        <v>128</v>
      </c>
      <c r="I16" s="41">
        <f t="shared" si="0"/>
        <v>256</v>
      </c>
      <c r="J16" s="34">
        <f t="shared" ref="J16:J17" si="22">2*64</f>
        <v>128</v>
      </c>
      <c r="K16" s="199">
        <f t="shared" ref="K16:K17" si="23">63860/3</f>
        <v>21286.666666666668</v>
      </c>
      <c r="L16" s="128">
        <f t="shared" si="6"/>
        <v>2.25055576718254E-2</v>
      </c>
      <c r="M16" s="175">
        <f t="shared" si="20"/>
        <v>45.0111153436508</v>
      </c>
      <c r="N16" s="143">
        <v>2.2736790834613418</v>
      </c>
      <c r="O16" s="199">
        <f t="shared" si="13"/>
        <v>21286.666666666668</v>
      </c>
      <c r="P16" s="41">
        <f t="shared" si="21"/>
        <v>9.2999999999999995E-4</v>
      </c>
      <c r="Q16" s="126">
        <f t="shared" si="9"/>
        <v>0.96381789748694313</v>
      </c>
      <c r="R16" s="126"/>
      <c r="S16" s="41">
        <v>8760</v>
      </c>
      <c r="T16" s="134">
        <f t="shared" si="12"/>
        <v>0.22004974828469021</v>
      </c>
      <c r="U16" s="130">
        <f t="shared" si="1"/>
        <v>128</v>
      </c>
      <c r="V16" s="215">
        <v>8.4784664618535593E-3</v>
      </c>
      <c r="W16" s="215"/>
      <c r="X16" s="133">
        <f t="shared" si="14"/>
        <v>8.4784664618535593E-3</v>
      </c>
      <c r="Y16" s="134">
        <v>0.04</v>
      </c>
      <c r="Z16" s="134">
        <f t="shared" si="15"/>
        <v>0.06</v>
      </c>
      <c r="AA16" s="135">
        <v>2.3E-2</v>
      </c>
      <c r="AB16" s="129">
        <f t="shared" si="10"/>
        <v>4.4422753917050712E-4</v>
      </c>
      <c r="AC16" s="41">
        <v>8760</v>
      </c>
      <c r="AD16" s="143">
        <f t="shared" si="2"/>
        <v>1.0142181259600619E-4</v>
      </c>
      <c r="AE16" s="10">
        <f t="shared" si="3"/>
        <v>256</v>
      </c>
      <c r="AF16" s="218">
        <v>5.2823860727086561E-5</v>
      </c>
      <c r="AG16" s="145">
        <f t="shared" si="4"/>
        <v>5.2823860727086561E-5</v>
      </c>
      <c r="AH16" s="10">
        <v>7.4999999999999997E-3</v>
      </c>
      <c r="AI16" s="129">
        <f t="shared" si="11"/>
        <v>1.6507021050691243E-2</v>
      </c>
      <c r="AJ16" s="41">
        <v>8760</v>
      </c>
      <c r="AK16" s="137">
        <f t="shared" si="16"/>
        <v>3.7687262672811061E-3</v>
      </c>
      <c r="AL16" s="10">
        <f t="shared" si="5"/>
        <v>128</v>
      </c>
      <c r="AM16" s="212">
        <v>3.9257565284178189E-3</v>
      </c>
      <c r="AN16" s="145">
        <f t="shared" si="17"/>
        <v>3.9257565284178189E-3</v>
      </c>
      <c r="AO16" s="10">
        <v>7.4999999999999997E-3</v>
      </c>
    </row>
    <row r="17" spans="2:41" s="192" customFormat="1" x14ac:dyDescent="0.2">
      <c r="B17" s="182" t="s">
        <v>3</v>
      </c>
      <c r="C17" s="182" t="s">
        <v>78</v>
      </c>
      <c r="D17" s="34">
        <v>64</v>
      </c>
      <c r="E17" s="10" t="s">
        <v>67</v>
      </c>
      <c r="F17" s="34">
        <v>4</v>
      </c>
      <c r="G17" s="34">
        <v>2</v>
      </c>
      <c r="H17" s="34">
        <f>64*2</f>
        <v>128</v>
      </c>
      <c r="I17" s="41">
        <f t="shared" si="0"/>
        <v>256</v>
      </c>
      <c r="J17" s="34">
        <f t="shared" si="22"/>
        <v>128</v>
      </c>
      <c r="K17" s="199">
        <f t="shared" si="23"/>
        <v>21286.666666666668</v>
      </c>
      <c r="L17" s="128">
        <f t="shared" si="6"/>
        <v>2.0914345127777779E-2</v>
      </c>
      <c r="M17" s="175">
        <f t="shared" si="20"/>
        <v>41.828690255555557</v>
      </c>
      <c r="N17" s="143">
        <v>2.1129229390681004</v>
      </c>
      <c r="O17" s="199">
        <f t="shared" si="13"/>
        <v>21286.666666666668</v>
      </c>
      <c r="P17" s="41">
        <f t="shared" si="21"/>
        <v>9.2999999999999995E-4</v>
      </c>
      <c r="Q17" s="126">
        <f t="shared" si="9"/>
        <v>0.87834949210445468</v>
      </c>
      <c r="R17" s="142"/>
      <c r="S17" s="41">
        <v>8760</v>
      </c>
      <c r="T17" s="134">
        <f t="shared" si="12"/>
        <v>0.20053641372247824</v>
      </c>
      <c r="U17" s="130">
        <f t="shared" si="1"/>
        <v>128</v>
      </c>
      <c r="V17" s="215">
        <v>4.6672683051715309E-3</v>
      </c>
      <c r="W17" s="215"/>
      <c r="X17" s="133">
        <f t="shared" si="14"/>
        <v>4.6672683051715309E-3</v>
      </c>
      <c r="Y17" s="134">
        <v>0.04</v>
      </c>
      <c r="Z17" s="134">
        <f t="shared" si="15"/>
        <v>0.06</v>
      </c>
      <c r="AA17" s="135">
        <v>2.3E-2</v>
      </c>
      <c r="AB17" s="129">
        <f t="shared" si="10"/>
        <v>2.0692438709677424E-4</v>
      </c>
      <c r="AC17" s="41">
        <v>8760</v>
      </c>
      <c r="AD17" s="143">
        <f t="shared" si="2"/>
        <v>4.7243010752688184E-5</v>
      </c>
      <c r="AE17" s="10">
        <f t="shared" si="3"/>
        <v>256</v>
      </c>
      <c r="AF17" s="218">
        <v>2.4605734767025095E-5</v>
      </c>
      <c r="AG17" s="145">
        <f t="shared" si="4"/>
        <v>2.4605734767025095E-5</v>
      </c>
      <c r="AH17" s="10">
        <v>7.4999999999999997E-3</v>
      </c>
      <c r="AI17" s="129">
        <f t="shared" si="11"/>
        <v>1.4694984774193549E-2</v>
      </c>
      <c r="AJ17" s="41">
        <v>8760</v>
      </c>
      <c r="AK17" s="137">
        <f t="shared" si="16"/>
        <v>3.3550193548387095E-3</v>
      </c>
      <c r="AL17" s="10">
        <f t="shared" si="5"/>
        <v>128</v>
      </c>
      <c r="AM17" s="212">
        <v>3.494811827956989E-3</v>
      </c>
      <c r="AN17" s="145">
        <f t="shared" si="17"/>
        <v>3.494811827956989E-3</v>
      </c>
      <c r="AO17" s="10">
        <v>7.4999999999999997E-3</v>
      </c>
    </row>
    <row r="18" spans="2:41" s="192" customFormat="1" x14ac:dyDescent="0.2">
      <c r="B18" s="182" t="s">
        <v>3</v>
      </c>
      <c r="C18" s="182" t="s">
        <v>79</v>
      </c>
      <c r="D18" s="34">
        <v>61</v>
      </c>
      <c r="E18" s="10" t="s">
        <v>67</v>
      </c>
      <c r="F18" s="34">
        <v>4</v>
      </c>
      <c r="G18" s="34">
        <v>2</v>
      </c>
      <c r="H18" s="34">
        <f>61*2</f>
        <v>122</v>
      </c>
      <c r="I18" s="41">
        <f t="shared" si="0"/>
        <v>244</v>
      </c>
      <c r="J18" s="34">
        <f>2*61</f>
        <v>122</v>
      </c>
      <c r="K18" s="216">
        <f>39062/2</f>
        <v>19531</v>
      </c>
      <c r="L18" s="128">
        <f t="shared" si="6"/>
        <v>1.6419082174017857E-2</v>
      </c>
      <c r="M18" s="175">
        <f t="shared" si="20"/>
        <v>32.838164348035711</v>
      </c>
      <c r="N18" s="143">
        <v>1.80788767281106</v>
      </c>
      <c r="O18" s="199">
        <f t="shared" si="13"/>
        <v>19531</v>
      </c>
      <c r="P18" s="41">
        <f t="shared" si="21"/>
        <v>9.2999999999999995E-4</v>
      </c>
      <c r="Q18" s="126">
        <f t="shared" si="9"/>
        <v>0.77665905744700447</v>
      </c>
      <c r="R18" s="126"/>
      <c r="S18" s="41">
        <v>8760</v>
      </c>
      <c r="T18" s="134">
        <f t="shared" si="12"/>
        <v>0.17731941950844851</v>
      </c>
      <c r="U18" s="130">
        <f t="shared" si="1"/>
        <v>122</v>
      </c>
      <c r="V18" s="215">
        <v>1.8359466205837174E-3</v>
      </c>
      <c r="W18" s="215"/>
      <c r="X18" s="133">
        <f t="shared" si="14"/>
        <v>1.8359466205837174E-3</v>
      </c>
      <c r="Y18" s="134">
        <v>0.04</v>
      </c>
      <c r="Z18" s="134">
        <f t="shared" si="15"/>
        <v>0.06</v>
      </c>
      <c r="AA18" s="135">
        <v>2.3E-2</v>
      </c>
      <c r="AB18" s="129">
        <f t="shared" si="10"/>
        <v>2.5899222580645165E-4</v>
      </c>
      <c r="AC18" s="41">
        <v>8760</v>
      </c>
      <c r="AD18" s="143">
        <f t="shared" si="2"/>
        <v>5.9130645161290329E-5</v>
      </c>
      <c r="AE18" s="10">
        <f t="shared" si="3"/>
        <v>244</v>
      </c>
      <c r="AF18" s="218">
        <v>3.2311827956989254E-5</v>
      </c>
      <c r="AG18" s="145">
        <f t="shared" si="4"/>
        <v>3.2311827956989254E-5</v>
      </c>
      <c r="AH18" s="10">
        <v>7.4999999999999997E-3</v>
      </c>
      <c r="AI18" s="129">
        <f t="shared" si="11"/>
        <v>2.0829282003456222E-2</v>
      </c>
      <c r="AJ18" s="41">
        <v>8760</v>
      </c>
      <c r="AK18" s="137">
        <f t="shared" si="16"/>
        <v>4.75554383640553E-3</v>
      </c>
      <c r="AL18" s="10">
        <f t="shared" si="5"/>
        <v>122</v>
      </c>
      <c r="AM18" s="212">
        <v>5.1973156682027658E-3</v>
      </c>
      <c r="AN18" s="145">
        <f t="shared" si="17"/>
        <v>5.1973156682027658E-3</v>
      </c>
      <c r="AO18" s="10">
        <v>7.4999999999999997E-3</v>
      </c>
    </row>
    <row r="19" spans="2:41" s="192" customFormat="1" x14ac:dyDescent="0.2">
      <c r="B19" s="182" t="s">
        <v>3</v>
      </c>
      <c r="C19" s="182" t="s">
        <v>80</v>
      </c>
      <c r="D19" s="34">
        <v>61</v>
      </c>
      <c r="E19" s="10" t="s">
        <v>67</v>
      </c>
      <c r="F19" s="34">
        <v>4</v>
      </c>
      <c r="G19" s="34">
        <v>2</v>
      </c>
      <c r="H19" s="34">
        <f>61*2</f>
        <v>122</v>
      </c>
      <c r="I19" s="41">
        <f t="shared" si="0"/>
        <v>244</v>
      </c>
      <c r="J19" s="34">
        <f t="shared" ref="J19:J20" si="24">2*61</f>
        <v>122</v>
      </c>
      <c r="K19" s="216">
        <f>39062/2</f>
        <v>19531</v>
      </c>
      <c r="L19" s="128">
        <f t="shared" si="6"/>
        <v>1.638469656970238E-2</v>
      </c>
      <c r="M19" s="175">
        <f t="shared" si="20"/>
        <v>32.769393139404762</v>
      </c>
      <c r="N19" s="143">
        <v>1.804101510496672</v>
      </c>
      <c r="O19" s="199">
        <f t="shared" si="13"/>
        <v>19531</v>
      </c>
      <c r="P19" s="41">
        <f t="shared" si="21"/>
        <v>9.2999999999999995E-4</v>
      </c>
      <c r="Q19" s="126">
        <f t="shared" si="9"/>
        <v>0.78360792632565268</v>
      </c>
      <c r="R19" s="126"/>
      <c r="S19" s="41">
        <v>8760</v>
      </c>
      <c r="T19" s="134">
        <f t="shared" si="12"/>
        <v>0.17890591925243213</v>
      </c>
      <c r="U19" s="130">
        <f t="shared" si="1"/>
        <v>122</v>
      </c>
      <c r="V19" s="215">
        <v>2.1610490271377369E-3</v>
      </c>
      <c r="W19" s="215"/>
      <c r="X19" s="133">
        <f t="shared" si="14"/>
        <v>2.1610490271377369E-3</v>
      </c>
      <c r="Y19" s="134">
        <v>0.04</v>
      </c>
      <c r="Z19" s="134">
        <f t="shared" si="15"/>
        <v>0.06</v>
      </c>
      <c r="AA19" s="135">
        <v>2.3E-2</v>
      </c>
      <c r="AB19" s="129">
        <f t="shared" si="10"/>
        <v>4.733826290322582E-4</v>
      </c>
      <c r="AC19" s="41">
        <v>8760</v>
      </c>
      <c r="AD19" s="143">
        <f t="shared" si="2"/>
        <v>1.0807822580645164E-4</v>
      </c>
      <c r="AE19" s="10">
        <f t="shared" si="3"/>
        <v>244</v>
      </c>
      <c r="AF19" s="218">
        <v>5.9059139784946251E-5</v>
      </c>
      <c r="AG19" s="145">
        <f t="shared" si="4"/>
        <v>5.9059139784946251E-5</v>
      </c>
      <c r="AH19" s="10">
        <v>7.4999999999999997E-3</v>
      </c>
      <c r="AI19" s="129">
        <f t="shared" si="11"/>
        <v>2.1243144233870966E-2</v>
      </c>
      <c r="AJ19" s="41">
        <v>8760</v>
      </c>
      <c r="AK19" s="137">
        <f t="shared" si="16"/>
        <v>4.8500329301075272E-3</v>
      </c>
      <c r="AL19" s="10">
        <f t="shared" si="5"/>
        <v>122</v>
      </c>
      <c r="AM19" s="212">
        <v>5.3005824372759861E-3</v>
      </c>
      <c r="AN19" s="145">
        <f t="shared" si="17"/>
        <v>5.3005824372759861E-3</v>
      </c>
      <c r="AO19" s="10">
        <v>7.4999999999999997E-3</v>
      </c>
    </row>
    <row r="20" spans="2:41" s="192" customFormat="1" x14ac:dyDescent="0.2">
      <c r="B20" s="182" t="s">
        <v>3</v>
      </c>
      <c r="C20" s="182" t="s">
        <v>81</v>
      </c>
      <c r="D20" s="34">
        <v>61</v>
      </c>
      <c r="E20" s="10" t="s">
        <v>67</v>
      </c>
      <c r="F20" s="34">
        <v>4</v>
      </c>
      <c r="G20" s="34">
        <v>2</v>
      </c>
      <c r="H20" s="34">
        <f>61*2</f>
        <v>122</v>
      </c>
      <c r="I20" s="41">
        <f t="shared" si="0"/>
        <v>244</v>
      </c>
      <c r="J20" s="34">
        <f t="shared" si="24"/>
        <v>122</v>
      </c>
      <c r="K20" s="216">
        <v>0</v>
      </c>
      <c r="L20" s="128">
        <f t="shared" si="6"/>
        <v>3.5829101879999999E-2</v>
      </c>
      <c r="M20" s="175">
        <f t="shared" si="20"/>
        <v>71.658203759999992</v>
      </c>
      <c r="N20" s="205">
        <v>3.7679999999999998</v>
      </c>
      <c r="O20" s="199">
        <v>20449</v>
      </c>
      <c r="P20" s="41">
        <f t="shared" si="21"/>
        <v>9.2999999999999995E-4</v>
      </c>
      <c r="Q20" s="126">
        <f t="shared" si="9"/>
        <v>0.82077695999999989</v>
      </c>
      <c r="R20" s="126"/>
      <c r="S20" s="41">
        <v>8760</v>
      </c>
      <c r="T20" s="134">
        <f t="shared" si="12"/>
        <v>0.18739199999999998</v>
      </c>
      <c r="U20" s="130">
        <f t="shared" si="1"/>
        <v>122</v>
      </c>
      <c r="V20" s="170">
        <v>3.8999999999999998E-3</v>
      </c>
      <c r="W20" s="170"/>
      <c r="X20" s="133">
        <f t="shared" si="14"/>
        <v>3.8999999999999998E-3</v>
      </c>
      <c r="Y20" s="134">
        <v>0.04</v>
      </c>
      <c r="Z20" s="134">
        <f t="shared" si="15"/>
        <v>0.06</v>
      </c>
      <c r="AA20" s="135">
        <v>2.3E-2</v>
      </c>
      <c r="AB20" s="129">
        <f t="shared" si="10"/>
        <v>0</v>
      </c>
      <c r="AC20" s="41">
        <v>8760</v>
      </c>
      <c r="AD20" s="143">
        <f t="shared" si="2"/>
        <v>0</v>
      </c>
      <c r="AE20" s="10">
        <f t="shared" si="3"/>
        <v>244</v>
      </c>
      <c r="AF20" s="47">
        <v>0</v>
      </c>
      <c r="AG20" s="145">
        <f t="shared" si="4"/>
        <v>0</v>
      </c>
      <c r="AH20" s="10">
        <v>7.4999999999999997E-3</v>
      </c>
      <c r="AI20" s="129">
        <f t="shared" si="11"/>
        <v>1.563003E-2</v>
      </c>
      <c r="AJ20" s="41">
        <v>8760</v>
      </c>
      <c r="AK20" s="137">
        <f t="shared" si="16"/>
        <v>3.5685000000000001E-3</v>
      </c>
      <c r="AL20" s="10">
        <f t="shared" si="5"/>
        <v>122</v>
      </c>
      <c r="AM20" s="201">
        <v>3.8999999999999998E-3</v>
      </c>
      <c r="AN20" s="145">
        <f t="shared" si="17"/>
        <v>3.8999999999999998E-3</v>
      </c>
      <c r="AO20" s="10">
        <v>7.4999999999999997E-3</v>
      </c>
    </row>
    <row r="21" spans="2:41" s="192" customFormat="1" x14ac:dyDescent="0.2">
      <c r="B21" s="182" t="s">
        <v>3</v>
      </c>
      <c r="C21" s="182" t="s">
        <v>82</v>
      </c>
      <c r="D21" s="34">
        <v>87</v>
      </c>
      <c r="E21" s="10" t="s">
        <v>67</v>
      </c>
      <c r="F21" s="34">
        <v>4</v>
      </c>
      <c r="G21" s="34">
        <v>2</v>
      </c>
      <c r="H21" s="34">
        <f>87*2</f>
        <v>174</v>
      </c>
      <c r="I21" s="41">
        <f t="shared" si="0"/>
        <v>348</v>
      </c>
      <c r="J21" s="34">
        <f>2*87</f>
        <v>174</v>
      </c>
      <c r="K21" s="216">
        <f>65911/2</f>
        <v>32955.5</v>
      </c>
      <c r="L21" s="128">
        <f t="shared" si="6"/>
        <v>2.7637799539181548E-2</v>
      </c>
      <c r="M21" s="175">
        <f t="shared" si="20"/>
        <v>55.275599078363093</v>
      </c>
      <c r="N21" s="143">
        <v>1.8035268177163337</v>
      </c>
      <c r="O21" s="199">
        <f t="shared" si="13"/>
        <v>32955.5</v>
      </c>
      <c r="P21" s="41">
        <f t="shared" si="21"/>
        <v>9.2999999999999995E-4</v>
      </c>
      <c r="Q21" s="142">
        <f t="shared" si="9"/>
        <v>1.139936521861751</v>
      </c>
      <c r="R21" s="142"/>
      <c r="S21" s="41">
        <v>8760</v>
      </c>
      <c r="T21" s="134">
        <f t="shared" si="12"/>
        <v>0.26025947987711212</v>
      </c>
      <c r="U21" s="130">
        <f t="shared" si="1"/>
        <v>174</v>
      </c>
      <c r="V21" s="215">
        <v>2.8936034306195602E-3</v>
      </c>
      <c r="W21" s="215"/>
      <c r="X21" s="133">
        <f t="shared" si="14"/>
        <v>2.8936034306195602E-3</v>
      </c>
      <c r="Y21" s="134">
        <v>0.04</v>
      </c>
      <c r="Z21" s="134">
        <f t="shared" si="15"/>
        <v>0.06</v>
      </c>
      <c r="AA21" s="135">
        <v>2.3E-2</v>
      </c>
      <c r="AB21" s="129">
        <f t="shared" si="10"/>
        <v>9.544938387096775E-4</v>
      </c>
      <c r="AC21" s="41">
        <v>8760</v>
      </c>
      <c r="AD21" s="143">
        <f t="shared" si="2"/>
        <v>2.179209677419355E-4</v>
      </c>
      <c r="AE21" s="10">
        <f t="shared" si="3"/>
        <v>348</v>
      </c>
      <c r="AF21" s="218">
        <v>8.3494623655913991E-5</v>
      </c>
      <c r="AG21" s="145">
        <f t="shared" si="4"/>
        <v>8.3494623655913991E-5</v>
      </c>
      <c r="AH21" s="10">
        <v>7.4999999999999997E-3</v>
      </c>
      <c r="AI21" s="129">
        <f t="shared" si="11"/>
        <v>3.3156061330645158E-2</v>
      </c>
      <c r="AJ21" s="41">
        <v>8760</v>
      </c>
      <c r="AK21" s="137">
        <f t="shared" si="16"/>
        <v>7.5698770161290313E-3</v>
      </c>
      <c r="AL21" s="10">
        <f t="shared" si="5"/>
        <v>174</v>
      </c>
      <c r="AM21" s="212">
        <v>5.8006720430107527E-3</v>
      </c>
      <c r="AN21" s="145">
        <f t="shared" si="17"/>
        <v>5.8006720430107527E-3</v>
      </c>
      <c r="AO21" s="10">
        <v>7.4999999999999997E-3</v>
      </c>
    </row>
    <row r="22" spans="2:41" s="192" customFormat="1" x14ac:dyDescent="0.2">
      <c r="B22" s="182" t="s">
        <v>3</v>
      </c>
      <c r="C22" s="182" t="s">
        <v>83</v>
      </c>
      <c r="D22" s="34">
        <v>87</v>
      </c>
      <c r="E22" s="10" t="s">
        <v>67</v>
      </c>
      <c r="F22" s="34">
        <v>4</v>
      </c>
      <c r="G22" s="34">
        <v>2</v>
      </c>
      <c r="H22" s="34">
        <f>87*2</f>
        <v>174</v>
      </c>
      <c r="I22" s="41">
        <f t="shared" si="0"/>
        <v>348</v>
      </c>
      <c r="J22" s="34">
        <f>2*87</f>
        <v>174</v>
      </c>
      <c r="K22" s="216">
        <f>65911/2</f>
        <v>32955.5</v>
      </c>
      <c r="L22" s="128">
        <f t="shared" si="6"/>
        <v>2.7203337178333321E-2</v>
      </c>
      <c r="M22" s="175">
        <f t="shared" si="20"/>
        <v>54.406674356666642</v>
      </c>
      <c r="N22" s="143">
        <v>1.7751756272401427</v>
      </c>
      <c r="O22" s="199">
        <f t="shared" si="13"/>
        <v>32955.5</v>
      </c>
      <c r="P22" s="41">
        <f t="shared" si="21"/>
        <v>9.2999999999999995E-4</v>
      </c>
      <c r="Q22" s="142">
        <f t="shared" si="9"/>
        <v>1.1396651556313364</v>
      </c>
      <c r="R22" s="142"/>
      <c r="S22" s="41">
        <v>8760</v>
      </c>
      <c r="T22" s="134">
        <f t="shared" si="12"/>
        <v>0.26019752411674346</v>
      </c>
      <c r="U22" s="130">
        <f t="shared" si="1"/>
        <v>174</v>
      </c>
      <c r="V22" s="215">
        <v>2.8847017409114177E-3</v>
      </c>
      <c r="W22" s="215"/>
      <c r="X22" s="133">
        <f t="shared" si="14"/>
        <v>2.8847017409114177E-3</v>
      </c>
      <c r="Y22" s="134">
        <v>0.04</v>
      </c>
      <c r="Z22" s="134">
        <f t="shared" si="15"/>
        <v>0.06</v>
      </c>
      <c r="AA22" s="135">
        <v>2.3E-2</v>
      </c>
      <c r="AB22" s="129">
        <f t="shared" si="10"/>
        <v>9.6040582949308794E-4</v>
      </c>
      <c r="AC22" s="41">
        <v>8760</v>
      </c>
      <c r="AD22" s="143">
        <f t="shared" si="2"/>
        <v>2.1927073732718903E-4</v>
      </c>
      <c r="AE22" s="10">
        <f t="shared" si="3"/>
        <v>348</v>
      </c>
      <c r="AF22" s="218">
        <v>8.4011776753712273E-5</v>
      </c>
      <c r="AG22" s="145">
        <f t="shared" si="4"/>
        <v>8.4011776753712273E-5</v>
      </c>
      <c r="AH22" s="10">
        <v>7.4999999999999997E-3</v>
      </c>
      <c r="AI22" s="129">
        <f t="shared" si="11"/>
        <v>3.5257452114055295E-2</v>
      </c>
      <c r="AJ22" s="41">
        <v>8760</v>
      </c>
      <c r="AK22" s="137">
        <f t="shared" si="16"/>
        <v>8.0496466013824878E-3</v>
      </c>
      <c r="AL22" s="10">
        <f t="shared" si="5"/>
        <v>174</v>
      </c>
      <c r="AM22" s="212">
        <v>6.1683115719406035E-3</v>
      </c>
      <c r="AN22" s="145">
        <f t="shared" si="17"/>
        <v>6.1683115719406035E-3</v>
      </c>
      <c r="AO22" s="10">
        <v>7.4999999999999997E-3</v>
      </c>
    </row>
    <row r="23" spans="2:41" s="192" customFormat="1" x14ac:dyDescent="0.2">
      <c r="B23" s="182" t="s">
        <v>3</v>
      </c>
      <c r="C23" s="182" t="s">
        <v>4</v>
      </c>
      <c r="D23" s="34">
        <v>75</v>
      </c>
      <c r="E23" s="10" t="s">
        <v>67</v>
      </c>
      <c r="F23" s="34">
        <v>4</v>
      </c>
      <c r="G23" s="34">
        <v>2</v>
      </c>
      <c r="H23" s="34">
        <f>75*2</f>
        <v>150</v>
      </c>
      <c r="I23" s="41">
        <f t="shared" si="0"/>
        <v>300</v>
      </c>
      <c r="J23" s="34">
        <f>2*75</f>
        <v>150</v>
      </c>
      <c r="K23" s="216">
        <v>31342</v>
      </c>
      <c r="L23" s="128">
        <f t="shared" si="6"/>
        <v>4.2396648946369055E-2</v>
      </c>
      <c r="M23" s="175">
        <f t="shared" si="20"/>
        <v>84.79329789273811</v>
      </c>
      <c r="N23" s="143">
        <v>2.909054595494112</v>
      </c>
      <c r="O23" s="199">
        <f t="shared" si="13"/>
        <v>31342</v>
      </c>
      <c r="P23" s="41">
        <f t="shared" si="21"/>
        <v>9.2999999999999995E-4</v>
      </c>
      <c r="Q23" s="126">
        <f t="shared" si="9"/>
        <v>1.048323160829493</v>
      </c>
      <c r="R23" s="126"/>
      <c r="S23" s="41">
        <v>8760</v>
      </c>
      <c r="T23" s="134">
        <f t="shared" si="12"/>
        <v>0.23934318740399385</v>
      </c>
      <c r="U23" s="130">
        <f t="shared" si="1"/>
        <v>150</v>
      </c>
      <c r="V23" s="215">
        <v>5.3905312339989761E-3</v>
      </c>
      <c r="W23" s="215"/>
      <c r="X23" s="133">
        <f t="shared" si="14"/>
        <v>5.3905312339989761E-3</v>
      </c>
      <c r="Y23" s="134">
        <v>0.04</v>
      </c>
      <c r="Z23" s="134">
        <f t="shared" si="15"/>
        <v>0.06</v>
      </c>
      <c r="AA23" s="135">
        <v>2.3E-2</v>
      </c>
      <c r="AB23" s="129">
        <f t="shared" si="10"/>
        <v>2.8470000000000004E-4</v>
      </c>
      <c r="AC23" s="41">
        <v>8760</v>
      </c>
      <c r="AD23" s="143">
        <f t="shared" si="2"/>
        <v>6.5000000000000008E-5</v>
      </c>
      <c r="AE23" s="10">
        <f t="shared" si="3"/>
        <v>300</v>
      </c>
      <c r="AF23" s="218">
        <v>2.8888888888888892E-5</v>
      </c>
      <c r="AG23" s="145">
        <f t="shared" si="4"/>
        <v>2.8888888888888892E-5</v>
      </c>
      <c r="AH23" s="10">
        <v>7.4999999999999997E-3</v>
      </c>
      <c r="AI23" s="129">
        <f t="shared" si="11"/>
        <v>1.3421908885368665E-2</v>
      </c>
      <c r="AJ23" s="41">
        <v>8760</v>
      </c>
      <c r="AK23" s="137">
        <f t="shared" si="16"/>
        <v>3.0643627592165904E-3</v>
      </c>
      <c r="AL23" s="10">
        <f t="shared" si="5"/>
        <v>150</v>
      </c>
      <c r="AM23" s="212">
        <v>2.7238780081925247E-3</v>
      </c>
      <c r="AN23" s="145">
        <f t="shared" si="17"/>
        <v>2.7238780081925247E-3</v>
      </c>
      <c r="AO23" s="10">
        <v>7.4999999999999997E-3</v>
      </c>
    </row>
    <row r="24" spans="2:41" s="192" customFormat="1" x14ac:dyDescent="0.2">
      <c r="B24" s="182" t="s">
        <v>3</v>
      </c>
      <c r="C24" s="182" t="s">
        <v>84</v>
      </c>
      <c r="D24" s="34">
        <v>84</v>
      </c>
      <c r="E24" s="10" t="s">
        <v>67</v>
      </c>
      <c r="F24" s="34">
        <v>5</v>
      </c>
      <c r="G24" s="34">
        <v>1</v>
      </c>
      <c r="H24" s="34">
        <f>84*2</f>
        <v>168</v>
      </c>
      <c r="I24" s="41">
        <f t="shared" si="0"/>
        <v>420</v>
      </c>
      <c r="J24" s="34">
        <v>84</v>
      </c>
      <c r="K24" s="216">
        <v>35774</v>
      </c>
      <c r="L24" s="126">
        <f t="shared" si="6"/>
        <v>5.8480321027559512E-2</v>
      </c>
      <c r="M24" s="175">
        <f t="shared" si="20"/>
        <v>116.96064205511902</v>
      </c>
      <c r="N24" s="143">
        <v>3.5155177291346642</v>
      </c>
      <c r="O24" s="199">
        <f t="shared" si="13"/>
        <v>35774</v>
      </c>
      <c r="P24" s="41">
        <f t="shared" si="21"/>
        <v>9.2999999999999995E-4</v>
      </c>
      <c r="Q24" s="142">
        <f t="shared" si="9"/>
        <v>1.1619661873548386</v>
      </c>
      <c r="R24" s="142"/>
      <c r="S24" s="41">
        <v>8760</v>
      </c>
      <c r="T24" s="134">
        <f t="shared" si="12"/>
        <v>0.26528908387096772</v>
      </c>
      <c r="U24" s="130">
        <f t="shared" si="1"/>
        <v>168</v>
      </c>
      <c r="V24" s="215">
        <v>4.9775422427035323E-3</v>
      </c>
      <c r="W24" s="215"/>
      <c r="X24" s="133">
        <f t="shared" si="14"/>
        <v>4.9775422427035323E-3</v>
      </c>
      <c r="Y24" s="134">
        <v>0.04</v>
      </c>
      <c r="Z24" s="134">
        <f t="shared" si="15"/>
        <v>0.06</v>
      </c>
      <c r="AA24" s="135">
        <v>2.3E-2</v>
      </c>
      <c r="AB24" s="129">
        <f t="shared" si="10"/>
        <v>1.7356633064516131E-3</v>
      </c>
      <c r="AC24" s="41">
        <v>8760</v>
      </c>
      <c r="AD24" s="143">
        <f t="shared" si="2"/>
        <v>3.9627016129032262E-4</v>
      </c>
      <c r="AE24" s="10">
        <f t="shared" si="3"/>
        <v>420</v>
      </c>
      <c r="AF24" s="211">
        <v>1.2580005120327702E-4</v>
      </c>
      <c r="AG24" s="145">
        <f t="shared" si="4"/>
        <v>1.2580005120327702E-4</v>
      </c>
      <c r="AH24" s="10">
        <v>7.4999999999999997E-3</v>
      </c>
      <c r="AI24" s="129">
        <f t="shared" si="11"/>
        <v>2.6302712419354851E-3</v>
      </c>
      <c r="AJ24" s="41">
        <v>8760</v>
      </c>
      <c r="AK24" s="137">
        <f t="shared" si="16"/>
        <v>6.0051854838709699E-4</v>
      </c>
      <c r="AL24" s="10">
        <f t="shared" si="5"/>
        <v>84</v>
      </c>
      <c r="AM24" s="211">
        <v>9.5320404505888417E-4</v>
      </c>
      <c r="AN24" s="145">
        <f t="shared" si="17"/>
        <v>9.5320404505888417E-4</v>
      </c>
      <c r="AO24" s="10">
        <v>7.4999999999999997E-3</v>
      </c>
    </row>
    <row r="25" spans="2:41" s="192" customFormat="1" x14ac:dyDescent="0.2">
      <c r="B25" s="118" t="s">
        <v>85</v>
      </c>
      <c r="C25" s="188" t="s">
        <v>86</v>
      </c>
      <c r="D25" s="13">
        <v>78</v>
      </c>
      <c r="E25" s="12" t="s">
        <v>70</v>
      </c>
      <c r="F25" s="41">
        <v>4</v>
      </c>
      <c r="G25" s="41">
        <v>1</v>
      </c>
      <c r="H25" s="34">
        <f t="shared" ref="H25:H30" si="25">D25*2</f>
        <v>156</v>
      </c>
      <c r="I25" s="41">
        <f t="shared" si="0"/>
        <v>312</v>
      </c>
      <c r="J25" s="41">
        <v>78</v>
      </c>
      <c r="K25" s="46">
        <v>21735</v>
      </c>
      <c r="L25" s="128">
        <f t="shared" si="6"/>
        <v>4.5084638812499987E-2</v>
      </c>
      <c r="M25" s="175">
        <f t="shared" si="20"/>
        <v>90.169277624999978</v>
      </c>
      <c r="N25" s="143">
        <v>4.4608333333333325</v>
      </c>
      <c r="O25" s="199">
        <f t="shared" si="13"/>
        <v>21735</v>
      </c>
      <c r="P25" s="41">
        <f t="shared" si="21"/>
        <v>9.2999999999999995E-4</v>
      </c>
      <c r="Q25" s="142">
        <f t="shared" si="9"/>
        <v>1.6084411199999999</v>
      </c>
      <c r="R25" s="142">
        <f>SUM(Q25:Q27)</f>
        <v>2.2711018319999998</v>
      </c>
      <c r="S25" s="41">
        <v>8760</v>
      </c>
      <c r="T25" s="134">
        <f t="shared" si="12"/>
        <v>0.36722399999999999</v>
      </c>
      <c r="U25" s="130">
        <f t="shared" si="1"/>
        <v>156</v>
      </c>
      <c r="V25" s="210">
        <v>2.435E-2</v>
      </c>
      <c r="W25" s="124">
        <f>AVERAGE(V25:V27)</f>
        <v>8.4705555555555558E-3</v>
      </c>
      <c r="X25" s="133">
        <f t="shared" si="14"/>
        <v>2.435E-2</v>
      </c>
      <c r="Y25" s="134">
        <v>0.04</v>
      </c>
      <c r="Z25" s="134">
        <f t="shared" si="15"/>
        <v>0.06</v>
      </c>
      <c r="AA25" s="135">
        <v>2.3E-2</v>
      </c>
      <c r="AB25" s="129">
        <f t="shared" si="10"/>
        <v>2.3914800000000001E-3</v>
      </c>
      <c r="AC25" s="41">
        <v>8760</v>
      </c>
      <c r="AD25" s="143">
        <f t="shared" si="2"/>
        <v>5.4600000000000004E-4</v>
      </c>
      <c r="AE25" s="10">
        <f t="shared" si="3"/>
        <v>312</v>
      </c>
      <c r="AF25" s="211">
        <v>2.3333333333333333E-4</v>
      </c>
      <c r="AG25" s="145">
        <f t="shared" si="4"/>
        <v>2.3333333333333333E-4</v>
      </c>
      <c r="AH25" s="10">
        <v>7.4999999999999997E-3</v>
      </c>
      <c r="AI25" s="129">
        <f t="shared" si="11"/>
        <v>6.7260374999999996E-5</v>
      </c>
      <c r="AJ25" s="41">
        <v>8760</v>
      </c>
      <c r="AK25" s="137">
        <f t="shared" si="16"/>
        <v>1.5356250000000001E-5</v>
      </c>
      <c r="AL25" s="10">
        <f t="shared" si="5"/>
        <v>78</v>
      </c>
      <c r="AM25" s="218">
        <v>2.6250000000000001E-5</v>
      </c>
      <c r="AN25" s="145">
        <f t="shared" si="17"/>
        <v>2.6250000000000001E-5</v>
      </c>
      <c r="AO25" s="10">
        <v>7.4999999999999997E-3</v>
      </c>
    </row>
    <row r="26" spans="2:41" s="192" customFormat="1" x14ac:dyDescent="0.2">
      <c r="B26" s="10" t="s">
        <v>85</v>
      </c>
      <c r="C26" s="188" t="s">
        <v>76</v>
      </c>
      <c r="D26" s="13">
        <v>25</v>
      </c>
      <c r="E26" s="12" t="s">
        <v>70</v>
      </c>
      <c r="F26" s="34">
        <v>5</v>
      </c>
      <c r="G26" s="34">
        <v>1</v>
      </c>
      <c r="H26" s="34">
        <f t="shared" si="25"/>
        <v>50</v>
      </c>
      <c r="I26" s="41">
        <f t="shared" si="0"/>
        <v>125</v>
      </c>
      <c r="J26" s="34">
        <v>25</v>
      </c>
      <c r="K26" s="48">
        <v>5140</v>
      </c>
      <c r="L26" s="128">
        <f t="shared" si="6"/>
        <v>1.1613894249999999E-2</v>
      </c>
      <c r="M26" s="175">
        <f t="shared" si="20"/>
        <v>23.227788499999999</v>
      </c>
      <c r="N26" s="143">
        <v>4.8591666666666669</v>
      </c>
      <c r="O26" s="199">
        <f t="shared" si="13"/>
        <v>5140</v>
      </c>
      <c r="P26" s="41">
        <f t="shared" si="21"/>
        <v>9.2999999999999995E-4</v>
      </c>
      <c r="Q26" s="126">
        <f t="shared" si="9"/>
        <v>0.30798700000000001</v>
      </c>
      <c r="R26" s="126"/>
      <c r="S26" s="41">
        <v>8760</v>
      </c>
      <c r="T26" s="135">
        <f t="shared" si="12"/>
        <v>7.0316666666666666E-2</v>
      </c>
      <c r="U26" s="130">
        <f t="shared" si="1"/>
        <v>50</v>
      </c>
      <c r="V26" s="213">
        <v>6.5833333333333336E-4</v>
      </c>
      <c r="W26" s="215"/>
      <c r="X26" s="133">
        <f t="shared" si="14"/>
        <v>6.5833333333333336E-4</v>
      </c>
      <c r="Y26" s="134">
        <v>0.04</v>
      </c>
      <c r="Z26" s="134">
        <f t="shared" si="15"/>
        <v>0.06</v>
      </c>
      <c r="AA26" s="135">
        <v>2.3E-2</v>
      </c>
      <c r="AB26" s="129">
        <f t="shared" si="10"/>
        <v>4.1062500000000002E-4</v>
      </c>
      <c r="AC26" s="41">
        <v>8760</v>
      </c>
      <c r="AD26" s="143">
        <f t="shared" si="2"/>
        <v>9.3750000000000002E-5</v>
      </c>
      <c r="AE26" s="10">
        <f t="shared" si="3"/>
        <v>125</v>
      </c>
      <c r="AF26" s="211">
        <v>1E-4</v>
      </c>
      <c r="AG26" s="145">
        <f t="shared" si="4"/>
        <v>1E-4</v>
      </c>
      <c r="AH26" s="10">
        <v>7.4999999999999997E-3</v>
      </c>
      <c r="AI26" s="129">
        <f t="shared" si="11"/>
        <v>1.2989437500000002E-4</v>
      </c>
      <c r="AJ26" s="41">
        <v>8760</v>
      </c>
      <c r="AK26" s="137">
        <f t="shared" si="16"/>
        <v>2.9656249999999999E-5</v>
      </c>
      <c r="AL26" s="10">
        <f t="shared" si="5"/>
        <v>25</v>
      </c>
      <c r="AM26" s="211">
        <v>1.5816666666666667E-4</v>
      </c>
      <c r="AN26" s="145">
        <f t="shared" si="17"/>
        <v>1.5816666666666667E-4</v>
      </c>
      <c r="AO26" s="10">
        <v>7.4999999999999997E-3</v>
      </c>
    </row>
    <row r="27" spans="2:41" s="192" customFormat="1" x14ac:dyDescent="0.2">
      <c r="B27" s="10" t="s">
        <v>85</v>
      </c>
      <c r="C27" s="188" t="s">
        <v>87</v>
      </c>
      <c r="D27" s="13">
        <v>29</v>
      </c>
      <c r="E27" s="12" t="s">
        <v>70</v>
      </c>
      <c r="F27" s="219">
        <v>5</v>
      </c>
      <c r="G27" s="219">
        <v>1</v>
      </c>
      <c r="H27" s="34">
        <f t="shared" si="25"/>
        <v>58</v>
      </c>
      <c r="I27" s="41">
        <f t="shared" si="0"/>
        <v>145</v>
      </c>
      <c r="J27" s="219">
        <v>29</v>
      </c>
      <c r="K27" s="203">
        <v>5963</v>
      </c>
      <c r="L27" s="128">
        <f t="shared" si="6"/>
        <v>1.3468851712499997E-2</v>
      </c>
      <c r="M27" s="175">
        <f t="shared" si="20"/>
        <v>26.937703424999995</v>
      </c>
      <c r="N27" s="143">
        <v>4.857499999999999</v>
      </c>
      <c r="O27" s="199">
        <f t="shared" si="13"/>
        <v>5963</v>
      </c>
      <c r="P27" s="41">
        <f t="shared" si="21"/>
        <v>9.2999999999999995E-4</v>
      </c>
      <c r="Q27" s="126">
        <f t="shared" si="9"/>
        <v>0.35467371199999997</v>
      </c>
      <c r="R27" s="126"/>
      <c r="S27" s="41">
        <v>8760</v>
      </c>
      <c r="T27" s="135">
        <f t="shared" si="12"/>
        <v>8.0975733333333327E-2</v>
      </c>
      <c r="U27" s="130">
        <f t="shared" si="1"/>
        <v>58</v>
      </c>
      <c r="V27" s="213">
        <v>4.033333333333334E-4</v>
      </c>
      <c r="W27" s="213"/>
      <c r="X27" s="133">
        <f t="shared" si="14"/>
        <v>4.033333333333334E-4</v>
      </c>
      <c r="Y27" s="134">
        <v>0.04</v>
      </c>
      <c r="Z27" s="134">
        <f t="shared" si="15"/>
        <v>0.06</v>
      </c>
      <c r="AA27" s="135">
        <v>2.3E-2</v>
      </c>
      <c r="AB27" s="129">
        <f t="shared" si="10"/>
        <v>4.3663125000000007E-4</v>
      </c>
      <c r="AC27" s="41">
        <v>8760</v>
      </c>
      <c r="AD27" s="143">
        <f t="shared" si="2"/>
        <v>9.9687500000000018E-5</v>
      </c>
      <c r="AE27" s="10">
        <f t="shared" si="3"/>
        <v>145</v>
      </c>
      <c r="AF27" s="218">
        <v>9.1666666666666681E-5</v>
      </c>
      <c r="AG27" s="145">
        <f t="shared" si="4"/>
        <v>9.1666666666666681E-5</v>
      </c>
      <c r="AH27" s="10">
        <v>7.4999999999999997E-3</v>
      </c>
      <c r="AI27" s="129">
        <f t="shared" si="11"/>
        <v>0</v>
      </c>
      <c r="AJ27" s="41">
        <v>8760</v>
      </c>
      <c r="AK27" s="137">
        <f t="shared" si="16"/>
        <v>0</v>
      </c>
      <c r="AL27" s="10">
        <f t="shared" si="5"/>
        <v>29</v>
      </c>
      <c r="AM27" s="218">
        <v>0</v>
      </c>
      <c r="AN27" s="145">
        <f t="shared" si="17"/>
        <v>0</v>
      </c>
      <c r="AO27" s="10">
        <v>7.4999999999999997E-3</v>
      </c>
    </row>
    <row r="28" spans="2:41" s="192" customFormat="1" x14ac:dyDescent="0.2">
      <c r="B28" s="118" t="s">
        <v>147</v>
      </c>
      <c r="C28" s="188" t="s">
        <v>88</v>
      </c>
      <c r="D28" s="13">
        <v>30</v>
      </c>
      <c r="E28" s="12" t="s">
        <v>70</v>
      </c>
      <c r="F28" s="34">
        <v>5</v>
      </c>
      <c r="G28" s="34">
        <v>1</v>
      </c>
      <c r="H28" s="34">
        <f t="shared" si="25"/>
        <v>60</v>
      </c>
      <c r="I28" s="41">
        <f t="shared" si="0"/>
        <v>150</v>
      </c>
      <c r="J28" s="34">
        <f>G28*D28</f>
        <v>30</v>
      </c>
      <c r="K28" s="191">
        <v>9449</v>
      </c>
      <c r="L28" s="128">
        <f t="shared" si="6"/>
        <v>1.8937213349999996E-2</v>
      </c>
      <c r="M28" s="175">
        <f t="shared" si="20"/>
        <v>37.874426699999994</v>
      </c>
      <c r="N28" s="205">
        <v>4.3099999999999996</v>
      </c>
      <c r="O28" s="199">
        <f t="shared" si="13"/>
        <v>9449</v>
      </c>
      <c r="P28" s="41">
        <f t="shared" si="21"/>
        <v>9.2999999999999995E-4</v>
      </c>
      <c r="Q28" s="126">
        <f t="shared" si="9"/>
        <v>0.53400959999999986</v>
      </c>
      <c r="R28" s="142">
        <f>SUM(Q28:Q30)</f>
        <v>2.0172527999999996</v>
      </c>
      <c r="S28" s="41">
        <v>8760</v>
      </c>
      <c r="T28" s="134">
        <f t="shared" si="12"/>
        <v>0.12191999999999997</v>
      </c>
      <c r="U28" s="130">
        <f t="shared" si="1"/>
        <v>60</v>
      </c>
      <c r="V28" s="132">
        <v>1.6299999999999999E-2</v>
      </c>
      <c r="W28" s="172">
        <f>AVERAGE(V28:V30)</f>
        <v>1.4400000000000001E-2</v>
      </c>
      <c r="X28" s="133">
        <f t="shared" si="14"/>
        <v>1.6299999999999999E-2</v>
      </c>
      <c r="Y28" s="134">
        <v>0.04</v>
      </c>
      <c r="Z28" s="134">
        <f t="shared" si="15"/>
        <v>0.06</v>
      </c>
      <c r="AA28" s="135">
        <v>2.3E-2</v>
      </c>
      <c r="AB28" s="129">
        <f t="shared" si="10"/>
        <v>5.4202500000000006E-3</v>
      </c>
      <c r="AC28" s="41">
        <v>8760</v>
      </c>
      <c r="AD28" s="143">
        <f t="shared" si="2"/>
        <v>1.2375000000000001E-3</v>
      </c>
      <c r="AE28" s="10">
        <f t="shared" si="3"/>
        <v>150</v>
      </c>
      <c r="AF28" s="201">
        <v>1.1000000000000001E-3</v>
      </c>
      <c r="AG28" s="145">
        <f t="shared" si="4"/>
        <v>1.1000000000000001E-3</v>
      </c>
      <c r="AH28" s="10">
        <v>7.4999999999999997E-3</v>
      </c>
      <c r="AI28" s="129">
        <f t="shared" si="11"/>
        <v>7.7854500000000002E-3</v>
      </c>
      <c r="AJ28" s="41">
        <v>8760</v>
      </c>
      <c r="AK28" s="137">
        <f t="shared" si="16"/>
        <v>1.7775E-3</v>
      </c>
      <c r="AL28" s="10">
        <f t="shared" si="5"/>
        <v>30</v>
      </c>
      <c r="AM28" s="201">
        <v>7.9000000000000008E-3</v>
      </c>
      <c r="AN28" s="145">
        <f t="shared" si="17"/>
        <v>7.9000000000000008E-3</v>
      </c>
      <c r="AO28" s="10">
        <v>7.4999999999999997E-3</v>
      </c>
    </row>
    <row r="29" spans="2:41" s="192" customFormat="1" x14ac:dyDescent="0.2">
      <c r="B29" s="118" t="s">
        <v>147</v>
      </c>
      <c r="C29" s="188" t="s">
        <v>89</v>
      </c>
      <c r="D29" s="13">
        <v>30</v>
      </c>
      <c r="E29" s="12" t="s">
        <v>70</v>
      </c>
      <c r="F29" s="34">
        <v>5</v>
      </c>
      <c r="G29" s="34">
        <v>1</v>
      </c>
      <c r="H29" s="34">
        <f t="shared" si="25"/>
        <v>60</v>
      </c>
      <c r="I29" s="41">
        <f t="shared" si="0"/>
        <v>150</v>
      </c>
      <c r="J29" s="34">
        <f>G29*D29</f>
        <v>30</v>
      </c>
      <c r="K29" s="191">
        <v>8827</v>
      </c>
      <c r="L29" s="128">
        <f t="shared" si="6"/>
        <v>1.7690632049999998E-2</v>
      </c>
      <c r="M29" s="175">
        <f t="shared" si="20"/>
        <v>35.381264099999996</v>
      </c>
      <c r="N29" s="205">
        <v>4.3099999999999996</v>
      </c>
      <c r="O29" s="199">
        <f t="shared" si="13"/>
        <v>8827</v>
      </c>
      <c r="P29" s="41">
        <f t="shared" si="21"/>
        <v>9.2999999999999995E-4</v>
      </c>
      <c r="Q29" s="126">
        <f t="shared" si="9"/>
        <v>0.53295839999999983</v>
      </c>
      <c r="R29" s="126"/>
      <c r="S29" s="41">
        <v>8760</v>
      </c>
      <c r="T29" s="134">
        <f t="shared" si="12"/>
        <v>0.12167999999999998</v>
      </c>
      <c r="U29" s="130">
        <f t="shared" si="1"/>
        <v>60</v>
      </c>
      <c r="V29" s="132">
        <v>1.6199999999999999E-2</v>
      </c>
      <c r="W29" s="170"/>
      <c r="X29" s="133">
        <f t="shared" si="14"/>
        <v>1.6199999999999999E-2</v>
      </c>
      <c r="Y29" s="134">
        <v>0.04</v>
      </c>
      <c r="Z29" s="134">
        <f t="shared" si="15"/>
        <v>0.06</v>
      </c>
      <c r="AA29" s="135">
        <v>2.3E-2</v>
      </c>
      <c r="AB29" s="129">
        <f t="shared" si="10"/>
        <v>3.9420000000000002E-3</v>
      </c>
      <c r="AC29" s="41">
        <v>8760</v>
      </c>
      <c r="AD29" s="143">
        <f t="shared" si="2"/>
        <v>9.0000000000000008E-4</v>
      </c>
      <c r="AE29" s="10">
        <f t="shared" si="3"/>
        <v>150</v>
      </c>
      <c r="AF29" s="201">
        <v>8.0000000000000004E-4</v>
      </c>
      <c r="AG29" s="145">
        <f t="shared" si="4"/>
        <v>8.0000000000000004E-4</v>
      </c>
      <c r="AH29" s="10">
        <v>7.4999999999999997E-3</v>
      </c>
      <c r="AI29" s="129">
        <f t="shared" si="11"/>
        <v>5.0260500000000007E-3</v>
      </c>
      <c r="AJ29" s="41">
        <v>8760</v>
      </c>
      <c r="AK29" s="137">
        <f t="shared" si="16"/>
        <v>1.1475000000000001E-3</v>
      </c>
      <c r="AL29" s="10">
        <f t="shared" si="5"/>
        <v>30</v>
      </c>
      <c r="AM29" s="201">
        <v>5.1000000000000004E-3</v>
      </c>
      <c r="AN29" s="145">
        <f t="shared" si="17"/>
        <v>5.1000000000000004E-3</v>
      </c>
      <c r="AO29" s="10">
        <v>7.4999999999999997E-3</v>
      </c>
    </row>
    <row r="30" spans="2:41" s="192" customFormat="1" x14ac:dyDescent="0.2">
      <c r="B30" s="118" t="s">
        <v>147</v>
      </c>
      <c r="C30" s="188" t="s">
        <v>90</v>
      </c>
      <c r="D30" s="13">
        <v>60</v>
      </c>
      <c r="E30" s="12" t="s">
        <v>70</v>
      </c>
      <c r="F30" s="34">
        <v>5</v>
      </c>
      <c r="G30" s="34">
        <v>1</v>
      </c>
      <c r="H30" s="34">
        <f t="shared" si="25"/>
        <v>120</v>
      </c>
      <c r="I30" s="41">
        <f t="shared" si="0"/>
        <v>300</v>
      </c>
      <c r="J30" s="34">
        <f>G30*D30</f>
        <v>60</v>
      </c>
      <c r="K30" s="191">
        <v>12184</v>
      </c>
      <c r="L30" s="128">
        <f t="shared" si="6"/>
        <v>1.97161488E-2</v>
      </c>
      <c r="M30" s="175">
        <f t="shared" si="20"/>
        <v>39.432297599999998</v>
      </c>
      <c r="N30" s="205">
        <v>3.48</v>
      </c>
      <c r="O30" s="199">
        <f t="shared" si="13"/>
        <v>12184</v>
      </c>
      <c r="P30" s="41">
        <f t="shared" si="21"/>
        <v>9.2999999999999995E-4</v>
      </c>
      <c r="Q30" s="126">
        <f t="shared" si="9"/>
        <v>0.95028479999999993</v>
      </c>
      <c r="R30" s="126"/>
      <c r="S30" s="41">
        <v>8760</v>
      </c>
      <c r="T30" s="134">
        <f t="shared" si="12"/>
        <v>0.21695999999999999</v>
      </c>
      <c r="U30" s="130">
        <f t="shared" si="1"/>
        <v>120</v>
      </c>
      <c r="V30" s="132">
        <v>1.0699999999999999E-2</v>
      </c>
      <c r="W30" s="170"/>
      <c r="X30" s="133">
        <f t="shared" si="14"/>
        <v>1.0699999999999999E-2</v>
      </c>
      <c r="Y30" s="134">
        <v>0.04</v>
      </c>
      <c r="Z30" s="134">
        <f t="shared" si="15"/>
        <v>0.06</v>
      </c>
      <c r="AA30" s="135">
        <v>2.3E-2</v>
      </c>
      <c r="AB30" s="129">
        <f t="shared" si="10"/>
        <v>6.8984999999999993E-3</v>
      </c>
      <c r="AC30" s="41">
        <v>8760</v>
      </c>
      <c r="AD30" s="143">
        <f t="shared" si="2"/>
        <v>1.5749999999999998E-3</v>
      </c>
      <c r="AE30" s="10">
        <f t="shared" si="3"/>
        <v>300</v>
      </c>
      <c r="AF30" s="201">
        <v>6.9999999999999999E-4</v>
      </c>
      <c r="AG30" s="145">
        <f t="shared" si="4"/>
        <v>6.9999999999999999E-4</v>
      </c>
      <c r="AH30" s="10">
        <v>7.4999999999999997E-3</v>
      </c>
      <c r="AI30" s="129">
        <f t="shared" si="11"/>
        <v>1.4979599999999999E-2</v>
      </c>
      <c r="AJ30" s="41">
        <v>8760</v>
      </c>
      <c r="AK30" s="137">
        <f t="shared" si="16"/>
        <v>3.4199999999999999E-3</v>
      </c>
      <c r="AL30" s="10">
        <f t="shared" si="5"/>
        <v>60</v>
      </c>
      <c r="AM30" s="201">
        <v>7.6E-3</v>
      </c>
      <c r="AN30" s="145">
        <f t="shared" si="17"/>
        <v>7.6E-3</v>
      </c>
      <c r="AO30" s="10">
        <v>7.4999999999999997E-3</v>
      </c>
    </row>
  </sheetData>
  <autoFilter ref="B3:AO30" xr:uid="{B9D15D55-5E13-4BCF-AA66-6C66902EF48B}"/>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8968D-7715-4A4B-B1E9-6F9A1DD94218}">
  <dimension ref="B1:AZ39"/>
  <sheetViews>
    <sheetView zoomScale="70" zoomScaleNormal="70" workbookViewId="0">
      <pane xSplit="3" ySplit="3" topLeftCell="D4" activePane="bottomRight" state="frozen"/>
      <selection pane="topRight" activeCell="C1" sqref="C1"/>
      <selection pane="bottomLeft" activeCell="A4" sqref="A4"/>
      <selection pane="bottomRight"/>
    </sheetView>
  </sheetViews>
  <sheetFormatPr defaultColWidth="9.140625" defaultRowHeight="12.75" x14ac:dyDescent="0.2"/>
  <cols>
    <col min="1" max="1" width="9.140625" style="9"/>
    <col min="2" max="2" width="21" style="9" bestFit="1" customWidth="1"/>
    <col min="3" max="3" width="17.7109375" style="9" customWidth="1"/>
    <col min="4" max="4" width="12.140625" style="9" customWidth="1"/>
    <col min="5" max="5" width="12.85546875" style="9" customWidth="1"/>
    <col min="6" max="15" width="13.7109375" style="9" customWidth="1"/>
    <col min="16" max="16" width="15.85546875" style="9" customWidth="1"/>
    <col min="17" max="22" width="13.7109375" style="9" customWidth="1"/>
    <col min="23" max="24" width="15" style="9" customWidth="1"/>
    <col min="25" max="25" width="14.5703125" style="1" customWidth="1"/>
    <col min="26" max="26" width="17" style="9" customWidth="1"/>
    <col min="27" max="27" width="17.42578125" style="9" customWidth="1"/>
    <col min="28" max="28" width="19.5703125" style="9" customWidth="1"/>
    <col min="29" max="29" width="18.140625" style="9" customWidth="1"/>
    <col min="30" max="30" width="15.7109375" style="9" customWidth="1"/>
    <col min="31" max="31" width="19.42578125" style="9" customWidth="1"/>
    <col min="32" max="33" width="13.7109375" style="9" customWidth="1"/>
    <col min="34" max="34" width="16" style="9" customWidth="1"/>
    <col min="35" max="35" width="14.85546875" style="9" customWidth="1"/>
    <col min="36" max="41" width="13.7109375" style="9" customWidth="1"/>
    <col min="42" max="42" width="15" style="9" customWidth="1"/>
    <col min="43" max="43" width="14.7109375" style="9" customWidth="1"/>
    <col min="44" max="49" width="13.7109375" style="9" customWidth="1"/>
    <col min="50" max="16384" width="9.140625" style="9"/>
  </cols>
  <sheetData>
    <row r="1" spans="2:52" s="1" customFormat="1" ht="15" customHeight="1" thickBot="1" x14ac:dyDescent="0.25">
      <c r="B1" s="15"/>
      <c r="C1" s="15"/>
      <c r="D1" s="15" t="s">
        <v>142</v>
      </c>
      <c r="E1" s="15"/>
      <c r="F1" s="15" t="s">
        <v>142</v>
      </c>
      <c r="G1" s="15" t="s">
        <v>142</v>
      </c>
      <c r="H1" s="15" t="s">
        <v>142</v>
      </c>
      <c r="I1" s="15" t="s">
        <v>142</v>
      </c>
      <c r="J1" s="15" t="s">
        <v>142</v>
      </c>
      <c r="K1" s="15"/>
      <c r="L1" s="15" t="s">
        <v>144</v>
      </c>
      <c r="M1" s="15" t="s">
        <v>142</v>
      </c>
      <c r="N1" s="15"/>
      <c r="O1" s="15"/>
      <c r="P1" s="16"/>
      <c r="Q1" s="16"/>
      <c r="R1" s="16"/>
      <c r="S1" s="16"/>
      <c r="T1" s="16"/>
      <c r="U1" s="16" t="s">
        <v>143</v>
      </c>
      <c r="V1" s="17"/>
      <c r="W1" s="17" t="s">
        <v>154</v>
      </c>
      <c r="X1" s="17"/>
      <c r="Y1" s="17"/>
      <c r="Z1" s="44"/>
      <c r="AA1" s="17"/>
      <c r="AB1" s="17"/>
      <c r="AC1" s="17"/>
      <c r="AD1" s="42"/>
      <c r="AE1" s="42" t="s">
        <v>155</v>
      </c>
      <c r="AF1" s="43"/>
      <c r="AG1" s="17" t="s">
        <v>143</v>
      </c>
      <c r="AH1" s="18"/>
      <c r="AI1" s="18"/>
      <c r="AJ1" s="18"/>
      <c r="AK1" s="18"/>
      <c r="AL1" s="18"/>
      <c r="AM1" s="18"/>
      <c r="AN1" s="18"/>
      <c r="AO1" s="18" t="s">
        <v>143</v>
      </c>
      <c r="AP1" s="19"/>
      <c r="AQ1" s="19"/>
      <c r="AR1" s="119"/>
      <c r="AS1" s="119"/>
      <c r="AT1" s="119"/>
      <c r="AU1" s="119"/>
      <c r="AV1" s="119"/>
      <c r="AW1" s="119" t="s">
        <v>143</v>
      </c>
    </row>
    <row r="2" spans="2:52" s="1" customFormat="1" ht="27" thickBot="1" x14ac:dyDescent="0.3">
      <c r="B2" s="15"/>
      <c r="C2" s="15" t="s">
        <v>95</v>
      </c>
      <c r="D2" s="15" t="s">
        <v>95</v>
      </c>
      <c r="E2" s="15" t="s">
        <v>62</v>
      </c>
      <c r="F2" s="15" t="s">
        <v>95</v>
      </c>
      <c r="G2" s="15" t="s">
        <v>95</v>
      </c>
      <c r="H2" s="15" t="s">
        <v>95</v>
      </c>
      <c r="I2" s="15" t="s">
        <v>95</v>
      </c>
      <c r="J2" s="15" t="s">
        <v>95</v>
      </c>
      <c r="K2" s="15" t="s">
        <v>95</v>
      </c>
      <c r="L2" s="15" t="s">
        <v>95</v>
      </c>
      <c r="M2" s="15" t="s">
        <v>95</v>
      </c>
      <c r="N2" s="15" t="s">
        <v>95</v>
      </c>
      <c r="O2" s="15" t="s">
        <v>95</v>
      </c>
      <c r="P2" s="16" t="s">
        <v>149</v>
      </c>
      <c r="Q2" s="31" t="s">
        <v>100</v>
      </c>
      <c r="R2" s="31"/>
      <c r="S2" s="31"/>
      <c r="T2" s="31"/>
      <c r="U2" s="16" t="s">
        <v>95</v>
      </c>
      <c r="V2" s="17"/>
      <c r="W2" s="17" t="s">
        <v>149</v>
      </c>
      <c r="X2" s="17"/>
      <c r="Y2" s="17"/>
      <c r="Z2" s="44" t="s">
        <v>200</v>
      </c>
      <c r="AA2" s="32"/>
      <c r="AB2" s="32"/>
      <c r="AC2" s="32"/>
      <c r="AD2" s="32"/>
      <c r="AE2" s="120">
        <v>0.94</v>
      </c>
      <c r="AF2" s="32"/>
      <c r="AG2" s="17" t="s">
        <v>95</v>
      </c>
      <c r="AH2" s="18" t="s">
        <v>149</v>
      </c>
      <c r="AI2" s="18"/>
      <c r="AJ2" s="29" t="s">
        <v>132</v>
      </c>
      <c r="AK2" s="29"/>
      <c r="AL2" s="29"/>
      <c r="AM2" s="29"/>
      <c r="AN2" s="29"/>
      <c r="AO2" s="18" t="s">
        <v>95</v>
      </c>
      <c r="AP2" s="19" t="s">
        <v>149</v>
      </c>
      <c r="AQ2" s="19"/>
      <c r="AR2" s="121" t="s">
        <v>242</v>
      </c>
      <c r="AS2" s="121"/>
      <c r="AT2" s="121"/>
      <c r="AU2" s="121"/>
      <c r="AV2" s="121"/>
      <c r="AW2" s="19" t="s">
        <v>95</v>
      </c>
    </row>
    <row r="3" spans="2:52" s="1" customFormat="1" ht="65.25" x14ac:dyDescent="0.2">
      <c r="B3" s="15" t="s">
        <v>7</v>
      </c>
      <c r="C3" s="20" t="s">
        <v>63</v>
      </c>
      <c r="D3" s="21" t="s">
        <v>64</v>
      </c>
      <c r="E3" s="21" t="s">
        <v>65</v>
      </c>
      <c r="F3" s="21" t="s">
        <v>101</v>
      </c>
      <c r="G3" s="21" t="s">
        <v>102</v>
      </c>
      <c r="H3" s="21" t="s">
        <v>103</v>
      </c>
      <c r="I3" s="21" t="s">
        <v>104</v>
      </c>
      <c r="J3" s="21" t="s">
        <v>105</v>
      </c>
      <c r="K3" s="21" t="s">
        <v>106</v>
      </c>
      <c r="L3" s="21" t="s">
        <v>107</v>
      </c>
      <c r="M3" s="21" t="s">
        <v>108</v>
      </c>
      <c r="N3" s="21" t="s">
        <v>109</v>
      </c>
      <c r="O3" s="21" t="s">
        <v>110</v>
      </c>
      <c r="P3" s="16" t="s">
        <v>148</v>
      </c>
      <c r="Q3" s="22" t="s">
        <v>243</v>
      </c>
      <c r="R3" s="22" t="s">
        <v>91</v>
      </c>
      <c r="S3" s="22" t="s">
        <v>97</v>
      </c>
      <c r="T3" s="22" t="s">
        <v>98</v>
      </c>
      <c r="U3" s="22" t="s">
        <v>12</v>
      </c>
      <c r="V3" s="17" t="s">
        <v>261</v>
      </c>
      <c r="W3" s="17" t="s">
        <v>150</v>
      </c>
      <c r="X3" s="17" t="s">
        <v>257</v>
      </c>
      <c r="Y3" s="24" t="s">
        <v>151</v>
      </c>
      <c r="Z3" s="24" t="s">
        <v>126</v>
      </c>
      <c r="AA3" s="24" t="s">
        <v>127</v>
      </c>
      <c r="AB3" s="24" t="s">
        <v>92</v>
      </c>
      <c r="AC3" s="24" t="s">
        <v>128</v>
      </c>
      <c r="AD3" s="24" t="s">
        <v>129</v>
      </c>
      <c r="AE3" s="24" t="s">
        <v>156</v>
      </c>
      <c r="AF3" s="24" t="s">
        <v>131</v>
      </c>
      <c r="AG3" s="24" t="s">
        <v>13</v>
      </c>
      <c r="AH3" s="18" t="s">
        <v>152</v>
      </c>
      <c r="AI3" s="25" t="s">
        <v>151</v>
      </c>
      <c r="AJ3" s="25" t="s">
        <v>133</v>
      </c>
      <c r="AK3" s="25" t="s">
        <v>134</v>
      </c>
      <c r="AL3" s="25" t="s">
        <v>93</v>
      </c>
      <c r="AM3" s="25" t="s">
        <v>135</v>
      </c>
      <c r="AN3" s="25" t="s">
        <v>136</v>
      </c>
      <c r="AO3" s="25" t="s">
        <v>14</v>
      </c>
      <c r="AP3" s="19" t="s">
        <v>153</v>
      </c>
      <c r="AQ3" s="26" t="s">
        <v>151</v>
      </c>
      <c r="AR3" s="26" t="s">
        <v>244</v>
      </c>
      <c r="AS3" s="26" t="s">
        <v>245</v>
      </c>
      <c r="AT3" s="26" t="s">
        <v>94</v>
      </c>
      <c r="AU3" s="26" t="s">
        <v>137</v>
      </c>
      <c r="AV3" s="26" t="s">
        <v>136</v>
      </c>
      <c r="AW3" s="26" t="s">
        <v>15</v>
      </c>
    </row>
    <row r="4" spans="2:52" s="206" customFormat="1" x14ac:dyDescent="0.2">
      <c r="B4" s="173" t="s">
        <v>49</v>
      </c>
      <c r="C4" s="173" t="s">
        <v>66</v>
      </c>
      <c r="D4" s="41">
        <v>47</v>
      </c>
      <c r="E4" s="46" t="s">
        <v>67</v>
      </c>
      <c r="F4" s="41">
        <v>4</v>
      </c>
      <c r="G4" s="41">
        <v>1</v>
      </c>
      <c r="H4" s="41">
        <f>47*2</f>
        <v>94</v>
      </c>
      <c r="I4" s="41">
        <f>47*4</f>
        <v>188</v>
      </c>
      <c r="J4" s="41">
        <v>47</v>
      </c>
      <c r="K4" s="41">
        <v>124</v>
      </c>
      <c r="L4" s="193">
        <v>2978</v>
      </c>
      <c r="M4" s="182" t="s">
        <v>122</v>
      </c>
      <c r="N4" s="41" t="s">
        <v>119</v>
      </c>
      <c r="O4" s="41" t="s">
        <v>113</v>
      </c>
      <c r="P4" s="128">
        <f>Q4/2000</f>
        <v>1.02703775E-2</v>
      </c>
      <c r="Q4" s="198">
        <f>R4*S4*T4</f>
        <v>20.540755000000001</v>
      </c>
      <c r="R4" s="147">
        <f>U4</f>
        <v>7.416666666666667</v>
      </c>
      <c r="S4" s="199">
        <f>L4</f>
        <v>2978</v>
      </c>
      <c r="T4" s="41">
        <f>0.0093/10</f>
        <v>9.2999999999999995E-4</v>
      </c>
      <c r="U4" s="128">
        <v>7.416666666666667</v>
      </c>
      <c r="V4" s="198">
        <f>W4*2000</f>
        <v>41.156080160000002</v>
      </c>
      <c r="W4" s="128">
        <f>Z4*Y4/2000</f>
        <v>2.0578040080000002E-2</v>
      </c>
      <c r="X4" s="126">
        <f>SUM(W4:W7)</f>
        <v>0.71131135322000016</v>
      </c>
      <c r="Y4" s="41">
        <v>8760</v>
      </c>
      <c r="Z4" s="122">
        <f>AA4*AC4*AD4+AA4*AE4*AF4</f>
        <v>4.6981826666666667E-3</v>
      </c>
      <c r="AA4" s="123">
        <f>H4</f>
        <v>94</v>
      </c>
      <c r="AB4" s="124">
        <f>AG4</f>
        <v>8.1111111111111108E-4</v>
      </c>
      <c r="AC4" s="125">
        <f>AB4</f>
        <v>8.1111111111111108E-4</v>
      </c>
      <c r="AD4" s="126">
        <v>0.04</v>
      </c>
      <c r="AE4" s="127">
        <f t="shared" ref="AE4:AE30" si="0">$AE$2*AC4</f>
        <v>7.6244444444444439E-4</v>
      </c>
      <c r="AF4" s="128">
        <v>2.3E-2</v>
      </c>
      <c r="AG4" s="194">
        <v>8.1111111111111108E-4</v>
      </c>
      <c r="AH4" s="129">
        <f>AJ4*AI4/2000</f>
        <v>0</v>
      </c>
      <c r="AI4" s="41">
        <v>8760</v>
      </c>
      <c r="AJ4" s="137">
        <f t="shared" ref="AJ4:AJ30" si="1">AK4*AM4*AN4</f>
        <v>0</v>
      </c>
      <c r="AK4" s="46">
        <f>I4</f>
        <v>188</v>
      </c>
      <c r="AL4" s="47">
        <f>AO4</f>
        <v>0</v>
      </c>
      <c r="AM4" s="138">
        <f t="shared" ref="AM4:AM30" si="2">AL4</f>
        <v>0</v>
      </c>
      <c r="AN4" s="46">
        <v>7.4999999999999997E-3</v>
      </c>
      <c r="AO4" s="171">
        <v>0</v>
      </c>
      <c r="AP4" s="129">
        <f>AR4*AQ4/2000</f>
        <v>2.91635E-4</v>
      </c>
      <c r="AQ4" s="41">
        <v>8760</v>
      </c>
      <c r="AR4" s="140">
        <f>AS4*AU4*AV4</f>
        <v>6.658333333333333E-5</v>
      </c>
      <c r="AS4" s="46">
        <f>J4</f>
        <v>47</v>
      </c>
      <c r="AT4" s="163">
        <f>AW4</f>
        <v>1.8888888888888888E-4</v>
      </c>
      <c r="AU4" s="138">
        <f>AT4</f>
        <v>1.8888888888888888E-4</v>
      </c>
      <c r="AV4" s="46">
        <v>7.4999999999999997E-3</v>
      </c>
      <c r="AW4" s="171">
        <v>1.8888888888888888E-4</v>
      </c>
      <c r="AX4" s="207"/>
      <c r="AZ4" s="208"/>
    </row>
    <row r="5" spans="2:52" s="206" customFormat="1" x14ac:dyDescent="0.2">
      <c r="B5" s="182" t="s">
        <v>49</v>
      </c>
      <c r="C5" s="47" t="s">
        <v>68</v>
      </c>
      <c r="D5" s="34">
        <v>47</v>
      </c>
      <c r="E5" s="48" t="s">
        <v>67</v>
      </c>
      <c r="F5" s="34">
        <v>4</v>
      </c>
      <c r="G5" s="34">
        <v>1</v>
      </c>
      <c r="H5" s="34">
        <v>94</v>
      </c>
      <c r="I5" s="34">
        <v>188</v>
      </c>
      <c r="J5" s="34">
        <v>47</v>
      </c>
      <c r="K5" s="34"/>
      <c r="L5" s="179"/>
      <c r="M5" s="34" t="s">
        <v>1</v>
      </c>
      <c r="N5" s="41" t="s">
        <v>119</v>
      </c>
      <c r="O5" s="34" t="s">
        <v>113</v>
      </c>
      <c r="P5" s="128">
        <f t="shared" ref="P5:P30" si="3">Q5/2000</f>
        <v>1.02703775E-2</v>
      </c>
      <c r="Q5" s="198">
        <f t="shared" ref="Q5:Q7" si="4">R5*S5*T5</f>
        <v>20.540755000000001</v>
      </c>
      <c r="R5" s="148">
        <f>R4</f>
        <v>7.416666666666667</v>
      </c>
      <c r="S5" s="181">
        <f>S4</f>
        <v>2978</v>
      </c>
      <c r="T5" s="41">
        <f t="shared" ref="T5:T7" si="5">0.0093/10</f>
        <v>9.2999999999999995E-4</v>
      </c>
      <c r="U5" s="48"/>
      <c r="V5" s="198">
        <f t="shared" ref="V5:V30" si="6">W5*2000</f>
        <v>41.156080160000002</v>
      </c>
      <c r="W5" s="128">
        <f t="shared" ref="W5:W30" si="7">Z5*Y5/2000</f>
        <v>2.0578040080000002E-2</v>
      </c>
      <c r="X5" s="142"/>
      <c r="Y5" s="41">
        <v>8760</v>
      </c>
      <c r="Z5" s="131">
        <f>AA5*AC5*AD5+AA5*AE5*AF5</f>
        <v>4.6981826666666667E-3</v>
      </c>
      <c r="AA5" s="130">
        <f>H5</f>
        <v>94</v>
      </c>
      <c r="AB5" s="170">
        <f>AB4</f>
        <v>8.1111111111111108E-4</v>
      </c>
      <c r="AC5" s="125">
        <f>AB5</f>
        <v>8.1111111111111108E-4</v>
      </c>
      <c r="AD5" s="126">
        <v>0.04</v>
      </c>
      <c r="AE5" s="127">
        <f t="shared" si="0"/>
        <v>7.6244444444444439E-4</v>
      </c>
      <c r="AF5" s="128">
        <v>2.3E-2</v>
      </c>
      <c r="AG5" s="48"/>
      <c r="AH5" s="129">
        <f t="shared" ref="AH5:AH30" si="8">AJ5*AI5/2000</f>
        <v>0</v>
      </c>
      <c r="AI5" s="41">
        <v>8760</v>
      </c>
      <c r="AJ5" s="137">
        <f t="shared" si="1"/>
        <v>0</v>
      </c>
      <c r="AK5" s="48">
        <f>I5</f>
        <v>188</v>
      </c>
      <c r="AL5" s="47">
        <f>AL4</f>
        <v>0</v>
      </c>
      <c r="AM5" s="138">
        <f t="shared" si="2"/>
        <v>0</v>
      </c>
      <c r="AN5" s="46">
        <v>7.4999999999999997E-3</v>
      </c>
      <c r="AO5" s="48"/>
      <c r="AP5" s="129">
        <f t="shared" ref="AP5:AP30" si="9">AR5*AQ5/2000</f>
        <v>2.91635E-4</v>
      </c>
      <c r="AQ5" s="41">
        <v>8760</v>
      </c>
      <c r="AR5" s="140">
        <f>AS5*AU5*AV5</f>
        <v>6.658333333333333E-5</v>
      </c>
      <c r="AS5" s="48">
        <f>J5</f>
        <v>47</v>
      </c>
      <c r="AT5" s="47">
        <f>AT4</f>
        <v>1.8888888888888888E-4</v>
      </c>
      <c r="AU5" s="138">
        <f>AT5</f>
        <v>1.8888888888888888E-4</v>
      </c>
      <c r="AV5" s="46">
        <v>7.4999999999999997E-3</v>
      </c>
      <c r="AW5" s="10"/>
      <c r="AX5" s="207"/>
      <c r="AZ5" s="209"/>
    </row>
    <row r="6" spans="2:52" s="206" customFormat="1" x14ac:dyDescent="0.2">
      <c r="B6" s="182" t="s">
        <v>49</v>
      </c>
      <c r="C6" s="47" t="s">
        <v>69</v>
      </c>
      <c r="D6" s="34">
        <v>51</v>
      </c>
      <c r="E6" s="48" t="s">
        <v>67</v>
      </c>
      <c r="F6" s="34">
        <v>4</v>
      </c>
      <c r="G6" s="34">
        <v>1</v>
      </c>
      <c r="H6" s="34">
        <v>102</v>
      </c>
      <c r="I6" s="34">
        <f>51*4</f>
        <v>204</v>
      </c>
      <c r="J6" s="34">
        <v>51</v>
      </c>
      <c r="K6" s="130"/>
      <c r="L6" s="179"/>
      <c r="M6" s="34" t="s">
        <v>1</v>
      </c>
      <c r="N6" s="41" t="s">
        <v>119</v>
      </c>
      <c r="O6" s="34" t="s">
        <v>113</v>
      </c>
      <c r="P6" s="128">
        <f t="shared" si="3"/>
        <v>1.02703775E-2</v>
      </c>
      <c r="Q6" s="198">
        <f t="shared" si="4"/>
        <v>20.540755000000001</v>
      </c>
      <c r="R6" s="148">
        <f>R4</f>
        <v>7.416666666666667</v>
      </c>
      <c r="S6" s="181">
        <f>S4</f>
        <v>2978</v>
      </c>
      <c r="T6" s="41">
        <f t="shared" si="5"/>
        <v>9.2999999999999995E-4</v>
      </c>
      <c r="U6" s="48"/>
      <c r="V6" s="198">
        <f t="shared" si="6"/>
        <v>44.658725279999992</v>
      </c>
      <c r="W6" s="128">
        <f t="shared" si="7"/>
        <v>2.2329362639999996E-2</v>
      </c>
      <c r="X6" s="142"/>
      <c r="Y6" s="41">
        <v>8760</v>
      </c>
      <c r="Z6" s="131">
        <f t="shared" ref="Z6:Z30" si="10">AA6*AC6*AD6+AA6*AE6*AF6</f>
        <v>5.0980279999999992E-3</v>
      </c>
      <c r="AA6" s="130">
        <f>H6</f>
        <v>102</v>
      </c>
      <c r="AB6" s="170">
        <f>AB4</f>
        <v>8.1111111111111108E-4</v>
      </c>
      <c r="AC6" s="125">
        <f>AB6</f>
        <v>8.1111111111111108E-4</v>
      </c>
      <c r="AD6" s="126">
        <v>0.04</v>
      </c>
      <c r="AE6" s="127">
        <f t="shared" si="0"/>
        <v>7.6244444444444439E-4</v>
      </c>
      <c r="AF6" s="128">
        <v>2.3E-2</v>
      </c>
      <c r="AG6" s="48"/>
      <c r="AH6" s="129">
        <f t="shared" si="8"/>
        <v>0</v>
      </c>
      <c r="AI6" s="41">
        <v>8760</v>
      </c>
      <c r="AJ6" s="137">
        <f t="shared" si="1"/>
        <v>0</v>
      </c>
      <c r="AK6" s="48">
        <f>I6</f>
        <v>204</v>
      </c>
      <c r="AL6" s="47">
        <f>AL4</f>
        <v>0</v>
      </c>
      <c r="AM6" s="138">
        <f t="shared" si="2"/>
        <v>0</v>
      </c>
      <c r="AN6" s="46">
        <v>7.4999999999999997E-3</v>
      </c>
      <c r="AO6" s="48"/>
      <c r="AP6" s="129">
        <f t="shared" si="9"/>
        <v>3.1645499999999999E-4</v>
      </c>
      <c r="AQ6" s="41">
        <v>8760</v>
      </c>
      <c r="AR6" s="140">
        <f>AS6*AU6*AV6</f>
        <v>7.2249999999999994E-5</v>
      </c>
      <c r="AS6" s="48">
        <f>J6</f>
        <v>51</v>
      </c>
      <c r="AT6" s="47">
        <f>AT4</f>
        <v>1.8888888888888888E-4</v>
      </c>
      <c r="AU6" s="138">
        <f>AT6</f>
        <v>1.8888888888888888E-4</v>
      </c>
      <c r="AV6" s="46">
        <v>7.4999999999999997E-3</v>
      </c>
      <c r="AW6" s="10"/>
      <c r="AX6" s="207"/>
      <c r="AZ6" s="209"/>
    </row>
    <row r="7" spans="2:52" s="206" customFormat="1" x14ac:dyDescent="0.2">
      <c r="B7" s="182" t="s">
        <v>49</v>
      </c>
      <c r="C7" s="182" t="s">
        <v>71</v>
      </c>
      <c r="D7" s="34">
        <v>79</v>
      </c>
      <c r="E7" s="48" t="s">
        <v>67</v>
      </c>
      <c r="F7" s="34">
        <v>4</v>
      </c>
      <c r="G7" s="34">
        <v>2</v>
      </c>
      <c r="H7" s="34">
        <f>79*2</f>
        <v>158</v>
      </c>
      <c r="I7" s="34">
        <f>79*4</f>
        <v>316</v>
      </c>
      <c r="J7" s="34">
        <v>158</v>
      </c>
      <c r="K7" s="34">
        <v>248</v>
      </c>
      <c r="L7" s="179">
        <v>19623</v>
      </c>
      <c r="M7" s="182" t="s">
        <v>123</v>
      </c>
      <c r="N7" s="41" t="s">
        <v>119</v>
      </c>
      <c r="O7" s="34" t="s">
        <v>113</v>
      </c>
      <c r="P7" s="128">
        <f t="shared" si="3"/>
        <v>3.7418853412500008E-2</v>
      </c>
      <c r="Q7" s="198">
        <f t="shared" si="4"/>
        <v>74.837706825000012</v>
      </c>
      <c r="R7" s="148">
        <f>U7</f>
        <v>4.100833333333334</v>
      </c>
      <c r="S7" s="199">
        <f t="shared" ref="S7:S24" si="11">L7</f>
        <v>19623</v>
      </c>
      <c r="T7" s="41">
        <f t="shared" si="5"/>
        <v>9.2999999999999995E-4</v>
      </c>
      <c r="U7" s="135">
        <v>4.100833333333334</v>
      </c>
      <c r="V7" s="198">
        <f t="shared" si="6"/>
        <v>1295.6518208400003</v>
      </c>
      <c r="W7" s="126">
        <f t="shared" si="7"/>
        <v>0.64782591042000015</v>
      </c>
      <c r="X7" s="142"/>
      <c r="Y7" s="41">
        <v>8760</v>
      </c>
      <c r="Z7" s="131">
        <f t="shared" si="10"/>
        <v>0.14790545900000002</v>
      </c>
      <c r="AA7" s="130">
        <f>H7</f>
        <v>158</v>
      </c>
      <c r="AB7" s="132">
        <f>AG7</f>
        <v>1.5191666666666668E-2</v>
      </c>
      <c r="AC7" s="133">
        <f t="shared" ref="AC7:AC30" si="12">AB7</f>
        <v>1.5191666666666668E-2</v>
      </c>
      <c r="AD7" s="134">
        <v>0.04</v>
      </c>
      <c r="AE7" s="127">
        <f t="shared" si="0"/>
        <v>1.4280166666666667E-2</v>
      </c>
      <c r="AF7" s="135">
        <v>2.3E-2</v>
      </c>
      <c r="AG7" s="196">
        <v>1.5191666666666668E-2</v>
      </c>
      <c r="AH7" s="129">
        <f t="shared" si="8"/>
        <v>9.515550000000003E-4</v>
      </c>
      <c r="AI7" s="41">
        <v>8760</v>
      </c>
      <c r="AJ7" s="137">
        <f t="shared" si="1"/>
        <v>2.1725000000000005E-4</v>
      </c>
      <c r="AK7" s="48">
        <f>I7</f>
        <v>316</v>
      </c>
      <c r="AL7" s="200">
        <f t="shared" ref="AL7:AL14" si="13">AO7</f>
        <v>9.1666666666666695E-5</v>
      </c>
      <c r="AM7" s="139">
        <f t="shared" si="2"/>
        <v>9.1666666666666695E-5</v>
      </c>
      <c r="AN7" s="48">
        <v>7.4999999999999997E-3</v>
      </c>
      <c r="AO7" s="196">
        <v>9.1666666666666695E-5</v>
      </c>
      <c r="AP7" s="129">
        <f t="shared" si="9"/>
        <v>4.826979E-2</v>
      </c>
      <c r="AQ7" s="41">
        <v>8760</v>
      </c>
      <c r="AR7" s="141">
        <f t="shared" ref="AR7:AR30" si="14">AS7*AU7*AV7</f>
        <v>1.1020500000000001E-2</v>
      </c>
      <c r="AS7" s="48">
        <f>J7</f>
        <v>158</v>
      </c>
      <c r="AT7" s="201">
        <f>AW7</f>
        <v>9.300000000000001E-3</v>
      </c>
      <c r="AU7" s="139">
        <f t="shared" ref="AU7:AU30" si="15">AT7</f>
        <v>9.300000000000001E-3</v>
      </c>
      <c r="AV7" s="48">
        <v>7.4999999999999997E-3</v>
      </c>
      <c r="AW7" s="196">
        <v>9.300000000000001E-3</v>
      </c>
      <c r="AX7" s="207"/>
      <c r="AZ7" s="209"/>
    </row>
    <row r="8" spans="2:52" s="206" customFormat="1" x14ac:dyDescent="0.2">
      <c r="B8" s="182" t="s">
        <v>0</v>
      </c>
      <c r="C8" s="182" t="s">
        <v>72</v>
      </c>
      <c r="D8" s="34">
        <v>76</v>
      </c>
      <c r="E8" s="48" t="s">
        <v>67</v>
      </c>
      <c r="F8" s="34">
        <v>3</v>
      </c>
      <c r="G8" s="34">
        <v>2</v>
      </c>
      <c r="H8" s="34">
        <v>152</v>
      </c>
      <c r="I8" s="34">
        <v>228</v>
      </c>
      <c r="J8" s="34">
        <v>152</v>
      </c>
      <c r="K8" s="34">
        <v>432</v>
      </c>
      <c r="L8" s="179">
        <v>32864</v>
      </c>
      <c r="M8" s="182" t="s">
        <v>111</v>
      </c>
      <c r="N8" s="41" t="s">
        <v>119</v>
      </c>
      <c r="O8" s="34" t="s">
        <v>113</v>
      </c>
      <c r="P8" s="128">
        <f t="shared" si="3"/>
        <v>8.9267511918842107E-2</v>
      </c>
      <c r="Q8" s="198">
        <f>R8*S8*T8</f>
        <v>178.53502383768421</v>
      </c>
      <c r="R8" s="148">
        <f t="shared" ref="R8:R14" si="16">U8</f>
        <v>5.8414418181441219</v>
      </c>
      <c r="S8" s="199">
        <f t="shared" si="11"/>
        <v>32864</v>
      </c>
      <c r="T8" s="41">
        <f>0.0093/10</f>
        <v>9.2999999999999995E-4</v>
      </c>
      <c r="U8" s="135">
        <v>5.8414418181441219</v>
      </c>
      <c r="V8" s="198">
        <f t="shared" si="6"/>
        <v>1405.0506384648168</v>
      </c>
      <c r="W8" s="126">
        <f t="shared" si="7"/>
        <v>0.70252531923240835</v>
      </c>
      <c r="X8" s="126">
        <f>SUM(W8)</f>
        <v>0.70252531923240835</v>
      </c>
      <c r="Y8" s="41">
        <v>8760</v>
      </c>
      <c r="Z8" s="131">
        <f t="shared" si="10"/>
        <v>0.16039390850054985</v>
      </c>
      <c r="AA8" s="130">
        <f>H8</f>
        <v>152</v>
      </c>
      <c r="AB8" s="196">
        <f t="shared" ref="AB8:AB14" si="17">AG8</f>
        <v>1.7124684878942868E-2</v>
      </c>
      <c r="AC8" s="133">
        <f t="shared" si="12"/>
        <v>1.7124684878942868E-2</v>
      </c>
      <c r="AD8" s="134">
        <v>0.04</v>
      </c>
      <c r="AE8" s="127">
        <f t="shared" si="0"/>
        <v>1.6097203786206295E-2</v>
      </c>
      <c r="AF8" s="135">
        <v>2.3E-2</v>
      </c>
      <c r="AG8" s="196">
        <v>1.7124684878942868E-2</v>
      </c>
      <c r="AH8" s="129">
        <f t="shared" si="8"/>
        <v>3.973754999999999E-4</v>
      </c>
      <c r="AI8" s="41">
        <v>8760</v>
      </c>
      <c r="AJ8" s="137">
        <f t="shared" si="1"/>
        <v>9.0724999999999969E-5</v>
      </c>
      <c r="AK8" s="48">
        <f>I8</f>
        <v>228</v>
      </c>
      <c r="AL8" s="200">
        <f t="shared" si="13"/>
        <v>5.3055555555555545E-5</v>
      </c>
      <c r="AM8" s="137">
        <f t="shared" si="2"/>
        <v>5.3055555555555545E-5</v>
      </c>
      <c r="AN8" s="48">
        <v>7.4999999999999997E-3</v>
      </c>
      <c r="AO8" s="197">
        <v>5.3055555555555545E-5</v>
      </c>
      <c r="AP8" s="129">
        <f t="shared" si="9"/>
        <v>6.9436946268656703E-4</v>
      </c>
      <c r="AQ8" s="41">
        <v>8760</v>
      </c>
      <c r="AR8" s="137">
        <f t="shared" si="14"/>
        <v>1.5853184079601989E-4</v>
      </c>
      <c r="AS8" s="48">
        <f>J8</f>
        <v>152</v>
      </c>
      <c r="AT8" s="47">
        <f t="shared" ref="AT8:AT14" si="18">AW8</f>
        <v>1.3906301824212272E-4</v>
      </c>
      <c r="AU8" s="139">
        <f t="shared" si="15"/>
        <v>1.3906301824212272E-4</v>
      </c>
      <c r="AV8" s="48">
        <v>7.4999999999999997E-3</v>
      </c>
      <c r="AW8" s="196">
        <v>1.3906301824212272E-4</v>
      </c>
      <c r="AX8" s="207"/>
      <c r="AZ8" s="209"/>
    </row>
    <row r="9" spans="2:52" s="206" customFormat="1" x14ac:dyDescent="0.2">
      <c r="B9" s="182" t="s">
        <v>34</v>
      </c>
      <c r="C9" s="182" t="s">
        <v>73</v>
      </c>
      <c r="D9" s="34">
        <v>82</v>
      </c>
      <c r="E9" s="48" t="s">
        <v>67</v>
      </c>
      <c r="F9" s="34">
        <v>4</v>
      </c>
      <c r="G9" s="34">
        <v>1</v>
      </c>
      <c r="H9" s="34">
        <v>164</v>
      </c>
      <c r="I9" s="34">
        <v>328</v>
      </c>
      <c r="J9" s="34">
        <v>82</v>
      </c>
      <c r="K9" s="34">
        <v>467.4</v>
      </c>
      <c r="L9" s="179">
        <v>38330</v>
      </c>
      <c r="M9" s="182" t="s">
        <v>112</v>
      </c>
      <c r="N9" s="41" t="s">
        <v>119</v>
      </c>
      <c r="O9" s="34" t="s">
        <v>113</v>
      </c>
      <c r="P9" s="126">
        <f t="shared" si="3"/>
        <v>0.160782371875</v>
      </c>
      <c r="Q9" s="198">
        <f t="shared" ref="Q9:Q12" si="19">R9*S9*T9</f>
        <v>321.56474374999999</v>
      </c>
      <c r="R9" s="148">
        <f t="shared" si="16"/>
        <v>9.0208333333333339</v>
      </c>
      <c r="S9" s="199">
        <f t="shared" si="11"/>
        <v>38330</v>
      </c>
      <c r="T9" s="41">
        <f t="shared" ref="T9:T12" si="20">0.0093/10</f>
        <v>9.2999999999999995E-4</v>
      </c>
      <c r="U9" s="135">
        <v>9.0208333333333339</v>
      </c>
      <c r="V9" s="198">
        <f t="shared" si="6"/>
        <v>1864.94260992</v>
      </c>
      <c r="W9" s="126">
        <f t="shared" si="7"/>
        <v>0.93247130495999997</v>
      </c>
      <c r="X9" s="142">
        <f>SUM(W9:W10)</f>
        <v>2.0139609672000001</v>
      </c>
      <c r="Y9" s="41">
        <v>8760</v>
      </c>
      <c r="Z9" s="131">
        <f t="shared" si="10"/>
        <v>0.212892992</v>
      </c>
      <c r="AA9" s="130">
        <f>H9</f>
        <v>164</v>
      </c>
      <c r="AB9" s="132">
        <f t="shared" si="17"/>
        <v>2.1066666666666668E-2</v>
      </c>
      <c r="AC9" s="133">
        <f t="shared" si="12"/>
        <v>2.1066666666666668E-2</v>
      </c>
      <c r="AD9" s="134">
        <v>0.04</v>
      </c>
      <c r="AE9" s="127">
        <f t="shared" si="0"/>
        <v>1.9802666666666666E-2</v>
      </c>
      <c r="AF9" s="135">
        <v>2.3E-2</v>
      </c>
      <c r="AG9" s="196">
        <v>2.1066666666666668E-2</v>
      </c>
      <c r="AH9" s="129">
        <f t="shared" si="8"/>
        <v>6.464880000000001E-3</v>
      </c>
      <c r="AI9" s="41">
        <v>8760</v>
      </c>
      <c r="AJ9" s="137">
        <f t="shared" si="1"/>
        <v>1.4760000000000001E-3</v>
      </c>
      <c r="AK9" s="48">
        <f>I9</f>
        <v>328</v>
      </c>
      <c r="AL9" s="47">
        <f t="shared" si="13"/>
        <v>6.0000000000000006E-4</v>
      </c>
      <c r="AM9" s="139">
        <f t="shared" si="2"/>
        <v>6.0000000000000006E-4</v>
      </c>
      <c r="AN9" s="48">
        <v>7.4999999999999997E-3</v>
      </c>
      <c r="AO9" s="196">
        <v>6.0000000000000006E-4</v>
      </c>
      <c r="AP9" s="129">
        <f t="shared" si="9"/>
        <v>1.4545979999999998E-2</v>
      </c>
      <c r="AQ9" s="41">
        <v>8760</v>
      </c>
      <c r="AR9" s="137">
        <f t="shared" si="14"/>
        <v>3.3209999999999997E-3</v>
      </c>
      <c r="AS9" s="48">
        <f>J9</f>
        <v>82</v>
      </c>
      <c r="AT9" s="201">
        <f t="shared" si="18"/>
        <v>5.3999999999999994E-3</v>
      </c>
      <c r="AU9" s="139">
        <f t="shared" si="15"/>
        <v>5.3999999999999994E-3</v>
      </c>
      <c r="AV9" s="48">
        <v>7.4999999999999997E-3</v>
      </c>
      <c r="AW9" s="196">
        <v>5.3999999999999994E-3</v>
      </c>
      <c r="AX9" s="207"/>
      <c r="AZ9" s="209"/>
    </row>
    <row r="10" spans="2:52" s="206" customFormat="1" x14ac:dyDescent="0.2">
      <c r="B10" s="182" t="s">
        <v>34</v>
      </c>
      <c r="C10" s="182" t="s">
        <v>74</v>
      </c>
      <c r="D10" s="34">
        <v>82</v>
      </c>
      <c r="E10" s="48" t="s">
        <v>67</v>
      </c>
      <c r="F10" s="34">
        <v>4</v>
      </c>
      <c r="G10" s="34">
        <v>1</v>
      </c>
      <c r="H10" s="34">
        <v>164</v>
      </c>
      <c r="I10" s="34">
        <v>328</v>
      </c>
      <c r="J10" s="34">
        <v>82</v>
      </c>
      <c r="K10" s="34">
        <v>468.6</v>
      </c>
      <c r="L10" s="179">
        <v>38426</v>
      </c>
      <c r="M10" s="182" t="s">
        <v>112</v>
      </c>
      <c r="N10" s="41" t="s">
        <v>119</v>
      </c>
      <c r="O10" s="34" t="s">
        <v>113</v>
      </c>
      <c r="P10" s="126">
        <f t="shared" si="3"/>
        <v>0.17288866082500001</v>
      </c>
      <c r="Q10" s="198">
        <f t="shared" si="19"/>
        <v>345.77732165000003</v>
      </c>
      <c r="R10" s="148">
        <f t="shared" si="16"/>
        <v>9.6758333333333351</v>
      </c>
      <c r="S10" s="199">
        <f t="shared" si="11"/>
        <v>38426</v>
      </c>
      <c r="T10" s="41">
        <f t="shared" si="20"/>
        <v>9.2999999999999995E-4</v>
      </c>
      <c r="U10" s="135">
        <v>9.6758333333333351</v>
      </c>
      <c r="V10" s="198">
        <f t="shared" si="6"/>
        <v>2162.9793244800003</v>
      </c>
      <c r="W10" s="142">
        <f t="shared" si="7"/>
        <v>1.0814896622400001</v>
      </c>
      <c r="X10" s="142"/>
      <c r="Y10" s="41">
        <v>8760</v>
      </c>
      <c r="Z10" s="131">
        <f t="shared" si="10"/>
        <v>0.24691544800000001</v>
      </c>
      <c r="AA10" s="130">
        <f>H10</f>
        <v>164</v>
      </c>
      <c r="AB10" s="132">
        <f t="shared" si="17"/>
        <v>2.4433333333333335E-2</v>
      </c>
      <c r="AC10" s="133">
        <f t="shared" si="12"/>
        <v>2.4433333333333335E-2</v>
      </c>
      <c r="AD10" s="134">
        <v>0.04</v>
      </c>
      <c r="AE10" s="127">
        <f t="shared" si="0"/>
        <v>2.2967333333333333E-2</v>
      </c>
      <c r="AF10" s="135">
        <v>2.3E-2</v>
      </c>
      <c r="AG10" s="196">
        <v>2.4433333333333335E-2</v>
      </c>
      <c r="AH10" s="129">
        <f t="shared" si="8"/>
        <v>1.499493E-2</v>
      </c>
      <c r="AI10" s="41">
        <v>8760</v>
      </c>
      <c r="AJ10" s="137">
        <f t="shared" si="1"/>
        <v>3.4234999999999999E-3</v>
      </c>
      <c r="AK10" s="48">
        <f>I10</f>
        <v>328</v>
      </c>
      <c r="AL10" s="201">
        <f t="shared" si="13"/>
        <v>1.3916666666666667E-3</v>
      </c>
      <c r="AM10" s="139">
        <f t="shared" si="2"/>
        <v>1.3916666666666667E-3</v>
      </c>
      <c r="AN10" s="48">
        <v>7.4999999999999997E-3</v>
      </c>
      <c r="AO10" s="196">
        <v>1.3916666666666667E-3</v>
      </c>
      <c r="AP10" s="129">
        <f t="shared" si="9"/>
        <v>2.0808832500000003E-2</v>
      </c>
      <c r="AQ10" s="41">
        <v>8760</v>
      </c>
      <c r="AR10" s="137">
        <f t="shared" si="14"/>
        <v>4.7508749999999999E-3</v>
      </c>
      <c r="AS10" s="48">
        <f>J10</f>
        <v>82</v>
      </c>
      <c r="AT10" s="201">
        <f t="shared" si="18"/>
        <v>7.7250000000000001E-3</v>
      </c>
      <c r="AU10" s="139">
        <f t="shared" si="15"/>
        <v>7.7250000000000001E-3</v>
      </c>
      <c r="AV10" s="48">
        <v>7.4999999999999997E-3</v>
      </c>
      <c r="AW10" s="196">
        <v>7.7250000000000001E-3</v>
      </c>
      <c r="AX10" s="207"/>
      <c r="AZ10" s="209"/>
    </row>
    <row r="11" spans="2:52" s="206" customFormat="1" x14ac:dyDescent="0.2">
      <c r="B11" s="182" t="s">
        <v>37</v>
      </c>
      <c r="C11" s="182" t="s">
        <v>38</v>
      </c>
      <c r="D11" s="34">
        <v>37</v>
      </c>
      <c r="E11" s="48" t="s">
        <v>67</v>
      </c>
      <c r="F11" s="34">
        <v>4</v>
      </c>
      <c r="G11" s="34">
        <v>2</v>
      </c>
      <c r="H11" s="34">
        <v>74</v>
      </c>
      <c r="I11" s="34">
        <v>148</v>
      </c>
      <c r="J11" s="34">
        <v>74</v>
      </c>
      <c r="K11" s="179">
        <v>471.96428571428572</v>
      </c>
      <c r="L11" s="179">
        <f>17463</f>
        <v>17463</v>
      </c>
      <c r="M11" s="182" t="s">
        <v>115</v>
      </c>
      <c r="N11" s="41" t="s">
        <v>119</v>
      </c>
      <c r="O11" s="34" t="s">
        <v>113</v>
      </c>
      <c r="P11" s="128">
        <f t="shared" si="3"/>
        <v>5.1408234262499998E-2</v>
      </c>
      <c r="Q11" s="202">
        <f t="shared" si="19"/>
        <v>102.81646852499999</v>
      </c>
      <c r="R11" s="148">
        <f t="shared" si="16"/>
        <v>6.3308333333333335</v>
      </c>
      <c r="S11" s="199">
        <f t="shared" si="11"/>
        <v>17463</v>
      </c>
      <c r="T11" s="41">
        <f t="shared" si="20"/>
        <v>9.2999999999999995E-4</v>
      </c>
      <c r="U11" s="135">
        <v>6.3308333333333335</v>
      </c>
      <c r="V11" s="198">
        <f t="shared" si="6"/>
        <v>223.68947327999996</v>
      </c>
      <c r="W11" s="126">
        <f t="shared" si="7"/>
        <v>0.11184473663999998</v>
      </c>
      <c r="X11" s="126">
        <f>SUM(W11:W12)</f>
        <v>0.20910611435999998</v>
      </c>
      <c r="Y11" s="41">
        <v>8760</v>
      </c>
      <c r="Z11" s="131">
        <f t="shared" si="10"/>
        <v>2.5535327999999996E-2</v>
      </c>
      <c r="AA11" s="130">
        <f>H11</f>
        <v>74</v>
      </c>
      <c r="AB11" s="170">
        <f t="shared" si="17"/>
        <v>5.5999999999999991E-3</v>
      </c>
      <c r="AC11" s="133">
        <f t="shared" si="12"/>
        <v>5.5999999999999991E-3</v>
      </c>
      <c r="AD11" s="134">
        <v>0.04</v>
      </c>
      <c r="AE11" s="127">
        <f t="shared" si="0"/>
        <v>5.2639999999999987E-3</v>
      </c>
      <c r="AF11" s="135">
        <v>2.3E-2</v>
      </c>
      <c r="AG11" s="196">
        <v>5.5999999999999991E-3</v>
      </c>
      <c r="AH11" s="129">
        <f t="shared" si="8"/>
        <v>0</v>
      </c>
      <c r="AI11" s="41">
        <v>8760</v>
      </c>
      <c r="AJ11" s="137">
        <f t="shared" si="1"/>
        <v>0</v>
      </c>
      <c r="AK11" s="48">
        <f>I11</f>
        <v>148</v>
      </c>
      <c r="AL11" s="47">
        <f t="shared" si="13"/>
        <v>0</v>
      </c>
      <c r="AM11" s="139">
        <f t="shared" si="2"/>
        <v>0</v>
      </c>
      <c r="AN11" s="48">
        <v>7.4999999999999997E-3</v>
      </c>
      <c r="AO11" s="196">
        <v>0</v>
      </c>
      <c r="AP11" s="129">
        <f t="shared" si="9"/>
        <v>1.1708835000000001E-2</v>
      </c>
      <c r="AQ11" s="41">
        <v>8760</v>
      </c>
      <c r="AR11" s="137">
        <f t="shared" si="14"/>
        <v>2.6732500000000003E-3</v>
      </c>
      <c r="AS11" s="48">
        <f>J11</f>
        <v>74</v>
      </c>
      <c r="AT11" s="201">
        <f t="shared" si="18"/>
        <v>4.816666666666667E-3</v>
      </c>
      <c r="AU11" s="139">
        <f t="shared" si="15"/>
        <v>4.816666666666667E-3</v>
      </c>
      <c r="AV11" s="48">
        <v>7.4999999999999997E-3</v>
      </c>
      <c r="AW11" s="196">
        <v>4.816666666666667E-3</v>
      </c>
      <c r="AX11" s="207"/>
      <c r="AZ11" s="209"/>
    </row>
    <row r="12" spans="2:52" s="206" customFormat="1" x14ac:dyDescent="0.2">
      <c r="B12" s="182" t="s">
        <v>37</v>
      </c>
      <c r="C12" s="182" t="s">
        <v>40</v>
      </c>
      <c r="D12" s="34">
        <v>19</v>
      </c>
      <c r="E12" s="48" t="s">
        <v>67</v>
      </c>
      <c r="F12" s="34">
        <v>4</v>
      </c>
      <c r="G12" s="34">
        <v>2</v>
      </c>
      <c r="H12" s="34">
        <v>38</v>
      </c>
      <c r="I12" s="34">
        <v>76</v>
      </c>
      <c r="J12" s="34">
        <v>38</v>
      </c>
      <c r="K12" s="179">
        <v>471.96428571428572</v>
      </c>
      <c r="L12" s="179">
        <f>8967</f>
        <v>8967</v>
      </c>
      <c r="M12" s="182"/>
      <c r="N12" s="41" t="s">
        <v>119</v>
      </c>
      <c r="O12" s="34" t="s">
        <v>113</v>
      </c>
      <c r="P12" s="128">
        <f t="shared" si="3"/>
        <v>2.6397390862500002E-2</v>
      </c>
      <c r="Q12" s="202">
        <f t="shared" si="19"/>
        <v>52.794781725</v>
      </c>
      <c r="R12" s="148">
        <f t="shared" si="16"/>
        <v>6.3308333333333335</v>
      </c>
      <c r="S12" s="199">
        <f t="shared" si="11"/>
        <v>8967</v>
      </c>
      <c r="T12" s="41">
        <f t="shared" si="20"/>
        <v>9.2999999999999995E-4</v>
      </c>
      <c r="U12" s="135">
        <v>6.3308333333333335</v>
      </c>
      <c r="V12" s="198">
        <f t="shared" si="6"/>
        <v>194.52275544</v>
      </c>
      <c r="W12" s="128">
        <f t="shared" si="7"/>
        <v>9.726137772E-2</v>
      </c>
      <c r="X12" s="142"/>
      <c r="Y12" s="41">
        <v>8760</v>
      </c>
      <c r="Z12" s="131">
        <f t="shared" si="10"/>
        <v>2.2205794000000001E-2</v>
      </c>
      <c r="AA12" s="130">
        <f>H12</f>
        <v>38</v>
      </c>
      <c r="AB12" s="170">
        <f t="shared" si="17"/>
        <v>9.4833333333333332E-3</v>
      </c>
      <c r="AC12" s="133">
        <f t="shared" si="12"/>
        <v>9.4833333333333332E-3</v>
      </c>
      <c r="AD12" s="134">
        <v>0.04</v>
      </c>
      <c r="AE12" s="127">
        <f t="shared" si="0"/>
        <v>8.9143333333333331E-3</v>
      </c>
      <c r="AF12" s="135">
        <v>2.3E-2</v>
      </c>
      <c r="AG12" s="196">
        <v>9.4833333333333332E-3</v>
      </c>
      <c r="AH12" s="129">
        <f t="shared" si="8"/>
        <v>0</v>
      </c>
      <c r="AI12" s="41">
        <v>8760</v>
      </c>
      <c r="AJ12" s="137">
        <f t="shared" si="1"/>
        <v>0</v>
      </c>
      <c r="AK12" s="48">
        <f>I12</f>
        <v>76</v>
      </c>
      <c r="AL12" s="47">
        <f t="shared" si="13"/>
        <v>0</v>
      </c>
      <c r="AM12" s="139">
        <f t="shared" si="2"/>
        <v>0</v>
      </c>
      <c r="AN12" s="48">
        <v>7.4999999999999997E-3</v>
      </c>
      <c r="AO12" s="196">
        <v>0</v>
      </c>
      <c r="AP12" s="129">
        <f t="shared" si="9"/>
        <v>2.5902224999999998E-3</v>
      </c>
      <c r="AQ12" s="41">
        <v>8760</v>
      </c>
      <c r="AR12" s="137">
        <f t="shared" si="14"/>
        <v>5.91375E-4</v>
      </c>
      <c r="AS12" s="48">
        <f>J12</f>
        <v>38</v>
      </c>
      <c r="AT12" s="201">
        <f t="shared" si="18"/>
        <v>2.075E-3</v>
      </c>
      <c r="AU12" s="139">
        <f t="shared" si="15"/>
        <v>2.075E-3</v>
      </c>
      <c r="AV12" s="48">
        <v>7.4999999999999997E-3</v>
      </c>
      <c r="AW12" s="196">
        <v>2.075E-3</v>
      </c>
      <c r="AX12" s="207"/>
      <c r="AZ12" s="209"/>
    </row>
    <row r="13" spans="2:52" s="206" customFormat="1" x14ac:dyDescent="0.2">
      <c r="B13" s="182" t="s">
        <v>41</v>
      </c>
      <c r="C13" s="182" t="s">
        <v>75</v>
      </c>
      <c r="D13" s="34">
        <v>85</v>
      </c>
      <c r="E13" s="48" t="s">
        <v>67</v>
      </c>
      <c r="F13" s="34">
        <v>3</v>
      </c>
      <c r="G13" s="34">
        <v>2</v>
      </c>
      <c r="H13" s="34">
        <v>170</v>
      </c>
      <c r="I13" s="34">
        <v>255</v>
      </c>
      <c r="J13" s="34">
        <v>170</v>
      </c>
      <c r="K13" s="34">
        <v>424</v>
      </c>
      <c r="L13" s="179">
        <v>30078</v>
      </c>
      <c r="M13" s="182" t="s">
        <v>115</v>
      </c>
      <c r="N13" s="41" t="s">
        <v>119</v>
      </c>
      <c r="O13" s="34" t="s">
        <v>113</v>
      </c>
      <c r="P13" s="128">
        <f t="shared" si="3"/>
        <v>4.9162902782142859E-2</v>
      </c>
      <c r="Q13" s="198">
        <f>R13*S13*T13</f>
        <v>98.325805564285716</v>
      </c>
      <c r="R13" s="148">
        <f t="shared" si="16"/>
        <v>3.5150832053251411</v>
      </c>
      <c r="S13" s="199">
        <f t="shared" si="11"/>
        <v>30078</v>
      </c>
      <c r="T13" s="41">
        <f>0.0093/10</f>
        <v>9.2999999999999995E-4</v>
      </c>
      <c r="U13" s="135">
        <v>3.5150832053251411</v>
      </c>
      <c r="V13" s="198">
        <f t="shared" si="6"/>
        <v>1595.4522301895274</v>
      </c>
      <c r="W13" s="126">
        <f t="shared" si="7"/>
        <v>0.79772611509476377</v>
      </c>
      <c r="X13" s="126">
        <f>SUM(W13)</f>
        <v>0.79772611509476377</v>
      </c>
      <c r="Y13" s="41">
        <v>8760</v>
      </c>
      <c r="Z13" s="131">
        <f t="shared" si="10"/>
        <v>0.18212925002163555</v>
      </c>
      <c r="AA13" s="130">
        <f>H13</f>
        <v>170</v>
      </c>
      <c r="AB13" s="132">
        <f t="shared" si="17"/>
        <v>1.7386376655940162E-2</v>
      </c>
      <c r="AC13" s="133">
        <f t="shared" si="12"/>
        <v>1.7386376655940162E-2</v>
      </c>
      <c r="AD13" s="134">
        <v>0.04</v>
      </c>
      <c r="AE13" s="127">
        <f t="shared" si="0"/>
        <v>1.634319405658375E-2</v>
      </c>
      <c r="AF13" s="135">
        <v>2.3E-2</v>
      </c>
      <c r="AG13" s="196">
        <v>1.7386376655940162E-2</v>
      </c>
      <c r="AH13" s="129">
        <f t="shared" si="8"/>
        <v>3.2437030598989414E-3</v>
      </c>
      <c r="AI13" s="41">
        <v>8760</v>
      </c>
      <c r="AJ13" s="137">
        <f t="shared" si="1"/>
        <v>7.4057147486277202E-4</v>
      </c>
      <c r="AK13" s="48">
        <f>I13</f>
        <v>255</v>
      </c>
      <c r="AL13" s="47">
        <f t="shared" si="13"/>
        <v>3.8722691496092659E-4</v>
      </c>
      <c r="AM13" s="139">
        <f t="shared" si="2"/>
        <v>3.8722691496092659E-4</v>
      </c>
      <c r="AN13" s="48">
        <v>7.4999999999999997E-3</v>
      </c>
      <c r="AO13" s="196">
        <v>3.8722691496092659E-4</v>
      </c>
      <c r="AP13" s="129">
        <f t="shared" si="9"/>
        <v>4.4930819486135816E-2</v>
      </c>
      <c r="AQ13" s="41">
        <v>8760</v>
      </c>
      <c r="AR13" s="137">
        <f t="shared" si="14"/>
        <v>1.0258177964871192E-2</v>
      </c>
      <c r="AS13" s="48">
        <f>J13</f>
        <v>170</v>
      </c>
      <c r="AT13" s="201">
        <f t="shared" si="18"/>
        <v>8.0456297763695627E-3</v>
      </c>
      <c r="AU13" s="139">
        <f t="shared" si="15"/>
        <v>8.0456297763695627E-3</v>
      </c>
      <c r="AV13" s="48">
        <v>7.4999999999999997E-3</v>
      </c>
      <c r="AW13" s="196">
        <v>8.0456297763695627E-3</v>
      </c>
      <c r="AX13" s="207"/>
      <c r="AZ13" s="209"/>
    </row>
    <row r="14" spans="2:52" s="206" customFormat="1" x14ac:dyDescent="0.2">
      <c r="B14" s="182" t="s">
        <v>43</v>
      </c>
      <c r="C14" s="182" t="s">
        <v>76</v>
      </c>
      <c r="D14" s="34">
        <v>85</v>
      </c>
      <c r="E14" s="48" t="s">
        <v>67</v>
      </c>
      <c r="F14" s="34">
        <v>4</v>
      </c>
      <c r="G14" s="34">
        <v>2</v>
      </c>
      <c r="H14" s="34">
        <v>170</v>
      </c>
      <c r="I14" s="34">
        <v>340</v>
      </c>
      <c r="J14" s="34">
        <v>170</v>
      </c>
      <c r="K14" s="34">
        <f>AVERAGE(258.3,497.4)</f>
        <v>377.85</v>
      </c>
      <c r="L14" s="179">
        <v>42355</v>
      </c>
      <c r="M14" s="182" t="s">
        <v>118</v>
      </c>
      <c r="N14" s="41" t="s">
        <v>119</v>
      </c>
      <c r="O14" s="34" t="s">
        <v>120</v>
      </c>
      <c r="P14" s="128">
        <f t="shared" si="3"/>
        <v>2.5767723124999999E-2</v>
      </c>
      <c r="Q14" s="198">
        <f>R14*S14*T14</f>
        <v>51.53544625</v>
      </c>
      <c r="R14" s="148">
        <f t="shared" si="16"/>
        <v>1.3083333333333333</v>
      </c>
      <c r="S14" s="199">
        <f t="shared" si="11"/>
        <v>42355</v>
      </c>
      <c r="T14" s="41">
        <f>0.0093/10</f>
        <v>9.2999999999999995E-4</v>
      </c>
      <c r="U14" s="135">
        <v>1.3083333333333333</v>
      </c>
      <c r="V14" s="198">
        <f t="shared" si="6"/>
        <v>16.823492399999999</v>
      </c>
      <c r="W14" s="122">
        <f t="shared" si="7"/>
        <v>8.4117462000000004E-3</v>
      </c>
      <c r="X14" s="122">
        <f>SUM(W14)</f>
        <v>8.4117462000000004E-3</v>
      </c>
      <c r="Y14" s="41">
        <v>8760</v>
      </c>
      <c r="Z14" s="131">
        <f t="shared" si="10"/>
        <v>1.9204899999999997E-3</v>
      </c>
      <c r="AA14" s="130">
        <f>H14</f>
        <v>170</v>
      </c>
      <c r="AB14" s="170">
        <f t="shared" si="17"/>
        <v>1.8333333333333334E-4</v>
      </c>
      <c r="AC14" s="133">
        <f t="shared" si="12"/>
        <v>1.8333333333333334E-4</v>
      </c>
      <c r="AD14" s="134">
        <v>0.04</v>
      </c>
      <c r="AE14" s="127">
        <f t="shared" si="0"/>
        <v>1.7233333333333331E-4</v>
      </c>
      <c r="AF14" s="135">
        <v>2.3E-2</v>
      </c>
      <c r="AG14" s="196">
        <v>1.8333333333333334E-4</v>
      </c>
      <c r="AH14" s="129">
        <f t="shared" si="8"/>
        <v>9.3074999999999999E-5</v>
      </c>
      <c r="AI14" s="41">
        <v>8760</v>
      </c>
      <c r="AJ14" s="137">
        <f t="shared" si="1"/>
        <v>2.1250000000000002E-5</v>
      </c>
      <c r="AK14" s="48">
        <f>I14</f>
        <v>340</v>
      </c>
      <c r="AL14" s="204">
        <f t="shared" si="13"/>
        <v>8.3333333333333337E-6</v>
      </c>
      <c r="AM14" s="139">
        <f t="shared" si="2"/>
        <v>8.3333333333333337E-6</v>
      </c>
      <c r="AN14" s="48">
        <v>7.4999999999999997E-3</v>
      </c>
      <c r="AO14" s="196">
        <v>8.3333333333333337E-6</v>
      </c>
      <c r="AP14" s="129">
        <f t="shared" si="9"/>
        <v>8.3767499999999996E-4</v>
      </c>
      <c r="AQ14" s="41">
        <v>8760</v>
      </c>
      <c r="AR14" s="137">
        <f t="shared" si="14"/>
        <v>1.9124999999999999E-4</v>
      </c>
      <c r="AS14" s="48">
        <f>J14</f>
        <v>170</v>
      </c>
      <c r="AT14" s="47">
        <f t="shared" si="18"/>
        <v>1.4999999999999999E-4</v>
      </c>
      <c r="AU14" s="139">
        <f t="shared" si="15"/>
        <v>1.4999999999999999E-4</v>
      </c>
      <c r="AV14" s="48">
        <v>7.4999999999999997E-3</v>
      </c>
      <c r="AW14" s="196">
        <v>1.4999999999999999E-4</v>
      </c>
      <c r="AX14" s="207"/>
      <c r="AZ14" s="209"/>
    </row>
    <row r="15" spans="2:52" s="206" customFormat="1" x14ac:dyDescent="0.2">
      <c r="B15" s="182" t="s">
        <v>3</v>
      </c>
      <c r="C15" s="182" t="s">
        <v>77</v>
      </c>
      <c r="D15" s="34">
        <v>64</v>
      </c>
      <c r="E15" s="48" t="s">
        <v>67</v>
      </c>
      <c r="F15" s="34">
        <v>4</v>
      </c>
      <c r="G15" s="34">
        <v>2</v>
      </c>
      <c r="H15" s="34">
        <f>64*2</f>
        <v>128</v>
      </c>
      <c r="I15" s="34">
        <f>4*64</f>
        <v>256</v>
      </c>
      <c r="J15" s="34">
        <f>2*64</f>
        <v>128</v>
      </c>
      <c r="K15" s="130">
        <f>L15/64</f>
        <v>332.515625</v>
      </c>
      <c r="L15" s="179">
        <v>21281</v>
      </c>
      <c r="M15" s="182" t="s">
        <v>124</v>
      </c>
      <c r="N15" s="41" t="s">
        <v>119</v>
      </c>
      <c r="O15" s="34" t="s">
        <v>121</v>
      </c>
      <c r="P15" s="128">
        <f t="shared" si="3"/>
        <v>4.4114874569999997E-2</v>
      </c>
      <c r="Q15" s="198">
        <f t="shared" ref="Q15:Q30" si="21">R15*S15*T15</f>
        <v>88.229749139999996</v>
      </c>
      <c r="R15" s="205">
        <v>4.4580000000000002</v>
      </c>
      <c r="S15" s="199">
        <f t="shared" si="11"/>
        <v>21281</v>
      </c>
      <c r="T15" s="41">
        <f t="shared" ref="T15:T30" si="22">0.0093/10</f>
        <v>9.2999999999999995E-4</v>
      </c>
      <c r="U15" s="48"/>
      <c r="V15" s="198">
        <f t="shared" si="6"/>
        <v>559.65551615999993</v>
      </c>
      <c r="W15" s="126">
        <f t="shared" si="7"/>
        <v>0.27982775807999999</v>
      </c>
      <c r="X15" s="142">
        <f>SUM(W15:W24)</f>
        <v>1.9745562095999998</v>
      </c>
      <c r="Y15" s="41">
        <v>8760</v>
      </c>
      <c r="Z15" s="131">
        <f t="shared" si="10"/>
        <v>6.3887615999999994E-2</v>
      </c>
      <c r="AA15" s="130">
        <f>H15</f>
        <v>128</v>
      </c>
      <c r="AB15" s="170">
        <v>8.0999999999999996E-3</v>
      </c>
      <c r="AC15" s="133">
        <f t="shared" si="12"/>
        <v>8.0999999999999996E-3</v>
      </c>
      <c r="AD15" s="134">
        <v>0.04</v>
      </c>
      <c r="AE15" s="127">
        <f t="shared" si="0"/>
        <v>7.6139999999999992E-3</v>
      </c>
      <c r="AF15" s="135">
        <v>2.3E-2</v>
      </c>
      <c r="AG15" s="48"/>
      <c r="AH15" s="129">
        <f t="shared" si="8"/>
        <v>0</v>
      </c>
      <c r="AI15" s="41">
        <v>8760</v>
      </c>
      <c r="AJ15" s="137">
        <f t="shared" si="1"/>
        <v>0</v>
      </c>
      <c r="AK15" s="48">
        <f>I15</f>
        <v>256</v>
      </c>
      <c r="AL15" s="47">
        <v>0</v>
      </c>
      <c r="AM15" s="139">
        <f t="shared" si="2"/>
        <v>0</v>
      </c>
      <c r="AN15" s="48">
        <v>7.4999999999999997E-3</v>
      </c>
      <c r="AO15" s="48"/>
      <c r="AP15" s="129">
        <f t="shared" si="9"/>
        <v>2.6069759999999997E-2</v>
      </c>
      <c r="AQ15" s="41">
        <v>8760</v>
      </c>
      <c r="AR15" s="137">
        <f t="shared" si="14"/>
        <v>5.9519999999999998E-3</v>
      </c>
      <c r="AS15" s="48">
        <f>J15</f>
        <v>128</v>
      </c>
      <c r="AT15" s="201">
        <v>6.1999999999999998E-3</v>
      </c>
      <c r="AU15" s="139">
        <f t="shared" si="15"/>
        <v>6.1999999999999998E-3</v>
      </c>
      <c r="AV15" s="48">
        <v>7.4999999999999997E-3</v>
      </c>
      <c r="AW15" s="10"/>
      <c r="AX15" s="207"/>
      <c r="AZ15" s="209"/>
    </row>
    <row r="16" spans="2:52" s="206" customFormat="1" x14ac:dyDescent="0.2">
      <c r="B16" s="182" t="s">
        <v>3</v>
      </c>
      <c r="C16" s="182" t="s">
        <v>40</v>
      </c>
      <c r="D16" s="34">
        <v>64</v>
      </c>
      <c r="E16" s="48" t="s">
        <v>67</v>
      </c>
      <c r="F16" s="34">
        <v>4</v>
      </c>
      <c r="G16" s="34">
        <v>2</v>
      </c>
      <c r="H16" s="34">
        <f>64*2</f>
        <v>128</v>
      </c>
      <c r="I16" s="34">
        <f t="shared" ref="I16:I17" si="23">4*64</f>
        <v>256</v>
      </c>
      <c r="J16" s="34">
        <f t="shared" ref="J16:J17" si="24">2*64</f>
        <v>128</v>
      </c>
      <c r="K16" s="130">
        <f t="shared" ref="K16:K17" si="25">L16/64</f>
        <v>332.515625</v>
      </c>
      <c r="L16" s="179">
        <v>21281</v>
      </c>
      <c r="M16" s="182"/>
      <c r="N16" s="41" t="s">
        <v>119</v>
      </c>
      <c r="O16" s="34" t="s">
        <v>121</v>
      </c>
      <c r="P16" s="128">
        <f t="shared" si="3"/>
        <v>4.4847153779999996E-2</v>
      </c>
      <c r="Q16" s="198">
        <f t="shared" si="21"/>
        <v>89.694307559999999</v>
      </c>
      <c r="R16" s="205">
        <v>4.532</v>
      </c>
      <c r="S16" s="199">
        <f t="shared" si="11"/>
        <v>21281</v>
      </c>
      <c r="T16" s="41">
        <f t="shared" si="22"/>
        <v>9.2999999999999995E-4</v>
      </c>
      <c r="U16" s="48"/>
      <c r="V16" s="198">
        <f t="shared" si="6"/>
        <v>476.74358784000003</v>
      </c>
      <c r="W16" s="126">
        <f t="shared" si="7"/>
        <v>0.23837179392000002</v>
      </c>
      <c r="X16" s="142"/>
      <c r="Y16" s="41">
        <v>8760</v>
      </c>
      <c r="Z16" s="131">
        <f t="shared" si="10"/>
        <v>5.4422784000000002E-2</v>
      </c>
      <c r="AA16" s="130">
        <f>H16</f>
        <v>128</v>
      </c>
      <c r="AB16" s="170">
        <v>6.8999999999999999E-3</v>
      </c>
      <c r="AC16" s="133">
        <f t="shared" si="12"/>
        <v>6.8999999999999999E-3</v>
      </c>
      <c r="AD16" s="134">
        <v>0.04</v>
      </c>
      <c r="AE16" s="127">
        <f t="shared" si="0"/>
        <v>6.4859999999999996E-3</v>
      </c>
      <c r="AF16" s="135">
        <v>2.3E-2</v>
      </c>
      <c r="AG16" s="48"/>
      <c r="AH16" s="129">
        <f t="shared" si="8"/>
        <v>8.4096000000000008E-4</v>
      </c>
      <c r="AI16" s="41">
        <v>8760</v>
      </c>
      <c r="AJ16" s="137">
        <f t="shared" si="1"/>
        <v>1.92E-4</v>
      </c>
      <c r="AK16" s="48">
        <f>I16</f>
        <v>256</v>
      </c>
      <c r="AL16" s="47">
        <v>1E-4</v>
      </c>
      <c r="AM16" s="139">
        <f t="shared" si="2"/>
        <v>1E-4</v>
      </c>
      <c r="AN16" s="48">
        <v>7.4999999999999997E-3</v>
      </c>
      <c r="AO16" s="48"/>
      <c r="AP16" s="129">
        <f t="shared" si="9"/>
        <v>2.3546879999999999E-2</v>
      </c>
      <c r="AQ16" s="41">
        <v>8760</v>
      </c>
      <c r="AR16" s="137">
        <f t="shared" si="14"/>
        <v>5.3759999999999997E-3</v>
      </c>
      <c r="AS16" s="48">
        <f>J16</f>
        <v>128</v>
      </c>
      <c r="AT16" s="201">
        <v>5.5999999999999999E-3</v>
      </c>
      <c r="AU16" s="139">
        <f t="shared" si="15"/>
        <v>5.5999999999999999E-3</v>
      </c>
      <c r="AV16" s="48">
        <v>7.4999999999999997E-3</v>
      </c>
      <c r="AW16" s="10"/>
      <c r="AX16" s="207"/>
      <c r="AZ16" s="209"/>
    </row>
    <row r="17" spans="2:52" s="206" customFormat="1" x14ac:dyDescent="0.2">
      <c r="B17" s="182" t="s">
        <v>3</v>
      </c>
      <c r="C17" s="182" t="s">
        <v>78</v>
      </c>
      <c r="D17" s="34">
        <v>64</v>
      </c>
      <c r="E17" s="48" t="s">
        <v>67</v>
      </c>
      <c r="F17" s="34">
        <v>4</v>
      </c>
      <c r="G17" s="34">
        <v>2</v>
      </c>
      <c r="H17" s="34">
        <f>64*2</f>
        <v>128</v>
      </c>
      <c r="I17" s="34">
        <f t="shared" si="23"/>
        <v>256</v>
      </c>
      <c r="J17" s="34">
        <f t="shared" si="24"/>
        <v>128</v>
      </c>
      <c r="K17" s="130">
        <f t="shared" si="25"/>
        <v>332.515625</v>
      </c>
      <c r="L17" s="179">
        <v>21281</v>
      </c>
      <c r="M17" s="182"/>
      <c r="N17" s="41" t="s">
        <v>119</v>
      </c>
      <c r="O17" s="34" t="s">
        <v>121</v>
      </c>
      <c r="P17" s="128">
        <f t="shared" si="3"/>
        <v>4.6390877520000005E-2</v>
      </c>
      <c r="Q17" s="198">
        <f t="shared" si="21"/>
        <v>92.781755040000007</v>
      </c>
      <c r="R17" s="205">
        <v>4.6880000000000006</v>
      </c>
      <c r="S17" s="199">
        <f t="shared" si="11"/>
        <v>21281</v>
      </c>
      <c r="T17" s="41">
        <f t="shared" si="22"/>
        <v>9.2999999999999995E-4</v>
      </c>
      <c r="U17" s="48"/>
      <c r="V17" s="198">
        <f t="shared" si="6"/>
        <v>877.48457471999996</v>
      </c>
      <c r="W17" s="126">
        <f t="shared" si="7"/>
        <v>0.43874228735999998</v>
      </c>
      <c r="X17" s="142"/>
      <c r="Y17" s="41">
        <v>8760</v>
      </c>
      <c r="Z17" s="131">
        <f t="shared" si="10"/>
        <v>0.100169472</v>
      </c>
      <c r="AA17" s="130">
        <f>H17</f>
        <v>128</v>
      </c>
      <c r="AB17" s="170">
        <v>1.2699999999999999E-2</v>
      </c>
      <c r="AC17" s="133">
        <f t="shared" si="12"/>
        <v>1.2699999999999999E-2</v>
      </c>
      <c r="AD17" s="134">
        <v>0.04</v>
      </c>
      <c r="AE17" s="127">
        <f t="shared" si="0"/>
        <v>1.1937999999999999E-2</v>
      </c>
      <c r="AF17" s="135">
        <v>2.3E-2</v>
      </c>
      <c r="AG17" s="48"/>
      <c r="AH17" s="129">
        <f t="shared" si="8"/>
        <v>0</v>
      </c>
      <c r="AI17" s="41">
        <v>8760</v>
      </c>
      <c r="AJ17" s="137">
        <f t="shared" si="1"/>
        <v>0</v>
      </c>
      <c r="AK17" s="48">
        <f>I17</f>
        <v>256</v>
      </c>
      <c r="AL17" s="47">
        <v>0</v>
      </c>
      <c r="AM17" s="139">
        <f t="shared" si="2"/>
        <v>0</v>
      </c>
      <c r="AN17" s="48">
        <v>7.4999999999999997E-3</v>
      </c>
      <c r="AO17" s="48"/>
      <c r="AP17" s="129">
        <f t="shared" si="9"/>
        <v>3.0274559999999999E-2</v>
      </c>
      <c r="AQ17" s="41">
        <v>8760</v>
      </c>
      <c r="AR17" s="137">
        <f t="shared" si="14"/>
        <v>6.9119999999999997E-3</v>
      </c>
      <c r="AS17" s="48">
        <f>J17</f>
        <v>128</v>
      </c>
      <c r="AT17" s="201">
        <v>7.1999999999999998E-3</v>
      </c>
      <c r="AU17" s="139">
        <f t="shared" si="15"/>
        <v>7.1999999999999998E-3</v>
      </c>
      <c r="AV17" s="48">
        <v>7.4999999999999997E-3</v>
      </c>
      <c r="AW17" s="10"/>
      <c r="AX17" s="207"/>
      <c r="AZ17" s="209"/>
    </row>
    <row r="18" spans="2:52" s="206" customFormat="1" x14ac:dyDescent="0.2">
      <c r="B18" s="182" t="s">
        <v>3</v>
      </c>
      <c r="C18" s="182" t="s">
        <v>79</v>
      </c>
      <c r="D18" s="34">
        <v>61</v>
      </c>
      <c r="E18" s="48" t="s">
        <v>67</v>
      </c>
      <c r="F18" s="34">
        <v>4</v>
      </c>
      <c r="G18" s="34">
        <v>2</v>
      </c>
      <c r="H18" s="34">
        <f>61*2</f>
        <v>122</v>
      </c>
      <c r="I18" s="34">
        <f>4*61</f>
        <v>244</v>
      </c>
      <c r="J18" s="34">
        <f>2*61</f>
        <v>122</v>
      </c>
      <c r="K18" s="130">
        <f>L18/61</f>
        <v>335.22950819672133</v>
      </c>
      <c r="L18" s="179">
        <v>20449</v>
      </c>
      <c r="M18" s="182"/>
      <c r="N18" s="41" t="s">
        <v>119</v>
      </c>
      <c r="O18" s="34" t="s">
        <v>121</v>
      </c>
      <c r="P18" s="128">
        <f t="shared" si="3"/>
        <v>3.4326713849999996E-2</v>
      </c>
      <c r="Q18" s="198">
        <f t="shared" si="21"/>
        <v>68.653427699999995</v>
      </c>
      <c r="R18" s="205">
        <v>3.6100000000000003</v>
      </c>
      <c r="S18" s="199">
        <f t="shared" si="11"/>
        <v>20449</v>
      </c>
      <c r="T18" s="41">
        <f t="shared" si="22"/>
        <v>9.2999999999999995E-4</v>
      </c>
      <c r="U18" s="48"/>
      <c r="V18" s="198">
        <f t="shared" si="6"/>
        <v>263.41810559999999</v>
      </c>
      <c r="W18" s="126">
        <f t="shared" si="7"/>
        <v>0.1317090528</v>
      </c>
      <c r="X18" s="142"/>
      <c r="Y18" s="41">
        <v>8760</v>
      </c>
      <c r="Z18" s="131">
        <f t="shared" si="10"/>
        <v>3.0070559999999996E-2</v>
      </c>
      <c r="AA18" s="130">
        <f>H18</f>
        <v>122</v>
      </c>
      <c r="AB18" s="170">
        <v>4.0000000000000001E-3</v>
      </c>
      <c r="AC18" s="133">
        <f t="shared" si="12"/>
        <v>4.0000000000000001E-3</v>
      </c>
      <c r="AD18" s="134">
        <v>0.04</v>
      </c>
      <c r="AE18" s="127">
        <f t="shared" si="0"/>
        <v>3.7599999999999999E-3</v>
      </c>
      <c r="AF18" s="135">
        <v>2.3E-2</v>
      </c>
      <c r="AG18" s="48"/>
      <c r="AH18" s="129">
        <f t="shared" si="8"/>
        <v>0</v>
      </c>
      <c r="AI18" s="41">
        <v>8760</v>
      </c>
      <c r="AJ18" s="137">
        <f t="shared" si="1"/>
        <v>0</v>
      </c>
      <c r="AK18" s="48">
        <f>I18</f>
        <v>244</v>
      </c>
      <c r="AL18" s="47">
        <v>0</v>
      </c>
      <c r="AM18" s="139">
        <f t="shared" si="2"/>
        <v>0</v>
      </c>
      <c r="AN18" s="48">
        <v>7.4999999999999997E-3</v>
      </c>
      <c r="AO18" s="48"/>
      <c r="AP18" s="129">
        <f t="shared" si="9"/>
        <v>2.2843889999999999E-2</v>
      </c>
      <c r="AQ18" s="41">
        <v>8760</v>
      </c>
      <c r="AR18" s="137">
        <f t="shared" si="14"/>
        <v>5.2154999999999997E-3</v>
      </c>
      <c r="AS18" s="48">
        <f>J18</f>
        <v>122</v>
      </c>
      <c r="AT18" s="201">
        <v>5.7000000000000002E-3</v>
      </c>
      <c r="AU18" s="139">
        <f t="shared" si="15"/>
        <v>5.7000000000000002E-3</v>
      </c>
      <c r="AV18" s="48">
        <v>7.4999999999999997E-3</v>
      </c>
      <c r="AW18" s="10"/>
      <c r="AX18" s="207"/>
      <c r="AZ18" s="209"/>
    </row>
    <row r="19" spans="2:52" s="206" customFormat="1" x14ac:dyDescent="0.2">
      <c r="B19" s="182" t="s">
        <v>3</v>
      </c>
      <c r="C19" s="182" t="s">
        <v>80</v>
      </c>
      <c r="D19" s="34">
        <v>61</v>
      </c>
      <c r="E19" s="48" t="s">
        <v>67</v>
      </c>
      <c r="F19" s="34">
        <v>4</v>
      </c>
      <c r="G19" s="34">
        <v>2</v>
      </c>
      <c r="H19" s="34">
        <f>61*2</f>
        <v>122</v>
      </c>
      <c r="I19" s="34">
        <f t="shared" ref="I19:I20" si="26">4*61</f>
        <v>244</v>
      </c>
      <c r="J19" s="34">
        <f t="shared" ref="J19:J20" si="27">2*61</f>
        <v>122</v>
      </c>
      <c r="K19" s="130">
        <f t="shared" ref="K19:K20" si="28">L19/61</f>
        <v>335.22950819672133</v>
      </c>
      <c r="L19" s="179">
        <v>20449</v>
      </c>
      <c r="M19" s="182"/>
      <c r="N19" s="41" t="s">
        <v>119</v>
      </c>
      <c r="O19" s="34" t="s">
        <v>121</v>
      </c>
      <c r="P19" s="128">
        <f t="shared" si="3"/>
        <v>3.5867137019999995E-2</v>
      </c>
      <c r="Q19" s="198">
        <f t="shared" si="21"/>
        <v>71.734274039999988</v>
      </c>
      <c r="R19" s="205">
        <v>3.7719999999999998</v>
      </c>
      <c r="S19" s="199">
        <f t="shared" si="11"/>
        <v>20449</v>
      </c>
      <c r="T19" s="41">
        <f t="shared" si="22"/>
        <v>9.2999999999999995E-4</v>
      </c>
      <c r="U19" s="48"/>
      <c r="V19" s="198">
        <f t="shared" si="6"/>
        <v>309.51627408000002</v>
      </c>
      <c r="W19" s="126">
        <f t="shared" si="7"/>
        <v>0.15475813704000002</v>
      </c>
      <c r="X19" s="142"/>
      <c r="Y19" s="41">
        <v>8760</v>
      </c>
      <c r="Z19" s="131">
        <f t="shared" si="10"/>
        <v>3.5332908000000003E-2</v>
      </c>
      <c r="AA19" s="130">
        <f>H19</f>
        <v>122</v>
      </c>
      <c r="AB19" s="170">
        <v>4.7000000000000002E-3</v>
      </c>
      <c r="AC19" s="133">
        <f t="shared" si="12"/>
        <v>4.7000000000000002E-3</v>
      </c>
      <c r="AD19" s="134">
        <v>0.04</v>
      </c>
      <c r="AE19" s="127">
        <f t="shared" si="0"/>
        <v>4.4180000000000001E-3</v>
      </c>
      <c r="AF19" s="135">
        <v>2.3E-2</v>
      </c>
      <c r="AG19" s="48"/>
      <c r="AH19" s="129">
        <f t="shared" si="8"/>
        <v>0</v>
      </c>
      <c r="AI19" s="41">
        <v>8760</v>
      </c>
      <c r="AJ19" s="137">
        <f t="shared" si="1"/>
        <v>0</v>
      </c>
      <c r="AK19" s="48">
        <f>I19</f>
        <v>244</v>
      </c>
      <c r="AL19" s="47">
        <v>0</v>
      </c>
      <c r="AM19" s="139">
        <f t="shared" si="2"/>
        <v>0</v>
      </c>
      <c r="AN19" s="48">
        <v>7.4999999999999997E-3</v>
      </c>
      <c r="AO19" s="48"/>
      <c r="AP19" s="129">
        <f t="shared" si="9"/>
        <v>2.885544E-2</v>
      </c>
      <c r="AQ19" s="41">
        <v>8760</v>
      </c>
      <c r="AR19" s="137">
        <f t="shared" si="14"/>
        <v>6.5879999999999992E-3</v>
      </c>
      <c r="AS19" s="48">
        <f>J19</f>
        <v>122</v>
      </c>
      <c r="AT19" s="201">
        <v>7.1999999999999998E-3</v>
      </c>
      <c r="AU19" s="139">
        <f t="shared" si="15"/>
        <v>7.1999999999999998E-3</v>
      </c>
      <c r="AV19" s="48">
        <v>7.4999999999999997E-3</v>
      </c>
      <c r="AW19" s="10"/>
      <c r="AX19" s="207"/>
      <c r="AZ19" s="209"/>
    </row>
    <row r="20" spans="2:52" s="206" customFormat="1" x14ac:dyDescent="0.2">
      <c r="B20" s="182" t="s">
        <v>3</v>
      </c>
      <c r="C20" s="182" t="s">
        <v>81</v>
      </c>
      <c r="D20" s="34">
        <v>61</v>
      </c>
      <c r="E20" s="48" t="s">
        <v>67</v>
      </c>
      <c r="F20" s="34">
        <v>4</v>
      </c>
      <c r="G20" s="34">
        <v>2</v>
      </c>
      <c r="H20" s="34">
        <f>61*2</f>
        <v>122</v>
      </c>
      <c r="I20" s="34">
        <f t="shared" si="26"/>
        <v>244</v>
      </c>
      <c r="J20" s="34">
        <f t="shared" si="27"/>
        <v>122</v>
      </c>
      <c r="K20" s="130">
        <f t="shared" si="28"/>
        <v>335.22950819672133</v>
      </c>
      <c r="L20" s="179">
        <v>20449</v>
      </c>
      <c r="M20" s="182"/>
      <c r="N20" s="41" t="s">
        <v>119</v>
      </c>
      <c r="O20" s="34" t="s">
        <v>121</v>
      </c>
      <c r="P20" s="128">
        <f t="shared" si="3"/>
        <v>3.5829101879999999E-2</v>
      </c>
      <c r="Q20" s="198">
        <f t="shared" si="21"/>
        <v>71.658203759999992</v>
      </c>
      <c r="R20" s="205">
        <v>3.7679999999999998</v>
      </c>
      <c r="S20" s="199">
        <f t="shared" si="11"/>
        <v>20449</v>
      </c>
      <c r="T20" s="41">
        <f t="shared" si="22"/>
        <v>9.2999999999999995E-4</v>
      </c>
      <c r="U20" s="48"/>
      <c r="V20" s="198">
        <f t="shared" si="6"/>
        <v>256.83265295999996</v>
      </c>
      <c r="W20" s="126">
        <f t="shared" si="7"/>
        <v>0.12841632647999998</v>
      </c>
      <c r="X20" s="142"/>
      <c r="Y20" s="41">
        <v>8760</v>
      </c>
      <c r="Z20" s="131">
        <f t="shared" si="10"/>
        <v>2.9318795999999998E-2</v>
      </c>
      <c r="AA20" s="130">
        <f>H20</f>
        <v>122</v>
      </c>
      <c r="AB20" s="170">
        <v>3.8999999999999998E-3</v>
      </c>
      <c r="AC20" s="133">
        <f t="shared" si="12"/>
        <v>3.8999999999999998E-3</v>
      </c>
      <c r="AD20" s="134">
        <v>0.04</v>
      </c>
      <c r="AE20" s="127">
        <f t="shared" si="0"/>
        <v>3.6659999999999996E-3</v>
      </c>
      <c r="AF20" s="135">
        <v>2.3E-2</v>
      </c>
      <c r="AG20" s="48"/>
      <c r="AH20" s="129">
        <f t="shared" si="8"/>
        <v>0</v>
      </c>
      <c r="AI20" s="41">
        <v>8760</v>
      </c>
      <c r="AJ20" s="137">
        <f t="shared" si="1"/>
        <v>0</v>
      </c>
      <c r="AK20" s="48">
        <f>I20</f>
        <v>244</v>
      </c>
      <c r="AL20" s="47">
        <v>0</v>
      </c>
      <c r="AM20" s="139">
        <f t="shared" si="2"/>
        <v>0</v>
      </c>
      <c r="AN20" s="48">
        <v>7.4999999999999997E-3</v>
      </c>
      <c r="AO20" s="48"/>
      <c r="AP20" s="129">
        <f t="shared" si="9"/>
        <v>1.563003E-2</v>
      </c>
      <c r="AQ20" s="41">
        <v>8760</v>
      </c>
      <c r="AR20" s="137">
        <f t="shared" si="14"/>
        <v>3.5685000000000001E-3</v>
      </c>
      <c r="AS20" s="48">
        <f>J20</f>
        <v>122</v>
      </c>
      <c r="AT20" s="201">
        <v>3.8999999999999998E-3</v>
      </c>
      <c r="AU20" s="139">
        <f t="shared" si="15"/>
        <v>3.8999999999999998E-3</v>
      </c>
      <c r="AV20" s="48">
        <v>7.4999999999999997E-3</v>
      </c>
      <c r="AW20" s="10"/>
      <c r="AX20" s="207"/>
      <c r="AZ20" s="209"/>
    </row>
    <row r="21" spans="2:52" s="206" customFormat="1" x14ac:dyDescent="0.2">
      <c r="B21" s="182" t="s">
        <v>3</v>
      </c>
      <c r="C21" s="182" t="s">
        <v>82</v>
      </c>
      <c r="D21" s="34">
        <v>87</v>
      </c>
      <c r="E21" s="48" t="s">
        <v>67</v>
      </c>
      <c r="F21" s="34">
        <v>4</v>
      </c>
      <c r="G21" s="34">
        <v>2</v>
      </c>
      <c r="H21" s="34">
        <f>87*2</f>
        <v>174</v>
      </c>
      <c r="I21" s="34">
        <f>4*87</f>
        <v>348</v>
      </c>
      <c r="J21" s="34">
        <f>2*87</f>
        <v>174</v>
      </c>
      <c r="K21" s="130">
        <f>L21/87</f>
        <v>348.32183908045977</v>
      </c>
      <c r="L21" s="179">
        <v>30304</v>
      </c>
      <c r="M21" s="182"/>
      <c r="N21" s="41" t="s">
        <v>119</v>
      </c>
      <c r="O21" s="34" t="s">
        <v>121</v>
      </c>
      <c r="P21" s="128">
        <f t="shared" si="3"/>
        <v>6.2932013759999988E-2</v>
      </c>
      <c r="Q21" s="198">
        <f t="shared" si="21"/>
        <v>125.86402751999998</v>
      </c>
      <c r="R21" s="205">
        <v>4.4659999999999993</v>
      </c>
      <c r="S21" s="199">
        <f t="shared" si="11"/>
        <v>30304</v>
      </c>
      <c r="T21" s="41">
        <f t="shared" si="22"/>
        <v>9.2999999999999995E-4</v>
      </c>
      <c r="U21" s="48"/>
      <c r="V21" s="198">
        <f t="shared" si="6"/>
        <v>394.47940896</v>
      </c>
      <c r="W21" s="126">
        <f t="shared" si="7"/>
        <v>0.19723970448</v>
      </c>
      <c r="X21" s="142"/>
      <c r="Y21" s="41">
        <v>8760</v>
      </c>
      <c r="Z21" s="131">
        <f t="shared" si="10"/>
        <v>4.5031896000000002E-2</v>
      </c>
      <c r="AA21" s="130">
        <f>H21</f>
        <v>174</v>
      </c>
      <c r="AB21" s="170">
        <v>4.1999999999999997E-3</v>
      </c>
      <c r="AC21" s="133">
        <f t="shared" si="12"/>
        <v>4.1999999999999997E-3</v>
      </c>
      <c r="AD21" s="134">
        <v>0.04</v>
      </c>
      <c r="AE21" s="127">
        <f t="shared" si="0"/>
        <v>3.9479999999999993E-3</v>
      </c>
      <c r="AF21" s="135">
        <v>2.3E-2</v>
      </c>
      <c r="AG21" s="48"/>
      <c r="AH21" s="129">
        <f t="shared" si="8"/>
        <v>0</v>
      </c>
      <c r="AI21" s="41">
        <v>8760</v>
      </c>
      <c r="AJ21" s="137">
        <f t="shared" si="1"/>
        <v>0</v>
      </c>
      <c r="AK21" s="48">
        <f>I21</f>
        <v>348</v>
      </c>
      <c r="AL21" s="47">
        <v>0</v>
      </c>
      <c r="AM21" s="139">
        <f t="shared" si="2"/>
        <v>0</v>
      </c>
      <c r="AN21" s="48">
        <v>7.4999999999999997E-3</v>
      </c>
      <c r="AO21" s="48"/>
      <c r="AP21" s="129">
        <f t="shared" si="9"/>
        <v>7.0877159999999995E-2</v>
      </c>
      <c r="AQ21" s="41">
        <v>8760</v>
      </c>
      <c r="AR21" s="137">
        <f t="shared" si="14"/>
        <v>1.6181999999999998E-2</v>
      </c>
      <c r="AS21" s="48">
        <f>J21</f>
        <v>174</v>
      </c>
      <c r="AT21" s="201">
        <v>1.24E-2</v>
      </c>
      <c r="AU21" s="139">
        <f t="shared" si="15"/>
        <v>1.24E-2</v>
      </c>
      <c r="AV21" s="48">
        <v>7.4999999999999997E-3</v>
      </c>
      <c r="AW21" s="10"/>
      <c r="AX21" s="207"/>
      <c r="AZ21" s="209"/>
    </row>
    <row r="22" spans="2:52" s="206" customFormat="1" x14ac:dyDescent="0.2">
      <c r="B22" s="182" t="s">
        <v>3</v>
      </c>
      <c r="C22" s="182" t="s">
        <v>83</v>
      </c>
      <c r="D22" s="34">
        <v>87</v>
      </c>
      <c r="E22" s="48" t="s">
        <v>67</v>
      </c>
      <c r="F22" s="34">
        <v>4</v>
      </c>
      <c r="G22" s="34">
        <v>2</v>
      </c>
      <c r="H22" s="34">
        <f>87*2</f>
        <v>174</v>
      </c>
      <c r="I22" s="34">
        <f>4*87</f>
        <v>348</v>
      </c>
      <c r="J22" s="34">
        <f>2*87</f>
        <v>174</v>
      </c>
      <c r="K22" s="130">
        <f t="shared" ref="K22" si="29">L22/87</f>
        <v>348.32183908045977</v>
      </c>
      <c r="L22" s="179">
        <v>30304</v>
      </c>
      <c r="M22" s="182"/>
      <c r="N22" s="41" t="s">
        <v>119</v>
      </c>
      <c r="O22" s="34" t="s">
        <v>121</v>
      </c>
      <c r="P22" s="128">
        <f t="shared" si="3"/>
        <v>5.8028220479999996E-2</v>
      </c>
      <c r="Q22" s="198">
        <f t="shared" si="21"/>
        <v>116.05644095999999</v>
      </c>
      <c r="R22" s="205">
        <v>4.1180000000000003</v>
      </c>
      <c r="S22" s="199">
        <f t="shared" si="11"/>
        <v>30304</v>
      </c>
      <c r="T22" s="41">
        <f t="shared" si="22"/>
        <v>9.2999999999999995E-4</v>
      </c>
      <c r="U22" s="48"/>
      <c r="V22" s="198">
        <f t="shared" si="6"/>
        <v>291.16337328000003</v>
      </c>
      <c r="W22" s="126">
        <f t="shared" si="7"/>
        <v>0.14558168664000001</v>
      </c>
      <c r="X22" s="142"/>
      <c r="Y22" s="41">
        <v>8760</v>
      </c>
      <c r="Z22" s="131">
        <f t="shared" si="10"/>
        <v>3.3237828000000004E-2</v>
      </c>
      <c r="AA22" s="130">
        <f>H22</f>
        <v>174</v>
      </c>
      <c r="AB22" s="170">
        <v>3.0999999999999999E-3</v>
      </c>
      <c r="AC22" s="133">
        <f t="shared" si="12"/>
        <v>3.0999999999999999E-3</v>
      </c>
      <c r="AD22" s="134">
        <v>0.04</v>
      </c>
      <c r="AE22" s="127">
        <f t="shared" si="0"/>
        <v>2.9139999999999999E-3</v>
      </c>
      <c r="AF22" s="135">
        <v>2.3E-2</v>
      </c>
      <c r="AG22" s="48"/>
      <c r="AH22" s="129">
        <f t="shared" si="8"/>
        <v>1.1431800000000002E-3</v>
      </c>
      <c r="AI22" s="41">
        <v>8760</v>
      </c>
      <c r="AJ22" s="137">
        <f t="shared" si="1"/>
        <v>2.61E-4</v>
      </c>
      <c r="AK22" s="48">
        <f>I22</f>
        <v>348</v>
      </c>
      <c r="AL22" s="47">
        <v>1E-4</v>
      </c>
      <c r="AM22" s="139">
        <f t="shared" si="2"/>
        <v>1E-4</v>
      </c>
      <c r="AN22" s="48">
        <v>7.4999999999999997E-3</v>
      </c>
      <c r="AO22" s="48"/>
      <c r="AP22" s="129">
        <f t="shared" si="9"/>
        <v>6.0016950000000006E-2</v>
      </c>
      <c r="AQ22" s="41">
        <v>8760</v>
      </c>
      <c r="AR22" s="137">
        <f t="shared" si="14"/>
        <v>1.3702500000000001E-2</v>
      </c>
      <c r="AS22" s="48">
        <f>J22</f>
        <v>174</v>
      </c>
      <c r="AT22" s="201">
        <v>1.0500000000000001E-2</v>
      </c>
      <c r="AU22" s="139">
        <f t="shared" si="15"/>
        <v>1.0500000000000001E-2</v>
      </c>
      <c r="AV22" s="48">
        <v>7.4999999999999997E-3</v>
      </c>
      <c r="AW22" s="10"/>
      <c r="AX22" s="207"/>
      <c r="AZ22" s="209"/>
    </row>
    <row r="23" spans="2:52" s="206" customFormat="1" x14ac:dyDescent="0.2">
      <c r="B23" s="182" t="s">
        <v>3</v>
      </c>
      <c r="C23" s="182" t="s">
        <v>4</v>
      </c>
      <c r="D23" s="34">
        <v>75</v>
      </c>
      <c r="E23" s="48" t="s">
        <v>67</v>
      </c>
      <c r="F23" s="34">
        <v>4</v>
      </c>
      <c r="G23" s="34">
        <v>2</v>
      </c>
      <c r="H23" s="34">
        <f>75*2</f>
        <v>150</v>
      </c>
      <c r="I23" s="34">
        <f>4*75</f>
        <v>300</v>
      </c>
      <c r="J23" s="34">
        <f>2*75</f>
        <v>150</v>
      </c>
      <c r="K23" s="130">
        <f>L23/75</f>
        <v>377.04</v>
      </c>
      <c r="L23" s="179">
        <v>28278</v>
      </c>
      <c r="M23" s="182"/>
      <c r="N23" s="41" t="s">
        <v>119</v>
      </c>
      <c r="O23" s="34" t="s">
        <v>121</v>
      </c>
      <c r="P23" s="128">
        <f t="shared" si="3"/>
        <v>5.7067831799999996E-2</v>
      </c>
      <c r="Q23" s="198">
        <f t="shared" si="21"/>
        <v>114.13566359999999</v>
      </c>
      <c r="R23" s="205">
        <v>4.34</v>
      </c>
      <c r="S23" s="199">
        <f t="shared" si="11"/>
        <v>28278</v>
      </c>
      <c r="T23" s="41">
        <f t="shared" si="22"/>
        <v>9.2999999999999995E-4</v>
      </c>
      <c r="U23" s="48"/>
      <c r="V23" s="198">
        <f t="shared" si="6"/>
        <v>202.42169999999999</v>
      </c>
      <c r="W23" s="126">
        <f t="shared" si="7"/>
        <v>0.10121084999999999</v>
      </c>
      <c r="X23" s="142"/>
      <c r="Y23" s="41">
        <v>8760</v>
      </c>
      <c r="Z23" s="131">
        <f t="shared" si="10"/>
        <v>2.31075E-2</v>
      </c>
      <c r="AA23" s="130">
        <f>H23</f>
        <v>150</v>
      </c>
      <c r="AB23" s="170">
        <v>2.5000000000000001E-3</v>
      </c>
      <c r="AC23" s="133">
        <f t="shared" si="12"/>
        <v>2.5000000000000001E-3</v>
      </c>
      <c r="AD23" s="134">
        <v>0.04</v>
      </c>
      <c r="AE23" s="127">
        <f t="shared" si="0"/>
        <v>2.3500000000000001E-3</v>
      </c>
      <c r="AF23" s="135">
        <v>2.3E-2</v>
      </c>
      <c r="AG23" s="48"/>
      <c r="AH23" s="129">
        <f t="shared" si="8"/>
        <v>9.8550000000000005E-4</v>
      </c>
      <c r="AI23" s="41">
        <v>8760</v>
      </c>
      <c r="AJ23" s="137">
        <f t="shared" si="1"/>
        <v>2.2500000000000002E-4</v>
      </c>
      <c r="AK23" s="48">
        <f>I23</f>
        <v>300</v>
      </c>
      <c r="AL23" s="47">
        <v>1E-4</v>
      </c>
      <c r="AM23" s="139">
        <f t="shared" si="2"/>
        <v>1E-4</v>
      </c>
      <c r="AN23" s="48">
        <v>7.4999999999999997E-3</v>
      </c>
      <c r="AO23" s="48"/>
      <c r="AP23" s="129">
        <f t="shared" si="9"/>
        <v>8.3767499999999988E-3</v>
      </c>
      <c r="AQ23" s="41">
        <v>8760</v>
      </c>
      <c r="AR23" s="137">
        <f t="shared" si="14"/>
        <v>1.9124999999999999E-3</v>
      </c>
      <c r="AS23" s="48">
        <f>J23</f>
        <v>150</v>
      </c>
      <c r="AT23" s="201">
        <v>1.6999999999999999E-3</v>
      </c>
      <c r="AU23" s="139">
        <f t="shared" si="15"/>
        <v>1.6999999999999999E-3</v>
      </c>
      <c r="AV23" s="48">
        <v>7.4999999999999997E-3</v>
      </c>
      <c r="AW23" s="10"/>
      <c r="AX23" s="207"/>
      <c r="AZ23" s="209"/>
    </row>
    <row r="24" spans="2:52" s="206" customFormat="1" x14ac:dyDescent="0.2">
      <c r="B24" s="182" t="s">
        <v>3</v>
      </c>
      <c r="C24" s="182" t="s">
        <v>84</v>
      </c>
      <c r="D24" s="34">
        <v>84</v>
      </c>
      <c r="E24" s="48" t="s">
        <v>67</v>
      </c>
      <c r="F24" s="34">
        <v>5</v>
      </c>
      <c r="G24" s="34">
        <v>1</v>
      </c>
      <c r="H24" s="34">
        <f>84*2</f>
        <v>168</v>
      </c>
      <c r="I24" s="34">
        <f>5*84</f>
        <v>420</v>
      </c>
      <c r="J24" s="34">
        <v>84</v>
      </c>
      <c r="K24" s="130">
        <f>L24/84</f>
        <v>432.48809523809524</v>
      </c>
      <c r="L24" s="179">
        <v>36329</v>
      </c>
      <c r="M24" s="182"/>
      <c r="N24" s="41" t="s">
        <v>119</v>
      </c>
      <c r="O24" s="34" t="s">
        <v>121</v>
      </c>
      <c r="P24" s="126">
        <f t="shared" si="3"/>
        <v>0.63402751301999993</v>
      </c>
      <c r="Q24" s="198">
        <f t="shared" si="21"/>
        <v>1268.0550260399998</v>
      </c>
      <c r="R24" s="205">
        <v>37.531999999999996</v>
      </c>
      <c r="S24" s="199">
        <f t="shared" si="11"/>
        <v>36329</v>
      </c>
      <c r="T24" s="41">
        <f t="shared" si="22"/>
        <v>9.2999999999999995E-4</v>
      </c>
      <c r="U24" s="48"/>
      <c r="V24" s="198">
        <f t="shared" si="6"/>
        <v>317.39722559999996</v>
      </c>
      <c r="W24" s="126">
        <f t="shared" si="7"/>
        <v>0.15869861279999997</v>
      </c>
      <c r="X24" s="142"/>
      <c r="Y24" s="41">
        <v>8760</v>
      </c>
      <c r="Z24" s="131">
        <f t="shared" si="10"/>
        <v>3.6232559999999997E-2</v>
      </c>
      <c r="AA24" s="130">
        <f>H24</f>
        <v>168</v>
      </c>
      <c r="AB24" s="170">
        <v>3.5000000000000001E-3</v>
      </c>
      <c r="AC24" s="133">
        <f t="shared" si="12"/>
        <v>3.5000000000000001E-3</v>
      </c>
      <c r="AD24" s="134">
        <v>0.04</v>
      </c>
      <c r="AE24" s="127">
        <f t="shared" si="0"/>
        <v>3.29E-3</v>
      </c>
      <c r="AF24" s="135">
        <v>2.3E-2</v>
      </c>
      <c r="AG24" s="48"/>
      <c r="AH24" s="129">
        <f t="shared" si="8"/>
        <v>0</v>
      </c>
      <c r="AI24" s="41">
        <v>8760</v>
      </c>
      <c r="AJ24" s="137">
        <f t="shared" si="1"/>
        <v>0</v>
      </c>
      <c r="AK24" s="48">
        <f>I24</f>
        <v>420</v>
      </c>
      <c r="AL24" s="47">
        <v>0</v>
      </c>
      <c r="AM24" s="139">
        <f t="shared" si="2"/>
        <v>0</v>
      </c>
      <c r="AN24" s="48">
        <v>7.4999999999999997E-3</v>
      </c>
      <c r="AO24" s="48"/>
      <c r="AP24" s="129">
        <f t="shared" si="9"/>
        <v>2.2075200000000006E-3</v>
      </c>
      <c r="AQ24" s="41">
        <v>8760</v>
      </c>
      <c r="AR24" s="137">
        <f t="shared" si="14"/>
        <v>5.0400000000000011E-4</v>
      </c>
      <c r="AS24" s="48">
        <f>J24</f>
        <v>84</v>
      </c>
      <c r="AT24" s="201">
        <v>8.0000000000000004E-4</v>
      </c>
      <c r="AU24" s="139">
        <f t="shared" si="15"/>
        <v>8.0000000000000004E-4</v>
      </c>
      <c r="AV24" s="48">
        <v>7.4999999999999997E-3</v>
      </c>
      <c r="AW24" s="10"/>
      <c r="AX24" s="207"/>
      <c r="AZ24" s="209"/>
    </row>
    <row r="25" spans="2:52" s="206" customFormat="1" x14ac:dyDescent="0.2">
      <c r="B25" s="118" t="s">
        <v>85</v>
      </c>
      <c r="C25" s="188" t="s">
        <v>86</v>
      </c>
      <c r="D25" s="13">
        <v>78</v>
      </c>
      <c r="E25" s="12" t="s">
        <v>70</v>
      </c>
      <c r="F25" s="34"/>
      <c r="G25" s="34"/>
      <c r="H25" s="34">
        <f>D25*2</f>
        <v>156</v>
      </c>
      <c r="I25" s="34">
        <v>312</v>
      </c>
      <c r="J25" s="34">
        <v>78</v>
      </c>
      <c r="K25" s="34"/>
      <c r="L25" s="34"/>
      <c r="M25" s="182"/>
      <c r="N25" s="34"/>
      <c r="O25" s="34"/>
      <c r="P25" s="128">
        <f t="shared" si="3"/>
        <v>3.3799222499999997E-2</v>
      </c>
      <c r="Q25" s="198">
        <f t="shared" si="21"/>
        <v>67.598444999999998</v>
      </c>
      <c r="R25" s="157">
        <v>3.7</v>
      </c>
      <c r="S25" s="190">
        <v>19645</v>
      </c>
      <c r="T25" s="41">
        <f t="shared" si="22"/>
        <v>9.2999999999999995E-4</v>
      </c>
      <c r="U25" s="12"/>
      <c r="V25" s="198">
        <f t="shared" si="6"/>
        <v>1810.4596847999999</v>
      </c>
      <c r="W25" s="126">
        <f t="shared" si="7"/>
        <v>0.90522984239999993</v>
      </c>
      <c r="X25" s="126">
        <f>SUM(W25:W27)</f>
        <v>0.95078821967999994</v>
      </c>
      <c r="Y25" s="41">
        <v>8760</v>
      </c>
      <c r="Z25" s="131">
        <f t="shared" si="10"/>
        <v>0.20667347999999999</v>
      </c>
      <c r="AA25" s="130">
        <f>H25</f>
        <v>156</v>
      </c>
      <c r="AB25" s="197">
        <v>2.1499999999999998E-2</v>
      </c>
      <c r="AC25" s="133">
        <f t="shared" si="12"/>
        <v>2.1499999999999998E-2</v>
      </c>
      <c r="AD25" s="134">
        <v>0.04</v>
      </c>
      <c r="AE25" s="127">
        <f t="shared" si="0"/>
        <v>2.0209999999999999E-2</v>
      </c>
      <c r="AF25" s="135">
        <v>2.3E-2</v>
      </c>
      <c r="AG25" s="12"/>
      <c r="AH25" s="129">
        <f t="shared" si="8"/>
        <v>0</v>
      </c>
      <c r="AI25" s="41">
        <v>8760</v>
      </c>
      <c r="AJ25" s="137">
        <f t="shared" si="1"/>
        <v>0</v>
      </c>
      <c r="AK25" s="48">
        <f>I25</f>
        <v>312</v>
      </c>
      <c r="AL25" s="47">
        <v>0</v>
      </c>
      <c r="AM25" s="139">
        <f t="shared" si="2"/>
        <v>0</v>
      </c>
      <c r="AN25" s="48">
        <v>7.4999999999999997E-3</v>
      </c>
      <c r="AO25" s="12"/>
      <c r="AP25" s="129">
        <f t="shared" si="9"/>
        <v>7.6868999999999982E-4</v>
      </c>
      <c r="AQ25" s="41">
        <v>8760</v>
      </c>
      <c r="AR25" s="137">
        <f t="shared" si="14"/>
        <v>1.7549999999999998E-4</v>
      </c>
      <c r="AS25" s="48">
        <f>J25</f>
        <v>78</v>
      </c>
      <c r="AT25" s="47">
        <v>2.9999999999999997E-4</v>
      </c>
      <c r="AU25" s="139">
        <f t="shared" si="15"/>
        <v>2.9999999999999997E-4</v>
      </c>
      <c r="AV25" s="48">
        <v>7.4999999999999997E-3</v>
      </c>
      <c r="AW25" s="12"/>
      <c r="AX25" s="207"/>
      <c r="AZ25" s="209"/>
    </row>
    <row r="26" spans="2:52" s="206" customFormat="1" x14ac:dyDescent="0.2">
      <c r="B26" s="48" t="s">
        <v>85</v>
      </c>
      <c r="C26" s="188" t="s">
        <v>76</v>
      </c>
      <c r="D26" s="13">
        <v>25</v>
      </c>
      <c r="E26" s="12" t="s">
        <v>70</v>
      </c>
      <c r="F26" s="34"/>
      <c r="G26" s="34"/>
      <c r="H26" s="34">
        <f t="shared" ref="H26:H30" si="30">D26*2</f>
        <v>50</v>
      </c>
      <c r="I26" s="34">
        <v>125</v>
      </c>
      <c r="J26" s="34">
        <v>25</v>
      </c>
      <c r="K26" s="13"/>
      <c r="L26" s="13"/>
      <c r="M26" s="182"/>
      <c r="N26" s="13"/>
      <c r="O26" s="13"/>
      <c r="P26" s="128">
        <f t="shared" si="3"/>
        <v>1.1319169499999998E-2</v>
      </c>
      <c r="Q26" s="198">
        <f t="shared" si="21"/>
        <v>22.638338999999998</v>
      </c>
      <c r="R26" s="157">
        <v>4.3</v>
      </c>
      <c r="S26" s="190">
        <v>5661</v>
      </c>
      <c r="T26" s="41">
        <f t="shared" si="22"/>
        <v>9.2999999999999995E-4</v>
      </c>
      <c r="U26" s="12"/>
      <c r="V26" s="198">
        <f t="shared" si="6"/>
        <v>56.678075999999997</v>
      </c>
      <c r="W26" s="128">
        <f t="shared" si="7"/>
        <v>2.8339037999999997E-2</v>
      </c>
      <c r="X26" s="142"/>
      <c r="Y26" s="41">
        <v>8760</v>
      </c>
      <c r="Z26" s="131">
        <f t="shared" si="10"/>
        <v>6.4700999999999995E-3</v>
      </c>
      <c r="AA26" s="130">
        <f>H26</f>
        <v>50</v>
      </c>
      <c r="AB26" s="197">
        <v>2.0999999999999999E-3</v>
      </c>
      <c r="AC26" s="133">
        <f t="shared" si="12"/>
        <v>2.0999999999999999E-3</v>
      </c>
      <c r="AD26" s="134">
        <v>0.04</v>
      </c>
      <c r="AE26" s="127">
        <f t="shared" si="0"/>
        <v>1.9739999999999996E-3</v>
      </c>
      <c r="AF26" s="135">
        <v>2.3E-2</v>
      </c>
      <c r="AG26" s="12"/>
      <c r="AH26" s="129">
        <f t="shared" si="8"/>
        <v>0</v>
      </c>
      <c r="AI26" s="41">
        <v>8760</v>
      </c>
      <c r="AJ26" s="137">
        <f t="shared" si="1"/>
        <v>0</v>
      </c>
      <c r="AK26" s="48">
        <f>I26</f>
        <v>125</v>
      </c>
      <c r="AL26" s="47">
        <v>0</v>
      </c>
      <c r="AM26" s="139">
        <f t="shared" si="2"/>
        <v>0</v>
      </c>
      <c r="AN26" s="48">
        <v>7.4999999999999997E-3</v>
      </c>
      <c r="AO26" s="12"/>
      <c r="AP26" s="129">
        <f t="shared" si="9"/>
        <v>0</v>
      </c>
      <c r="AQ26" s="41">
        <v>8760</v>
      </c>
      <c r="AR26" s="137">
        <f t="shared" si="14"/>
        <v>0</v>
      </c>
      <c r="AS26" s="48">
        <f>J26</f>
        <v>25</v>
      </c>
      <c r="AT26" s="47">
        <v>0</v>
      </c>
      <c r="AU26" s="139">
        <f t="shared" si="15"/>
        <v>0</v>
      </c>
      <c r="AV26" s="48">
        <v>7.4999999999999997E-3</v>
      </c>
      <c r="AW26" s="12"/>
      <c r="AX26" s="207"/>
      <c r="AZ26" s="209"/>
    </row>
    <row r="27" spans="2:52" s="206" customFormat="1" x14ac:dyDescent="0.2">
      <c r="B27" s="48" t="s">
        <v>85</v>
      </c>
      <c r="C27" s="188" t="s">
        <v>87</v>
      </c>
      <c r="D27" s="13">
        <v>29</v>
      </c>
      <c r="E27" s="12" t="s">
        <v>70</v>
      </c>
      <c r="F27" s="34"/>
      <c r="G27" s="34"/>
      <c r="H27" s="34">
        <f t="shared" si="30"/>
        <v>58</v>
      </c>
      <c r="I27" s="34">
        <v>145</v>
      </c>
      <c r="J27" s="34">
        <v>29</v>
      </c>
      <c r="K27" s="13"/>
      <c r="L27" s="13"/>
      <c r="M27" s="182"/>
      <c r="N27" s="13"/>
      <c r="O27" s="13"/>
      <c r="P27" s="128">
        <f t="shared" si="3"/>
        <v>1.3128716999999998E-2</v>
      </c>
      <c r="Q27" s="198">
        <f t="shared" si="21"/>
        <v>26.257433999999996</v>
      </c>
      <c r="R27" s="157">
        <v>4.3</v>
      </c>
      <c r="S27" s="190">
        <v>6566</v>
      </c>
      <c r="T27" s="41">
        <f t="shared" si="22"/>
        <v>9.2999999999999995E-4</v>
      </c>
      <c r="U27" s="12"/>
      <c r="V27" s="198">
        <f t="shared" si="6"/>
        <v>34.438678560000007</v>
      </c>
      <c r="W27" s="128">
        <f t="shared" si="7"/>
        <v>1.7219339280000003E-2</v>
      </c>
      <c r="X27" s="142"/>
      <c r="Y27" s="41">
        <v>8760</v>
      </c>
      <c r="Z27" s="131">
        <f t="shared" si="10"/>
        <v>3.9313560000000004E-3</v>
      </c>
      <c r="AA27" s="130">
        <f>H27</f>
        <v>58</v>
      </c>
      <c r="AB27" s="197">
        <v>1.1000000000000001E-3</v>
      </c>
      <c r="AC27" s="133">
        <f t="shared" si="12"/>
        <v>1.1000000000000001E-3</v>
      </c>
      <c r="AD27" s="134">
        <v>0.04</v>
      </c>
      <c r="AE27" s="127">
        <f t="shared" si="0"/>
        <v>1.034E-3</v>
      </c>
      <c r="AF27" s="135">
        <v>2.3E-2</v>
      </c>
      <c r="AG27" s="12"/>
      <c r="AH27" s="129">
        <f t="shared" si="8"/>
        <v>0</v>
      </c>
      <c r="AI27" s="41">
        <v>8760</v>
      </c>
      <c r="AJ27" s="137">
        <f t="shared" si="1"/>
        <v>0</v>
      </c>
      <c r="AK27" s="48">
        <f>I27</f>
        <v>145</v>
      </c>
      <c r="AL27" s="47">
        <v>0</v>
      </c>
      <c r="AM27" s="139">
        <f t="shared" si="2"/>
        <v>0</v>
      </c>
      <c r="AN27" s="48">
        <v>7.4999999999999997E-3</v>
      </c>
      <c r="AO27" s="12"/>
      <c r="AP27" s="129">
        <f t="shared" si="9"/>
        <v>0</v>
      </c>
      <c r="AQ27" s="41">
        <v>8760</v>
      </c>
      <c r="AR27" s="137">
        <f t="shared" si="14"/>
        <v>0</v>
      </c>
      <c r="AS27" s="48">
        <f>J27</f>
        <v>29</v>
      </c>
      <c r="AT27" s="47">
        <v>0</v>
      </c>
      <c r="AU27" s="139">
        <f t="shared" si="15"/>
        <v>0</v>
      </c>
      <c r="AV27" s="48">
        <v>7.4999999999999997E-3</v>
      </c>
      <c r="AW27" s="12"/>
      <c r="AX27" s="207"/>
      <c r="AZ27" s="209"/>
    </row>
    <row r="28" spans="2:52" s="206" customFormat="1" x14ac:dyDescent="0.2">
      <c r="B28" s="118" t="s">
        <v>147</v>
      </c>
      <c r="C28" s="188" t="s">
        <v>88</v>
      </c>
      <c r="D28" s="13">
        <v>30</v>
      </c>
      <c r="E28" s="12" t="s">
        <v>70</v>
      </c>
      <c r="F28" s="34">
        <v>5</v>
      </c>
      <c r="G28" s="34">
        <v>1</v>
      </c>
      <c r="H28" s="34">
        <f t="shared" si="30"/>
        <v>60</v>
      </c>
      <c r="I28" s="34">
        <f t="shared" ref="I28:I30" si="31">F28*D28</f>
        <v>150</v>
      </c>
      <c r="J28" s="34">
        <f t="shared" ref="J28:J30" si="32">G28*D28</f>
        <v>30</v>
      </c>
      <c r="K28" s="13"/>
      <c r="L28" s="191">
        <v>9449</v>
      </c>
      <c r="M28" s="182"/>
      <c r="N28" s="13"/>
      <c r="O28" s="13"/>
      <c r="P28" s="128">
        <f t="shared" si="3"/>
        <v>1.8937213349999996E-2</v>
      </c>
      <c r="Q28" s="198">
        <f t="shared" si="21"/>
        <v>37.874426699999994</v>
      </c>
      <c r="R28" s="205">
        <v>4.3099999999999996</v>
      </c>
      <c r="S28" s="199">
        <f t="shared" ref="S28:S30" si="33">L28</f>
        <v>9449</v>
      </c>
      <c r="T28" s="41">
        <f t="shared" si="22"/>
        <v>9.2999999999999995E-4</v>
      </c>
      <c r="U28" s="12"/>
      <c r="V28" s="198">
        <f t="shared" si="6"/>
        <v>527.91579359999992</v>
      </c>
      <c r="W28" s="126">
        <f t="shared" si="7"/>
        <v>0.26395789679999998</v>
      </c>
      <c r="X28" s="126">
        <f>SUM(W28:W30)</f>
        <v>0.8728423703999999</v>
      </c>
      <c r="Y28" s="41">
        <v>8760</v>
      </c>
      <c r="Z28" s="131">
        <f t="shared" si="10"/>
        <v>6.0264359999999989E-2</v>
      </c>
      <c r="AA28" s="130">
        <f>H28</f>
        <v>60</v>
      </c>
      <c r="AB28" s="170">
        <v>1.6299999999999999E-2</v>
      </c>
      <c r="AC28" s="133">
        <f t="shared" si="12"/>
        <v>1.6299999999999999E-2</v>
      </c>
      <c r="AD28" s="134">
        <v>0.04</v>
      </c>
      <c r="AE28" s="127">
        <f t="shared" si="0"/>
        <v>1.5321999999999997E-2</v>
      </c>
      <c r="AF28" s="135">
        <v>2.3E-2</v>
      </c>
      <c r="AG28" s="12"/>
      <c r="AH28" s="129">
        <f t="shared" si="8"/>
        <v>5.4202500000000006E-3</v>
      </c>
      <c r="AI28" s="41">
        <v>8760</v>
      </c>
      <c r="AJ28" s="137">
        <f t="shared" si="1"/>
        <v>1.2375000000000001E-3</v>
      </c>
      <c r="AK28" s="48">
        <f>I28</f>
        <v>150</v>
      </c>
      <c r="AL28" s="201">
        <v>1.1000000000000001E-3</v>
      </c>
      <c r="AM28" s="139">
        <f t="shared" si="2"/>
        <v>1.1000000000000001E-3</v>
      </c>
      <c r="AN28" s="48">
        <v>7.4999999999999997E-3</v>
      </c>
      <c r="AO28" s="12"/>
      <c r="AP28" s="129">
        <f t="shared" si="9"/>
        <v>7.7854500000000002E-3</v>
      </c>
      <c r="AQ28" s="41">
        <v>8760</v>
      </c>
      <c r="AR28" s="137">
        <f t="shared" si="14"/>
        <v>1.7775E-3</v>
      </c>
      <c r="AS28" s="48">
        <f>J28</f>
        <v>30</v>
      </c>
      <c r="AT28" s="201">
        <v>7.9000000000000008E-3</v>
      </c>
      <c r="AU28" s="139">
        <f t="shared" si="15"/>
        <v>7.9000000000000008E-3</v>
      </c>
      <c r="AV28" s="48">
        <v>7.4999999999999997E-3</v>
      </c>
      <c r="AW28" s="12"/>
      <c r="AX28" s="207"/>
      <c r="AZ28" s="209"/>
    </row>
    <row r="29" spans="2:52" s="206" customFormat="1" x14ac:dyDescent="0.2">
      <c r="B29" s="118" t="s">
        <v>147</v>
      </c>
      <c r="C29" s="188" t="s">
        <v>89</v>
      </c>
      <c r="D29" s="13">
        <v>30</v>
      </c>
      <c r="E29" s="12" t="s">
        <v>70</v>
      </c>
      <c r="F29" s="34">
        <v>5</v>
      </c>
      <c r="G29" s="34">
        <v>1</v>
      </c>
      <c r="H29" s="34">
        <f t="shared" si="30"/>
        <v>60</v>
      </c>
      <c r="I29" s="34">
        <f t="shared" si="31"/>
        <v>150</v>
      </c>
      <c r="J29" s="34">
        <f t="shared" si="32"/>
        <v>30</v>
      </c>
      <c r="K29" s="13"/>
      <c r="L29" s="191">
        <v>8827</v>
      </c>
      <c r="M29" s="12"/>
      <c r="N29" s="13"/>
      <c r="O29" s="13"/>
      <c r="P29" s="128">
        <f t="shared" si="3"/>
        <v>1.7690632049999998E-2</v>
      </c>
      <c r="Q29" s="198">
        <f t="shared" si="21"/>
        <v>35.381264099999996</v>
      </c>
      <c r="R29" s="205">
        <v>4.3099999999999996</v>
      </c>
      <c r="S29" s="199">
        <f t="shared" si="33"/>
        <v>8827</v>
      </c>
      <c r="T29" s="41">
        <f t="shared" si="22"/>
        <v>9.2999999999999995E-4</v>
      </c>
      <c r="U29" s="12"/>
      <c r="V29" s="198">
        <f t="shared" si="6"/>
        <v>524.67704639999999</v>
      </c>
      <c r="W29" s="126">
        <f t="shared" si="7"/>
        <v>0.26233852320000001</v>
      </c>
      <c r="X29" s="142"/>
      <c r="Y29" s="41">
        <v>8760</v>
      </c>
      <c r="Z29" s="131">
        <f t="shared" si="10"/>
        <v>5.9894639999999999E-2</v>
      </c>
      <c r="AA29" s="130">
        <f>H29</f>
        <v>60</v>
      </c>
      <c r="AB29" s="170">
        <v>1.6199999999999999E-2</v>
      </c>
      <c r="AC29" s="133">
        <f t="shared" si="12"/>
        <v>1.6199999999999999E-2</v>
      </c>
      <c r="AD29" s="134">
        <v>0.04</v>
      </c>
      <c r="AE29" s="127">
        <f t="shared" si="0"/>
        <v>1.5227999999999998E-2</v>
      </c>
      <c r="AF29" s="135">
        <v>2.3E-2</v>
      </c>
      <c r="AG29" s="12"/>
      <c r="AH29" s="129">
        <f t="shared" si="8"/>
        <v>3.9420000000000002E-3</v>
      </c>
      <c r="AI29" s="41">
        <v>8760</v>
      </c>
      <c r="AJ29" s="137">
        <f t="shared" si="1"/>
        <v>9.0000000000000008E-4</v>
      </c>
      <c r="AK29" s="48">
        <f>I29</f>
        <v>150</v>
      </c>
      <c r="AL29" s="201">
        <v>8.0000000000000004E-4</v>
      </c>
      <c r="AM29" s="139">
        <f t="shared" si="2"/>
        <v>8.0000000000000004E-4</v>
      </c>
      <c r="AN29" s="48">
        <v>7.4999999999999997E-3</v>
      </c>
      <c r="AO29" s="12"/>
      <c r="AP29" s="129">
        <f t="shared" si="9"/>
        <v>5.0260500000000007E-3</v>
      </c>
      <c r="AQ29" s="41">
        <v>8760</v>
      </c>
      <c r="AR29" s="137">
        <f t="shared" si="14"/>
        <v>1.1475000000000001E-3</v>
      </c>
      <c r="AS29" s="48">
        <f>J29</f>
        <v>30</v>
      </c>
      <c r="AT29" s="201">
        <v>5.1000000000000004E-3</v>
      </c>
      <c r="AU29" s="139">
        <f t="shared" si="15"/>
        <v>5.1000000000000004E-3</v>
      </c>
      <c r="AV29" s="48">
        <v>7.4999999999999997E-3</v>
      </c>
      <c r="AW29" s="12"/>
      <c r="AX29" s="207"/>
      <c r="AZ29" s="209"/>
    </row>
    <row r="30" spans="2:52" s="206" customFormat="1" x14ac:dyDescent="0.2">
      <c r="B30" s="118" t="s">
        <v>147</v>
      </c>
      <c r="C30" s="188" t="s">
        <v>90</v>
      </c>
      <c r="D30" s="13">
        <v>60</v>
      </c>
      <c r="E30" s="12" t="s">
        <v>70</v>
      </c>
      <c r="F30" s="34">
        <v>5</v>
      </c>
      <c r="G30" s="34">
        <v>1</v>
      </c>
      <c r="H30" s="34">
        <f t="shared" si="30"/>
        <v>120</v>
      </c>
      <c r="I30" s="34">
        <f t="shared" si="31"/>
        <v>300</v>
      </c>
      <c r="J30" s="34">
        <f t="shared" si="32"/>
        <v>60</v>
      </c>
      <c r="K30" s="13"/>
      <c r="L30" s="191">
        <v>12184</v>
      </c>
      <c r="M30" s="12"/>
      <c r="N30" s="13"/>
      <c r="O30" s="13"/>
      <c r="P30" s="128">
        <f t="shared" si="3"/>
        <v>1.97161488E-2</v>
      </c>
      <c r="Q30" s="198">
        <f t="shared" si="21"/>
        <v>39.432297599999998</v>
      </c>
      <c r="R30" s="205">
        <v>3.48</v>
      </c>
      <c r="S30" s="199">
        <f t="shared" si="33"/>
        <v>12184</v>
      </c>
      <c r="T30" s="41">
        <f t="shared" si="22"/>
        <v>9.2999999999999995E-4</v>
      </c>
      <c r="U30" s="12"/>
      <c r="V30" s="198">
        <f t="shared" si="6"/>
        <v>693.09190079999996</v>
      </c>
      <c r="W30" s="126">
        <f t="shared" si="7"/>
        <v>0.34654595039999997</v>
      </c>
      <c r="X30" s="142"/>
      <c r="Y30" s="41">
        <v>8760</v>
      </c>
      <c r="Z30" s="131">
        <f t="shared" si="10"/>
        <v>7.9120079999999995E-2</v>
      </c>
      <c r="AA30" s="130">
        <f>H30</f>
        <v>120</v>
      </c>
      <c r="AB30" s="170">
        <v>1.0699999999999999E-2</v>
      </c>
      <c r="AC30" s="133">
        <f t="shared" si="12"/>
        <v>1.0699999999999999E-2</v>
      </c>
      <c r="AD30" s="134">
        <v>0.04</v>
      </c>
      <c r="AE30" s="127">
        <f t="shared" si="0"/>
        <v>1.0057999999999999E-2</v>
      </c>
      <c r="AF30" s="135">
        <v>2.3E-2</v>
      </c>
      <c r="AG30" s="12"/>
      <c r="AH30" s="129">
        <f t="shared" si="8"/>
        <v>6.8984999999999993E-3</v>
      </c>
      <c r="AI30" s="41">
        <v>8760</v>
      </c>
      <c r="AJ30" s="137">
        <f t="shared" si="1"/>
        <v>1.5749999999999998E-3</v>
      </c>
      <c r="AK30" s="48">
        <f>I30</f>
        <v>300</v>
      </c>
      <c r="AL30" s="201">
        <v>6.9999999999999999E-4</v>
      </c>
      <c r="AM30" s="139">
        <f t="shared" si="2"/>
        <v>6.9999999999999999E-4</v>
      </c>
      <c r="AN30" s="48">
        <v>7.4999999999999997E-3</v>
      </c>
      <c r="AO30" s="12"/>
      <c r="AP30" s="129">
        <f t="shared" si="9"/>
        <v>1.4979599999999999E-2</v>
      </c>
      <c r="AQ30" s="41">
        <v>8760</v>
      </c>
      <c r="AR30" s="137">
        <f t="shared" si="14"/>
        <v>3.4199999999999999E-3</v>
      </c>
      <c r="AS30" s="48">
        <f>J30</f>
        <v>60</v>
      </c>
      <c r="AT30" s="201">
        <v>7.6E-3</v>
      </c>
      <c r="AU30" s="139">
        <f t="shared" si="15"/>
        <v>7.6E-3</v>
      </c>
      <c r="AV30" s="48">
        <v>7.4999999999999997E-3</v>
      </c>
      <c r="AW30" s="12"/>
      <c r="AX30" s="207"/>
      <c r="AZ30" s="209"/>
    </row>
    <row r="31" spans="2:52" s="192" customFormat="1" x14ac:dyDescent="0.2"/>
    <row r="32" spans="2:52" s="192" customFormat="1" x14ac:dyDescent="0.2"/>
    <row r="33" s="192" customFormat="1" x14ac:dyDescent="0.2"/>
    <row r="34" s="192" customFormat="1" x14ac:dyDescent="0.2"/>
    <row r="35" s="192" customFormat="1" x14ac:dyDescent="0.2"/>
    <row r="36" s="192" customFormat="1" x14ac:dyDescent="0.2"/>
    <row r="37" s="192" customFormat="1" x14ac:dyDescent="0.2"/>
    <row r="38" s="192" customFormat="1" x14ac:dyDescent="0.2"/>
    <row r="39" s="192" customFormat="1" x14ac:dyDescent="0.2"/>
  </sheetData>
  <autoFilter ref="B3:AW30" xr:uid="{B9D15D55-5E13-4BCF-AA66-6C66902EF48B}"/>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6BF80-93D2-4439-B8DE-828864CC9CA4}">
  <dimension ref="B1:AW39"/>
  <sheetViews>
    <sheetView zoomScale="70" zoomScaleNormal="70" workbookViewId="0">
      <pane xSplit="3" ySplit="3" topLeftCell="D4" activePane="bottomRight" state="frozen"/>
      <selection pane="topRight" activeCell="C1" sqref="C1"/>
      <selection pane="bottomLeft" activeCell="A4" sqref="A4"/>
      <selection pane="bottomRight"/>
    </sheetView>
  </sheetViews>
  <sheetFormatPr defaultColWidth="9.140625" defaultRowHeight="12.75" x14ac:dyDescent="0.2"/>
  <cols>
    <col min="1" max="1" width="9.140625" style="9"/>
    <col min="2" max="2" width="21" style="9" bestFit="1" customWidth="1"/>
    <col min="3" max="3" width="17.7109375" style="9" customWidth="1"/>
    <col min="4" max="4" width="12.140625" style="9" customWidth="1"/>
    <col min="5" max="5" width="12.85546875" style="9" customWidth="1"/>
    <col min="6" max="15" width="13.7109375" style="9" customWidth="1"/>
    <col min="16" max="16" width="15.85546875" style="9" customWidth="1"/>
    <col min="17" max="22" width="13.7109375" style="9" customWidth="1"/>
    <col min="23" max="24" width="15" style="9" customWidth="1"/>
    <col min="25" max="25" width="14.5703125" style="9" customWidth="1"/>
    <col min="26" max="33" width="13.7109375" style="9" customWidth="1"/>
    <col min="34" max="34" width="16" style="9" customWidth="1"/>
    <col min="35" max="35" width="14.85546875" style="9" customWidth="1"/>
    <col min="36" max="41" width="13.7109375" style="9" customWidth="1"/>
    <col min="42" max="42" width="15" style="9" customWidth="1"/>
    <col min="43" max="43" width="14.7109375" style="9" customWidth="1"/>
    <col min="44" max="49" width="13.7109375" style="9" customWidth="1"/>
    <col min="50" max="16384" width="9.140625" style="9"/>
  </cols>
  <sheetData>
    <row r="1" spans="2:49" s="1" customFormat="1" ht="15" customHeight="1" x14ac:dyDescent="0.2">
      <c r="B1" s="15"/>
      <c r="C1" s="15"/>
      <c r="D1" s="15" t="s">
        <v>142</v>
      </c>
      <c r="E1" s="15"/>
      <c r="F1" s="15" t="s">
        <v>142</v>
      </c>
      <c r="G1" s="15" t="s">
        <v>142</v>
      </c>
      <c r="H1" s="15" t="s">
        <v>142</v>
      </c>
      <c r="I1" s="15" t="s">
        <v>142</v>
      </c>
      <c r="J1" s="15" t="s">
        <v>142</v>
      </c>
      <c r="K1" s="15"/>
      <c r="L1" s="15" t="s">
        <v>144</v>
      </c>
      <c r="M1" s="15" t="s">
        <v>142</v>
      </c>
      <c r="N1" s="15"/>
      <c r="O1" s="15"/>
      <c r="P1" s="16"/>
      <c r="Q1" s="16"/>
      <c r="R1" s="16"/>
      <c r="S1" s="16"/>
      <c r="T1" s="16"/>
      <c r="U1" s="16" t="s">
        <v>143</v>
      </c>
      <c r="V1" s="16" t="s">
        <v>143</v>
      </c>
      <c r="W1" s="17"/>
      <c r="X1" s="17"/>
      <c r="Y1" s="17"/>
      <c r="Z1" s="17"/>
      <c r="AA1" s="17"/>
      <c r="AB1" s="17"/>
      <c r="AC1" s="17"/>
      <c r="AD1" s="17"/>
      <c r="AE1" s="17"/>
      <c r="AF1" s="17"/>
      <c r="AG1" s="17" t="s">
        <v>143</v>
      </c>
      <c r="AH1" s="18"/>
      <c r="AI1" s="18"/>
      <c r="AJ1" s="18"/>
      <c r="AK1" s="18"/>
      <c r="AL1" s="18"/>
      <c r="AM1" s="18"/>
      <c r="AN1" s="18"/>
      <c r="AO1" s="18" t="s">
        <v>143</v>
      </c>
      <c r="AP1" s="19"/>
      <c r="AQ1" s="19"/>
      <c r="AR1" s="119"/>
      <c r="AS1" s="119"/>
      <c r="AT1" s="119"/>
      <c r="AU1" s="119"/>
      <c r="AV1" s="119"/>
      <c r="AW1" s="119" t="s">
        <v>143</v>
      </c>
    </row>
    <row r="2" spans="2:49" s="1" customFormat="1" ht="26.25" x14ac:dyDescent="0.25">
      <c r="B2" s="15"/>
      <c r="C2" s="15" t="s">
        <v>95</v>
      </c>
      <c r="D2" s="15" t="s">
        <v>95</v>
      </c>
      <c r="E2" s="15" t="s">
        <v>62</v>
      </c>
      <c r="F2" s="15" t="s">
        <v>95</v>
      </c>
      <c r="G2" s="15" t="s">
        <v>95</v>
      </c>
      <c r="H2" s="15" t="s">
        <v>95</v>
      </c>
      <c r="I2" s="15" t="s">
        <v>95</v>
      </c>
      <c r="J2" s="15" t="s">
        <v>95</v>
      </c>
      <c r="K2" s="15" t="s">
        <v>95</v>
      </c>
      <c r="L2" s="15" t="s">
        <v>95</v>
      </c>
      <c r="M2" s="15" t="s">
        <v>95</v>
      </c>
      <c r="N2" s="15" t="s">
        <v>95</v>
      </c>
      <c r="O2" s="15" t="s">
        <v>95</v>
      </c>
      <c r="P2" s="16" t="s">
        <v>149</v>
      </c>
      <c r="Q2" s="31" t="s">
        <v>100</v>
      </c>
      <c r="R2" s="31"/>
      <c r="S2" s="31"/>
      <c r="T2" s="31"/>
      <c r="U2" s="16" t="s">
        <v>95</v>
      </c>
      <c r="V2" s="16" t="s">
        <v>96</v>
      </c>
      <c r="W2" s="17" t="s">
        <v>149</v>
      </c>
      <c r="X2" s="17"/>
      <c r="Y2" s="17"/>
      <c r="Z2" s="32" t="s">
        <v>125</v>
      </c>
      <c r="AA2" s="32"/>
      <c r="AB2" s="32"/>
      <c r="AC2" s="32"/>
      <c r="AD2" s="32"/>
      <c r="AE2" s="32"/>
      <c r="AF2" s="32"/>
      <c r="AG2" s="17" t="s">
        <v>95</v>
      </c>
      <c r="AH2" s="18" t="s">
        <v>149</v>
      </c>
      <c r="AI2" s="18"/>
      <c r="AJ2" s="29" t="s">
        <v>132</v>
      </c>
      <c r="AK2" s="29"/>
      <c r="AL2" s="29"/>
      <c r="AM2" s="29"/>
      <c r="AN2" s="29"/>
      <c r="AO2" s="18" t="s">
        <v>95</v>
      </c>
      <c r="AP2" s="19" t="s">
        <v>149</v>
      </c>
      <c r="AQ2" s="19"/>
      <c r="AR2" s="121" t="s">
        <v>242</v>
      </c>
      <c r="AS2" s="121"/>
      <c r="AT2" s="121"/>
      <c r="AU2" s="121"/>
      <c r="AV2" s="121"/>
      <c r="AW2" s="19" t="s">
        <v>95</v>
      </c>
    </row>
    <row r="3" spans="2:49" s="1" customFormat="1" ht="89.25" x14ac:dyDescent="0.2">
      <c r="B3" s="15" t="s">
        <v>7</v>
      </c>
      <c r="C3" s="20" t="s">
        <v>63</v>
      </c>
      <c r="D3" s="21" t="s">
        <v>64</v>
      </c>
      <c r="E3" s="21" t="s">
        <v>65</v>
      </c>
      <c r="F3" s="21" t="s">
        <v>101</v>
      </c>
      <c r="G3" s="21" t="s">
        <v>102</v>
      </c>
      <c r="H3" s="21" t="s">
        <v>103</v>
      </c>
      <c r="I3" s="21" t="s">
        <v>104</v>
      </c>
      <c r="J3" s="21" t="s">
        <v>105</v>
      </c>
      <c r="K3" s="21" t="s">
        <v>106</v>
      </c>
      <c r="L3" s="21" t="s">
        <v>107</v>
      </c>
      <c r="M3" s="21" t="s">
        <v>108</v>
      </c>
      <c r="N3" s="21" t="s">
        <v>109</v>
      </c>
      <c r="O3" s="21" t="s">
        <v>110</v>
      </c>
      <c r="P3" s="16" t="s">
        <v>148</v>
      </c>
      <c r="Q3" s="22" t="s">
        <v>243</v>
      </c>
      <c r="R3" s="22" t="s">
        <v>91</v>
      </c>
      <c r="S3" s="22" t="s">
        <v>97</v>
      </c>
      <c r="T3" s="22" t="s">
        <v>98</v>
      </c>
      <c r="U3" s="22" t="s">
        <v>12</v>
      </c>
      <c r="V3" s="22" t="s">
        <v>99</v>
      </c>
      <c r="W3" s="17" t="s">
        <v>150</v>
      </c>
      <c r="X3" s="17" t="s">
        <v>257</v>
      </c>
      <c r="Y3" s="24" t="s">
        <v>151</v>
      </c>
      <c r="Z3" s="24" t="s">
        <v>126</v>
      </c>
      <c r="AA3" s="24" t="s">
        <v>127</v>
      </c>
      <c r="AB3" s="24" t="s">
        <v>92</v>
      </c>
      <c r="AC3" s="24" t="s">
        <v>128</v>
      </c>
      <c r="AD3" s="24" t="s">
        <v>129</v>
      </c>
      <c r="AE3" s="24" t="s">
        <v>130</v>
      </c>
      <c r="AF3" s="24" t="s">
        <v>131</v>
      </c>
      <c r="AG3" s="24" t="s">
        <v>13</v>
      </c>
      <c r="AH3" s="18" t="s">
        <v>152</v>
      </c>
      <c r="AI3" s="25" t="s">
        <v>151</v>
      </c>
      <c r="AJ3" s="25" t="s">
        <v>133</v>
      </c>
      <c r="AK3" s="25" t="s">
        <v>134</v>
      </c>
      <c r="AL3" s="25" t="s">
        <v>93</v>
      </c>
      <c r="AM3" s="25" t="s">
        <v>135</v>
      </c>
      <c r="AN3" s="25" t="s">
        <v>136</v>
      </c>
      <c r="AO3" s="25" t="s">
        <v>14</v>
      </c>
      <c r="AP3" s="19" t="s">
        <v>153</v>
      </c>
      <c r="AQ3" s="26" t="s">
        <v>151</v>
      </c>
      <c r="AR3" s="26" t="s">
        <v>244</v>
      </c>
      <c r="AS3" s="26" t="s">
        <v>245</v>
      </c>
      <c r="AT3" s="26" t="s">
        <v>94</v>
      </c>
      <c r="AU3" s="26" t="s">
        <v>137</v>
      </c>
      <c r="AV3" s="26" t="s">
        <v>136</v>
      </c>
      <c r="AW3" s="26" t="s">
        <v>15</v>
      </c>
    </row>
    <row r="4" spans="2:49" s="192" customFormat="1" x14ac:dyDescent="0.2">
      <c r="B4" s="173" t="s">
        <v>49</v>
      </c>
      <c r="C4" s="173" t="s">
        <v>66</v>
      </c>
      <c r="D4" s="174">
        <v>47</v>
      </c>
      <c r="E4" s="35" t="s">
        <v>67</v>
      </c>
      <c r="F4" s="41">
        <v>4</v>
      </c>
      <c r="G4" s="41">
        <v>1</v>
      </c>
      <c r="H4" s="41">
        <f>47*2</f>
        <v>94</v>
      </c>
      <c r="I4" s="41">
        <f>47*4</f>
        <v>188</v>
      </c>
      <c r="J4" s="41">
        <v>47</v>
      </c>
      <c r="K4" s="41">
        <v>124</v>
      </c>
      <c r="L4" s="193">
        <v>2978</v>
      </c>
      <c r="M4" s="182" t="s">
        <v>122</v>
      </c>
      <c r="N4" s="41" t="s">
        <v>119</v>
      </c>
      <c r="O4" s="41" t="s">
        <v>113</v>
      </c>
      <c r="P4" s="128">
        <f>Q4/2000</f>
        <v>1.02703775E-2</v>
      </c>
      <c r="Q4" s="175">
        <f>R4*S4*T4</f>
        <v>20.540755000000001</v>
      </c>
      <c r="R4" s="176">
        <f>U4</f>
        <v>7.416666666666667</v>
      </c>
      <c r="S4" s="177">
        <f>L4</f>
        <v>2978</v>
      </c>
      <c r="T4" s="41">
        <f>0.0093/10</f>
        <v>9.2999999999999995E-4</v>
      </c>
      <c r="U4" s="128">
        <v>7.416666666666667</v>
      </c>
      <c r="V4" s="35"/>
      <c r="W4" s="126">
        <f>Z4*Y4/2000</f>
        <v>0.58153162666666669</v>
      </c>
      <c r="X4" s="142">
        <f>SUM(W4:W7)</f>
        <v>3.1696317733333332</v>
      </c>
      <c r="Y4" s="41">
        <v>8760</v>
      </c>
      <c r="Z4" s="126">
        <f>AA4*AC4*AD4+AA4*AE4*AF4</f>
        <v>0.13276977777777779</v>
      </c>
      <c r="AA4" s="123">
        <f t="shared" ref="AA4:AA30" si="0">H4</f>
        <v>94</v>
      </c>
      <c r="AB4" s="124">
        <f>AG4</f>
        <v>8.1111111111111108E-4</v>
      </c>
      <c r="AC4" s="125">
        <f>AB4</f>
        <v>8.1111111111111108E-4</v>
      </c>
      <c r="AD4" s="126">
        <v>0.04</v>
      </c>
      <c r="AE4" s="126">
        <f>6/100</f>
        <v>0.06</v>
      </c>
      <c r="AF4" s="128">
        <v>2.3E-2</v>
      </c>
      <c r="AG4" s="194">
        <v>8.1111111111111108E-4</v>
      </c>
      <c r="AH4" s="129">
        <f>AJ4*AI4/2000</f>
        <v>0</v>
      </c>
      <c r="AI4" s="41">
        <v>8760</v>
      </c>
      <c r="AJ4" s="143">
        <f t="shared" ref="AJ4:AJ6" si="1">AK4*AM4*AN4</f>
        <v>0</v>
      </c>
      <c r="AK4" s="35">
        <f>I4</f>
        <v>188</v>
      </c>
      <c r="AL4" s="33">
        <f>AO4</f>
        <v>0</v>
      </c>
      <c r="AM4" s="144">
        <f t="shared" ref="AM4:AM30" si="2">AL4</f>
        <v>0</v>
      </c>
      <c r="AN4" s="35">
        <v>7.4999999999999997E-3</v>
      </c>
      <c r="AO4" s="171">
        <v>0</v>
      </c>
      <c r="AP4" s="129">
        <f>AR4*AQ4/2000</f>
        <v>2.91635E-4</v>
      </c>
      <c r="AQ4" s="41">
        <v>8760</v>
      </c>
      <c r="AR4" s="140">
        <f>AS4*AU4*AV4</f>
        <v>6.658333333333333E-5</v>
      </c>
      <c r="AS4" s="35">
        <f>J4</f>
        <v>47</v>
      </c>
      <c r="AT4" s="195">
        <f>AW4</f>
        <v>1.8888888888888888E-4</v>
      </c>
      <c r="AU4" s="144">
        <f>AT4</f>
        <v>1.8888888888888888E-4</v>
      </c>
      <c r="AV4" s="35">
        <v>7.4999999999999997E-3</v>
      </c>
      <c r="AW4" s="171">
        <v>1.8888888888888888E-4</v>
      </c>
    </row>
    <row r="5" spans="2:49" s="192" customFormat="1" x14ac:dyDescent="0.2">
      <c r="B5" s="182" t="s">
        <v>49</v>
      </c>
      <c r="C5" s="33" t="s">
        <v>68</v>
      </c>
      <c r="D5" s="178">
        <v>47</v>
      </c>
      <c r="E5" s="10" t="s">
        <v>67</v>
      </c>
      <c r="F5" s="34">
        <v>4</v>
      </c>
      <c r="G5" s="34">
        <v>1</v>
      </c>
      <c r="H5" s="34">
        <v>94</v>
      </c>
      <c r="I5" s="34">
        <v>188</v>
      </c>
      <c r="J5" s="34">
        <v>47</v>
      </c>
      <c r="K5" s="34"/>
      <c r="L5" s="179"/>
      <c r="M5" s="34" t="s">
        <v>1</v>
      </c>
      <c r="N5" s="41" t="s">
        <v>119</v>
      </c>
      <c r="O5" s="34" t="s">
        <v>113</v>
      </c>
      <c r="P5" s="128">
        <f t="shared" ref="P5:P30" si="3">Q5/2000</f>
        <v>1.02703775E-2</v>
      </c>
      <c r="Q5" s="175">
        <f t="shared" ref="Q5:Q6" si="4">R5*S5*T5</f>
        <v>20.540755000000001</v>
      </c>
      <c r="R5" s="180">
        <f>R4</f>
        <v>7.416666666666667</v>
      </c>
      <c r="S5" s="181">
        <f>S4</f>
        <v>2978</v>
      </c>
      <c r="T5" s="41">
        <f t="shared" ref="T5:T6" si="5">0.0093/10</f>
        <v>9.2999999999999995E-4</v>
      </c>
      <c r="U5" s="10"/>
      <c r="V5" s="10"/>
      <c r="W5" s="126">
        <f t="shared" ref="W5:W30" si="6">Z5*Y5/2000</f>
        <v>0.58153162666666669</v>
      </c>
      <c r="X5" s="142"/>
      <c r="Y5" s="41">
        <v>8760</v>
      </c>
      <c r="Z5" s="134">
        <f>AA5*AC5*AD5+AA5*AE5*AF5</f>
        <v>0.13276977777777779</v>
      </c>
      <c r="AA5" s="130">
        <f t="shared" si="0"/>
        <v>94</v>
      </c>
      <c r="AB5" s="170">
        <f>AB4</f>
        <v>8.1111111111111108E-4</v>
      </c>
      <c r="AC5" s="125">
        <f>AB5</f>
        <v>8.1111111111111108E-4</v>
      </c>
      <c r="AD5" s="126">
        <v>0.04</v>
      </c>
      <c r="AE5" s="126">
        <f>6/100</f>
        <v>0.06</v>
      </c>
      <c r="AF5" s="128">
        <v>2.3E-2</v>
      </c>
      <c r="AG5" s="10"/>
      <c r="AH5" s="129">
        <f t="shared" ref="AH5:AH30" si="7">AJ5*AI5/2000</f>
        <v>0</v>
      </c>
      <c r="AI5" s="41">
        <v>8760</v>
      </c>
      <c r="AJ5" s="143">
        <f t="shared" si="1"/>
        <v>0</v>
      </c>
      <c r="AK5" s="10">
        <f>I5</f>
        <v>188</v>
      </c>
      <c r="AL5" s="33">
        <f>AL4</f>
        <v>0</v>
      </c>
      <c r="AM5" s="144">
        <f t="shared" si="2"/>
        <v>0</v>
      </c>
      <c r="AN5" s="35">
        <v>7.4999999999999997E-3</v>
      </c>
      <c r="AO5" s="10"/>
      <c r="AP5" s="129">
        <f t="shared" ref="AP5:AP30" si="8">AR5*AQ5/2000</f>
        <v>2.91635E-4</v>
      </c>
      <c r="AQ5" s="41">
        <v>8760</v>
      </c>
      <c r="AR5" s="140">
        <f>AS5*AU5*AV5</f>
        <v>6.658333333333333E-5</v>
      </c>
      <c r="AS5" s="10">
        <f>J5</f>
        <v>47</v>
      </c>
      <c r="AT5" s="33">
        <f>AT4</f>
        <v>1.8888888888888888E-4</v>
      </c>
      <c r="AU5" s="144">
        <f>AT5</f>
        <v>1.8888888888888888E-4</v>
      </c>
      <c r="AV5" s="35">
        <v>7.4999999999999997E-3</v>
      </c>
      <c r="AW5" s="10"/>
    </row>
    <row r="6" spans="2:49" s="192" customFormat="1" x14ac:dyDescent="0.2">
      <c r="B6" s="182" t="s">
        <v>49</v>
      </c>
      <c r="C6" s="33" t="s">
        <v>69</v>
      </c>
      <c r="D6" s="178">
        <v>51</v>
      </c>
      <c r="E6" s="10" t="s">
        <v>67</v>
      </c>
      <c r="F6" s="34">
        <v>4</v>
      </c>
      <c r="G6" s="34">
        <v>1</v>
      </c>
      <c r="H6" s="34">
        <v>102</v>
      </c>
      <c r="I6" s="34">
        <f>51*4</f>
        <v>204</v>
      </c>
      <c r="J6" s="34">
        <v>51</v>
      </c>
      <c r="K6" s="130"/>
      <c r="L6" s="179"/>
      <c r="M6" s="34" t="s">
        <v>1</v>
      </c>
      <c r="N6" s="41" t="s">
        <v>119</v>
      </c>
      <c r="O6" s="34" t="s">
        <v>113</v>
      </c>
      <c r="P6" s="128">
        <f t="shared" si="3"/>
        <v>1.02703775E-2</v>
      </c>
      <c r="Q6" s="175">
        <f t="shared" si="4"/>
        <v>20.540755000000001</v>
      </c>
      <c r="R6" s="180">
        <f>R4</f>
        <v>7.416666666666667</v>
      </c>
      <c r="S6" s="181">
        <f>S4</f>
        <v>2978</v>
      </c>
      <c r="T6" s="41">
        <f t="shared" si="5"/>
        <v>9.2999999999999995E-4</v>
      </c>
      <c r="U6" s="10"/>
      <c r="V6" s="10"/>
      <c r="W6" s="126">
        <f t="shared" si="6"/>
        <v>0.63102367999999998</v>
      </c>
      <c r="X6" s="142"/>
      <c r="Y6" s="41">
        <v>8760</v>
      </c>
      <c r="Z6" s="134">
        <f t="shared" ref="Z6:Z30" si="9">AA6*AC6*AD6+AA6*AE6*AF6</f>
        <v>0.14406933333333333</v>
      </c>
      <c r="AA6" s="130">
        <f t="shared" si="0"/>
        <v>102</v>
      </c>
      <c r="AB6" s="170">
        <f>AB4</f>
        <v>8.1111111111111108E-4</v>
      </c>
      <c r="AC6" s="125">
        <f>AB6</f>
        <v>8.1111111111111108E-4</v>
      </c>
      <c r="AD6" s="126">
        <v>0.04</v>
      </c>
      <c r="AE6" s="126">
        <f>6/100</f>
        <v>0.06</v>
      </c>
      <c r="AF6" s="128">
        <v>2.3E-2</v>
      </c>
      <c r="AG6" s="10"/>
      <c r="AH6" s="129">
        <f t="shared" si="7"/>
        <v>0</v>
      </c>
      <c r="AI6" s="41">
        <v>8760</v>
      </c>
      <c r="AJ6" s="143">
        <f t="shared" si="1"/>
        <v>0</v>
      </c>
      <c r="AK6" s="10">
        <f>I6</f>
        <v>204</v>
      </c>
      <c r="AL6" s="33">
        <f>AL4</f>
        <v>0</v>
      </c>
      <c r="AM6" s="144">
        <f t="shared" si="2"/>
        <v>0</v>
      </c>
      <c r="AN6" s="35">
        <v>7.4999999999999997E-3</v>
      </c>
      <c r="AO6" s="10"/>
      <c r="AP6" s="129">
        <f t="shared" si="8"/>
        <v>3.1645499999999999E-4</v>
      </c>
      <c r="AQ6" s="41">
        <v>8760</v>
      </c>
      <c r="AR6" s="140">
        <f>AS6*AU6*AV6</f>
        <v>7.2249999999999994E-5</v>
      </c>
      <c r="AS6" s="10">
        <f>J6</f>
        <v>51</v>
      </c>
      <c r="AT6" s="33">
        <f>AT4</f>
        <v>1.8888888888888888E-4</v>
      </c>
      <c r="AU6" s="144">
        <f>AT6</f>
        <v>1.8888888888888888E-4</v>
      </c>
      <c r="AV6" s="35">
        <v>7.4999999999999997E-3</v>
      </c>
      <c r="AW6" s="10"/>
    </row>
    <row r="7" spans="2:49" s="192" customFormat="1" x14ac:dyDescent="0.2">
      <c r="B7" s="182" t="s">
        <v>49</v>
      </c>
      <c r="C7" s="182" t="s">
        <v>71</v>
      </c>
      <c r="D7" s="34">
        <v>79</v>
      </c>
      <c r="E7" s="10" t="s">
        <v>67</v>
      </c>
      <c r="F7" s="34">
        <v>4</v>
      </c>
      <c r="G7" s="34">
        <v>2</v>
      </c>
      <c r="H7" s="34">
        <f>79*2</f>
        <v>158</v>
      </c>
      <c r="I7" s="34">
        <f>79*4</f>
        <v>316</v>
      </c>
      <c r="J7" s="34">
        <v>158</v>
      </c>
      <c r="K7" s="34">
        <v>248</v>
      </c>
      <c r="L7" s="179">
        <v>19623</v>
      </c>
      <c r="M7" s="182" t="s">
        <v>123</v>
      </c>
      <c r="N7" s="41" t="s">
        <v>119</v>
      </c>
      <c r="O7" s="34" t="s">
        <v>113</v>
      </c>
      <c r="P7" s="128">
        <f t="shared" si="3"/>
        <v>3.7418853412500008E-2</v>
      </c>
      <c r="Q7" s="175">
        <f t="shared" ref="Q7" si="10">R7*S7*T7</f>
        <v>74.837706825000012</v>
      </c>
      <c r="R7" s="180">
        <f>U7</f>
        <v>4.100833333333334</v>
      </c>
      <c r="S7" s="177">
        <f t="shared" ref="S7:S24" si="11">L7</f>
        <v>19623</v>
      </c>
      <c r="T7" s="41">
        <f t="shared" ref="T7" si="12">0.0093/10</f>
        <v>9.2999999999999995E-4</v>
      </c>
      <c r="U7" s="135">
        <v>4.100833333333334</v>
      </c>
      <c r="V7" s="10"/>
      <c r="W7" s="142">
        <f t="shared" si="6"/>
        <v>1.3755448400000001</v>
      </c>
      <c r="X7" s="142"/>
      <c r="Y7" s="41">
        <v>8760</v>
      </c>
      <c r="Z7" s="134">
        <f t="shared" si="9"/>
        <v>0.31405133333333335</v>
      </c>
      <c r="AA7" s="130">
        <f t="shared" si="0"/>
        <v>158</v>
      </c>
      <c r="AB7" s="132">
        <f>AG7</f>
        <v>1.5191666666666668E-2</v>
      </c>
      <c r="AC7" s="133">
        <f t="shared" ref="AC7:AC30" si="13">AB7</f>
        <v>1.5191666666666668E-2</v>
      </c>
      <c r="AD7" s="134">
        <v>0.04</v>
      </c>
      <c r="AE7" s="134">
        <f t="shared" ref="AE7:AE30" si="14">6/100</f>
        <v>0.06</v>
      </c>
      <c r="AF7" s="135">
        <v>2.3E-2</v>
      </c>
      <c r="AG7" s="196">
        <v>1.5191666666666668E-2</v>
      </c>
      <c r="AH7" s="129">
        <f t="shared" si="7"/>
        <v>9.515550000000003E-4</v>
      </c>
      <c r="AI7" s="41">
        <v>8760</v>
      </c>
      <c r="AJ7" s="143">
        <f t="shared" ref="AJ7:AJ30" si="15">AK7*AM7*AN7</f>
        <v>2.1725000000000005E-4</v>
      </c>
      <c r="AK7" s="10">
        <f>I7</f>
        <v>316</v>
      </c>
      <c r="AL7" s="183">
        <f t="shared" ref="AL7:AL14" si="16">AO7</f>
        <v>9.1666666666666695E-5</v>
      </c>
      <c r="AM7" s="145">
        <f t="shared" si="2"/>
        <v>9.1666666666666695E-5</v>
      </c>
      <c r="AN7" s="10">
        <v>7.4999999999999997E-3</v>
      </c>
      <c r="AO7" s="196">
        <v>9.1666666666666695E-5</v>
      </c>
      <c r="AP7" s="129">
        <f t="shared" si="8"/>
        <v>4.826979E-2</v>
      </c>
      <c r="AQ7" s="41">
        <v>8760</v>
      </c>
      <c r="AR7" s="141">
        <f t="shared" ref="AR7:AR30" si="17">AS7*AU7*AV7</f>
        <v>1.1020500000000001E-2</v>
      </c>
      <c r="AS7" s="10">
        <f>J7</f>
        <v>158</v>
      </c>
      <c r="AT7" s="184">
        <f>AW7</f>
        <v>9.300000000000001E-3</v>
      </c>
      <c r="AU7" s="145">
        <f t="shared" ref="AU7:AU30" si="18">AT7</f>
        <v>9.300000000000001E-3</v>
      </c>
      <c r="AV7" s="10">
        <v>7.4999999999999997E-3</v>
      </c>
      <c r="AW7" s="196">
        <v>9.300000000000001E-3</v>
      </c>
    </row>
    <row r="8" spans="2:49" s="192" customFormat="1" x14ac:dyDescent="0.2">
      <c r="B8" s="182" t="s">
        <v>0</v>
      </c>
      <c r="C8" s="182" t="s">
        <v>72</v>
      </c>
      <c r="D8" s="34">
        <v>76</v>
      </c>
      <c r="E8" s="10" t="s">
        <v>67</v>
      </c>
      <c r="F8" s="34">
        <v>3</v>
      </c>
      <c r="G8" s="34">
        <v>2</v>
      </c>
      <c r="H8" s="34">
        <v>152</v>
      </c>
      <c r="I8" s="34">
        <v>228</v>
      </c>
      <c r="J8" s="34">
        <v>152</v>
      </c>
      <c r="K8" s="34">
        <v>432</v>
      </c>
      <c r="L8" s="179">
        <v>32864</v>
      </c>
      <c r="M8" s="182" t="s">
        <v>111</v>
      </c>
      <c r="N8" s="41" t="s">
        <v>119</v>
      </c>
      <c r="O8" s="34" t="s">
        <v>113</v>
      </c>
      <c r="P8" s="128">
        <f t="shared" si="3"/>
        <v>8.9267511918842107E-2</v>
      </c>
      <c r="Q8" s="175">
        <f>R8*S8*T8</f>
        <v>178.53502383768421</v>
      </c>
      <c r="R8" s="180">
        <f t="shared" ref="R8:R14" si="19">U8</f>
        <v>5.8414418181441219</v>
      </c>
      <c r="S8" s="177">
        <f t="shared" si="11"/>
        <v>32864</v>
      </c>
      <c r="T8" s="41">
        <f>0.0093/10</f>
        <v>9.2999999999999995E-4</v>
      </c>
      <c r="U8" s="135">
        <v>5.8414418181441219</v>
      </c>
      <c r="V8" s="135">
        <v>5.8337704918032802</v>
      </c>
      <c r="W8" s="142">
        <f t="shared" si="6"/>
        <v>1.3747860082002001</v>
      </c>
      <c r="X8" s="142">
        <f>SUM(W8)</f>
        <v>1.3747860082002001</v>
      </c>
      <c r="Y8" s="41">
        <v>8760</v>
      </c>
      <c r="Z8" s="134">
        <f t="shared" si="9"/>
        <v>0.31387808406397261</v>
      </c>
      <c r="AA8" s="130">
        <f t="shared" si="0"/>
        <v>152</v>
      </c>
      <c r="AB8" s="196">
        <f t="shared" ref="AB8:AB14" si="20">AG8</f>
        <v>1.7124684878942868E-2</v>
      </c>
      <c r="AC8" s="133">
        <f t="shared" si="13"/>
        <v>1.7124684878942868E-2</v>
      </c>
      <c r="AD8" s="134">
        <v>0.04</v>
      </c>
      <c r="AE8" s="134">
        <f t="shared" si="14"/>
        <v>0.06</v>
      </c>
      <c r="AF8" s="135">
        <v>2.3E-2</v>
      </c>
      <c r="AG8" s="196">
        <v>1.7124684878942868E-2</v>
      </c>
      <c r="AH8" s="129">
        <f t="shared" si="7"/>
        <v>3.973754999999999E-4</v>
      </c>
      <c r="AI8" s="41">
        <v>8760</v>
      </c>
      <c r="AJ8" s="143">
        <f t="shared" si="15"/>
        <v>9.0724999999999969E-5</v>
      </c>
      <c r="AK8" s="10">
        <f>I8</f>
        <v>228</v>
      </c>
      <c r="AL8" s="183">
        <f t="shared" si="16"/>
        <v>5.3055555555555545E-5</v>
      </c>
      <c r="AM8" s="143">
        <f t="shared" si="2"/>
        <v>5.3055555555555545E-5</v>
      </c>
      <c r="AN8" s="10">
        <v>7.4999999999999997E-3</v>
      </c>
      <c r="AO8" s="197">
        <v>5.3055555555555545E-5</v>
      </c>
      <c r="AP8" s="129">
        <f t="shared" si="8"/>
        <v>6.9436946268656703E-4</v>
      </c>
      <c r="AQ8" s="41">
        <v>8760</v>
      </c>
      <c r="AR8" s="137">
        <f t="shared" si="17"/>
        <v>1.5853184079601989E-4</v>
      </c>
      <c r="AS8" s="10">
        <f>J8</f>
        <v>152</v>
      </c>
      <c r="AT8" s="33">
        <f t="shared" ref="AT8:AT14" si="21">AW8</f>
        <v>1.3906301824212272E-4</v>
      </c>
      <c r="AU8" s="145">
        <f t="shared" si="18"/>
        <v>1.3906301824212272E-4</v>
      </c>
      <c r="AV8" s="10">
        <v>7.4999999999999997E-3</v>
      </c>
      <c r="AW8" s="196">
        <v>1.3906301824212272E-4</v>
      </c>
    </row>
    <row r="9" spans="2:49" s="192" customFormat="1" x14ac:dyDescent="0.2">
      <c r="B9" s="182" t="s">
        <v>34</v>
      </c>
      <c r="C9" s="182" t="s">
        <v>73</v>
      </c>
      <c r="D9" s="34">
        <v>82</v>
      </c>
      <c r="E9" s="10" t="s">
        <v>67</v>
      </c>
      <c r="F9" s="34">
        <v>4</v>
      </c>
      <c r="G9" s="34">
        <v>1</v>
      </c>
      <c r="H9" s="34">
        <v>164</v>
      </c>
      <c r="I9" s="34">
        <v>328</v>
      </c>
      <c r="J9" s="34">
        <v>82</v>
      </c>
      <c r="K9" s="34">
        <v>467.4</v>
      </c>
      <c r="L9" s="179">
        <v>38330</v>
      </c>
      <c r="M9" s="182" t="s">
        <v>112</v>
      </c>
      <c r="N9" s="41" t="s">
        <v>119</v>
      </c>
      <c r="O9" s="34" t="s">
        <v>113</v>
      </c>
      <c r="P9" s="126">
        <f t="shared" si="3"/>
        <v>0.160782371875</v>
      </c>
      <c r="Q9" s="175">
        <f t="shared" ref="Q9:Q12" si="22">R9*S9*T9</f>
        <v>321.56474374999999</v>
      </c>
      <c r="R9" s="180">
        <f t="shared" si="19"/>
        <v>9.0208333333333339</v>
      </c>
      <c r="S9" s="177">
        <f t="shared" si="11"/>
        <v>38330</v>
      </c>
      <c r="T9" s="41">
        <f t="shared" ref="T9:T12" si="23">0.0093/10</f>
        <v>9.2999999999999995E-4</v>
      </c>
      <c r="U9" s="135">
        <v>9.0208333333333339</v>
      </c>
      <c r="V9" s="10"/>
      <c r="W9" s="142">
        <f t="shared" si="6"/>
        <v>1.5965859200000003</v>
      </c>
      <c r="X9" s="142">
        <f>SUM(W9:W10)</f>
        <v>3.2899056</v>
      </c>
      <c r="Y9" s="41">
        <v>8760</v>
      </c>
      <c r="Z9" s="134">
        <f t="shared" si="9"/>
        <v>0.36451733333333336</v>
      </c>
      <c r="AA9" s="130">
        <f t="shared" si="0"/>
        <v>164</v>
      </c>
      <c r="AB9" s="132">
        <f t="shared" si="20"/>
        <v>2.1066666666666668E-2</v>
      </c>
      <c r="AC9" s="133">
        <f t="shared" si="13"/>
        <v>2.1066666666666668E-2</v>
      </c>
      <c r="AD9" s="134">
        <v>0.04</v>
      </c>
      <c r="AE9" s="134">
        <f t="shared" si="14"/>
        <v>0.06</v>
      </c>
      <c r="AF9" s="135">
        <v>2.3E-2</v>
      </c>
      <c r="AG9" s="196">
        <v>2.1066666666666668E-2</v>
      </c>
      <c r="AH9" s="129">
        <f t="shared" si="7"/>
        <v>6.464880000000001E-3</v>
      </c>
      <c r="AI9" s="41">
        <v>8760</v>
      </c>
      <c r="AJ9" s="143">
        <f t="shared" si="15"/>
        <v>1.4760000000000001E-3</v>
      </c>
      <c r="AK9" s="10">
        <f>I9</f>
        <v>328</v>
      </c>
      <c r="AL9" s="33">
        <f t="shared" si="16"/>
        <v>6.0000000000000006E-4</v>
      </c>
      <c r="AM9" s="145">
        <f t="shared" si="2"/>
        <v>6.0000000000000006E-4</v>
      </c>
      <c r="AN9" s="10">
        <v>7.4999999999999997E-3</v>
      </c>
      <c r="AO9" s="196">
        <v>6.0000000000000006E-4</v>
      </c>
      <c r="AP9" s="129">
        <f t="shared" si="8"/>
        <v>1.4545979999999998E-2</v>
      </c>
      <c r="AQ9" s="41">
        <v>8760</v>
      </c>
      <c r="AR9" s="137">
        <f t="shared" si="17"/>
        <v>3.3209999999999997E-3</v>
      </c>
      <c r="AS9" s="10">
        <f>J9</f>
        <v>82</v>
      </c>
      <c r="AT9" s="184">
        <f t="shared" si="21"/>
        <v>5.3999999999999994E-3</v>
      </c>
      <c r="AU9" s="145">
        <f t="shared" si="18"/>
        <v>5.3999999999999994E-3</v>
      </c>
      <c r="AV9" s="10">
        <v>7.4999999999999997E-3</v>
      </c>
      <c r="AW9" s="196">
        <v>5.3999999999999994E-3</v>
      </c>
    </row>
    <row r="10" spans="2:49" s="192" customFormat="1" x14ac:dyDescent="0.2">
      <c r="B10" s="182" t="s">
        <v>34</v>
      </c>
      <c r="C10" s="182" t="s">
        <v>74</v>
      </c>
      <c r="D10" s="34">
        <v>82</v>
      </c>
      <c r="E10" s="10" t="s">
        <v>67</v>
      </c>
      <c r="F10" s="34">
        <v>4</v>
      </c>
      <c r="G10" s="34">
        <v>1</v>
      </c>
      <c r="H10" s="34">
        <v>164</v>
      </c>
      <c r="I10" s="34">
        <v>328</v>
      </c>
      <c r="J10" s="34">
        <v>82</v>
      </c>
      <c r="K10" s="34">
        <v>468.6</v>
      </c>
      <c r="L10" s="179">
        <v>38426</v>
      </c>
      <c r="M10" s="182" t="s">
        <v>112</v>
      </c>
      <c r="N10" s="41" t="s">
        <v>119</v>
      </c>
      <c r="O10" s="34" t="s">
        <v>113</v>
      </c>
      <c r="P10" s="126">
        <f t="shared" si="3"/>
        <v>0.17288866082500001</v>
      </c>
      <c r="Q10" s="175">
        <f t="shared" si="22"/>
        <v>345.77732165000003</v>
      </c>
      <c r="R10" s="180">
        <f t="shared" si="19"/>
        <v>9.6758333333333351</v>
      </c>
      <c r="S10" s="177">
        <f t="shared" si="11"/>
        <v>38426</v>
      </c>
      <c r="T10" s="41">
        <f t="shared" si="23"/>
        <v>9.2999999999999995E-4</v>
      </c>
      <c r="U10" s="135">
        <v>9.6758333333333351</v>
      </c>
      <c r="V10" s="10"/>
      <c r="W10" s="142">
        <f t="shared" si="6"/>
        <v>1.6933196799999999</v>
      </c>
      <c r="X10" s="142"/>
      <c r="Y10" s="41">
        <v>8760</v>
      </c>
      <c r="Z10" s="134">
        <f t="shared" si="9"/>
        <v>0.38660266666666665</v>
      </c>
      <c r="AA10" s="130">
        <f t="shared" si="0"/>
        <v>164</v>
      </c>
      <c r="AB10" s="132">
        <f t="shared" si="20"/>
        <v>2.4433333333333335E-2</v>
      </c>
      <c r="AC10" s="133">
        <f t="shared" si="13"/>
        <v>2.4433333333333335E-2</v>
      </c>
      <c r="AD10" s="134">
        <v>0.04</v>
      </c>
      <c r="AE10" s="134">
        <f t="shared" si="14"/>
        <v>0.06</v>
      </c>
      <c r="AF10" s="135">
        <v>2.3E-2</v>
      </c>
      <c r="AG10" s="196">
        <v>2.4433333333333335E-2</v>
      </c>
      <c r="AH10" s="129">
        <f t="shared" si="7"/>
        <v>1.499493E-2</v>
      </c>
      <c r="AI10" s="41">
        <v>8760</v>
      </c>
      <c r="AJ10" s="143">
        <f t="shared" si="15"/>
        <v>3.4234999999999999E-3</v>
      </c>
      <c r="AK10" s="10">
        <f>I10</f>
        <v>328</v>
      </c>
      <c r="AL10" s="184">
        <f t="shared" si="16"/>
        <v>1.3916666666666667E-3</v>
      </c>
      <c r="AM10" s="145">
        <f t="shared" si="2"/>
        <v>1.3916666666666667E-3</v>
      </c>
      <c r="AN10" s="10">
        <v>7.4999999999999997E-3</v>
      </c>
      <c r="AO10" s="196">
        <v>1.3916666666666667E-3</v>
      </c>
      <c r="AP10" s="129">
        <f t="shared" si="8"/>
        <v>2.0808832500000003E-2</v>
      </c>
      <c r="AQ10" s="41">
        <v>8760</v>
      </c>
      <c r="AR10" s="137">
        <f t="shared" si="17"/>
        <v>4.7508749999999999E-3</v>
      </c>
      <c r="AS10" s="10">
        <f>J10</f>
        <v>82</v>
      </c>
      <c r="AT10" s="184">
        <f t="shared" si="21"/>
        <v>7.7250000000000001E-3</v>
      </c>
      <c r="AU10" s="145">
        <f t="shared" si="18"/>
        <v>7.7250000000000001E-3</v>
      </c>
      <c r="AV10" s="10">
        <v>7.4999999999999997E-3</v>
      </c>
      <c r="AW10" s="196">
        <v>7.7250000000000001E-3</v>
      </c>
    </row>
    <row r="11" spans="2:49" s="192" customFormat="1" x14ac:dyDescent="0.2">
      <c r="B11" s="182" t="s">
        <v>37</v>
      </c>
      <c r="C11" s="182" t="s">
        <v>38</v>
      </c>
      <c r="D11" s="34">
        <v>37</v>
      </c>
      <c r="E11" s="10" t="s">
        <v>67</v>
      </c>
      <c r="F11" s="34">
        <v>4</v>
      </c>
      <c r="G11" s="34">
        <v>2</v>
      </c>
      <c r="H11" s="34">
        <v>74</v>
      </c>
      <c r="I11" s="34">
        <v>148</v>
      </c>
      <c r="J11" s="34">
        <v>74</v>
      </c>
      <c r="K11" s="179">
        <v>471.96428571428572</v>
      </c>
      <c r="L11" s="179">
        <f>17463</f>
        <v>17463</v>
      </c>
      <c r="M11" s="182" t="s">
        <v>115</v>
      </c>
      <c r="N11" s="41" t="s">
        <v>119</v>
      </c>
      <c r="O11" s="34" t="s">
        <v>113</v>
      </c>
      <c r="P11" s="128">
        <f t="shared" si="3"/>
        <v>5.1408234262499998E-2</v>
      </c>
      <c r="Q11" s="185">
        <f t="shared" si="22"/>
        <v>102.81646852499999</v>
      </c>
      <c r="R11" s="180">
        <f t="shared" si="19"/>
        <v>6.3308333333333335</v>
      </c>
      <c r="S11" s="177">
        <f t="shared" si="11"/>
        <v>17463</v>
      </c>
      <c r="T11" s="41">
        <f t="shared" si="23"/>
        <v>9.2999999999999995E-4</v>
      </c>
      <c r="U11" s="135">
        <v>6.3308333333333335</v>
      </c>
      <c r="V11" s="10"/>
      <c r="W11" s="126">
        <f t="shared" si="6"/>
        <v>0.51988847999999999</v>
      </c>
      <c r="X11" s="142">
        <f>SUM(W11:W12)</f>
        <v>0.81271191999999992</v>
      </c>
      <c r="Y11" s="41">
        <v>8760</v>
      </c>
      <c r="Z11" s="134">
        <f t="shared" si="9"/>
        <v>0.11869599999999998</v>
      </c>
      <c r="AA11" s="130">
        <f t="shared" si="0"/>
        <v>74</v>
      </c>
      <c r="AB11" s="170">
        <f t="shared" si="20"/>
        <v>5.5999999999999991E-3</v>
      </c>
      <c r="AC11" s="133">
        <f t="shared" si="13"/>
        <v>5.5999999999999991E-3</v>
      </c>
      <c r="AD11" s="134">
        <v>0.04</v>
      </c>
      <c r="AE11" s="134">
        <f t="shared" si="14"/>
        <v>0.06</v>
      </c>
      <c r="AF11" s="135">
        <v>2.3E-2</v>
      </c>
      <c r="AG11" s="196">
        <v>5.5999999999999991E-3</v>
      </c>
      <c r="AH11" s="129">
        <f t="shared" si="7"/>
        <v>0</v>
      </c>
      <c r="AI11" s="41">
        <v>8760</v>
      </c>
      <c r="AJ11" s="143">
        <f t="shared" si="15"/>
        <v>0</v>
      </c>
      <c r="AK11" s="10">
        <f>I11</f>
        <v>148</v>
      </c>
      <c r="AL11" s="33">
        <f t="shared" si="16"/>
        <v>0</v>
      </c>
      <c r="AM11" s="145">
        <f t="shared" si="2"/>
        <v>0</v>
      </c>
      <c r="AN11" s="10">
        <v>7.4999999999999997E-3</v>
      </c>
      <c r="AO11" s="196">
        <v>0</v>
      </c>
      <c r="AP11" s="129">
        <f t="shared" si="8"/>
        <v>1.1708835000000001E-2</v>
      </c>
      <c r="AQ11" s="41">
        <v>8760</v>
      </c>
      <c r="AR11" s="137">
        <f t="shared" si="17"/>
        <v>2.6732500000000003E-3</v>
      </c>
      <c r="AS11" s="10">
        <f>J11</f>
        <v>74</v>
      </c>
      <c r="AT11" s="184">
        <f t="shared" si="21"/>
        <v>4.816666666666667E-3</v>
      </c>
      <c r="AU11" s="145">
        <f t="shared" si="18"/>
        <v>4.816666666666667E-3</v>
      </c>
      <c r="AV11" s="10">
        <v>7.4999999999999997E-3</v>
      </c>
      <c r="AW11" s="196">
        <v>4.816666666666667E-3</v>
      </c>
    </row>
    <row r="12" spans="2:49" s="192" customFormat="1" x14ac:dyDescent="0.2">
      <c r="B12" s="182" t="s">
        <v>37</v>
      </c>
      <c r="C12" s="182" t="s">
        <v>40</v>
      </c>
      <c r="D12" s="34">
        <v>19</v>
      </c>
      <c r="E12" s="10" t="s">
        <v>67</v>
      </c>
      <c r="F12" s="34">
        <v>4</v>
      </c>
      <c r="G12" s="34">
        <v>2</v>
      </c>
      <c r="H12" s="34">
        <v>38</v>
      </c>
      <c r="I12" s="34">
        <v>76</v>
      </c>
      <c r="J12" s="34">
        <v>38</v>
      </c>
      <c r="K12" s="179">
        <v>471.96428571428572</v>
      </c>
      <c r="L12" s="179">
        <f>8967</f>
        <v>8967</v>
      </c>
      <c r="M12" s="182"/>
      <c r="N12" s="41" t="s">
        <v>119</v>
      </c>
      <c r="O12" s="34" t="s">
        <v>113</v>
      </c>
      <c r="P12" s="128">
        <f t="shared" si="3"/>
        <v>2.6397390862500002E-2</v>
      </c>
      <c r="Q12" s="185">
        <f t="shared" si="22"/>
        <v>52.794781725</v>
      </c>
      <c r="R12" s="180">
        <f t="shared" si="19"/>
        <v>6.3308333333333335</v>
      </c>
      <c r="S12" s="177">
        <f t="shared" si="11"/>
        <v>8967</v>
      </c>
      <c r="T12" s="41">
        <f t="shared" si="23"/>
        <v>9.2999999999999995E-4</v>
      </c>
      <c r="U12" s="135">
        <v>6.3308333333333335</v>
      </c>
      <c r="V12" s="10"/>
      <c r="W12" s="126">
        <f t="shared" si="6"/>
        <v>0.29282343999999993</v>
      </c>
      <c r="X12" s="142"/>
      <c r="Y12" s="41">
        <v>8760</v>
      </c>
      <c r="Z12" s="134">
        <f t="shared" si="9"/>
        <v>6.6854666666666659E-2</v>
      </c>
      <c r="AA12" s="130">
        <f t="shared" si="0"/>
        <v>38</v>
      </c>
      <c r="AB12" s="170">
        <f t="shared" si="20"/>
        <v>9.4833333333333332E-3</v>
      </c>
      <c r="AC12" s="133">
        <f t="shared" si="13"/>
        <v>9.4833333333333332E-3</v>
      </c>
      <c r="AD12" s="134">
        <v>0.04</v>
      </c>
      <c r="AE12" s="134">
        <f t="shared" si="14"/>
        <v>0.06</v>
      </c>
      <c r="AF12" s="135">
        <v>2.3E-2</v>
      </c>
      <c r="AG12" s="196">
        <v>9.4833333333333332E-3</v>
      </c>
      <c r="AH12" s="129">
        <f t="shared" si="7"/>
        <v>0</v>
      </c>
      <c r="AI12" s="41">
        <v>8760</v>
      </c>
      <c r="AJ12" s="143">
        <f t="shared" si="15"/>
        <v>0</v>
      </c>
      <c r="AK12" s="10">
        <f>I12</f>
        <v>76</v>
      </c>
      <c r="AL12" s="33">
        <f t="shared" si="16"/>
        <v>0</v>
      </c>
      <c r="AM12" s="145">
        <f t="shared" si="2"/>
        <v>0</v>
      </c>
      <c r="AN12" s="10">
        <v>7.4999999999999997E-3</v>
      </c>
      <c r="AO12" s="196">
        <v>0</v>
      </c>
      <c r="AP12" s="129">
        <f t="shared" si="8"/>
        <v>2.5902224999999998E-3</v>
      </c>
      <c r="AQ12" s="41">
        <v>8760</v>
      </c>
      <c r="AR12" s="137">
        <f t="shared" si="17"/>
        <v>5.91375E-4</v>
      </c>
      <c r="AS12" s="10">
        <f>J12</f>
        <v>38</v>
      </c>
      <c r="AT12" s="184">
        <f t="shared" si="21"/>
        <v>2.075E-3</v>
      </c>
      <c r="AU12" s="145">
        <f t="shared" si="18"/>
        <v>2.075E-3</v>
      </c>
      <c r="AV12" s="10">
        <v>7.4999999999999997E-3</v>
      </c>
      <c r="AW12" s="196">
        <v>2.075E-3</v>
      </c>
    </row>
    <row r="13" spans="2:49" s="192" customFormat="1" x14ac:dyDescent="0.2">
      <c r="B13" s="182" t="s">
        <v>41</v>
      </c>
      <c r="C13" s="182" t="s">
        <v>75</v>
      </c>
      <c r="D13" s="34">
        <v>85</v>
      </c>
      <c r="E13" s="10" t="s">
        <v>67</v>
      </c>
      <c r="F13" s="34">
        <v>3</v>
      </c>
      <c r="G13" s="34">
        <v>2</v>
      </c>
      <c r="H13" s="34">
        <v>170</v>
      </c>
      <c r="I13" s="34">
        <v>255</v>
      </c>
      <c r="J13" s="34">
        <v>170</v>
      </c>
      <c r="K13" s="34">
        <v>424</v>
      </c>
      <c r="L13" s="179">
        <v>30078</v>
      </c>
      <c r="M13" s="182" t="s">
        <v>115</v>
      </c>
      <c r="N13" s="41" t="s">
        <v>119</v>
      </c>
      <c r="O13" s="34" t="s">
        <v>113</v>
      </c>
      <c r="P13" s="128">
        <f t="shared" si="3"/>
        <v>4.9162902782142859E-2</v>
      </c>
      <c r="Q13" s="175">
        <f>R13*S13*T13</f>
        <v>98.325805564285716</v>
      </c>
      <c r="R13" s="180">
        <f t="shared" si="19"/>
        <v>3.5150832053251411</v>
      </c>
      <c r="S13" s="177">
        <f t="shared" si="11"/>
        <v>30078</v>
      </c>
      <c r="T13" s="41">
        <f>0.0093/10</f>
        <v>9.2999999999999995E-4</v>
      </c>
      <c r="U13" s="135">
        <v>3.5150832053251411</v>
      </c>
      <c r="V13" s="10"/>
      <c r="W13" s="142">
        <f t="shared" si="6"/>
        <v>1.5453838423205215</v>
      </c>
      <c r="X13" s="142">
        <f>SUM(W13)</f>
        <v>1.5453838423205215</v>
      </c>
      <c r="Y13" s="41">
        <v>8760</v>
      </c>
      <c r="Z13" s="134">
        <f t="shared" si="9"/>
        <v>0.35282736126039305</v>
      </c>
      <c r="AA13" s="130">
        <f t="shared" si="0"/>
        <v>170</v>
      </c>
      <c r="AB13" s="132">
        <f t="shared" si="20"/>
        <v>1.7386376655940162E-2</v>
      </c>
      <c r="AC13" s="133">
        <f t="shared" si="13"/>
        <v>1.7386376655940162E-2</v>
      </c>
      <c r="AD13" s="134">
        <v>0.04</v>
      </c>
      <c r="AE13" s="134">
        <f t="shared" si="14"/>
        <v>0.06</v>
      </c>
      <c r="AF13" s="135">
        <v>2.3E-2</v>
      </c>
      <c r="AG13" s="196">
        <v>1.7386376655940162E-2</v>
      </c>
      <c r="AH13" s="129">
        <f t="shared" si="7"/>
        <v>3.2437030598989414E-3</v>
      </c>
      <c r="AI13" s="41">
        <v>8760</v>
      </c>
      <c r="AJ13" s="143">
        <f t="shared" si="15"/>
        <v>7.4057147486277202E-4</v>
      </c>
      <c r="AK13" s="10">
        <f>I13</f>
        <v>255</v>
      </c>
      <c r="AL13" s="33">
        <f t="shared" si="16"/>
        <v>3.8722691496092659E-4</v>
      </c>
      <c r="AM13" s="145">
        <f t="shared" si="2"/>
        <v>3.8722691496092659E-4</v>
      </c>
      <c r="AN13" s="10">
        <v>7.4999999999999997E-3</v>
      </c>
      <c r="AO13" s="196">
        <v>3.8722691496092659E-4</v>
      </c>
      <c r="AP13" s="129">
        <f t="shared" si="8"/>
        <v>4.4930819486135816E-2</v>
      </c>
      <c r="AQ13" s="41">
        <v>8760</v>
      </c>
      <c r="AR13" s="137">
        <f t="shared" si="17"/>
        <v>1.0258177964871192E-2</v>
      </c>
      <c r="AS13" s="10">
        <f>J13</f>
        <v>170</v>
      </c>
      <c r="AT13" s="184">
        <f t="shared" si="21"/>
        <v>8.0456297763695627E-3</v>
      </c>
      <c r="AU13" s="145">
        <f t="shared" si="18"/>
        <v>8.0456297763695627E-3</v>
      </c>
      <c r="AV13" s="10">
        <v>7.4999999999999997E-3</v>
      </c>
      <c r="AW13" s="196">
        <v>8.0456297763695627E-3</v>
      </c>
    </row>
    <row r="14" spans="2:49" s="192" customFormat="1" x14ac:dyDescent="0.2">
      <c r="B14" s="182" t="s">
        <v>43</v>
      </c>
      <c r="C14" s="182" t="s">
        <v>76</v>
      </c>
      <c r="D14" s="34">
        <v>85</v>
      </c>
      <c r="E14" s="10" t="s">
        <v>67</v>
      </c>
      <c r="F14" s="34">
        <v>4</v>
      </c>
      <c r="G14" s="34">
        <v>2</v>
      </c>
      <c r="H14" s="34">
        <v>170</v>
      </c>
      <c r="I14" s="34">
        <v>340</v>
      </c>
      <c r="J14" s="34">
        <v>170</v>
      </c>
      <c r="K14" s="34">
        <f>AVERAGE(258.3,497.4)</f>
        <v>377.85</v>
      </c>
      <c r="L14" s="179">
        <v>42355</v>
      </c>
      <c r="M14" s="182" t="s">
        <v>118</v>
      </c>
      <c r="N14" s="41" t="s">
        <v>119</v>
      </c>
      <c r="O14" s="34" t="s">
        <v>120</v>
      </c>
      <c r="P14" s="128">
        <f t="shared" si="3"/>
        <v>2.5767723124999999E-2</v>
      </c>
      <c r="Q14" s="175">
        <f>R14*S14*T14</f>
        <v>51.53544625</v>
      </c>
      <c r="R14" s="180">
        <f t="shared" si="19"/>
        <v>1.3083333333333333</v>
      </c>
      <c r="S14" s="177">
        <f t="shared" si="11"/>
        <v>42355</v>
      </c>
      <c r="T14" s="41">
        <f>0.0093/10</f>
        <v>9.2999999999999995E-4</v>
      </c>
      <c r="U14" s="135">
        <v>1.3083333333333333</v>
      </c>
      <c r="V14" s="10"/>
      <c r="W14" s="142">
        <f t="shared" si="6"/>
        <v>1.0330083999999999</v>
      </c>
      <c r="X14" s="142">
        <f>SUM(W14)</f>
        <v>1.0330083999999999</v>
      </c>
      <c r="Y14" s="41">
        <v>8760</v>
      </c>
      <c r="Z14" s="134">
        <f t="shared" si="9"/>
        <v>0.23584666666666665</v>
      </c>
      <c r="AA14" s="130">
        <f t="shared" si="0"/>
        <v>170</v>
      </c>
      <c r="AB14" s="170">
        <f t="shared" si="20"/>
        <v>1.8333333333333334E-4</v>
      </c>
      <c r="AC14" s="133">
        <f t="shared" si="13"/>
        <v>1.8333333333333334E-4</v>
      </c>
      <c r="AD14" s="134">
        <v>0.04</v>
      </c>
      <c r="AE14" s="134">
        <f t="shared" si="14"/>
        <v>0.06</v>
      </c>
      <c r="AF14" s="135">
        <v>2.3E-2</v>
      </c>
      <c r="AG14" s="196">
        <v>1.8333333333333334E-4</v>
      </c>
      <c r="AH14" s="129">
        <f t="shared" si="7"/>
        <v>9.3074999999999999E-5</v>
      </c>
      <c r="AI14" s="41">
        <v>8760</v>
      </c>
      <c r="AJ14" s="143">
        <f t="shared" si="15"/>
        <v>2.1250000000000002E-5</v>
      </c>
      <c r="AK14" s="10">
        <f>I14</f>
        <v>340</v>
      </c>
      <c r="AL14" s="186">
        <f t="shared" si="16"/>
        <v>8.3333333333333337E-6</v>
      </c>
      <c r="AM14" s="145">
        <f t="shared" si="2"/>
        <v>8.3333333333333337E-6</v>
      </c>
      <c r="AN14" s="10">
        <v>7.4999999999999997E-3</v>
      </c>
      <c r="AO14" s="196">
        <v>8.3333333333333337E-6</v>
      </c>
      <c r="AP14" s="129">
        <f t="shared" si="8"/>
        <v>8.3767499999999996E-4</v>
      </c>
      <c r="AQ14" s="41">
        <v>8760</v>
      </c>
      <c r="AR14" s="137">
        <f t="shared" si="17"/>
        <v>1.9124999999999999E-4</v>
      </c>
      <c r="AS14" s="10">
        <f>J14</f>
        <v>170</v>
      </c>
      <c r="AT14" s="33">
        <f t="shared" si="21"/>
        <v>1.4999999999999999E-4</v>
      </c>
      <c r="AU14" s="145">
        <f t="shared" si="18"/>
        <v>1.4999999999999999E-4</v>
      </c>
      <c r="AV14" s="10">
        <v>7.4999999999999997E-3</v>
      </c>
      <c r="AW14" s="196">
        <v>1.4999999999999999E-4</v>
      </c>
    </row>
    <row r="15" spans="2:49" s="192" customFormat="1" x14ac:dyDescent="0.2">
      <c r="B15" s="182" t="s">
        <v>3</v>
      </c>
      <c r="C15" s="182" t="s">
        <v>77</v>
      </c>
      <c r="D15" s="34">
        <v>64</v>
      </c>
      <c r="E15" s="10" t="s">
        <v>67</v>
      </c>
      <c r="F15" s="34">
        <v>4</v>
      </c>
      <c r="G15" s="34">
        <v>2</v>
      </c>
      <c r="H15" s="34">
        <f>64*2</f>
        <v>128</v>
      </c>
      <c r="I15" s="34">
        <f>4*64</f>
        <v>256</v>
      </c>
      <c r="J15" s="34">
        <f>2*64</f>
        <v>128</v>
      </c>
      <c r="K15" s="130">
        <f>L15/64</f>
        <v>332.515625</v>
      </c>
      <c r="L15" s="179">
        <v>21281</v>
      </c>
      <c r="M15" s="182" t="s">
        <v>124</v>
      </c>
      <c r="N15" s="41" t="s">
        <v>119</v>
      </c>
      <c r="O15" s="34" t="s">
        <v>121</v>
      </c>
      <c r="P15" s="128">
        <f t="shared" si="3"/>
        <v>4.4114874569999997E-2</v>
      </c>
      <c r="Q15" s="175">
        <f t="shared" ref="Q15:Q30" si="24">R15*S15*T15</f>
        <v>88.229749139999996</v>
      </c>
      <c r="R15" s="187">
        <v>4.4580000000000002</v>
      </c>
      <c r="S15" s="177">
        <f t="shared" si="11"/>
        <v>21281</v>
      </c>
      <c r="T15" s="41">
        <f t="shared" ref="T15:T30" si="25">0.0093/10</f>
        <v>9.2999999999999995E-4</v>
      </c>
      <c r="U15" s="10"/>
      <c r="V15" s="10"/>
      <c r="W15" s="126">
        <f t="shared" si="6"/>
        <v>0.95533055999999994</v>
      </c>
      <c r="X15" s="142">
        <f>SUM(W15:W24)</f>
        <v>9.8406336000000003</v>
      </c>
      <c r="Y15" s="41">
        <v>8760</v>
      </c>
      <c r="Z15" s="134">
        <f t="shared" si="9"/>
        <v>0.218112</v>
      </c>
      <c r="AA15" s="130">
        <f t="shared" si="0"/>
        <v>128</v>
      </c>
      <c r="AB15" s="170">
        <v>8.0999999999999996E-3</v>
      </c>
      <c r="AC15" s="133">
        <f t="shared" si="13"/>
        <v>8.0999999999999996E-3</v>
      </c>
      <c r="AD15" s="134">
        <v>0.04</v>
      </c>
      <c r="AE15" s="134">
        <f t="shared" si="14"/>
        <v>0.06</v>
      </c>
      <c r="AF15" s="135">
        <v>2.3E-2</v>
      </c>
      <c r="AG15" s="10"/>
      <c r="AH15" s="129">
        <f t="shared" si="7"/>
        <v>0</v>
      </c>
      <c r="AI15" s="41">
        <v>8760</v>
      </c>
      <c r="AJ15" s="143">
        <f t="shared" si="15"/>
        <v>0</v>
      </c>
      <c r="AK15" s="10">
        <f>I15</f>
        <v>256</v>
      </c>
      <c r="AL15" s="33">
        <v>0</v>
      </c>
      <c r="AM15" s="145">
        <f t="shared" si="2"/>
        <v>0</v>
      </c>
      <c r="AN15" s="10">
        <v>7.4999999999999997E-3</v>
      </c>
      <c r="AO15" s="10"/>
      <c r="AP15" s="129">
        <f t="shared" si="8"/>
        <v>2.6069759999999997E-2</v>
      </c>
      <c r="AQ15" s="41">
        <v>8760</v>
      </c>
      <c r="AR15" s="137">
        <f t="shared" si="17"/>
        <v>5.9519999999999998E-3</v>
      </c>
      <c r="AS15" s="10">
        <f>J15</f>
        <v>128</v>
      </c>
      <c r="AT15" s="184">
        <v>6.1999999999999998E-3</v>
      </c>
      <c r="AU15" s="145">
        <f t="shared" si="18"/>
        <v>6.1999999999999998E-3</v>
      </c>
      <c r="AV15" s="10">
        <v>7.4999999999999997E-3</v>
      </c>
      <c r="AW15" s="10"/>
    </row>
    <row r="16" spans="2:49" s="192" customFormat="1" x14ac:dyDescent="0.2">
      <c r="B16" s="182" t="s">
        <v>3</v>
      </c>
      <c r="C16" s="182" t="s">
        <v>40</v>
      </c>
      <c r="D16" s="34">
        <v>64</v>
      </c>
      <c r="E16" s="10" t="s">
        <v>67</v>
      </c>
      <c r="F16" s="34">
        <v>4</v>
      </c>
      <c r="G16" s="34">
        <v>2</v>
      </c>
      <c r="H16" s="34">
        <f>64*2</f>
        <v>128</v>
      </c>
      <c r="I16" s="34">
        <f t="shared" ref="I16:I17" si="26">4*64</f>
        <v>256</v>
      </c>
      <c r="J16" s="34">
        <f t="shared" ref="J16:J17" si="27">2*64</f>
        <v>128</v>
      </c>
      <c r="K16" s="130">
        <f t="shared" ref="K16:K17" si="28">L16/64</f>
        <v>332.515625</v>
      </c>
      <c r="L16" s="179">
        <v>21281</v>
      </c>
      <c r="M16" s="182"/>
      <c r="N16" s="41" t="s">
        <v>119</v>
      </c>
      <c r="O16" s="34" t="s">
        <v>121</v>
      </c>
      <c r="P16" s="128">
        <f t="shared" si="3"/>
        <v>4.4847153779999996E-2</v>
      </c>
      <c r="Q16" s="175">
        <f t="shared" si="24"/>
        <v>89.694307559999999</v>
      </c>
      <c r="R16" s="187">
        <v>4.532</v>
      </c>
      <c r="S16" s="177">
        <f t="shared" si="11"/>
        <v>21281</v>
      </c>
      <c r="T16" s="41">
        <f t="shared" si="25"/>
        <v>9.2999999999999995E-4</v>
      </c>
      <c r="U16" s="10"/>
      <c r="V16" s="10"/>
      <c r="W16" s="126">
        <f t="shared" si="6"/>
        <v>0.92841983999999989</v>
      </c>
      <c r="X16" s="142"/>
      <c r="Y16" s="41">
        <v>8760</v>
      </c>
      <c r="Z16" s="134">
        <f t="shared" si="9"/>
        <v>0.21196799999999999</v>
      </c>
      <c r="AA16" s="130">
        <f t="shared" si="0"/>
        <v>128</v>
      </c>
      <c r="AB16" s="170">
        <v>6.8999999999999999E-3</v>
      </c>
      <c r="AC16" s="133">
        <f t="shared" si="13"/>
        <v>6.8999999999999999E-3</v>
      </c>
      <c r="AD16" s="134">
        <v>0.04</v>
      </c>
      <c r="AE16" s="134">
        <f t="shared" si="14"/>
        <v>0.06</v>
      </c>
      <c r="AF16" s="135">
        <v>2.3E-2</v>
      </c>
      <c r="AG16" s="10"/>
      <c r="AH16" s="129">
        <f t="shared" si="7"/>
        <v>8.4096000000000008E-4</v>
      </c>
      <c r="AI16" s="41">
        <v>8760</v>
      </c>
      <c r="AJ16" s="143">
        <f t="shared" si="15"/>
        <v>1.92E-4</v>
      </c>
      <c r="AK16" s="10">
        <f>I16</f>
        <v>256</v>
      </c>
      <c r="AL16" s="33">
        <v>1E-4</v>
      </c>
      <c r="AM16" s="145">
        <f t="shared" si="2"/>
        <v>1E-4</v>
      </c>
      <c r="AN16" s="10">
        <v>7.4999999999999997E-3</v>
      </c>
      <c r="AO16" s="10"/>
      <c r="AP16" s="129">
        <f t="shared" si="8"/>
        <v>2.3546879999999999E-2</v>
      </c>
      <c r="AQ16" s="41">
        <v>8760</v>
      </c>
      <c r="AR16" s="137">
        <f t="shared" si="17"/>
        <v>5.3759999999999997E-3</v>
      </c>
      <c r="AS16" s="10">
        <f>J16</f>
        <v>128</v>
      </c>
      <c r="AT16" s="184">
        <v>5.5999999999999999E-3</v>
      </c>
      <c r="AU16" s="145">
        <f t="shared" si="18"/>
        <v>5.5999999999999999E-3</v>
      </c>
      <c r="AV16" s="10">
        <v>7.4999999999999997E-3</v>
      </c>
      <c r="AW16" s="10"/>
    </row>
    <row r="17" spans="2:49" s="192" customFormat="1" x14ac:dyDescent="0.2">
      <c r="B17" s="182" t="s">
        <v>3</v>
      </c>
      <c r="C17" s="182" t="s">
        <v>78</v>
      </c>
      <c r="D17" s="34">
        <v>64</v>
      </c>
      <c r="E17" s="10" t="s">
        <v>67</v>
      </c>
      <c r="F17" s="34">
        <v>4</v>
      </c>
      <c r="G17" s="34">
        <v>2</v>
      </c>
      <c r="H17" s="34">
        <f>64*2</f>
        <v>128</v>
      </c>
      <c r="I17" s="34">
        <f t="shared" si="26"/>
        <v>256</v>
      </c>
      <c r="J17" s="34">
        <f t="shared" si="27"/>
        <v>128</v>
      </c>
      <c r="K17" s="130">
        <f t="shared" si="28"/>
        <v>332.515625</v>
      </c>
      <c r="L17" s="179">
        <v>21281</v>
      </c>
      <c r="M17" s="182"/>
      <c r="N17" s="41" t="s">
        <v>119</v>
      </c>
      <c r="O17" s="34" t="s">
        <v>121</v>
      </c>
      <c r="P17" s="128">
        <f t="shared" si="3"/>
        <v>4.6390877520000005E-2</v>
      </c>
      <c r="Q17" s="175">
        <f t="shared" si="24"/>
        <v>92.781755040000007</v>
      </c>
      <c r="R17" s="187">
        <v>4.6880000000000006</v>
      </c>
      <c r="S17" s="177">
        <f t="shared" si="11"/>
        <v>21281</v>
      </c>
      <c r="T17" s="41">
        <f t="shared" si="25"/>
        <v>9.2999999999999995E-4</v>
      </c>
      <c r="U17" s="10"/>
      <c r="V17" s="10"/>
      <c r="W17" s="142">
        <f t="shared" si="6"/>
        <v>1.0584883199999999</v>
      </c>
      <c r="X17" s="142"/>
      <c r="Y17" s="41">
        <v>8760</v>
      </c>
      <c r="Z17" s="134">
        <f t="shared" si="9"/>
        <v>0.24166399999999999</v>
      </c>
      <c r="AA17" s="130">
        <f t="shared" si="0"/>
        <v>128</v>
      </c>
      <c r="AB17" s="170">
        <v>1.2699999999999999E-2</v>
      </c>
      <c r="AC17" s="133">
        <f t="shared" si="13"/>
        <v>1.2699999999999999E-2</v>
      </c>
      <c r="AD17" s="134">
        <v>0.04</v>
      </c>
      <c r="AE17" s="134">
        <f t="shared" si="14"/>
        <v>0.06</v>
      </c>
      <c r="AF17" s="135">
        <v>2.3E-2</v>
      </c>
      <c r="AG17" s="10"/>
      <c r="AH17" s="129">
        <f t="shared" si="7"/>
        <v>0</v>
      </c>
      <c r="AI17" s="41">
        <v>8760</v>
      </c>
      <c r="AJ17" s="143">
        <f t="shared" si="15"/>
        <v>0</v>
      </c>
      <c r="AK17" s="10">
        <f>I17</f>
        <v>256</v>
      </c>
      <c r="AL17" s="33">
        <v>0</v>
      </c>
      <c r="AM17" s="145">
        <f t="shared" si="2"/>
        <v>0</v>
      </c>
      <c r="AN17" s="10">
        <v>7.4999999999999997E-3</v>
      </c>
      <c r="AO17" s="10"/>
      <c r="AP17" s="129">
        <f t="shared" si="8"/>
        <v>3.0274559999999999E-2</v>
      </c>
      <c r="AQ17" s="41">
        <v>8760</v>
      </c>
      <c r="AR17" s="137">
        <f t="shared" si="17"/>
        <v>6.9119999999999997E-3</v>
      </c>
      <c r="AS17" s="10">
        <f>J17</f>
        <v>128</v>
      </c>
      <c r="AT17" s="184">
        <v>7.1999999999999998E-3</v>
      </c>
      <c r="AU17" s="145">
        <f t="shared" si="18"/>
        <v>7.1999999999999998E-3</v>
      </c>
      <c r="AV17" s="10">
        <v>7.4999999999999997E-3</v>
      </c>
      <c r="AW17" s="10"/>
    </row>
    <row r="18" spans="2:49" s="192" customFormat="1" x14ac:dyDescent="0.2">
      <c r="B18" s="182" t="s">
        <v>3</v>
      </c>
      <c r="C18" s="182" t="s">
        <v>79</v>
      </c>
      <c r="D18" s="34">
        <v>61</v>
      </c>
      <c r="E18" s="10" t="s">
        <v>67</v>
      </c>
      <c r="F18" s="34">
        <v>4</v>
      </c>
      <c r="G18" s="34">
        <v>2</v>
      </c>
      <c r="H18" s="34">
        <f>61*2</f>
        <v>122</v>
      </c>
      <c r="I18" s="34">
        <f>4*61</f>
        <v>244</v>
      </c>
      <c r="J18" s="34">
        <f>2*61</f>
        <v>122</v>
      </c>
      <c r="K18" s="130">
        <f>L18/61</f>
        <v>335.22950819672133</v>
      </c>
      <c r="L18" s="179">
        <v>20449</v>
      </c>
      <c r="M18" s="182"/>
      <c r="N18" s="41" t="s">
        <v>119</v>
      </c>
      <c r="O18" s="34" t="s">
        <v>121</v>
      </c>
      <c r="P18" s="128">
        <f t="shared" si="3"/>
        <v>3.4326713849999996E-2</v>
      </c>
      <c r="Q18" s="175">
        <f t="shared" si="24"/>
        <v>68.653427699999995</v>
      </c>
      <c r="R18" s="187">
        <v>3.6100000000000003</v>
      </c>
      <c r="S18" s="177">
        <f t="shared" si="11"/>
        <v>20449</v>
      </c>
      <c r="T18" s="41">
        <f t="shared" si="25"/>
        <v>9.2999999999999995E-4</v>
      </c>
      <c r="U18" s="10"/>
      <c r="V18" s="10"/>
      <c r="W18" s="126">
        <f t="shared" si="6"/>
        <v>0.82291440000000005</v>
      </c>
      <c r="X18" s="142"/>
      <c r="Y18" s="41">
        <v>8760</v>
      </c>
      <c r="Z18" s="134">
        <f t="shared" si="9"/>
        <v>0.18787999999999999</v>
      </c>
      <c r="AA18" s="130">
        <f t="shared" si="0"/>
        <v>122</v>
      </c>
      <c r="AB18" s="170">
        <v>4.0000000000000001E-3</v>
      </c>
      <c r="AC18" s="133">
        <f t="shared" si="13"/>
        <v>4.0000000000000001E-3</v>
      </c>
      <c r="AD18" s="134">
        <v>0.04</v>
      </c>
      <c r="AE18" s="134">
        <f t="shared" si="14"/>
        <v>0.06</v>
      </c>
      <c r="AF18" s="135">
        <v>2.3E-2</v>
      </c>
      <c r="AG18" s="10"/>
      <c r="AH18" s="129">
        <f t="shared" si="7"/>
        <v>0</v>
      </c>
      <c r="AI18" s="41">
        <v>8760</v>
      </c>
      <c r="AJ18" s="143">
        <f t="shared" si="15"/>
        <v>0</v>
      </c>
      <c r="AK18" s="10">
        <f>I18</f>
        <v>244</v>
      </c>
      <c r="AL18" s="33">
        <v>0</v>
      </c>
      <c r="AM18" s="145">
        <f t="shared" si="2"/>
        <v>0</v>
      </c>
      <c r="AN18" s="10">
        <v>7.4999999999999997E-3</v>
      </c>
      <c r="AO18" s="10"/>
      <c r="AP18" s="129">
        <f t="shared" si="8"/>
        <v>2.2843889999999999E-2</v>
      </c>
      <c r="AQ18" s="41">
        <v>8760</v>
      </c>
      <c r="AR18" s="137">
        <f t="shared" si="17"/>
        <v>5.2154999999999997E-3</v>
      </c>
      <c r="AS18" s="10">
        <f>J18</f>
        <v>122</v>
      </c>
      <c r="AT18" s="184">
        <v>5.7000000000000002E-3</v>
      </c>
      <c r="AU18" s="145">
        <f t="shared" si="18"/>
        <v>5.7000000000000002E-3</v>
      </c>
      <c r="AV18" s="10">
        <v>7.4999999999999997E-3</v>
      </c>
      <c r="AW18" s="10"/>
    </row>
    <row r="19" spans="2:49" s="192" customFormat="1" x14ac:dyDescent="0.2">
      <c r="B19" s="182" t="s">
        <v>3</v>
      </c>
      <c r="C19" s="182" t="s">
        <v>80</v>
      </c>
      <c r="D19" s="34">
        <v>61</v>
      </c>
      <c r="E19" s="10" t="s">
        <v>67</v>
      </c>
      <c r="F19" s="34">
        <v>4</v>
      </c>
      <c r="G19" s="34">
        <v>2</v>
      </c>
      <c r="H19" s="34">
        <f>61*2</f>
        <v>122</v>
      </c>
      <c r="I19" s="34">
        <f t="shared" ref="I19:I20" si="29">4*61</f>
        <v>244</v>
      </c>
      <c r="J19" s="34">
        <f t="shared" ref="J19:J20" si="30">2*61</f>
        <v>122</v>
      </c>
      <c r="K19" s="130">
        <f t="shared" ref="K19:K20" si="31">L19/61</f>
        <v>335.22950819672133</v>
      </c>
      <c r="L19" s="179">
        <v>20449</v>
      </c>
      <c r="M19" s="182"/>
      <c r="N19" s="41" t="s">
        <v>119</v>
      </c>
      <c r="O19" s="34" t="s">
        <v>121</v>
      </c>
      <c r="P19" s="128">
        <f t="shared" si="3"/>
        <v>3.5867137019999995E-2</v>
      </c>
      <c r="Q19" s="175">
        <f t="shared" si="24"/>
        <v>71.734274039999988</v>
      </c>
      <c r="R19" s="187">
        <v>3.7719999999999998</v>
      </c>
      <c r="S19" s="177">
        <f t="shared" si="11"/>
        <v>20449</v>
      </c>
      <c r="T19" s="41">
        <f t="shared" si="25"/>
        <v>9.2999999999999995E-4</v>
      </c>
      <c r="U19" s="10"/>
      <c r="V19" s="10"/>
      <c r="W19" s="126">
        <f t="shared" si="6"/>
        <v>0.83787648000000003</v>
      </c>
      <c r="X19" s="142"/>
      <c r="Y19" s="41">
        <v>8760</v>
      </c>
      <c r="Z19" s="134">
        <f t="shared" si="9"/>
        <v>0.19129599999999999</v>
      </c>
      <c r="AA19" s="130">
        <f t="shared" si="0"/>
        <v>122</v>
      </c>
      <c r="AB19" s="170">
        <v>4.7000000000000002E-3</v>
      </c>
      <c r="AC19" s="133">
        <f t="shared" si="13"/>
        <v>4.7000000000000002E-3</v>
      </c>
      <c r="AD19" s="134">
        <v>0.04</v>
      </c>
      <c r="AE19" s="134">
        <f t="shared" si="14"/>
        <v>0.06</v>
      </c>
      <c r="AF19" s="135">
        <v>2.3E-2</v>
      </c>
      <c r="AG19" s="10"/>
      <c r="AH19" s="129">
        <f t="shared" si="7"/>
        <v>0</v>
      </c>
      <c r="AI19" s="41">
        <v>8760</v>
      </c>
      <c r="AJ19" s="143">
        <f t="shared" si="15"/>
        <v>0</v>
      </c>
      <c r="AK19" s="10">
        <f>I19</f>
        <v>244</v>
      </c>
      <c r="AL19" s="33">
        <v>0</v>
      </c>
      <c r="AM19" s="145">
        <f t="shared" si="2"/>
        <v>0</v>
      </c>
      <c r="AN19" s="10">
        <v>7.4999999999999997E-3</v>
      </c>
      <c r="AO19" s="10"/>
      <c r="AP19" s="129">
        <f t="shared" si="8"/>
        <v>2.885544E-2</v>
      </c>
      <c r="AQ19" s="41">
        <v>8760</v>
      </c>
      <c r="AR19" s="137">
        <f t="shared" si="17"/>
        <v>6.5879999999999992E-3</v>
      </c>
      <c r="AS19" s="10">
        <f>J19</f>
        <v>122</v>
      </c>
      <c r="AT19" s="184">
        <v>7.1999999999999998E-3</v>
      </c>
      <c r="AU19" s="145">
        <f t="shared" si="18"/>
        <v>7.1999999999999998E-3</v>
      </c>
      <c r="AV19" s="10">
        <v>7.4999999999999997E-3</v>
      </c>
      <c r="AW19" s="10"/>
    </row>
    <row r="20" spans="2:49" s="192" customFormat="1" x14ac:dyDescent="0.2">
      <c r="B20" s="182" t="s">
        <v>3</v>
      </c>
      <c r="C20" s="182" t="s">
        <v>81</v>
      </c>
      <c r="D20" s="34">
        <v>61</v>
      </c>
      <c r="E20" s="10" t="s">
        <v>67</v>
      </c>
      <c r="F20" s="34">
        <v>4</v>
      </c>
      <c r="G20" s="34">
        <v>2</v>
      </c>
      <c r="H20" s="34">
        <f>61*2</f>
        <v>122</v>
      </c>
      <c r="I20" s="34">
        <f t="shared" si="29"/>
        <v>244</v>
      </c>
      <c r="J20" s="34">
        <f t="shared" si="30"/>
        <v>122</v>
      </c>
      <c r="K20" s="130">
        <f t="shared" si="31"/>
        <v>335.22950819672133</v>
      </c>
      <c r="L20" s="179">
        <v>20449</v>
      </c>
      <c r="M20" s="182"/>
      <c r="N20" s="41" t="s">
        <v>119</v>
      </c>
      <c r="O20" s="34" t="s">
        <v>121</v>
      </c>
      <c r="P20" s="128">
        <f t="shared" si="3"/>
        <v>3.5829101879999999E-2</v>
      </c>
      <c r="Q20" s="175">
        <f t="shared" si="24"/>
        <v>71.658203759999992</v>
      </c>
      <c r="R20" s="187">
        <v>3.7679999999999998</v>
      </c>
      <c r="S20" s="177">
        <f t="shared" si="11"/>
        <v>20449</v>
      </c>
      <c r="T20" s="41">
        <f t="shared" si="25"/>
        <v>9.2999999999999995E-4</v>
      </c>
      <c r="U20" s="10"/>
      <c r="V20" s="10"/>
      <c r="W20" s="126">
        <f t="shared" si="6"/>
        <v>0.82077695999999989</v>
      </c>
      <c r="X20" s="142"/>
      <c r="Y20" s="41">
        <v>8760</v>
      </c>
      <c r="Z20" s="134">
        <f t="shared" si="9"/>
        <v>0.18739199999999998</v>
      </c>
      <c r="AA20" s="130">
        <f t="shared" si="0"/>
        <v>122</v>
      </c>
      <c r="AB20" s="170">
        <v>3.8999999999999998E-3</v>
      </c>
      <c r="AC20" s="133">
        <f t="shared" si="13"/>
        <v>3.8999999999999998E-3</v>
      </c>
      <c r="AD20" s="134">
        <v>0.04</v>
      </c>
      <c r="AE20" s="134">
        <f t="shared" si="14"/>
        <v>0.06</v>
      </c>
      <c r="AF20" s="135">
        <v>2.3E-2</v>
      </c>
      <c r="AG20" s="10"/>
      <c r="AH20" s="129">
        <f t="shared" si="7"/>
        <v>0</v>
      </c>
      <c r="AI20" s="41">
        <v>8760</v>
      </c>
      <c r="AJ20" s="143">
        <f t="shared" si="15"/>
        <v>0</v>
      </c>
      <c r="AK20" s="10">
        <f>I20</f>
        <v>244</v>
      </c>
      <c r="AL20" s="33">
        <v>0</v>
      </c>
      <c r="AM20" s="145">
        <f t="shared" si="2"/>
        <v>0</v>
      </c>
      <c r="AN20" s="10">
        <v>7.4999999999999997E-3</v>
      </c>
      <c r="AO20" s="10"/>
      <c r="AP20" s="129">
        <f t="shared" si="8"/>
        <v>1.563003E-2</v>
      </c>
      <c r="AQ20" s="41">
        <v>8760</v>
      </c>
      <c r="AR20" s="137">
        <f t="shared" si="17"/>
        <v>3.5685000000000001E-3</v>
      </c>
      <c r="AS20" s="10">
        <f>J20</f>
        <v>122</v>
      </c>
      <c r="AT20" s="184">
        <v>3.8999999999999998E-3</v>
      </c>
      <c r="AU20" s="145">
        <f t="shared" si="18"/>
        <v>3.8999999999999998E-3</v>
      </c>
      <c r="AV20" s="10">
        <v>7.4999999999999997E-3</v>
      </c>
      <c r="AW20" s="10"/>
    </row>
    <row r="21" spans="2:49" s="192" customFormat="1" x14ac:dyDescent="0.2">
      <c r="B21" s="182" t="s">
        <v>3</v>
      </c>
      <c r="C21" s="182" t="s">
        <v>82</v>
      </c>
      <c r="D21" s="34">
        <v>87</v>
      </c>
      <c r="E21" s="10" t="s">
        <v>67</v>
      </c>
      <c r="F21" s="34">
        <v>4</v>
      </c>
      <c r="G21" s="34">
        <v>2</v>
      </c>
      <c r="H21" s="34">
        <f>87*2</f>
        <v>174</v>
      </c>
      <c r="I21" s="34">
        <f>4*87</f>
        <v>348</v>
      </c>
      <c r="J21" s="34">
        <f>2*87</f>
        <v>174</v>
      </c>
      <c r="K21" s="130">
        <f>L21/87</f>
        <v>348.32183908045977</v>
      </c>
      <c r="L21" s="179">
        <v>30304</v>
      </c>
      <c r="M21" s="182"/>
      <c r="N21" s="41" t="s">
        <v>119</v>
      </c>
      <c r="O21" s="34" t="s">
        <v>121</v>
      </c>
      <c r="P21" s="128">
        <f t="shared" si="3"/>
        <v>6.2932013759999988E-2</v>
      </c>
      <c r="Q21" s="175">
        <f t="shared" si="24"/>
        <v>125.86402751999998</v>
      </c>
      <c r="R21" s="187">
        <v>4.4659999999999993</v>
      </c>
      <c r="S21" s="177">
        <f t="shared" si="11"/>
        <v>30304</v>
      </c>
      <c r="T21" s="41">
        <f t="shared" si="25"/>
        <v>9.2999999999999995E-4</v>
      </c>
      <c r="U21" s="10"/>
      <c r="V21" s="10"/>
      <c r="W21" s="142">
        <f t="shared" si="6"/>
        <v>1.1797617599999999</v>
      </c>
      <c r="X21" s="142"/>
      <c r="Y21" s="41">
        <v>8760</v>
      </c>
      <c r="Z21" s="134">
        <f t="shared" si="9"/>
        <v>0.26935199999999998</v>
      </c>
      <c r="AA21" s="130">
        <f t="shared" si="0"/>
        <v>174</v>
      </c>
      <c r="AB21" s="170">
        <v>4.1999999999999997E-3</v>
      </c>
      <c r="AC21" s="133">
        <f t="shared" si="13"/>
        <v>4.1999999999999997E-3</v>
      </c>
      <c r="AD21" s="134">
        <v>0.04</v>
      </c>
      <c r="AE21" s="134">
        <f t="shared" si="14"/>
        <v>0.06</v>
      </c>
      <c r="AF21" s="135">
        <v>2.3E-2</v>
      </c>
      <c r="AG21" s="10"/>
      <c r="AH21" s="129">
        <f t="shared" si="7"/>
        <v>0</v>
      </c>
      <c r="AI21" s="41">
        <v>8760</v>
      </c>
      <c r="AJ21" s="143">
        <f t="shared" si="15"/>
        <v>0</v>
      </c>
      <c r="AK21" s="10">
        <f>I21</f>
        <v>348</v>
      </c>
      <c r="AL21" s="33">
        <v>0</v>
      </c>
      <c r="AM21" s="145">
        <f t="shared" si="2"/>
        <v>0</v>
      </c>
      <c r="AN21" s="10">
        <v>7.4999999999999997E-3</v>
      </c>
      <c r="AO21" s="10"/>
      <c r="AP21" s="129">
        <f t="shared" si="8"/>
        <v>7.0877159999999995E-2</v>
      </c>
      <c r="AQ21" s="41">
        <v>8760</v>
      </c>
      <c r="AR21" s="137">
        <f t="shared" si="17"/>
        <v>1.6181999999999998E-2</v>
      </c>
      <c r="AS21" s="10">
        <f>J21</f>
        <v>174</v>
      </c>
      <c r="AT21" s="184">
        <v>1.24E-2</v>
      </c>
      <c r="AU21" s="145">
        <f t="shared" si="18"/>
        <v>1.24E-2</v>
      </c>
      <c r="AV21" s="10">
        <v>7.4999999999999997E-3</v>
      </c>
      <c r="AW21" s="10"/>
    </row>
    <row r="22" spans="2:49" s="192" customFormat="1" x14ac:dyDescent="0.2">
      <c r="B22" s="182" t="s">
        <v>3</v>
      </c>
      <c r="C22" s="182" t="s">
        <v>83</v>
      </c>
      <c r="D22" s="34">
        <v>87</v>
      </c>
      <c r="E22" s="10" t="s">
        <v>67</v>
      </c>
      <c r="F22" s="34">
        <v>4</v>
      </c>
      <c r="G22" s="34">
        <v>2</v>
      </c>
      <c r="H22" s="34">
        <f>87*2</f>
        <v>174</v>
      </c>
      <c r="I22" s="34">
        <f>4*87</f>
        <v>348</v>
      </c>
      <c r="J22" s="34">
        <f>2*87</f>
        <v>174</v>
      </c>
      <c r="K22" s="130">
        <f t="shared" ref="K22" si="32">L22/87</f>
        <v>348.32183908045977</v>
      </c>
      <c r="L22" s="179">
        <v>30304</v>
      </c>
      <c r="M22" s="182"/>
      <c r="N22" s="41" t="s">
        <v>119</v>
      </c>
      <c r="O22" s="34" t="s">
        <v>121</v>
      </c>
      <c r="P22" s="128">
        <f t="shared" si="3"/>
        <v>5.8028220479999996E-2</v>
      </c>
      <c r="Q22" s="175">
        <f t="shared" si="24"/>
        <v>116.05644095999999</v>
      </c>
      <c r="R22" s="187">
        <v>4.1180000000000003</v>
      </c>
      <c r="S22" s="177">
        <f t="shared" si="11"/>
        <v>30304</v>
      </c>
      <c r="T22" s="41">
        <f t="shared" si="25"/>
        <v>9.2999999999999995E-4</v>
      </c>
      <c r="U22" s="10"/>
      <c r="V22" s="10"/>
      <c r="W22" s="142">
        <f t="shared" si="6"/>
        <v>1.14622848</v>
      </c>
      <c r="X22" s="142"/>
      <c r="Y22" s="41">
        <v>8760</v>
      </c>
      <c r="Z22" s="134">
        <f t="shared" si="9"/>
        <v>0.26169599999999998</v>
      </c>
      <c r="AA22" s="130">
        <f t="shared" si="0"/>
        <v>174</v>
      </c>
      <c r="AB22" s="170">
        <v>3.0999999999999999E-3</v>
      </c>
      <c r="AC22" s="133">
        <f t="shared" si="13"/>
        <v>3.0999999999999999E-3</v>
      </c>
      <c r="AD22" s="134">
        <v>0.04</v>
      </c>
      <c r="AE22" s="134">
        <f t="shared" si="14"/>
        <v>0.06</v>
      </c>
      <c r="AF22" s="135">
        <v>2.3E-2</v>
      </c>
      <c r="AG22" s="10"/>
      <c r="AH22" s="129">
        <f t="shared" si="7"/>
        <v>1.1431800000000002E-3</v>
      </c>
      <c r="AI22" s="41">
        <v>8760</v>
      </c>
      <c r="AJ22" s="143">
        <f t="shared" si="15"/>
        <v>2.61E-4</v>
      </c>
      <c r="AK22" s="10">
        <f>I22</f>
        <v>348</v>
      </c>
      <c r="AL22" s="33">
        <v>1E-4</v>
      </c>
      <c r="AM22" s="145">
        <f t="shared" si="2"/>
        <v>1E-4</v>
      </c>
      <c r="AN22" s="10">
        <v>7.4999999999999997E-3</v>
      </c>
      <c r="AO22" s="10"/>
      <c r="AP22" s="129">
        <f t="shared" si="8"/>
        <v>6.0016950000000006E-2</v>
      </c>
      <c r="AQ22" s="41">
        <v>8760</v>
      </c>
      <c r="AR22" s="137">
        <f t="shared" si="17"/>
        <v>1.3702500000000001E-2</v>
      </c>
      <c r="AS22" s="10">
        <f>J22</f>
        <v>174</v>
      </c>
      <c r="AT22" s="184">
        <v>1.0500000000000001E-2</v>
      </c>
      <c r="AU22" s="145">
        <f t="shared" si="18"/>
        <v>1.0500000000000001E-2</v>
      </c>
      <c r="AV22" s="10">
        <v>7.4999999999999997E-3</v>
      </c>
      <c r="AW22" s="10"/>
    </row>
    <row r="23" spans="2:49" s="192" customFormat="1" x14ac:dyDescent="0.2">
      <c r="B23" s="182" t="s">
        <v>3</v>
      </c>
      <c r="C23" s="182" t="s">
        <v>4</v>
      </c>
      <c r="D23" s="34">
        <v>75</v>
      </c>
      <c r="E23" s="10" t="s">
        <v>67</v>
      </c>
      <c r="F23" s="34">
        <v>4</v>
      </c>
      <c r="G23" s="34">
        <v>2</v>
      </c>
      <c r="H23" s="34">
        <f>75*2</f>
        <v>150</v>
      </c>
      <c r="I23" s="34">
        <f>4*75</f>
        <v>300</v>
      </c>
      <c r="J23" s="34">
        <f>2*75</f>
        <v>150</v>
      </c>
      <c r="K23" s="130">
        <f>L23/75</f>
        <v>377.04</v>
      </c>
      <c r="L23" s="179">
        <v>28278</v>
      </c>
      <c r="M23" s="182"/>
      <c r="N23" s="41" t="s">
        <v>119</v>
      </c>
      <c r="O23" s="34" t="s">
        <v>121</v>
      </c>
      <c r="P23" s="128">
        <f t="shared" si="3"/>
        <v>5.7067831799999996E-2</v>
      </c>
      <c r="Q23" s="175">
        <f t="shared" si="24"/>
        <v>114.13566359999999</v>
      </c>
      <c r="R23" s="187">
        <v>4.34</v>
      </c>
      <c r="S23" s="177">
        <f t="shared" si="11"/>
        <v>28278</v>
      </c>
      <c r="T23" s="41">
        <f t="shared" si="25"/>
        <v>9.2999999999999995E-4</v>
      </c>
      <c r="U23" s="10"/>
      <c r="V23" s="10"/>
      <c r="W23" s="126">
        <f t="shared" si="6"/>
        <v>0.97235999999999989</v>
      </c>
      <c r="X23" s="142"/>
      <c r="Y23" s="41">
        <v>8760</v>
      </c>
      <c r="Z23" s="134">
        <f t="shared" si="9"/>
        <v>0.22199999999999998</v>
      </c>
      <c r="AA23" s="130">
        <f t="shared" si="0"/>
        <v>150</v>
      </c>
      <c r="AB23" s="170">
        <v>2.5000000000000001E-3</v>
      </c>
      <c r="AC23" s="133">
        <f t="shared" si="13"/>
        <v>2.5000000000000001E-3</v>
      </c>
      <c r="AD23" s="134">
        <v>0.04</v>
      </c>
      <c r="AE23" s="134">
        <f t="shared" si="14"/>
        <v>0.06</v>
      </c>
      <c r="AF23" s="135">
        <v>2.3E-2</v>
      </c>
      <c r="AG23" s="10"/>
      <c r="AH23" s="129">
        <f t="shared" si="7"/>
        <v>9.8550000000000005E-4</v>
      </c>
      <c r="AI23" s="41">
        <v>8760</v>
      </c>
      <c r="AJ23" s="143">
        <f t="shared" si="15"/>
        <v>2.2500000000000002E-4</v>
      </c>
      <c r="AK23" s="10">
        <f>I23</f>
        <v>300</v>
      </c>
      <c r="AL23" s="33">
        <v>1E-4</v>
      </c>
      <c r="AM23" s="145">
        <f t="shared" si="2"/>
        <v>1E-4</v>
      </c>
      <c r="AN23" s="10">
        <v>7.4999999999999997E-3</v>
      </c>
      <c r="AO23" s="10"/>
      <c r="AP23" s="129">
        <f t="shared" si="8"/>
        <v>8.3767499999999988E-3</v>
      </c>
      <c r="AQ23" s="41">
        <v>8760</v>
      </c>
      <c r="AR23" s="137">
        <f t="shared" si="17"/>
        <v>1.9124999999999999E-3</v>
      </c>
      <c r="AS23" s="10">
        <f>J23</f>
        <v>150</v>
      </c>
      <c r="AT23" s="184">
        <v>1.6999999999999999E-3</v>
      </c>
      <c r="AU23" s="145">
        <f t="shared" si="18"/>
        <v>1.6999999999999999E-3</v>
      </c>
      <c r="AV23" s="10">
        <v>7.4999999999999997E-3</v>
      </c>
      <c r="AW23" s="10"/>
    </row>
    <row r="24" spans="2:49" s="192" customFormat="1" x14ac:dyDescent="0.2">
      <c r="B24" s="182" t="s">
        <v>3</v>
      </c>
      <c r="C24" s="182" t="s">
        <v>84</v>
      </c>
      <c r="D24" s="34">
        <v>84</v>
      </c>
      <c r="E24" s="10" t="s">
        <v>67</v>
      </c>
      <c r="F24" s="34">
        <v>5</v>
      </c>
      <c r="G24" s="34">
        <v>1</v>
      </c>
      <c r="H24" s="34">
        <f>84*2</f>
        <v>168</v>
      </c>
      <c r="I24" s="34">
        <f>5*84</f>
        <v>420</v>
      </c>
      <c r="J24" s="34">
        <v>84</v>
      </c>
      <c r="K24" s="130">
        <f>L24/84</f>
        <v>432.48809523809524</v>
      </c>
      <c r="L24" s="179">
        <v>36329</v>
      </c>
      <c r="M24" s="182"/>
      <c r="N24" s="41" t="s">
        <v>119</v>
      </c>
      <c r="O24" s="34" t="s">
        <v>121</v>
      </c>
      <c r="P24" s="126">
        <f t="shared" si="3"/>
        <v>0.63402751301999993</v>
      </c>
      <c r="Q24" s="175">
        <f t="shared" si="24"/>
        <v>1268.0550260399998</v>
      </c>
      <c r="R24" s="187">
        <v>37.531999999999996</v>
      </c>
      <c r="S24" s="177">
        <f t="shared" si="11"/>
        <v>36329</v>
      </c>
      <c r="T24" s="41">
        <f t="shared" si="25"/>
        <v>9.2999999999999995E-4</v>
      </c>
      <c r="U24" s="10"/>
      <c r="V24" s="10"/>
      <c r="W24" s="142">
        <f t="shared" si="6"/>
        <v>1.1184767999999998</v>
      </c>
      <c r="X24" s="142"/>
      <c r="Y24" s="41">
        <v>8760</v>
      </c>
      <c r="Z24" s="134">
        <f t="shared" si="9"/>
        <v>0.25535999999999998</v>
      </c>
      <c r="AA24" s="130">
        <f t="shared" si="0"/>
        <v>168</v>
      </c>
      <c r="AB24" s="170">
        <v>3.5000000000000001E-3</v>
      </c>
      <c r="AC24" s="133">
        <f t="shared" si="13"/>
        <v>3.5000000000000001E-3</v>
      </c>
      <c r="AD24" s="134">
        <v>0.04</v>
      </c>
      <c r="AE24" s="134">
        <f t="shared" si="14"/>
        <v>0.06</v>
      </c>
      <c r="AF24" s="135">
        <v>2.3E-2</v>
      </c>
      <c r="AG24" s="10"/>
      <c r="AH24" s="129">
        <f t="shared" si="7"/>
        <v>0</v>
      </c>
      <c r="AI24" s="41">
        <v>8760</v>
      </c>
      <c r="AJ24" s="143">
        <f t="shared" si="15"/>
        <v>0</v>
      </c>
      <c r="AK24" s="10">
        <f>I24</f>
        <v>420</v>
      </c>
      <c r="AL24" s="33">
        <v>0</v>
      </c>
      <c r="AM24" s="145">
        <f t="shared" si="2"/>
        <v>0</v>
      </c>
      <c r="AN24" s="10">
        <v>7.4999999999999997E-3</v>
      </c>
      <c r="AO24" s="10"/>
      <c r="AP24" s="129">
        <f t="shared" si="8"/>
        <v>2.2075200000000006E-3</v>
      </c>
      <c r="AQ24" s="41">
        <v>8760</v>
      </c>
      <c r="AR24" s="137">
        <f t="shared" si="17"/>
        <v>5.0400000000000011E-4</v>
      </c>
      <c r="AS24" s="10">
        <f>J24</f>
        <v>84</v>
      </c>
      <c r="AT24" s="184">
        <v>8.0000000000000004E-4</v>
      </c>
      <c r="AU24" s="145">
        <f t="shared" si="18"/>
        <v>8.0000000000000004E-4</v>
      </c>
      <c r="AV24" s="10">
        <v>7.4999999999999997E-3</v>
      </c>
      <c r="AW24" s="10"/>
    </row>
    <row r="25" spans="2:49" s="192" customFormat="1" x14ac:dyDescent="0.2">
      <c r="B25" s="118" t="s">
        <v>85</v>
      </c>
      <c r="C25" s="188" t="s">
        <v>86</v>
      </c>
      <c r="D25" s="13">
        <v>78</v>
      </c>
      <c r="E25" s="12" t="s">
        <v>70</v>
      </c>
      <c r="F25" s="34"/>
      <c r="G25" s="34"/>
      <c r="H25" s="34">
        <f>D25*2</f>
        <v>156</v>
      </c>
      <c r="I25" s="34">
        <v>312</v>
      </c>
      <c r="J25" s="34">
        <v>78</v>
      </c>
      <c r="K25" s="34"/>
      <c r="L25" s="34"/>
      <c r="M25" s="182"/>
      <c r="N25" s="34"/>
      <c r="O25" s="34"/>
      <c r="P25" s="128">
        <f t="shared" si="3"/>
        <v>3.3799222499999997E-2</v>
      </c>
      <c r="Q25" s="175">
        <f t="shared" si="24"/>
        <v>67.598444999999998</v>
      </c>
      <c r="R25" s="189">
        <v>3.7</v>
      </c>
      <c r="S25" s="190">
        <v>19645</v>
      </c>
      <c r="T25" s="41">
        <f t="shared" si="25"/>
        <v>9.2999999999999995E-4</v>
      </c>
      <c r="U25" s="12"/>
      <c r="V25" s="12"/>
      <c r="W25" s="142">
        <f t="shared" si="6"/>
        <v>1.5305472</v>
      </c>
      <c r="X25" s="142">
        <f>SUM(W25:W27)</f>
        <v>2.2129161599999998</v>
      </c>
      <c r="Y25" s="41">
        <v>8760</v>
      </c>
      <c r="Z25" s="134">
        <f t="shared" si="9"/>
        <v>0.34943999999999997</v>
      </c>
      <c r="AA25" s="130">
        <f t="shared" si="0"/>
        <v>156</v>
      </c>
      <c r="AB25" s="197">
        <v>2.1499999999999998E-2</v>
      </c>
      <c r="AC25" s="133">
        <f t="shared" si="13"/>
        <v>2.1499999999999998E-2</v>
      </c>
      <c r="AD25" s="134">
        <v>0.04</v>
      </c>
      <c r="AE25" s="134">
        <f t="shared" si="14"/>
        <v>0.06</v>
      </c>
      <c r="AF25" s="135">
        <v>2.3E-2</v>
      </c>
      <c r="AG25" s="12"/>
      <c r="AH25" s="129">
        <f t="shared" si="7"/>
        <v>0</v>
      </c>
      <c r="AI25" s="41">
        <v>8760</v>
      </c>
      <c r="AJ25" s="143">
        <f t="shared" si="15"/>
        <v>0</v>
      </c>
      <c r="AK25" s="10">
        <f>I25</f>
        <v>312</v>
      </c>
      <c r="AL25" s="33">
        <v>0</v>
      </c>
      <c r="AM25" s="145">
        <f t="shared" si="2"/>
        <v>0</v>
      </c>
      <c r="AN25" s="10">
        <v>7.4999999999999997E-3</v>
      </c>
      <c r="AO25" s="12"/>
      <c r="AP25" s="129">
        <f t="shared" si="8"/>
        <v>7.6868999999999982E-4</v>
      </c>
      <c r="AQ25" s="41">
        <v>8760</v>
      </c>
      <c r="AR25" s="137">
        <f t="shared" si="17"/>
        <v>1.7549999999999998E-4</v>
      </c>
      <c r="AS25" s="10">
        <f>J25</f>
        <v>78</v>
      </c>
      <c r="AT25" s="33">
        <v>2.9999999999999997E-4</v>
      </c>
      <c r="AU25" s="145">
        <f t="shared" si="18"/>
        <v>2.9999999999999997E-4</v>
      </c>
      <c r="AV25" s="10">
        <v>7.4999999999999997E-3</v>
      </c>
      <c r="AW25" s="12"/>
    </row>
    <row r="26" spans="2:49" s="192" customFormat="1" x14ac:dyDescent="0.2">
      <c r="B26" s="10" t="s">
        <v>85</v>
      </c>
      <c r="C26" s="188" t="s">
        <v>76</v>
      </c>
      <c r="D26" s="13">
        <v>25</v>
      </c>
      <c r="E26" s="12" t="s">
        <v>70</v>
      </c>
      <c r="F26" s="34"/>
      <c r="G26" s="34"/>
      <c r="H26" s="34">
        <f t="shared" ref="H26:H30" si="33">D26*2</f>
        <v>50</v>
      </c>
      <c r="I26" s="34">
        <v>125</v>
      </c>
      <c r="J26" s="34">
        <v>25</v>
      </c>
      <c r="K26" s="13"/>
      <c r="L26" s="13"/>
      <c r="M26" s="182"/>
      <c r="N26" s="13"/>
      <c r="O26" s="13"/>
      <c r="P26" s="128">
        <f t="shared" si="3"/>
        <v>1.1319169499999998E-2</v>
      </c>
      <c r="Q26" s="175">
        <f t="shared" si="24"/>
        <v>22.638338999999998</v>
      </c>
      <c r="R26" s="189">
        <v>4.3</v>
      </c>
      <c r="S26" s="190">
        <v>5661</v>
      </c>
      <c r="T26" s="41">
        <f t="shared" si="25"/>
        <v>9.2999999999999995E-4</v>
      </c>
      <c r="U26" s="12"/>
      <c r="V26" s="12"/>
      <c r="W26" s="126">
        <f t="shared" si="6"/>
        <v>0.32061600000000001</v>
      </c>
      <c r="X26" s="142"/>
      <c r="Y26" s="41">
        <v>8760</v>
      </c>
      <c r="Z26" s="134">
        <f t="shared" si="9"/>
        <v>7.3200000000000001E-2</v>
      </c>
      <c r="AA26" s="130">
        <f t="shared" si="0"/>
        <v>50</v>
      </c>
      <c r="AB26" s="197">
        <v>2.0999999999999999E-3</v>
      </c>
      <c r="AC26" s="133">
        <f t="shared" si="13"/>
        <v>2.0999999999999999E-3</v>
      </c>
      <c r="AD26" s="134">
        <v>0.04</v>
      </c>
      <c r="AE26" s="134">
        <f t="shared" si="14"/>
        <v>0.06</v>
      </c>
      <c r="AF26" s="135">
        <v>2.3E-2</v>
      </c>
      <c r="AG26" s="12"/>
      <c r="AH26" s="129">
        <f t="shared" si="7"/>
        <v>0</v>
      </c>
      <c r="AI26" s="41">
        <v>8760</v>
      </c>
      <c r="AJ26" s="143">
        <f t="shared" si="15"/>
        <v>0</v>
      </c>
      <c r="AK26" s="10">
        <f>I26</f>
        <v>125</v>
      </c>
      <c r="AL26" s="33">
        <v>0</v>
      </c>
      <c r="AM26" s="145">
        <f t="shared" si="2"/>
        <v>0</v>
      </c>
      <c r="AN26" s="10">
        <v>7.4999999999999997E-3</v>
      </c>
      <c r="AO26" s="12"/>
      <c r="AP26" s="129">
        <f t="shared" si="8"/>
        <v>0</v>
      </c>
      <c r="AQ26" s="41">
        <v>8760</v>
      </c>
      <c r="AR26" s="137">
        <f t="shared" si="17"/>
        <v>0</v>
      </c>
      <c r="AS26" s="10">
        <f>J26</f>
        <v>25</v>
      </c>
      <c r="AT26" s="33">
        <v>0</v>
      </c>
      <c r="AU26" s="145">
        <f t="shared" si="18"/>
        <v>0</v>
      </c>
      <c r="AV26" s="10">
        <v>7.4999999999999997E-3</v>
      </c>
      <c r="AW26" s="12"/>
    </row>
    <row r="27" spans="2:49" s="192" customFormat="1" x14ac:dyDescent="0.2">
      <c r="B27" s="10" t="s">
        <v>85</v>
      </c>
      <c r="C27" s="188" t="s">
        <v>87</v>
      </c>
      <c r="D27" s="13">
        <v>29</v>
      </c>
      <c r="E27" s="12" t="s">
        <v>70</v>
      </c>
      <c r="F27" s="34"/>
      <c r="G27" s="34"/>
      <c r="H27" s="34">
        <f t="shared" si="33"/>
        <v>58</v>
      </c>
      <c r="I27" s="34">
        <v>145</v>
      </c>
      <c r="J27" s="34">
        <v>29</v>
      </c>
      <c r="K27" s="13"/>
      <c r="L27" s="13"/>
      <c r="M27" s="182"/>
      <c r="N27" s="13"/>
      <c r="O27" s="13"/>
      <c r="P27" s="128">
        <f t="shared" si="3"/>
        <v>1.3128716999999998E-2</v>
      </c>
      <c r="Q27" s="175">
        <f t="shared" si="24"/>
        <v>26.257433999999996</v>
      </c>
      <c r="R27" s="189">
        <v>4.3</v>
      </c>
      <c r="S27" s="190">
        <v>6566</v>
      </c>
      <c r="T27" s="41">
        <f t="shared" si="25"/>
        <v>9.2999999999999995E-4</v>
      </c>
      <c r="U27" s="12"/>
      <c r="V27" s="12"/>
      <c r="W27" s="126">
        <f t="shared" si="6"/>
        <v>0.36175295999999996</v>
      </c>
      <c r="X27" s="142"/>
      <c r="Y27" s="41">
        <v>8760</v>
      </c>
      <c r="Z27" s="134">
        <f t="shared" si="9"/>
        <v>8.2591999999999999E-2</v>
      </c>
      <c r="AA27" s="130">
        <f t="shared" si="0"/>
        <v>58</v>
      </c>
      <c r="AB27" s="197">
        <v>1.1000000000000001E-3</v>
      </c>
      <c r="AC27" s="133">
        <f t="shared" si="13"/>
        <v>1.1000000000000001E-3</v>
      </c>
      <c r="AD27" s="134">
        <v>0.04</v>
      </c>
      <c r="AE27" s="134">
        <f t="shared" si="14"/>
        <v>0.06</v>
      </c>
      <c r="AF27" s="135">
        <v>2.3E-2</v>
      </c>
      <c r="AG27" s="12"/>
      <c r="AH27" s="129">
        <f t="shared" si="7"/>
        <v>0</v>
      </c>
      <c r="AI27" s="41">
        <v>8760</v>
      </c>
      <c r="AJ27" s="143">
        <f t="shared" si="15"/>
        <v>0</v>
      </c>
      <c r="AK27" s="10">
        <f>I27</f>
        <v>145</v>
      </c>
      <c r="AL27" s="33">
        <v>0</v>
      </c>
      <c r="AM27" s="145">
        <f t="shared" si="2"/>
        <v>0</v>
      </c>
      <c r="AN27" s="10">
        <v>7.4999999999999997E-3</v>
      </c>
      <c r="AO27" s="12"/>
      <c r="AP27" s="129">
        <f t="shared" si="8"/>
        <v>0</v>
      </c>
      <c r="AQ27" s="41">
        <v>8760</v>
      </c>
      <c r="AR27" s="137">
        <f t="shared" si="17"/>
        <v>0</v>
      </c>
      <c r="AS27" s="10">
        <f>J27</f>
        <v>29</v>
      </c>
      <c r="AT27" s="33">
        <v>0</v>
      </c>
      <c r="AU27" s="145">
        <f t="shared" si="18"/>
        <v>0</v>
      </c>
      <c r="AV27" s="10">
        <v>7.4999999999999997E-3</v>
      </c>
      <c r="AW27" s="12"/>
    </row>
    <row r="28" spans="2:49" s="192" customFormat="1" x14ac:dyDescent="0.2">
      <c r="B28" s="118" t="s">
        <v>147</v>
      </c>
      <c r="C28" s="188" t="s">
        <v>88</v>
      </c>
      <c r="D28" s="13">
        <v>30</v>
      </c>
      <c r="E28" s="12" t="s">
        <v>70</v>
      </c>
      <c r="F28" s="34">
        <v>5</v>
      </c>
      <c r="G28" s="34">
        <v>1</v>
      </c>
      <c r="H28" s="34">
        <f t="shared" si="33"/>
        <v>60</v>
      </c>
      <c r="I28" s="34">
        <f t="shared" ref="I28:I30" si="34">F28*D28</f>
        <v>150</v>
      </c>
      <c r="J28" s="34">
        <f t="shared" ref="J28:J30" si="35">G28*D28</f>
        <v>30</v>
      </c>
      <c r="K28" s="13"/>
      <c r="L28" s="191">
        <v>9449</v>
      </c>
      <c r="M28" s="182"/>
      <c r="N28" s="13"/>
      <c r="O28" s="13"/>
      <c r="P28" s="128">
        <f t="shared" si="3"/>
        <v>1.8937213349999996E-2</v>
      </c>
      <c r="Q28" s="175">
        <f t="shared" si="24"/>
        <v>37.874426699999994</v>
      </c>
      <c r="R28" s="187">
        <v>4.3099999999999996</v>
      </c>
      <c r="S28" s="177">
        <f t="shared" ref="S28:S30" si="36">L28</f>
        <v>9449</v>
      </c>
      <c r="T28" s="41">
        <f t="shared" si="25"/>
        <v>9.2999999999999995E-4</v>
      </c>
      <c r="U28" s="12"/>
      <c r="V28" s="12"/>
      <c r="W28" s="126">
        <f t="shared" si="6"/>
        <v>0.53400959999999986</v>
      </c>
      <c r="X28" s="142">
        <f>SUM(W28:W30)</f>
        <v>2.0172527999999996</v>
      </c>
      <c r="Y28" s="41">
        <v>8760</v>
      </c>
      <c r="Z28" s="134">
        <f t="shared" si="9"/>
        <v>0.12191999999999997</v>
      </c>
      <c r="AA28" s="130">
        <f t="shared" si="0"/>
        <v>60</v>
      </c>
      <c r="AB28" s="170">
        <v>1.6299999999999999E-2</v>
      </c>
      <c r="AC28" s="133">
        <f t="shared" si="13"/>
        <v>1.6299999999999999E-2</v>
      </c>
      <c r="AD28" s="134">
        <v>0.04</v>
      </c>
      <c r="AE28" s="134">
        <f t="shared" si="14"/>
        <v>0.06</v>
      </c>
      <c r="AF28" s="135">
        <v>2.3E-2</v>
      </c>
      <c r="AG28" s="12"/>
      <c r="AH28" s="129">
        <f t="shared" si="7"/>
        <v>5.4202500000000006E-3</v>
      </c>
      <c r="AI28" s="41">
        <v>8760</v>
      </c>
      <c r="AJ28" s="143">
        <f t="shared" si="15"/>
        <v>1.2375000000000001E-3</v>
      </c>
      <c r="AK28" s="10">
        <f>I28</f>
        <v>150</v>
      </c>
      <c r="AL28" s="184">
        <v>1.1000000000000001E-3</v>
      </c>
      <c r="AM28" s="145">
        <f t="shared" si="2"/>
        <v>1.1000000000000001E-3</v>
      </c>
      <c r="AN28" s="10">
        <v>7.4999999999999997E-3</v>
      </c>
      <c r="AO28" s="12"/>
      <c r="AP28" s="129">
        <f t="shared" si="8"/>
        <v>7.7854500000000002E-3</v>
      </c>
      <c r="AQ28" s="41">
        <v>8760</v>
      </c>
      <c r="AR28" s="137">
        <f t="shared" si="17"/>
        <v>1.7775E-3</v>
      </c>
      <c r="AS28" s="10">
        <f>J28</f>
        <v>30</v>
      </c>
      <c r="AT28" s="184">
        <v>7.9000000000000008E-3</v>
      </c>
      <c r="AU28" s="145">
        <f t="shared" si="18"/>
        <v>7.9000000000000008E-3</v>
      </c>
      <c r="AV28" s="10">
        <v>7.4999999999999997E-3</v>
      </c>
      <c r="AW28" s="12"/>
    </row>
    <row r="29" spans="2:49" s="192" customFormat="1" x14ac:dyDescent="0.2">
      <c r="B29" s="118" t="s">
        <v>147</v>
      </c>
      <c r="C29" s="188" t="s">
        <v>89</v>
      </c>
      <c r="D29" s="13">
        <v>30</v>
      </c>
      <c r="E29" s="12" t="s">
        <v>70</v>
      </c>
      <c r="F29" s="34">
        <v>5</v>
      </c>
      <c r="G29" s="34">
        <v>1</v>
      </c>
      <c r="H29" s="34">
        <f t="shared" si="33"/>
        <v>60</v>
      </c>
      <c r="I29" s="34">
        <f t="shared" si="34"/>
        <v>150</v>
      </c>
      <c r="J29" s="34">
        <f t="shared" si="35"/>
        <v>30</v>
      </c>
      <c r="K29" s="13"/>
      <c r="L29" s="191">
        <v>8827</v>
      </c>
      <c r="M29" s="12"/>
      <c r="N29" s="13"/>
      <c r="O29" s="13"/>
      <c r="P29" s="128">
        <f t="shared" si="3"/>
        <v>1.7690632049999998E-2</v>
      </c>
      <c r="Q29" s="175">
        <f t="shared" si="24"/>
        <v>35.381264099999996</v>
      </c>
      <c r="R29" s="187">
        <v>4.3099999999999996</v>
      </c>
      <c r="S29" s="177">
        <f t="shared" si="36"/>
        <v>8827</v>
      </c>
      <c r="T29" s="41">
        <f t="shared" si="25"/>
        <v>9.2999999999999995E-4</v>
      </c>
      <c r="U29" s="12"/>
      <c r="V29" s="12"/>
      <c r="W29" s="126">
        <f t="shared" si="6"/>
        <v>0.53295839999999983</v>
      </c>
      <c r="X29" s="142"/>
      <c r="Y29" s="41">
        <v>8760</v>
      </c>
      <c r="Z29" s="134">
        <f t="shared" si="9"/>
        <v>0.12167999999999998</v>
      </c>
      <c r="AA29" s="130">
        <f t="shared" si="0"/>
        <v>60</v>
      </c>
      <c r="AB29" s="170">
        <v>1.6199999999999999E-2</v>
      </c>
      <c r="AC29" s="133">
        <f t="shared" si="13"/>
        <v>1.6199999999999999E-2</v>
      </c>
      <c r="AD29" s="134">
        <v>0.04</v>
      </c>
      <c r="AE29" s="134">
        <f t="shared" si="14"/>
        <v>0.06</v>
      </c>
      <c r="AF29" s="135">
        <v>2.3E-2</v>
      </c>
      <c r="AG29" s="12"/>
      <c r="AH29" s="129">
        <f t="shared" si="7"/>
        <v>3.9420000000000002E-3</v>
      </c>
      <c r="AI29" s="41">
        <v>8760</v>
      </c>
      <c r="AJ29" s="143">
        <f t="shared" si="15"/>
        <v>9.0000000000000008E-4</v>
      </c>
      <c r="AK29" s="10">
        <f>I29</f>
        <v>150</v>
      </c>
      <c r="AL29" s="184">
        <v>8.0000000000000004E-4</v>
      </c>
      <c r="AM29" s="145">
        <f t="shared" si="2"/>
        <v>8.0000000000000004E-4</v>
      </c>
      <c r="AN29" s="10">
        <v>7.4999999999999997E-3</v>
      </c>
      <c r="AO29" s="12"/>
      <c r="AP29" s="129">
        <f t="shared" si="8"/>
        <v>5.0260500000000007E-3</v>
      </c>
      <c r="AQ29" s="41">
        <v>8760</v>
      </c>
      <c r="AR29" s="137">
        <f t="shared" si="17"/>
        <v>1.1475000000000001E-3</v>
      </c>
      <c r="AS29" s="10">
        <f>J29</f>
        <v>30</v>
      </c>
      <c r="AT29" s="184">
        <v>5.1000000000000004E-3</v>
      </c>
      <c r="AU29" s="145">
        <f t="shared" si="18"/>
        <v>5.1000000000000004E-3</v>
      </c>
      <c r="AV29" s="10">
        <v>7.4999999999999997E-3</v>
      </c>
      <c r="AW29" s="12"/>
    </row>
    <row r="30" spans="2:49" s="192" customFormat="1" x14ac:dyDescent="0.2">
      <c r="B30" s="118" t="s">
        <v>147</v>
      </c>
      <c r="C30" s="188" t="s">
        <v>90</v>
      </c>
      <c r="D30" s="13">
        <v>60</v>
      </c>
      <c r="E30" s="12" t="s">
        <v>70</v>
      </c>
      <c r="F30" s="34">
        <v>5</v>
      </c>
      <c r="G30" s="34">
        <v>1</v>
      </c>
      <c r="H30" s="34">
        <f t="shared" si="33"/>
        <v>120</v>
      </c>
      <c r="I30" s="34">
        <f t="shared" si="34"/>
        <v>300</v>
      </c>
      <c r="J30" s="34">
        <f t="shared" si="35"/>
        <v>60</v>
      </c>
      <c r="K30" s="13"/>
      <c r="L30" s="191">
        <v>12184</v>
      </c>
      <c r="M30" s="12"/>
      <c r="N30" s="13"/>
      <c r="O30" s="13"/>
      <c r="P30" s="128">
        <f t="shared" si="3"/>
        <v>1.97161488E-2</v>
      </c>
      <c r="Q30" s="175">
        <f t="shared" si="24"/>
        <v>39.432297599999998</v>
      </c>
      <c r="R30" s="187">
        <v>3.48</v>
      </c>
      <c r="S30" s="177">
        <f t="shared" si="36"/>
        <v>12184</v>
      </c>
      <c r="T30" s="41">
        <f t="shared" si="25"/>
        <v>9.2999999999999995E-4</v>
      </c>
      <c r="U30" s="12"/>
      <c r="V30" s="12"/>
      <c r="W30" s="126">
        <f t="shared" si="6"/>
        <v>0.95028479999999993</v>
      </c>
      <c r="X30" s="142"/>
      <c r="Y30" s="41">
        <v>8760</v>
      </c>
      <c r="Z30" s="134">
        <f t="shared" si="9"/>
        <v>0.21695999999999999</v>
      </c>
      <c r="AA30" s="130">
        <f t="shared" si="0"/>
        <v>120</v>
      </c>
      <c r="AB30" s="170">
        <v>1.0699999999999999E-2</v>
      </c>
      <c r="AC30" s="133">
        <f t="shared" si="13"/>
        <v>1.0699999999999999E-2</v>
      </c>
      <c r="AD30" s="134">
        <v>0.04</v>
      </c>
      <c r="AE30" s="134">
        <f t="shared" si="14"/>
        <v>0.06</v>
      </c>
      <c r="AF30" s="135">
        <v>2.3E-2</v>
      </c>
      <c r="AG30" s="12"/>
      <c r="AH30" s="129">
        <f t="shared" si="7"/>
        <v>6.8984999999999993E-3</v>
      </c>
      <c r="AI30" s="41">
        <v>8760</v>
      </c>
      <c r="AJ30" s="143">
        <f t="shared" si="15"/>
        <v>1.5749999999999998E-3</v>
      </c>
      <c r="AK30" s="10">
        <f>I30</f>
        <v>300</v>
      </c>
      <c r="AL30" s="184">
        <v>6.9999999999999999E-4</v>
      </c>
      <c r="AM30" s="145">
        <f t="shared" si="2"/>
        <v>6.9999999999999999E-4</v>
      </c>
      <c r="AN30" s="10">
        <v>7.4999999999999997E-3</v>
      </c>
      <c r="AO30" s="12"/>
      <c r="AP30" s="129">
        <f t="shared" si="8"/>
        <v>1.4979599999999999E-2</v>
      </c>
      <c r="AQ30" s="41">
        <v>8760</v>
      </c>
      <c r="AR30" s="137">
        <f t="shared" si="17"/>
        <v>3.4199999999999999E-3</v>
      </c>
      <c r="AS30" s="10">
        <f>J30</f>
        <v>60</v>
      </c>
      <c r="AT30" s="184">
        <v>7.6E-3</v>
      </c>
      <c r="AU30" s="145">
        <f t="shared" si="18"/>
        <v>7.6E-3</v>
      </c>
      <c r="AV30" s="10">
        <v>7.4999999999999997E-3</v>
      </c>
      <c r="AW30" s="12"/>
    </row>
    <row r="31" spans="2:49" s="192" customFormat="1" x14ac:dyDescent="0.2"/>
    <row r="32" spans="2:49" s="192" customFormat="1" x14ac:dyDescent="0.2"/>
    <row r="33" s="192" customFormat="1" x14ac:dyDescent="0.2"/>
    <row r="34" s="192" customFormat="1" x14ac:dyDescent="0.2"/>
    <row r="35" s="192" customFormat="1" x14ac:dyDescent="0.2"/>
    <row r="36" s="192" customFormat="1" x14ac:dyDescent="0.2"/>
    <row r="37" s="192" customFormat="1" x14ac:dyDescent="0.2"/>
    <row r="38" s="192" customFormat="1" x14ac:dyDescent="0.2"/>
    <row r="39" s="192" customFormat="1" x14ac:dyDescent="0.2"/>
  </sheetData>
  <autoFilter ref="B3:AW30" xr:uid="{B9D15D55-5E13-4BCF-AA66-6C66902EF48B}"/>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42749-F21C-4CB5-8F98-1A3CD28B7135}">
  <dimension ref="A1:I21"/>
  <sheetViews>
    <sheetView zoomScaleNormal="100" workbookViewId="0">
      <pane xSplit="2" ySplit="3" topLeftCell="C4" activePane="bottomRight" state="frozen"/>
      <selection activeCell="D30" sqref="D19:D30"/>
      <selection pane="topRight" activeCell="D30" sqref="D19:D30"/>
      <selection pane="bottomLeft" activeCell="D30" sqref="D19:D30"/>
      <selection pane="bottomRight"/>
    </sheetView>
  </sheetViews>
  <sheetFormatPr defaultColWidth="9.140625" defaultRowHeight="12.75" x14ac:dyDescent="0.2"/>
  <cols>
    <col min="1" max="1" width="20.5703125" style="9" customWidth="1"/>
    <col min="2" max="2" width="24.28515625" style="9" customWidth="1"/>
    <col min="3" max="9" width="20.5703125" style="9" customWidth="1"/>
    <col min="10" max="16384" width="9.140625" style="9"/>
  </cols>
  <sheetData>
    <row r="1" spans="1:9" ht="15.75" customHeight="1" thickBot="1" x14ac:dyDescent="0.25">
      <c r="A1" s="5" t="s">
        <v>205</v>
      </c>
      <c r="C1" s="5"/>
      <c r="D1" s="5"/>
    </row>
    <row r="2" spans="1:9" ht="30.75" customHeight="1" x14ac:dyDescent="0.2">
      <c r="A2" s="235" t="s">
        <v>158</v>
      </c>
      <c r="B2" s="237" t="s">
        <v>206</v>
      </c>
      <c r="C2" s="237"/>
      <c r="D2" s="237"/>
      <c r="E2" s="237"/>
      <c r="F2" s="237"/>
      <c r="G2" s="237"/>
      <c r="H2" s="237"/>
      <c r="I2" s="238"/>
    </row>
    <row r="3" spans="1:9" ht="57" customHeight="1" thickBot="1" x14ac:dyDescent="0.25">
      <c r="A3" s="236"/>
      <c r="B3" s="50" t="s">
        <v>207</v>
      </c>
      <c r="C3" s="50" t="s">
        <v>208</v>
      </c>
      <c r="D3" s="50" t="s">
        <v>209</v>
      </c>
      <c r="E3" s="50" t="s">
        <v>210</v>
      </c>
      <c r="F3" s="50" t="s">
        <v>211</v>
      </c>
      <c r="G3" s="50" t="s">
        <v>212</v>
      </c>
      <c r="H3" s="50" t="s">
        <v>213</v>
      </c>
      <c r="I3" s="51" t="s">
        <v>214</v>
      </c>
    </row>
    <row r="4" spans="1:9" ht="24.95" customHeight="1" x14ac:dyDescent="0.2">
      <c r="A4" s="109" t="s">
        <v>167</v>
      </c>
      <c r="B4" s="110" t="s">
        <v>168</v>
      </c>
      <c r="C4" s="110" t="s">
        <v>215</v>
      </c>
      <c r="D4" s="14">
        <v>1</v>
      </c>
      <c r="E4" s="14">
        <f>82*2</f>
        <v>164</v>
      </c>
      <c r="F4" s="110" t="s">
        <v>216</v>
      </c>
      <c r="G4" s="111" t="s">
        <v>217</v>
      </c>
      <c r="H4" s="111">
        <v>37874</v>
      </c>
      <c r="I4" s="112" t="s">
        <v>218</v>
      </c>
    </row>
    <row r="5" spans="1:9" ht="24.95" customHeight="1" x14ac:dyDescent="0.2">
      <c r="A5" s="109" t="s">
        <v>167</v>
      </c>
      <c r="B5" s="110" t="s">
        <v>181</v>
      </c>
      <c r="C5" s="110" t="s">
        <v>219</v>
      </c>
      <c r="D5" s="14">
        <v>1</v>
      </c>
      <c r="E5" s="14">
        <f>82*2</f>
        <v>164</v>
      </c>
      <c r="F5" s="110" t="s">
        <v>216</v>
      </c>
      <c r="G5" s="111" t="s">
        <v>220</v>
      </c>
      <c r="H5" s="111">
        <v>36625</v>
      </c>
      <c r="I5" s="112" t="s">
        <v>218</v>
      </c>
    </row>
    <row r="6" spans="1:9" ht="24.95" customHeight="1" x14ac:dyDescent="0.2">
      <c r="A6" s="109" t="s">
        <v>182</v>
      </c>
      <c r="B6" s="110" t="s">
        <v>114</v>
      </c>
      <c r="C6" s="14">
        <v>4</v>
      </c>
      <c r="D6" s="14">
        <v>2</v>
      </c>
      <c r="E6" s="14">
        <v>112</v>
      </c>
      <c r="F6" s="14">
        <v>112</v>
      </c>
      <c r="G6" s="110" t="s">
        <v>221</v>
      </c>
      <c r="H6" s="110" t="s">
        <v>222</v>
      </c>
      <c r="I6" s="112" t="s">
        <v>218</v>
      </c>
    </row>
    <row r="7" spans="1:9" ht="24.95" customHeight="1" x14ac:dyDescent="0.2">
      <c r="A7" s="109" t="s">
        <v>223</v>
      </c>
      <c r="B7" s="7" t="s">
        <v>224</v>
      </c>
      <c r="C7" s="7">
        <v>3</v>
      </c>
      <c r="D7" s="7">
        <v>2</v>
      </c>
      <c r="E7" s="7">
        <v>170</v>
      </c>
      <c r="F7" s="7">
        <v>170</v>
      </c>
      <c r="G7" s="7" t="s">
        <v>225</v>
      </c>
      <c r="H7" s="27">
        <v>35287</v>
      </c>
      <c r="I7" s="112" t="s">
        <v>218</v>
      </c>
    </row>
    <row r="8" spans="1:9" ht="24.95" customHeight="1" x14ac:dyDescent="0.2">
      <c r="A8" s="7" t="s">
        <v>3</v>
      </c>
      <c r="B8" s="2" t="s">
        <v>226</v>
      </c>
      <c r="C8" s="14">
        <v>4</v>
      </c>
      <c r="D8" s="14">
        <v>2</v>
      </c>
      <c r="E8" s="14">
        <f t="shared" ref="E8:F10" si="0">64*2</f>
        <v>128</v>
      </c>
      <c r="F8" s="14">
        <f t="shared" si="0"/>
        <v>128</v>
      </c>
      <c r="G8" s="113">
        <f>H8/64</f>
        <v>332.60416666666669</v>
      </c>
      <c r="H8" s="114">
        <f>63860/3</f>
        <v>21286.666666666668</v>
      </c>
      <c r="I8" s="14" t="s">
        <v>227</v>
      </c>
    </row>
    <row r="9" spans="1:9" ht="24.95" customHeight="1" x14ac:dyDescent="0.2">
      <c r="A9" s="7" t="s">
        <v>3</v>
      </c>
      <c r="B9" s="2" t="s">
        <v>192</v>
      </c>
      <c r="C9" s="7">
        <v>4</v>
      </c>
      <c r="D9" s="7">
        <v>2</v>
      </c>
      <c r="E9" s="7">
        <f t="shared" si="0"/>
        <v>128</v>
      </c>
      <c r="F9" s="7">
        <f t="shared" si="0"/>
        <v>128</v>
      </c>
      <c r="G9" s="113">
        <f t="shared" ref="G9:G10" si="1">H9/64</f>
        <v>332.60416666666669</v>
      </c>
      <c r="H9" s="114">
        <f t="shared" ref="H9:H10" si="2">63860/3</f>
        <v>21286.666666666668</v>
      </c>
      <c r="I9" s="7" t="s">
        <v>227</v>
      </c>
    </row>
    <row r="10" spans="1:9" ht="24.95" customHeight="1" x14ac:dyDescent="0.2">
      <c r="A10" s="7" t="s">
        <v>3</v>
      </c>
      <c r="B10" s="2" t="s">
        <v>228</v>
      </c>
      <c r="C10" s="7">
        <v>4</v>
      </c>
      <c r="D10" s="7">
        <v>2</v>
      </c>
      <c r="E10" s="7">
        <f t="shared" si="0"/>
        <v>128</v>
      </c>
      <c r="F10" s="7">
        <f t="shared" si="0"/>
        <v>128</v>
      </c>
      <c r="G10" s="113">
        <f t="shared" si="1"/>
        <v>332.60416666666669</v>
      </c>
      <c r="H10" s="114">
        <f t="shared" si="2"/>
        <v>21286.666666666668</v>
      </c>
      <c r="I10" s="7" t="s">
        <v>227</v>
      </c>
    </row>
    <row r="11" spans="1:9" ht="24.95" customHeight="1" x14ac:dyDescent="0.2">
      <c r="A11" s="7" t="s">
        <v>3</v>
      </c>
      <c r="B11" s="2" t="s">
        <v>229</v>
      </c>
      <c r="C11" s="7">
        <v>4</v>
      </c>
      <c r="D11" s="7">
        <v>2</v>
      </c>
      <c r="E11" s="7">
        <f t="shared" ref="E11:F13" si="3">61*2</f>
        <v>122</v>
      </c>
      <c r="F11" s="7">
        <f t="shared" si="3"/>
        <v>122</v>
      </c>
      <c r="G11" s="115">
        <f>H11/61</f>
        <v>320.18032786885249</v>
      </c>
      <c r="H11" s="27">
        <f>39062/2</f>
        <v>19531</v>
      </c>
      <c r="I11" s="7" t="s">
        <v>230</v>
      </c>
    </row>
    <row r="12" spans="1:9" ht="24.95" customHeight="1" x14ac:dyDescent="0.2">
      <c r="A12" s="7" t="s">
        <v>3</v>
      </c>
      <c r="B12" s="2" t="s">
        <v>231</v>
      </c>
      <c r="C12" s="7">
        <v>4</v>
      </c>
      <c r="D12" s="7">
        <v>2</v>
      </c>
      <c r="E12" s="7">
        <f t="shared" si="3"/>
        <v>122</v>
      </c>
      <c r="F12" s="7">
        <f t="shared" si="3"/>
        <v>122</v>
      </c>
      <c r="G12" s="115">
        <f>H12/61</f>
        <v>320.18032786885249</v>
      </c>
      <c r="H12" s="27">
        <f>39062/2</f>
        <v>19531</v>
      </c>
      <c r="I12" s="7" t="s">
        <v>230</v>
      </c>
    </row>
    <row r="13" spans="1:9" ht="24.95" customHeight="1" x14ac:dyDescent="0.2">
      <c r="A13" s="7" t="s">
        <v>3</v>
      </c>
      <c r="B13" s="2" t="s">
        <v>232</v>
      </c>
      <c r="C13" s="7">
        <v>4</v>
      </c>
      <c r="D13" s="7">
        <v>2</v>
      </c>
      <c r="E13" s="7">
        <f t="shared" si="3"/>
        <v>122</v>
      </c>
      <c r="F13" s="7">
        <f t="shared" si="3"/>
        <v>122</v>
      </c>
      <c r="G13" s="7">
        <v>0</v>
      </c>
      <c r="H13" s="27">
        <v>0</v>
      </c>
      <c r="I13" s="7" t="s">
        <v>1</v>
      </c>
    </row>
    <row r="14" spans="1:9" ht="24.95" customHeight="1" x14ac:dyDescent="0.2">
      <c r="A14" s="7" t="s">
        <v>3</v>
      </c>
      <c r="B14" s="2" t="s">
        <v>233</v>
      </c>
      <c r="C14" s="7">
        <v>4</v>
      </c>
      <c r="D14" s="7">
        <v>2</v>
      </c>
      <c r="E14" s="7">
        <f>87*2</f>
        <v>174</v>
      </c>
      <c r="F14" s="7">
        <f>87*2</f>
        <v>174</v>
      </c>
      <c r="G14" s="115">
        <f>H14/87</f>
        <v>378.79885057471262</v>
      </c>
      <c r="H14" s="27">
        <f>65911/2</f>
        <v>32955.5</v>
      </c>
      <c r="I14" s="7" t="s">
        <v>234</v>
      </c>
    </row>
    <row r="15" spans="1:9" ht="24.95" customHeight="1" x14ac:dyDescent="0.2">
      <c r="A15" s="7" t="s">
        <v>3</v>
      </c>
      <c r="B15" s="2" t="s">
        <v>235</v>
      </c>
      <c r="C15" s="7">
        <v>4</v>
      </c>
      <c r="D15" s="7">
        <v>2</v>
      </c>
      <c r="E15" s="7">
        <f>87*2</f>
        <v>174</v>
      </c>
      <c r="F15" s="7">
        <f>87*2</f>
        <v>174</v>
      </c>
      <c r="G15" s="115">
        <f>H15/87</f>
        <v>378.79885057471262</v>
      </c>
      <c r="H15" s="27">
        <f>65911/2</f>
        <v>32955.5</v>
      </c>
      <c r="I15" s="7" t="s">
        <v>234</v>
      </c>
    </row>
    <row r="16" spans="1:9" ht="24.95" customHeight="1" x14ac:dyDescent="0.2">
      <c r="A16" s="7" t="s">
        <v>3</v>
      </c>
      <c r="B16" s="2" t="s">
        <v>236</v>
      </c>
      <c r="C16" s="7">
        <v>4</v>
      </c>
      <c r="D16" s="7">
        <v>2</v>
      </c>
      <c r="E16" s="7">
        <f>75*2</f>
        <v>150</v>
      </c>
      <c r="F16" s="7">
        <f>75*2</f>
        <v>150</v>
      </c>
      <c r="G16" s="115">
        <f>H16/75</f>
        <v>417.89333333333332</v>
      </c>
      <c r="H16" s="27">
        <v>31342</v>
      </c>
      <c r="I16" s="7" t="s">
        <v>237</v>
      </c>
    </row>
    <row r="17" spans="1:9" ht="24.95" customHeight="1" x14ac:dyDescent="0.2">
      <c r="A17" s="7" t="s">
        <v>3</v>
      </c>
      <c r="B17" s="2" t="s">
        <v>238</v>
      </c>
      <c r="C17" s="7">
        <v>5</v>
      </c>
      <c r="D17" s="7">
        <v>1</v>
      </c>
      <c r="E17" s="7">
        <f>84*2</f>
        <v>168</v>
      </c>
      <c r="F17" s="7">
        <f>84*2</f>
        <v>168</v>
      </c>
      <c r="G17" s="115">
        <f>H17/84</f>
        <v>425.88095238095241</v>
      </c>
      <c r="H17" s="27">
        <v>35774</v>
      </c>
      <c r="I17" s="7" t="s">
        <v>237</v>
      </c>
    </row>
    <row r="18" spans="1:9" ht="24.95" customHeight="1" x14ac:dyDescent="0.2">
      <c r="A18" s="14" t="s">
        <v>85</v>
      </c>
      <c r="B18" s="14" t="s">
        <v>239</v>
      </c>
      <c r="C18" s="14">
        <v>4</v>
      </c>
      <c r="D18" s="14">
        <v>1</v>
      </c>
      <c r="E18" s="14">
        <v>156</v>
      </c>
      <c r="F18" s="14">
        <v>78</v>
      </c>
      <c r="G18" s="14">
        <v>365</v>
      </c>
      <c r="H18" s="14">
        <v>21735</v>
      </c>
      <c r="I18" s="14">
        <v>26.62</v>
      </c>
    </row>
    <row r="19" spans="1:9" ht="24.95" customHeight="1" x14ac:dyDescent="0.2">
      <c r="A19" s="7" t="s">
        <v>85</v>
      </c>
      <c r="B19" s="7" t="s">
        <v>240</v>
      </c>
      <c r="C19" s="7">
        <v>5</v>
      </c>
      <c r="D19" s="7">
        <v>1</v>
      </c>
      <c r="E19" s="7">
        <v>50</v>
      </c>
      <c r="F19" s="7">
        <v>25</v>
      </c>
      <c r="G19" s="7">
        <v>365</v>
      </c>
      <c r="H19" s="7">
        <v>5140</v>
      </c>
      <c r="I19" s="7">
        <v>26.68</v>
      </c>
    </row>
    <row r="20" spans="1:9" ht="24.95" customHeight="1" x14ac:dyDescent="0.2">
      <c r="A20" s="7" t="s">
        <v>85</v>
      </c>
      <c r="B20" s="7" t="s">
        <v>241</v>
      </c>
      <c r="C20" s="7">
        <v>5</v>
      </c>
      <c r="D20" s="7">
        <v>1</v>
      </c>
      <c r="E20" s="7">
        <v>58</v>
      </c>
      <c r="F20" s="7">
        <v>29</v>
      </c>
      <c r="G20" s="7">
        <v>365</v>
      </c>
      <c r="H20" s="7">
        <v>5963</v>
      </c>
      <c r="I20" s="7">
        <v>26.68</v>
      </c>
    </row>
    <row r="21" spans="1:9" ht="24.95" customHeight="1" x14ac:dyDescent="0.2">
      <c r="A21" s="116" t="s">
        <v>43</v>
      </c>
      <c r="B21" s="117" t="s">
        <v>116</v>
      </c>
      <c r="C21" s="14">
        <v>4</v>
      </c>
      <c r="D21" s="14">
        <v>2</v>
      </c>
      <c r="E21" s="14">
        <v>170</v>
      </c>
      <c r="F21" s="14">
        <v>170</v>
      </c>
      <c r="G21" s="7" t="s">
        <v>117</v>
      </c>
      <c r="H21" s="14">
        <v>41617</v>
      </c>
      <c r="I21" s="14" t="s">
        <v>118</v>
      </c>
    </row>
  </sheetData>
  <mergeCells count="2">
    <mergeCell ref="A2:A3"/>
    <mergeCell ref="B2:I2"/>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F867B-1977-4C76-9E64-F59A4B852DC3}">
  <dimension ref="A1:M257"/>
  <sheetViews>
    <sheetView zoomScaleNormal="100" workbookViewId="0">
      <pane xSplit="2" ySplit="5" topLeftCell="C6" activePane="bottomRight" state="frozen"/>
      <selection activeCell="D30" sqref="D19:D30"/>
      <selection pane="topRight" activeCell="D30" sqref="D19:D30"/>
      <selection pane="bottomLeft" activeCell="D30" sqref="D19:D30"/>
      <selection pane="bottomRight"/>
    </sheetView>
  </sheetViews>
  <sheetFormatPr defaultColWidth="9.140625" defaultRowHeight="12.75" x14ac:dyDescent="0.2"/>
  <cols>
    <col min="1" max="1" width="20.5703125" style="9" customWidth="1"/>
    <col min="2" max="2" width="20.42578125" style="49" customWidth="1"/>
    <col min="3" max="3" width="32" style="9" customWidth="1"/>
    <col min="4" max="11" width="15.5703125" style="9" customWidth="1"/>
    <col min="12" max="12" width="22.42578125" style="9" customWidth="1"/>
    <col min="13" max="13" width="25" style="9" customWidth="1"/>
    <col min="14" max="16384" width="9.140625" style="9"/>
  </cols>
  <sheetData>
    <row r="1" spans="1:13" ht="15.75" customHeight="1" thickBot="1" x14ac:dyDescent="0.25">
      <c r="A1" s="5" t="s">
        <v>157</v>
      </c>
      <c r="C1" s="5"/>
      <c r="D1" s="5"/>
    </row>
    <row r="2" spans="1:13" ht="34.5" customHeight="1" x14ac:dyDescent="0.2">
      <c r="A2" s="235" t="s">
        <v>158</v>
      </c>
      <c r="B2" s="237" t="s">
        <v>159</v>
      </c>
      <c r="C2" s="237"/>
      <c r="D2" s="237"/>
      <c r="E2" s="237"/>
      <c r="F2" s="237"/>
      <c r="G2" s="237"/>
      <c r="H2" s="237"/>
      <c r="I2" s="237"/>
      <c r="J2" s="237"/>
      <c r="K2" s="237"/>
      <c r="L2" s="237"/>
      <c r="M2" s="238"/>
    </row>
    <row r="3" spans="1:13" x14ac:dyDescent="0.2">
      <c r="A3" s="261"/>
      <c r="B3" s="262" t="s">
        <v>160</v>
      </c>
      <c r="C3" s="264" t="s">
        <v>5</v>
      </c>
      <c r="D3" s="266" t="s">
        <v>161</v>
      </c>
      <c r="E3" s="266"/>
      <c r="F3" s="266"/>
      <c r="G3" s="266"/>
      <c r="H3" s="266"/>
      <c r="I3" s="266"/>
      <c r="J3" s="266"/>
      <c r="K3" s="266"/>
      <c r="L3" s="266"/>
      <c r="M3" s="267"/>
    </row>
    <row r="4" spans="1:13" ht="39.75" customHeight="1" x14ac:dyDescent="0.2">
      <c r="A4" s="261"/>
      <c r="B4" s="262"/>
      <c r="C4" s="264"/>
      <c r="D4" s="264" t="s">
        <v>162</v>
      </c>
      <c r="E4" s="264"/>
      <c r="F4" s="264" t="s">
        <v>163</v>
      </c>
      <c r="G4" s="264"/>
      <c r="H4" s="264" t="s">
        <v>164</v>
      </c>
      <c r="I4" s="264"/>
      <c r="J4" s="264" t="s">
        <v>165</v>
      </c>
      <c r="K4" s="264"/>
      <c r="L4" s="264" t="s">
        <v>166</v>
      </c>
      <c r="M4" s="268"/>
    </row>
    <row r="5" spans="1:13" ht="30" customHeight="1" thickBot="1" x14ac:dyDescent="0.25">
      <c r="A5" s="236"/>
      <c r="B5" s="263"/>
      <c r="C5" s="265"/>
      <c r="D5" s="50" t="s">
        <v>17</v>
      </c>
      <c r="E5" s="50" t="s">
        <v>18</v>
      </c>
      <c r="F5" s="50" t="s">
        <v>17</v>
      </c>
      <c r="G5" s="50" t="s">
        <v>18</v>
      </c>
      <c r="H5" s="50" t="s">
        <v>17</v>
      </c>
      <c r="I5" s="50" t="s">
        <v>18</v>
      </c>
      <c r="J5" s="50" t="s">
        <v>17</v>
      </c>
      <c r="K5" s="50" t="s">
        <v>18</v>
      </c>
      <c r="L5" s="50" t="s">
        <v>17</v>
      </c>
      <c r="M5" s="51" t="s">
        <v>18</v>
      </c>
    </row>
    <row r="6" spans="1:13" x14ac:dyDescent="0.2">
      <c r="A6" s="260" t="s">
        <v>167</v>
      </c>
      <c r="B6" s="241" t="s">
        <v>168</v>
      </c>
      <c r="C6" s="52" t="s">
        <v>169</v>
      </c>
      <c r="D6" s="53">
        <v>9.6300000000000008</v>
      </c>
      <c r="E6" s="54"/>
      <c r="F6" s="53">
        <v>2.2229032258064505</v>
      </c>
      <c r="G6" s="54"/>
      <c r="H6" s="53">
        <v>6.2580645161290333E-2</v>
      </c>
      <c r="I6" s="54"/>
      <c r="J6" s="53">
        <v>0.58806451612903221</v>
      </c>
      <c r="K6" s="54"/>
      <c r="L6" s="53" t="s">
        <v>36</v>
      </c>
      <c r="M6" s="54"/>
    </row>
    <row r="7" spans="1:13" x14ac:dyDescent="0.2">
      <c r="A7" s="239"/>
      <c r="B7" s="242"/>
      <c r="C7" s="52" t="s">
        <v>170</v>
      </c>
      <c r="D7" s="53">
        <v>8.92</v>
      </c>
      <c r="E7" s="53">
        <v>9.2750000000000004</v>
      </c>
      <c r="F7" s="53">
        <v>1.888571428571429</v>
      </c>
      <c r="G7" s="53">
        <v>2.0557373271889396</v>
      </c>
      <c r="H7" s="53">
        <v>3.4999999999999989E-2</v>
      </c>
      <c r="I7" s="53">
        <v>4.8790322580645161E-2</v>
      </c>
      <c r="J7" s="53">
        <v>0.49178571428571421</v>
      </c>
      <c r="K7" s="53">
        <v>0.53992511520737319</v>
      </c>
      <c r="L7" s="53" t="s">
        <v>36</v>
      </c>
      <c r="M7" s="53"/>
    </row>
    <row r="8" spans="1:13" x14ac:dyDescent="0.2">
      <c r="A8" s="239"/>
      <c r="B8" s="242"/>
      <c r="C8" s="52" t="s">
        <v>171</v>
      </c>
      <c r="D8" s="53">
        <v>8.5399999999999991</v>
      </c>
      <c r="E8" s="53">
        <v>9.0299999999999994</v>
      </c>
      <c r="F8" s="53">
        <v>2.5396774193548395</v>
      </c>
      <c r="G8" s="53">
        <v>2.2170506912442396</v>
      </c>
      <c r="H8" s="53">
        <v>4.0645161290322571E-2</v>
      </c>
      <c r="I8" s="53">
        <v>4.60752688172043E-2</v>
      </c>
      <c r="J8" s="53">
        <v>0.52258064516129032</v>
      </c>
      <c r="K8" s="53">
        <v>0.53414362519201219</v>
      </c>
      <c r="L8" s="53" t="s">
        <v>36</v>
      </c>
      <c r="M8" s="53"/>
    </row>
    <row r="9" spans="1:13" x14ac:dyDescent="0.2">
      <c r="A9" s="239"/>
      <c r="B9" s="242"/>
      <c r="C9" s="52" t="s">
        <v>172</v>
      </c>
      <c r="D9" s="53">
        <v>8.17</v>
      </c>
      <c r="E9" s="53">
        <v>8.8149999999999995</v>
      </c>
      <c r="F9" s="53">
        <v>2.8356666666666666</v>
      </c>
      <c r="G9" s="53">
        <v>2.3717046850998464</v>
      </c>
      <c r="H9" s="53">
        <v>9.4333333333333394E-2</v>
      </c>
      <c r="I9" s="53">
        <v>5.8139784946236568E-2</v>
      </c>
      <c r="J9" s="53">
        <v>0.63033333333333363</v>
      </c>
      <c r="K9" s="53">
        <v>0.55819105222734244</v>
      </c>
      <c r="L9" s="53" t="s">
        <v>36</v>
      </c>
      <c r="M9" s="53"/>
    </row>
    <row r="10" spans="1:13" x14ac:dyDescent="0.2">
      <c r="A10" s="239"/>
      <c r="B10" s="242"/>
      <c r="C10" s="52" t="s">
        <v>173</v>
      </c>
      <c r="D10" s="53">
        <v>8.5399999999999991</v>
      </c>
      <c r="E10" s="53">
        <v>8.76</v>
      </c>
      <c r="F10" s="53">
        <v>3.0116129032258057</v>
      </c>
      <c r="G10" s="53">
        <v>2.4996863287250379</v>
      </c>
      <c r="H10" s="53">
        <v>5.000000000000001E-2</v>
      </c>
      <c r="I10" s="53">
        <v>5.6511827956989252E-2</v>
      </c>
      <c r="J10" s="53">
        <v>1.138709677419355</v>
      </c>
      <c r="K10" s="53">
        <v>0.67429477726574494</v>
      </c>
      <c r="L10" s="53" t="s">
        <v>36</v>
      </c>
      <c r="M10" s="53"/>
    </row>
    <row r="11" spans="1:13" x14ac:dyDescent="0.2">
      <c r="A11" s="239"/>
      <c r="B11" s="242"/>
      <c r="C11" s="52" t="s">
        <v>174</v>
      </c>
      <c r="D11" s="53">
        <v>8.3699999999999992</v>
      </c>
      <c r="E11" s="53">
        <v>8.6949999999999985</v>
      </c>
      <c r="F11" s="53">
        <v>3.1006666666666662</v>
      </c>
      <c r="G11" s="53">
        <v>2.599849718381976</v>
      </c>
      <c r="H11" s="53">
        <v>4.5000000000000012E-2</v>
      </c>
      <c r="I11" s="53">
        <v>5.4593189964157719E-2</v>
      </c>
      <c r="J11" s="53">
        <v>0.49099999999999988</v>
      </c>
      <c r="K11" s="53">
        <v>0.64374564772145404</v>
      </c>
      <c r="L11" s="53" t="s">
        <v>36</v>
      </c>
      <c r="M11" s="53"/>
    </row>
    <row r="12" spans="1:13" x14ac:dyDescent="0.2">
      <c r="A12" s="239"/>
      <c r="B12" s="242"/>
      <c r="C12" s="52" t="s">
        <v>175</v>
      </c>
      <c r="D12" s="53">
        <v>8.08</v>
      </c>
      <c r="E12" s="53">
        <v>8.6071428571428559</v>
      </c>
      <c r="F12" s="53">
        <v>2.4496774193548392</v>
      </c>
      <c r="G12" s="53">
        <v>2.5783965328066709</v>
      </c>
      <c r="H12" s="53">
        <v>6.4838709677419351E-2</v>
      </c>
      <c r="I12" s="53">
        <v>5.6056835637480804E-2</v>
      </c>
      <c r="J12" s="53">
        <v>0.29645161290322602</v>
      </c>
      <c r="K12" s="53">
        <v>0.59413221417599293</v>
      </c>
      <c r="L12" s="53" t="s">
        <v>36</v>
      </c>
      <c r="M12" s="53"/>
    </row>
    <row r="13" spans="1:13" x14ac:dyDescent="0.2">
      <c r="A13" s="239"/>
      <c r="B13" s="242"/>
      <c r="C13" s="52" t="s">
        <v>176</v>
      </c>
      <c r="D13" s="53">
        <v>7.76</v>
      </c>
      <c r="E13" s="53">
        <v>8.5012499999999989</v>
      </c>
      <c r="F13" s="53">
        <v>2.2970967741935482</v>
      </c>
      <c r="G13" s="53">
        <v>2.5432340629800305</v>
      </c>
      <c r="H13" s="53">
        <v>0.11258064516129029</v>
      </c>
      <c r="I13" s="53">
        <v>6.3122311827956995E-2</v>
      </c>
      <c r="J13" s="53">
        <v>0.43258064516129013</v>
      </c>
      <c r="K13" s="53">
        <v>0.57393826804915504</v>
      </c>
      <c r="L13" s="53" t="s">
        <v>36</v>
      </c>
      <c r="M13" s="53"/>
    </row>
    <row r="14" spans="1:13" x14ac:dyDescent="0.2">
      <c r="A14" s="239"/>
      <c r="B14" s="242"/>
      <c r="C14" s="52" t="s">
        <v>177</v>
      </c>
      <c r="D14" s="53">
        <v>7.73</v>
      </c>
      <c r="E14" s="53">
        <v>8.4155555555555548</v>
      </c>
      <c r="F14" s="53">
        <v>2.2276666666666669</v>
      </c>
      <c r="G14" s="53">
        <v>2.5081710189452124</v>
      </c>
      <c r="H14" s="53">
        <v>2.7999999999999997E-2</v>
      </c>
      <c r="I14" s="53">
        <v>5.9219832735961764E-2</v>
      </c>
      <c r="J14" s="53">
        <v>0.51700000000000024</v>
      </c>
      <c r="K14" s="53">
        <v>0.5676117938214712</v>
      </c>
      <c r="L14" s="53" t="s">
        <v>36</v>
      </c>
      <c r="M14" s="53"/>
    </row>
    <row r="15" spans="1:13" x14ac:dyDescent="0.2">
      <c r="A15" s="239"/>
      <c r="B15" s="242"/>
      <c r="C15" s="52" t="s">
        <v>178</v>
      </c>
      <c r="D15" s="53">
        <v>7.91</v>
      </c>
      <c r="E15" s="53">
        <v>8.3649999999999984</v>
      </c>
      <c r="F15" s="53">
        <v>2.7587096774193549</v>
      </c>
      <c r="G15" s="53">
        <v>2.5332248847926264</v>
      </c>
      <c r="H15" s="53">
        <v>1.6451612903225804E-2</v>
      </c>
      <c r="I15" s="53">
        <v>5.4943010752688176E-2</v>
      </c>
      <c r="J15" s="53">
        <v>0.41322580645161294</v>
      </c>
      <c r="K15" s="53">
        <v>0.55217319508448537</v>
      </c>
      <c r="L15" s="53" t="s">
        <v>36</v>
      </c>
      <c r="M15" s="53"/>
    </row>
    <row r="16" spans="1:13" x14ac:dyDescent="0.2">
      <c r="A16" s="239"/>
      <c r="B16" s="242"/>
      <c r="C16" s="52" t="s">
        <v>179</v>
      </c>
      <c r="D16" s="53">
        <v>8.65</v>
      </c>
      <c r="E16" s="53">
        <v>8.3909090909090907</v>
      </c>
      <c r="F16" s="53">
        <v>2.719333333333334</v>
      </c>
      <c r="G16" s="53">
        <v>2.5501438346599636</v>
      </c>
      <c r="H16" s="53">
        <v>3.833333333333333E-2</v>
      </c>
      <c r="I16" s="53">
        <v>5.3433040078201377E-2</v>
      </c>
      <c r="J16" s="53">
        <v>0.219</v>
      </c>
      <c r="K16" s="53">
        <v>0.52188472280407761</v>
      </c>
      <c r="L16" s="53" t="s">
        <v>36</v>
      </c>
      <c r="M16" s="53"/>
    </row>
    <row r="17" spans="1:13" ht="13.5" thickBot="1" x14ac:dyDescent="0.25">
      <c r="A17" s="240"/>
      <c r="B17" s="243"/>
      <c r="C17" s="55" t="s">
        <v>180</v>
      </c>
      <c r="D17" s="56">
        <v>8.3699999999999992</v>
      </c>
      <c r="E17" s="56">
        <v>8.3891666666666662</v>
      </c>
      <c r="F17" s="56">
        <v>2.9380645161290317</v>
      </c>
      <c r="G17" s="56">
        <v>2.5824705581157192</v>
      </c>
      <c r="H17" s="56">
        <v>7.25806451612903E-2</v>
      </c>
      <c r="I17" s="56">
        <v>5.5028673835125448E-2</v>
      </c>
      <c r="J17" s="56">
        <v>0.1345161290322581</v>
      </c>
      <c r="K17" s="56">
        <v>0.48960400665642595</v>
      </c>
      <c r="L17" s="56" t="s">
        <v>36</v>
      </c>
      <c r="M17" s="56"/>
    </row>
    <row r="18" spans="1:13" ht="14.25" thickTop="1" thickBot="1" x14ac:dyDescent="0.25">
      <c r="A18" s="57" t="str">
        <f>A6</f>
        <v>CC-BurnsHarbor-IN</v>
      </c>
      <c r="B18" s="58" t="str">
        <f>B6</f>
        <v>COB #1</v>
      </c>
      <c r="C18" s="59"/>
      <c r="D18" s="60">
        <f>AVERAGE(D6:D17)</f>
        <v>8.3891666666666662</v>
      </c>
      <c r="E18" s="60"/>
      <c r="F18" s="60">
        <f>AVERAGE(F6:F17)</f>
        <v>2.5824705581157192</v>
      </c>
      <c r="G18" s="60"/>
      <c r="H18" s="60">
        <f>AVERAGE(H6:H17)</f>
        <v>5.5028673835125448E-2</v>
      </c>
      <c r="I18" s="60"/>
      <c r="J18" s="60">
        <f>AVERAGE(J6:J17)</f>
        <v>0.48960400665642606</v>
      </c>
      <c r="K18" s="60"/>
      <c r="L18" s="60"/>
      <c r="M18" s="61"/>
    </row>
    <row r="19" spans="1:13" ht="14.25" thickTop="1" thickBot="1" x14ac:dyDescent="0.25">
      <c r="A19" s="244"/>
      <c r="B19" s="245"/>
      <c r="C19" s="245"/>
      <c r="D19" s="245"/>
      <c r="E19" s="245"/>
      <c r="F19" s="245"/>
      <c r="G19" s="245"/>
      <c r="H19" s="245"/>
      <c r="I19" s="245"/>
      <c r="J19" s="245"/>
      <c r="K19" s="245"/>
      <c r="L19" s="245"/>
      <c r="M19" s="246"/>
    </row>
    <row r="20" spans="1:13" ht="13.5" thickTop="1" x14ac:dyDescent="0.2">
      <c r="A20" s="260" t="s">
        <v>167</v>
      </c>
      <c r="B20" s="241" t="s">
        <v>181</v>
      </c>
      <c r="C20" s="52" t="s">
        <v>169</v>
      </c>
      <c r="D20" s="53">
        <v>8.3822580645161295</v>
      </c>
      <c r="E20" s="54"/>
      <c r="F20" s="53">
        <v>0.94096774193548405</v>
      </c>
      <c r="G20" s="54"/>
      <c r="H20" s="53">
        <v>0.12870967741935485</v>
      </c>
      <c r="I20" s="54"/>
      <c r="J20" s="53">
        <v>0.46322580645161271</v>
      </c>
      <c r="K20" s="54"/>
      <c r="L20" s="53" t="s">
        <v>36</v>
      </c>
      <c r="M20" s="54"/>
    </row>
    <row r="21" spans="1:13" x14ac:dyDescent="0.2">
      <c r="A21" s="239"/>
      <c r="B21" s="242"/>
      <c r="C21" s="52" t="s">
        <v>170</v>
      </c>
      <c r="D21" s="53">
        <v>7.9771428571428569</v>
      </c>
      <c r="E21" s="53">
        <v>8.1797004608294941</v>
      </c>
      <c r="F21" s="53">
        <v>1.1875</v>
      </c>
      <c r="G21" s="53">
        <v>1.0642338709677421</v>
      </c>
      <c r="H21" s="53">
        <v>0.12857142857142853</v>
      </c>
      <c r="I21" s="53">
        <v>0.1286405529953917</v>
      </c>
      <c r="J21" s="53">
        <v>0.310357142857143</v>
      </c>
      <c r="K21" s="53">
        <v>0.3867914746543778</v>
      </c>
      <c r="L21" s="53" t="s">
        <v>36</v>
      </c>
      <c r="M21" s="53"/>
    </row>
    <row r="22" spans="1:13" x14ac:dyDescent="0.2">
      <c r="A22" s="239"/>
      <c r="B22" s="242"/>
      <c r="C22" s="52" t="s">
        <v>171</v>
      </c>
      <c r="D22" s="53">
        <v>7.8980645161290326</v>
      </c>
      <c r="E22" s="53">
        <v>8.0858218125960075</v>
      </c>
      <c r="F22" s="53">
        <v>1.4493548387096773</v>
      </c>
      <c r="G22" s="53">
        <v>1.1926075268817204</v>
      </c>
      <c r="H22" s="53">
        <v>0.12354838709677411</v>
      </c>
      <c r="I22" s="53">
        <v>0.12694316436251918</v>
      </c>
      <c r="J22" s="53">
        <v>0.19677419354838713</v>
      </c>
      <c r="K22" s="53">
        <v>0.32345238095238094</v>
      </c>
      <c r="L22" s="53" t="s">
        <v>36</v>
      </c>
      <c r="M22" s="53"/>
    </row>
    <row r="23" spans="1:13" x14ac:dyDescent="0.2">
      <c r="A23" s="239"/>
      <c r="B23" s="242"/>
      <c r="C23" s="52" t="s">
        <v>172</v>
      </c>
      <c r="D23" s="53">
        <v>7.9959999999999996</v>
      </c>
      <c r="E23" s="53">
        <v>8.0633663594470057</v>
      </c>
      <c r="F23" s="53">
        <v>1.2393333333333332</v>
      </c>
      <c r="G23" s="53">
        <v>1.2042889784946236</v>
      </c>
      <c r="H23" s="53">
        <v>6.8000000000000005E-2</v>
      </c>
      <c r="I23" s="53">
        <v>0.11220737327188937</v>
      </c>
      <c r="J23" s="53">
        <v>0.32800000000000007</v>
      </c>
      <c r="K23" s="53">
        <v>0.32458928571428569</v>
      </c>
      <c r="L23" s="53" t="s">
        <v>36</v>
      </c>
      <c r="M23" s="53"/>
    </row>
    <row r="24" spans="1:13" x14ac:dyDescent="0.2">
      <c r="A24" s="239"/>
      <c r="B24" s="242"/>
      <c r="C24" s="52" t="s">
        <v>173</v>
      </c>
      <c r="D24" s="53">
        <v>8.1796774193548387</v>
      </c>
      <c r="E24" s="53">
        <v>8.0866285714285731</v>
      </c>
      <c r="F24" s="53">
        <v>1.0580645161290321</v>
      </c>
      <c r="G24" s="53">
        <v>1.1750440860215052</v>
      </c>
      <c r="H24" s="53">
        <v>4.9677419354838721E-2</v>
      </c>
      <c r="I24" s="53">
        <v>9.9701382488479262E-2</v>
      </c>
      <c r="J24" s="53">
        <v>0.26193548387096782</v>
      </c>
      <c r="K24" s="53">
        <v>0.31205852534562212</v>
      </c>
      <c r="L24" s="53" t="s">
        <v>36</v>
      </c>
      <c r="M24" s="53"/>
    </row>
    <row r="25" spans="1:13" x14ac:dyDescent="0.2">
      <c r="A25" s="239"/>
      <c r="B25" s="242"/>
      <c r="C25" s="52" t="s">
        <v>174</v>
      </c>
      <c r="D25" s="53">
        <v>9.0796666666666681</v>
      </c>
      <c r="E25" s="53">
        <v>8.252134920634921</v>
      </c>
      <c r="F25" s="53">
        <v>1.2080000000000002</v>
      </c>
      <c r="G25" s="53">
        <v>1.1805367383512546</v>
      </c>
      <c r="H25" s="53">
        <v>8.1333333333333382E-2</v>
      </c>
      <c r="I25" s="53">
        <v>9.664004096262159E-2</v>
      </c>
      <c r="J25" s="53">
        <v>0.17966666666666661</v>
      </c>
      <c r="K25" s="53">
        <v>0.28999321556579616</v>
      </c>
      <c r="L25" s="53" t="s">
        <v>36</v>
      </c>
      <c r="M25" s="53"/>
    </row>
    <row r="26" spans="1:13" x14ac:dyDescent="0.2">
      <c r="A26" s="239"/>
      <c r="B26" s="242"/>
      <c r="C26" s="52" t="s">
        <v>175</v>
      </c>
      <c r="D26" s="53">
        <v>8.4951612903225833</v>
      </c>
      <c r="E26" s="53">
        <v>8.286852973447445</v>
      </c>
      <c r="F26" s="53">
        <v>0.96870967741935465</v>
      </c>
      <c r="G26" s="53">
        <v>1.1502757296466974</v>
      </c>
      <c r="H26" s="53">
        <v>0.13967741935483877</v>
      </c>
      <c r="I26" s="53">
        <v>0.10278823787579548</v>
      </c>
      <c r="J26" s="53">
        <v>0.24290322580645166</v>
      </c>
      <c r="K26" s="53">
        <v>0.2832660741716041</v>
      </c>
      <c r="L26" s="53" t="s">
        <v>36</v>
      </c>
      <c r="M26" s="53"/>
    </row>
    <row r="27" spans="1:13" x14ac:dyDescent="0.2">
      <c r="A27" s="239"/>
      <c r="B27" s="242"/>
      <c r="C27" s="52" t="s">
        <v>176</v>
      </c>
      <c r="D27" s="53">
        <v>9.7619354838709693</v>
      </c>
      <c r="E27" s="53">
        <v>8.4712382872503849</v>
      </c>
      <c r="F27" s="53">
        <v>0.78032258064516125</v>
      </c>
      <c r="G27" s="53">
        <v>1.1040315860215053</v>
      </c>
      <c r="H27" s="53">
        <v>9.7096774193548438E-2</v>
      </c>
      <c r="I27" s="53">
        <v>0.10207680491551459</v>
      </c>
      <c r="J27" s="53">
        <v>0.13903225806451608</v>
      </c>
      <c r="K27" s="53">
        <v>0.2652368471582181</v>
      </c>
      <c r="L27" s="53" t="s">
        <v>36</v>
      </c>
      <c r="M27" s="53"/>
    </row>
    <row r="28" spans="1:13" x14ac:dyDescent="0.2">
      <c r="A28" s="239"/>
      <c r="B28" s="242"/>
      <c r="C28" s="52" t="s">
        <v>177</v>
      </c>
      <c r="D28" s="53">
        <v>8.7976666666666645</v>
      </c>
      <c r="E28" s="53">
        <v>8.5075081071855276</v>
      </c>
      <c r="F28" s="53">
        <v>0.85233333333333328</v>
      </c>
      <c r="G28" s="53">
        <v>1.0760651135005972</v>
      </c>
      <c r="H28" s="53">
        <v>0.11866666666666668</v>
      </c>
      <c r="I28" s="53">
        <v>0.10392012288786483</v>
      </c>
      <c r="J28" s="53">
        <v>0.10366666666666664</v>
      </c>
      <c r="K28" s="53">
        <v>0.24728460488137902</v>
      </c>
      <c r="L28" s="53" t="s">
        <v>36</v>
      </c>
      <c r="M28" s="53"/>
    </row>
    <row r="29" spans="1:13" x14ac:dyDescent="0.2">
      <c r="A29" s="239"/>
      <c r="B29" s="242"/>
      <c r="C29" s="52" t="s">
        <v>178</v>
      </c>
      <c r="D29" s="53">
        <v>8.3870967741935498</v>
      </c>
      <c r="E29" s="53">
        <v>8.4954669738863302</v>
      </c>
      <c r="F29" s="53">
        <v>1.0090322580645161</v>
      </c>
      <c r="G29" s="53">
        <v>1.0693618279569892</v>
      </c>
      <c r="H29" s="53">
        <v>7.3225806451612932E-2</v>
      </c>
      <c r="I29" s="53">
        <v>0.10085069124423965</v>
      </c>
      <c r="J29" s="53">
        <v>0.15064516129032257</v>
      </c>
      <c r="K29" s="53">
        <v>0.2376206605222734</v>
      </c>
      <c r="L29" s="53" t="s">
        <v>36</v>
      </c>
      <c r="M29" s="53"/>
    </row>
    <row r="30" spans="1:13" x14ac:dyDescent="0.2">
      <c r="A30" s="239"/>
      <c r="B30" s="242"/>
      <c r="C30" s="52" t="s">
        <v>179</v>
      </c>
      <c r="D30" s="53">
        <v>8.3893333333333331</v>
      </c>
      <c r="E30" s="53">
        <v>8.485818461108785</v>
      </c>
      <c r="F30" s="53">
        <v>0.97766666666666646</v>
      </c>
      <c r="G30" s="53">
        <v>1.0610259042033234</v>
      </c>
      <c r="H30" s="53">
        <v>6.8333333333333315E-2</v>
      </c>
      <c r="I30" s="53">
        <v>9.7894567797793611E-2</v>
      </c>
      <c r="J30" s="53">
        <v>0.11666666666666665</v>
      </c>
      <c r="K30" s="53">
        <v>0.22662484289903642</v>
      </c>
      <c r="L30" s="53" t="s">
        <v>36</v>
      </c>
      <c r="M30" s="53"/>
    </row>
    <row r="31" spans="1:13" ht="13.5" thickBot="1" x14ac:dyDescent="0.25">
      <c r="A31" s="240"/>
      <c r="B31" s="243"/>
      <c r="C31" s="55" t="s">
        <v>180</v>
      </c>
      <c r="D31" s="56">
        <v>8.4248387096774184</v>
      </c>
      <c r="E31" s="56">
        <v>8.4807368151561722</v>
      </c>
      <c r="F31" s="56">
        <v>1.1883870967741941</v>
      </c>
      <c r="G31" s="56">
        <v>1.0716393369175627</v>
      </c>
      <c r="H31" s="56">
        <v>7.1290322580645132E-2</v>
      </c>
      <c r="I31" s="56">
        <v>9.5677547363031232E-2</v>
      </c>
      <c r="J31" s="56">
        <v>0.31483870967741945</v>
      </c>
      <c r="K31" s="56">
        <v>0.23397599846390169</v>
      </c>
      <c r="L31" s="56" t="s">
        <v>36</v>
      </c>
      <c r="M31" s="56"/>
    </row>
    <row r="32" spans="1:13" ht="14.25" thickTop="1" thickBot="1" x14ac:dyDescent="0.25">
      <c r="A32" s="57" t="str">
        <f>A20</f>
        <v>CC-BurnsHarbor-IN</v>
      </c>
      <c r="B32" s="58" t="str">
        <f>B20</f>
        <v>COB #2</v>
      </c>
      <c r="C32" s="59"/>
      <c r="D32" s="60">
        <f>AVERAGE(D20:D31)</f>
        <v>8.4807368151561722</v>
      </c>
      <c r="E32" s="60"/>
      <c r="F32" s="60">
        <f>AVERAGE(F20:F31)</f>
        <v>1.0716393369175627</v>
      </c>
      <c r="G32" s="60"/>
      <c r="H32" s="60">
        <f>AVERAGE(H20:H31)</f>
        <v>9.5677547363031246E-2</v>
      </c>
      <c r="I32" s="60"/>
      <c r="J32" s="60">
        <f>AVERAGE(J20:J31)</f>
        <v>0.23397599846390169</v>
      </c>
      <c r="K32" s="60"/>
      <c r="L32" s="60"/>
      <c r="M32" s="61"/>
    </row>
    <row r="33" spans="1:13" ht="14.25" thickTop="1" thickBot="1" x14ac:dyDescent="0.25">
      <c r="A33" s="244"/>
      <c r="B33" s="245"/>
      <c r="C33" s="245"/>
      <c r="D33" s="245"/>
      <c r="E33" s="245"/>
      <c r="F33" s="245"/>
      <c r="G33" s="245"/>
      <c r="H33" s="245"/>
      <c r="I33" s="245"/>
      <c r="J33" s="245"/>
      <c r="K33" s="245"/>
      <c r="L33" s="245"/>
      <c r="M33" s="246"/>
    </row>
    <row r="34" spans="1:13" ht="13.5" thickTop="1" x14ac:dyDescent="0.2">
      <c r="A34" s="260" t="s">
        <v>182</v>
      </c>
      <c r="B34" s="241" t="s">
        <v>183</v>
      </c>
      <c r="C34" s="52" t="s">
        <v>184</v>
      </c>
      <c r="D34" s="62">
        <v>4.7535483870967754</v>
      </c>
      <c r="E34" s="63"/>
      <c r="F34" s="62">
        <v>4.3548387096774194E-2</v>
      </c>
      <c r="G34" s="63"/>
      <c r="H34" s="62">
        <v>0</v>
      </c>
      <c r="I34" s="63"/>
      <c r="J34" s="62">
        <v>0</v>
      </c>
      <c r="K34" s="63"/>
      <c r="L34" s="53" t="s">
        <v>36</v>
      </c>
      <c r="M34" s="54"/>
    </row>
    <row r="35" spans="1:13" x14ac:dyDescent="0.2">
      <c r="A35" s="239"/>
      <c r="B35" s="242"/>
      <c r="C35" s="52" t="s">
        <v>185</v>
      </c>
      <c r="D35" s="62">
        <v>4.1392857142857142</v>
      </c>
      <c r="E35" s="62">
        <v>4.4574999999999996</v>
      </c>
      <c r="F35" s="62">
        <v>4.8214285714285716E-2</v>
      </c>
      <c r="G35" s="62">
        <v>1.4285714285714285E-2</v>
      </c>
      <c r="H35" s="62">
        <v>0</v>
      </c>
      <c r="I35" s="62">
        <v>0</v>
      </c>
      <c r="J35" s="62">
        <v>0</v>
      </c>
      <c r="K35" s="62">
        <v>0</v>
      </c>
      <c r="L35" s="53" t="s">
        <v>36</v>
      </c>
      <c r="M35" s="53"/>
    </row>
    <row r="36" spans="1:13" x14ac:dyDescent="0.2">
      <c r="A36" s="239"/>
      <c r="B36" s="242"/>
      <c r="C36" s="52" t="s">
        <v>186</v>
      </c>
      <c r="D36" s="62">
        <v>4.1429032258064522</v>
      </c>
      <c r="E36" s="62">
        <v>4.0458064516129033</v>
      </c>
      <c r="F36" s="62">
        <v>0</v>
      </c>
      <c r="G36" s="62">
        <v>4.3548387096774208E-2</v>
      </c>
      <c r="H36" s="62">
        <v>0</v>
      </c>
      <c r="I36" s="62">
        <v>0</v>
      </c>
      <c r="J36" s="62">
        <v>4.7419354838709675E-2</v>
      </c>
      <c r="K36" s="62">
        <v>1.6129032258064516E-2</v>
      </c>
      <c r="L36" s="53" t="s">
        <v>36</v>
      </c>
      <c r="M36" s="53"/>
    </row>
    <row r="37" spans="1:13" x14ac:dyDescent="0.2">
      <c r="A37" s="239"/>
      <c r="B37" s="242"/>
      <c r="C37" s="52" t="s">
        <v>187</v>
      </c>
      <c r="D37" s="62">
        <v>3.9316666666666671</v>
      </c>
      <c r="E37" s="62">
        <v>3.8239999999999998</v>
      </c>
      <c r="F37" s="62">
        <v>0</v>
      </c>
      <c r="G37" s="62">
        <v>0</v>
      </c>
      <c r="H37" s="62">
        <v>0</v>
      </c>
      <c r="I37" s="62">
        <v>0</v>
      </c>
      <c r="J37" s="62">
        <v>0</v>
      </c>
      <c r="K37" s="62">
        <v>3.333333333333334E-2</v>
      </c>
      <c r="L37" s="53" t="s">
        <v>36</v>
      </c>
      <c r="M37" s="53"/>
    </row>
    <row r="38" spans="1:13" x14ac:dyDescent="0.2">
      <c r="A38" s="239"/>
      <c r="B38" s="242"/>
      <c r="C38" s="52" t="s">
        <v>188</v>
      </c>
      <c r="D38" s="62">
        <v>3.7687096774193547</v>
      </c>
      <c r="E38" s="62">
        <v>3.6832258064516132</v>
      </c>
      <c r="F38" s="62">
        <v>0</v>
      </c>
      <c r="G38" s="62">
        <v>0</v>
      </c>
      <c r="H38" s="62">
        <v>0</v>
      </c>
      <c r="I38" s="62">
        <v>0</v>
      </c>
      <c r="J38" s="62">
        <v>0</v>
      </c>
      <c r="K38" s="62">
        <v>0</v>
      </c>
      <c r="L38" s="53" t="s">
        <v>36</v>
      </c>
      <c r="M38" s="53"/>
    </row>
    <row r="39" spans="1:13" x14ac:dyDescent="0.2">
      <c r="A39" s="239"/>
      <c r="B39" s="242"/>
      <c r="C39" s="52" t="s">
        <v>189</v>
      </c>
      <c r="D39" s="62">
        <v>3.5020000000000002</v>
      </c>
      <c r="E39" s="62">
        <v>3.6526666666666667</v>
      </c>
      <c r="F39" s="62">
        <v>0</v>
      </c>
      <c r="G39" s="62">
        <v>0</v>
      </c>
      <c r="H39" s="62">
        <v>0</v>
      </c>
      <c r="I39" s="62">
        <v>0</v>
      </c>
      <c r="J39" s="62">
        <v>0</v>
      </c>
      <c r="K39" s="62">
        <v>0</v>
      </c>
      <c r="L39" s="53" t="s">
        <v>36</v>
      </c>
      <c r="M39" s="53"/>
    </row>
    <row r="40" spans="1:13" x14ac:dyDescent="0.2">
      <c r="A40" s="239"/>
      <c r="B40" s="242"/>
      <c r="C40" s="52" t="s">
        <v>190</v>
      </c>
      <c r="D40" s="62">
        <v>3.22</v>
      </c>
      <c r="E40" s="62">
        <v>3.19</v>
      </c>
      <c r="F40" s="62">
        <v>0</v>
      </c>
      <c r="G40" s="62">
        <v>0</v>
      </c>
      <c r="H40" s="62">
        <v>0</v>
      </c>
      <c r="I40" s="62">
        <v>0</v>
      </c>
      <c r="J40" s="62">
        <v>0</v>
      </c>
      <c r="K40" s="62">
        <v>0</v>
      </c>
      <c r="L40" s="53" t="s">
        <v>36</v>
      </c>
      <c r="M40" s="53"/>
    </row>
    <row r="41" spans="1:13" x14ac:dyDescent="0.2">
      <c r="A41" s="239"/>
      <c r="B41" s="242"/>
      <c r="C41" s="52" t="s">
        <v>191</v>
      </c>
      <c r="D41" s="62">
        <v>3.36</v>
      </c>
      <c r="E41" s="62">
        <v>3.2</v>
      </c>
      <c r="F41" s="62">
        <v>0</v>
      </c>
      <c r="G41" s="62">
        <v>0</v>
      </c>
      <c r="H41" s="62">
        <v>0</v>
      </c>
      <c r="I41" s="62">
        <v>0</v>
      </c>
      <c r="J41" s="62">
        <v>9.2258064516129029E-2</v>
      </c>
      <c r="K41" s="62">
        <v>7.0000000000000007E-2</v>
      </c>
      <c r="L41" s="53" t="s">
        <v>36</v>
      </c>
      <c r="M41" s="53"/>
    </row>
    <row r="42" spans="1:13" x14ac:dyDescent="0.2">
      <c r="A42" s="239"/>
      <c r="B42" s="242"/>
      <c r="C42" s="52" t="s">
        <v>177</v>
      </c>
      <c r="D42" s="62">
        <v>3.6756249999999997</v>
      </c>
      <c r="E42" s="62">
        <v>3.4793750000000001</v>
      </c>
      <c r="F42" s="62">
        <v>0.67500000000000004</v>
      </c>
      <c r="G42" s="62">
        <v>1.2218749999999998</v>
      </c>
      <c r="H42" s="62">
        <v>0</v>
      </c>
      <c r="I42" s="62">
        <v>0</v>
      </c>
      <c r="J42" s="62">
        <v>0</v>
      </c>
      <c r="K42" s="62">
        <v>0</v>
      </c>
      <c r="L42" s="53" t="s">
        <v>36</v>
      </c>
      <c r="M42" s="53"/>
    </row>
    <row r="43" spans="1:13" x14ac:dyDescent="0.2">
      <c r="A43" s="239"/>
      <c r="B43" s="242"/>
      <c r="C43" s="52" t="s">
        <v>178</v>
      </c>
      <c r="D43" s="62">
        <v>5.7725806451612911</v>
      </c>
      <c r="E43" s="62">
        <v>4.4541935483870967</v>
      </c>
      <c r="F43" s="62">
        <v>0.21774193548387097</v>
      </c>
      <c r="G43" s="62">
        <v>0.37677419354838709</v>
      </c>
      <c r="H43" s="62">
        <v>0</v>
      </c>
      <c r="I43" s="62">
        <v>0</v>
      </c>
      <c r="J43" s="62">
        <v>4.6129032258064515E-2</v>
      </c>
      <c r="K43" s="62">
        <v>2.4193548387096777E-2</v>
      </c>
      <c r="L43" s="53" t="s">
        <v>36</v>
      </c>
      <c r="M43" s="53"/>
    </row>
    <row r="44" spans="1:13" x14ac:dyDescent="0.2">
      <c r="A44" s="239"/>
      <c r="B44" s="242"/>
      <c r="C44" s="52" t="s">
        <v>179</v>
      </c>
      <c r="D44" s="62">
        <v>6.5440000000000005</v>
      </c>
      <c r="E44" s="62">
        <v>6.2803333333333331</v>
      </c>
      <c r="F44" s="62">
        <v>0</v>
      </c>
      <c r="G44" s="62">
        <v>0.10999999999999995</v>
      </c>
      <c r="H44" s="62">
        <v>0</v>
      </c>
      <c r="I44" s="62">
        <v>0</v>
      </c>
      <c r="J44" s="62">
        <v>9.4E-2</v>
      </c>
      <c r="K44" s="62">
        <v>7.1666666666666684E-2</v>
      </c>
      <c r="L44" s="53" t="s">
        <v>36</v>
      </c>
      <c r="M44" s="53"/>
    </row>
    <row r="45" spans="1:13" ht="13.5" thickBot="1" x14ac:dyDescent="0.25">
      <c r="A45" s="240"/>
      <c r="B45" s="243"/>
      <c r="C45" s="55" t="s">
        <v>180</v>
      </c>
      <c r="D45" s="64">
        <v>5.7296774193548412</v>
      </c>
      <c r="E45" s="64">
        <v>6.0922580645161286</v>
      </c>
      <c r="F45" s="64">
        <v>4.3548387096774194E-2</v>
      </c>
      <c r="G45" s="64">
        <v>3.3870967741935494E-2</v>
      </c>
      <c r="H45" s="64">
        <v>0</v>
      </c>
      <c r="I45" s="64">
        <v>0</v>
      </c>
      <c r="J45" s="64">
        <v>0</v>
      </c>
      <c r="K45" s="64">
        <v>4.8064516129032279E-2</v>
      </c>
      <c r="L45" s="56" t="s">
        <v>36</v>
      </c>
      <c r="M45" s="56"/>
    </row>
    <row r="46" spans="1:13" ht="14.25" thickTop="1" thickBot="1" x14ac:dyDescent="0.25">
      <c r="A46" s="57" t="str">
        <f>A34</f>
        <v>CC-Monessen-PA</v>
      </c>
      <c r="B46" s="58" t="str">
        <f>B34</f>
        <v>Coke Oven Battery 1B</v>
      </c>
      <c r="C46" s="59"/>
      <c r="D46" s="60">
        <f>AVERAGE(D34:D45)</f>
        <v>4.3783330613159244</v>
      </c>
      <c r="E46" s="60"/>
      <c r="F46" s="60">
        <f>AVERAGE(F34:F45)</f>
        <v>8.5671082949308752E-2</v>
      </c>
      <c r="G46" s="60"/>
      <c r="H46" s="60">
        <f>AVERAGE(H34:H45)</f>
        <v>0</v>
      </c>
      <c r="I46" s="60"/>
      <c r="J46" s="60">
        <f>AVERAGE(J34:J45)</f>
        <v>2.3317204301075267E-2</v>
      </c>
      <c r="K46" s="60"/>
      <c r="L46" s="60"/>
      <c r="M46" s="61"/>
    </row>
    <row r="47" spans="1:13" ht="14.25" thickTop="1" thickBot="1" x14ac:dyDescent="0.25">
      <c r="A47" s="244"/>
      <c r="B47" s="245"/>
      <c r="C47" s="245"/>
      <c r="D47" s="245"/>
      <c r="E47" s="245"/>
      <c r="F47" s="245"/>
      <c r="G47" s="245"/>
      <c r="H47" s="245"/>
      <c r="I47" s="245"/>
      <c r="J47" s="245"/>
      <c r="K47" s="245"/>
      <c r="L47" s="245"/>
      <c r="M47" s="246"/>
    </row>
    <row r="48" spans="1:13" ht="13.5" thickTop="1" x14ac:dyDescent="0.2">
      <c r="A48" s="260" t="s">
        <v>182</v>
      </c>
      <c r="B48" s="241" t="s">
        <v>192</v>
      </c>
      <c r="C48" s="52" t="s">
        <v>184</v>
      </c>
      <c r="D48" s="62">
        <v>4.7535483870967754</v>
      </c>
      <c r="E48" s="63"/>
      <c r="F48" s="62">
        <v>0</v>
      </c>
      <c r="G48" s="63"/>
      <c r="H48" s="62">
        <v>0</v>
      </c>
      <c r="I48" s="63"/>
      <c r="J48" s="62">
        <v>0</v>
      </c>
      <c r="K48" s="63"/>
      <c r="L48" s="53" t="s">
        <v>36</v>
      </c>
      <c r="M48" s="65"/>
    </row>
    <row r="49" spans="1:13" x14ac:dyDescent="0.2">
      <c r="A49" s="239"/>
      <c r="B49" s="242"/>
      <c r="C49" s="52" t="s">
        <v>185</v>
      </c>
      <c r="D49" s="62">
        <v>4.1392857142857142</v>
      </c>
      <c r="E49" s="62">
        <v>4.4574999999999996</v>
      </c>
      <c r="F49" s="62">
        <v>0</v>
      </c>
      <c r="G49" s="62">
        <v>0</v>
      </c>
      <c r="H49" s="62">
        <v>0</v>
      </c>
      <c r="I49" s="62">
        <v>0</v>
      </c>
      <c r="J49" s="62">
        <v>0</v>
      </c>
      <c r="K49" s="62">
        <v>0</v>
      </c>
      <c r="L49" s="53" t="s">
        <v>36</v>
      </c>
      <c r="M49" s="66"/>
    </row>
    <row r="50" spans="1:13" x14ac:dyDescent="0.2">
      <c r="A50" s="239"/>
      <c r="B50" s="242"/>
      <c r="C50" s="52" t="s">
        <v>186</v>
      </c>
      <c r="D50" s="62">
        <v>4.1429032258064522</v>
      </c>
      <c r="E50" s="62">
        <v>4.0458064516129033</v>
      </c>
      <c r="F50" s="62">
        <v>0</v>
      </c>
      <c r="G50" s="62">
        <v>0</v>
      </c>
      <c r="H50" s="62">
        <v>0</v>
      </c>
      <c r="I50" s="62">
        <v>0</v>
      </c>
      <c r="J50" s="62">
        <v>0</v>
      </c>
      <c r="K50" s="62">
        <v>0</v>
      </c>
      <c r="L50" s="53" t="s">
        <v>36</v>
      </c>
      <c r="M50" s="66"/>
    </row>
    <row r="51" spans="1:13" x14ac:dyDescent="0.2">
      <c r="A51" s="239"/>
      <c r="B51" s="242"/>
      <c r="C51" s="52" t="s">
        <v>187</v>
      </c>
      <c r="D51" s="62">
        <v>3.9316666666666671</v>
      </c>
      <c r="E51" s="62">
        <v>3.8239999999999998</v>
      </c>
      <c r="F51" s="62">
        <v>0</v>
      </c>
      <c r="G51" s="62">
        <v>0</v>
      </c>
      <c r="H51" s="62">
        <v>0</v>
      </c>
      <c r="I51" s="62">
        <v>0</v>
      </c>
      <c r="J51" s="62">
        <v>0</v>
      </c>
      <c r="K51" s="62">
        <v>0</v>
      </c>
      <c r="L51" s="53" t="s">
        <v>36</v>
      </c>
      <c r="M51" s="66"/>
    </row>
    <row r="52" spans="1:13" x14ac:dyDescent="0.2">
      <c r="A52" s="239"/>
      <c r="B52" s="242"/>
      <c r="C52" s="52" t="s">
        <v>188</v>
      </c>
      <c r="D52" s="62">
        <v>3.7687096774193547</v>
      </c>
      <c r="E52" s="62">
        <v>3.6832258064516132</v>
      </c>
      <c r="F52" s="62">
        <v>0</v>
      </c>
      <c r="G52" s="62">
        <v>0</v>
      </c>
      <c r="H52" s="62">
        <v>0</v>
      </c>
      <c r="I52" s="62">
        <v>0</v>
      </c>
      <c r="J52" s="62">
        <v>0</v>
      </c>
      <c r="K52" s="62">
        <v>0</v>
      </c>
      <c r="L52" s="53" t="s">
        <v>36</v>
      </c>
      <c r="M52" s="66"/>
    </row>
    <row r="53" spans="1:13" x14ac:dyDescent="0.2">
      <c r="A53" s="239"/>
      <c r="B53" s="242"/>
      <c r="C53" s="52" t="s">
        <v>189</v>
      </c>
      <c r="D53" s="62">
        <v>3.5020000000000002</v>
      </c>
      <c r="E53" s="62">
        <v>3.6526666666666667</v>
      </c>
      <c r="F53" s="62">
        <v>0</v>
      </c>
      <c r="G53" s="62">
        <v>0</v>
      </c>
      <c r="H53" s="62">
        <v>0</v>
      </c>
      <c r="I53" s="62">
        <v>0</v>
      </c>
      <c r="J53" s="62">
        <v>0</v>
      </c>
      <c r="K53" s="62">
        <v>0</v>
      </c>
      <c r="L53" s="53" t="s">
        <v>36</v>
      </c>
      <c r="M53" s="66"/>
    </row>
    <row r="54" spans="1:13" x14ac:dyDescent="0.2">
      <c r="A54" s="239"/>
      <c r="B54" s="242"/>
      <c r="C54" s="52" t="s">
        <v>190</v>
      </c>
      <c r="D54" s="62">
        <v>3.22</v>
      </c>
      <c r="E54" s="62">
        <v>3.19</v>
      </c>
      <c r="F54" s="62">
        <v>0</v>
      </c>
      <c r="G54" s="62">
        <v>0</v>
      </c>
      <c r="H54" s="62">
        <v>0</v>
      </c>
      <c r="I54" s="62">
        <v>0</v>
      </c>
      <c r="J54" s="62">
        <v>0</v>
      </c>
      <c r="K54" s="62">
        <v>0</v>
      </c>
      <c r="L54" s="53" t="s">
        <v>36</v>
      </c>
      <c r="M54" s="66"/>
    </row>
    <row r="55" spans="1:13" x14ac:dyDescent="0.2">
      <c r="A55" s="239"/>
      <c r="B55" s="242"/>
      <c r="C55" s="52" t="s">
        <v>191</v>
      </c>
      <c r="D55" s="62">
        <v>3.36</v>
      </c>
      <c r="E55" s="62">
        <v>3.2</v>
      </c>
      <c r="F55" s="62">
        <v>0</v>
      </c>
      <c r="G55" s="62">
        <v>0</v>
      </c>
      <c r="H55" s="62">
        <v>0</v>
      </c>
      <c r="I55" s="62">
        <v>0</v>
      </c>
      <c r="J55" s="62">
        <v>0</v>
      </c>
      <c r="K55" s="62">
        <v>0</v>
      </c>
      <c r="L55" s="53" t="s">
        <v>36</v>
      </c>
      <c r="M55" s="66"/>
    </row>
    <row r="56" spans="1:13" x14ac:dyDescent="0.2">
      <c r="A56" s="239"/>
      <c r="B56" s="242"/>
      <c r="C56" s="52" t="s">
        <v>177</v>
      </c>
      <c r="D56" s="62">
        <v>3.6756249999999997</v>
      </c>
      <c r="E56" s="62">
        <v>3.4793750000000001</v>
      </c>
      <c r="F56" s="62">
        <v>1.1506249999999998</v>
      </c>
      <c r="G56" s="62">
        <v>1.75875</v>
      </c>
      <c r="H56" s="62">
        <v>0</v>
      </c>
      <c r="I56" s="62">
        <v>0</v>
      </c>
      <c r="J56" s="62">
        <v>0.17374999999999999</v>
      </c>
      <c r="K56" s="62">
        <v>0.41437500000000005</v>
      </c>
      <c r="L56" s="53" t="s">
        <v>36</v>
      </c>
      <c r="M56" s="66"/>
    </row>
    <row r="57" spans="1:13" x14ac:dyDescent="0.2">
      <c r="A57" s="239"/>
      <c r="B57" s="242"/>
      <c r="C57" s="52" t="s">
        <v>178</v>
      </c>
      <c r="D57" s="62">
        <v>5.7725806451612911</v>
      </c>
      <c r="E57" s="62">
        <v>4.4541935483870967</v>
      </c>
      <c r="F57" s="62">
        <v>0.33935483870967742</v>
      </c>
      <c r="G57" s="62">
        <v>0.64161290322580677</v>
      </c>
      <c r="H57" s="62">
        <v>0</v>
      </c>
      <c r="I57" s="62">
        <v>0</v>
      </c>
      <c r="J57" s="62">
        <v>0</v>
      </c>
      <c r="K57" s="62">
        <v>5.8064516129032281E-2</v>
      </c>
      <c r="L57" s="53" t="s">
        <v>36</v>
      </c>
      <c r="M57" s="66"/>
    </row>
    <row r="58" spans="1:13" x14ac:dyDescent="0.2">
      <c r="A58" s="239"/>
      <c r="B58" s="242"/>
      <c r="C58" s="52" t="s">
        <v>179</v>
      </c>
      <c r="D58" s="62">
        <v>6.5440000000000005</v>
      </c>
      <c r="E58" s="62">
        <v>6.2803333333333331</v>
      </c>
      <c r="F58" s="62">
        <v>0</v>
      </c>
      <c r="G58" s="62">
        <v>0.16699999999999993</v>
      </c>
      <c r="H58" s="62">
        <v>0</v>
      </c>
      <c r="I58" s="62">
        <v>0</v>
      </c>
      <c r="J58" s="62">
        <v>9.2666666666666661E-2</v>
      </c>
      <c r="K58" s="62">
        <v>7.2000000000000022E-2</v>
      </c>
      <c r="L58" s="53" t="s">
        <v>36</v>
      </c>
      <c r="M58" s="66"/>
    </row>
    <row r="59" spans="1:13" ht="13.5" thickBot="1" x14ac:dyDescent="0.25">
      <c r="A59" s="240"/>
      <c r="B59" s="243"/>
      <c r="C59" s="55" t="s">
        <v>180</v>
      </c>
      <c r="D59" s="64">
        <v>5.7296774193548412</v>
      </c>
      <c r="E59" s="64">
        <v>6.0922580645161286</v>
      </c>
      <c r="F59" s="64">
        <v>0.16967741935483871</v>
      </c>
      <c r="G59" s="64">
        <v>9.8709677419354852E-2</v>
      </c>
      <c r="H59" s="64">
        <v>0</v>
      </c>
      <c r="I59" s="64">
        <v>0</v>
      </c>
      <c r="J59" s="64">
        <v>0</v>
      </c>
      <c r="K59" s="64">
        <v>1.7419354838709676E-2</v>
      </c>
      <c r="L59" s="56" t="s">
        <v>36</v>
      </c>
      <c r="M59" s="67"/>
    </row>
    <row r="60" spans="1:13" ht="14.25" thickTop="1" thickBot="1" x14ac:dyDescent="0.25">
      <c r="A60" s="57" t="str">
        <f>A48</f>
        <v>CC-Monessen-PA</v>
      </c>
      <c r="B60" s="58" t="str">
        <f>B48</f>
        <v>Coke Oven Battery 2</v>
      </c>
      <c r="C60" s="59"/>
      <c r="D60" s="60">
        <f>AVERAGE(D48:D59)</f>
        <v>4.3783330613159244</v>
      </c>
      <c r="E60" s="60"/>
      <c r="F60" s="60">
        <f>AVERAGE(F48:F59)</f>
        <v>0.13830477150537632</v>
      </c>
      <c r="G60" s="60"/>
      <c r="H60" s="60">
        <f>AVERAGE(H48:H59)</f>
        <v>0</v>
      </c>
      <c r="I60" s="60"/>
      <c r="J60" s="60">
        <f>AVERAGE(J48:J59)</f>
        <v>2.2201388888888885E-2</v>
      </c>
      <c r="K60" s="60"/>
      <c r="L60" s="60"/>
      <c r="M60" s="61"/>
    </row>
    <row r="61" spans="1:13" ht="14.25" thickTop="1" thickBot="1" x14ac:dyDescent="0.25">
      <c r="A61" s="244"/>
      <c r="B61" s="245"/>
      <c r="C61" s="245"/>
      <c r="D61" s="245"/>
      <c r="E61" s="245"/>
      <c r="F61" s="245"/>
      <c r="G61" s="245"/>
      <c r="H61" s="245"/>
      <c r="I61" s="245"/>
      <c r="J61" s="245"/>
      <c r="K61" s="245"/>
      <c r="L61" s="245"/>
      <c r="M61" s="246"/>
    </row>
    <row r="62" spans="1:13" ht="13.5" thickTop="1" x14ac:dyDescent="0.2">
      <c r="A62" s="257" t="s">
        <v>193</v>
      </c>
      <c r="B62" s="251" t="s">
        <v>194</v>
      </c>
      <c r="C62" s="68" t="s">
        <v>169</v>
      </c>
      <c r="D62" s="53">
        <v>5.8001290322580648</v>
      </c>
      <c r="E62" s="54"/>
      <c r="F62" s="53">
        <v>1.7329152418153055</v>
      </c>
      <c r="G62" s="54"/>
      <c r="H62" s="53">
        <v>0.12132886781131016</v>
      </c>
      <c r="I62" s="54"/>
      <c r="J62" s="53">
        <v>1.5798945945794842</v>
      </c>
      <c r="K62" s="54"/>
      <c r="L62" s="53" t="s">
        <v>36</v>
      </c>
      <c r="M62" s="54"/>
    </row>
    <row r="63" spans="1:13" x14ac:dyDescent="0.2">
      <c r="A63" s="257"/>
      <c r="B63" s="252"/>
      <c r="C63" s="68" t="s">
        <v>170</v>
      </c>
      <c r="D63" s="53">
        <v>6.9</v>
      </c>
      <c r="E63" s="53">
        <v>5.3308513420227737</v>
      </c>
      <c r="F63" s="53">
        <v>1.5262496616506984</v>
      </c>
      <c r="G63" s="53">
        <v>1.7682080228087312E-2</v>
      </c>
      <c r="H63" s="53">
        <v>0.14773014584341812</v>
      </c>
      <c r="I63" s="53">
        <v>1.4479901736485269E-3</v>
      </c>
      <c r="J63" s="53">
        <v>1.4534367405784765</v>
      </c>
      <c r="K63" s="53">
        <v>1.4444720631545204E-2</v>
      </c>
      <c r="L63" s="53" t="s">
        <v>36</v>
      </c>
      <c r="M63" s="53"/>
    </row>
    <row r="64" spans="1:13" x14ac:dyDescent="0.2">
      <c r="A64" s="257"/>
      <c r="B64" s="252"/>
      <c r="C64" s="68" t="s">
        <v>171</v>
      </c>
      <c r="D64" s="53">
        <v>6.3161290322580648</v>
      </c>
      <c r="E64" s="53">
        <v>5.2063101506014924</v>
      </c>
      <c r="F64" s="53">
        <v>1.4076817738483667</v>
      </c>
      <c r="G64" s="53">
        <v>1.4698992461613715E-2</v>
      </c>
      <c r="H64" s="53">
        <v>0</v>
      </c>
      <c r="I64" s="53">
        <v>7.1993611970661421E-4</v>
      </c>
      <c r="J64" s="53">
        <v>1.1366196850017776</v>
      </c>
      <c r="K64" s="53">
        <v>1.3413622916741601E-2</v>
      </c>
      <c r="L64" s="53" t="s">
        <v>36</v>
      </c>
      <c r="M64" s="53"/>
    </row>
    <row r="65" spans="1:13" x14ac:dyDescent="0.2">
      <c r="A65" s="257"/>
      <c r="B65" s="252"/>
      <c r="C65" s="68" t="s">
        <v>172</v>
      </c>
      <c r="D65" s="53">
        <v>5.4666666666666668</v>
      </c>
      <c r="E65" s="53">
        <v>4.7701108759902748</v>
      </c>
      <c r="F65" s="53">
        <v>1.3958609964432542</v>
      </c>
      <c r="G65" s="53">
        <v>1.4577228409717306E-2</v>
      </c>
      <c r="H65" s="53">
        <v>0.18249379243284544</v>
      </c>
      <c r="I65" s="53">
        <v>1.0295590167445142E-3</v>
      </c>
      <c r="J65" s="53">
        <v>1.8810850218940598</v>
      </c>
      <c r="K65" s="53">
        <v>1.5573121561638504E-2</v>
      </c>
      <c r="L65" s="53" t="s">
        <v>36</v>
      </c>
      <c r="M65" s="53"/>
    </row>
    <row r="66" spans="1:13" x14ac:dyDescent="0.2">
      <c r="A66" s="257"/>
      <c r="B66" s="252"/>
      <c r="C66" s="68" t="s">
        <v>173</v>
      </c>
      <c r="D66" s="53">
        <v>5.17741935483871</v>
      </c>
      <c r="E66" s="53">
        <v>4.2061817202202025</v>
      </c>
      <c r="F66" s="53">
        <v>0.92882525676056005</v>
      </c>
      <c r="G66" s="53">
        <v>8.7669769900286711E-3</v>
      </c>
      <c r="H66" s="53">
        <v>0</v>
      </c>
      <c r="I66" s="53">
        <v>7.6972152346832881E-4</v>
      </c>
      <c r="J66" s="53">
        <v>1.5012655700060391</v>
      </c>
      <c r="K66" s="53">
        <v>1.6475751842684825E-2</v>
      </c>
      <c r="L66" s="53" t="s">
        <v>36</v>
      </c>
      <c r="M66" s="53"/>
    </row>
    <row r="67" spans="1:13" x14ac:dyDescent="0.2">
      <c r="A67" s="257"/>
      <c r="B67" s="252"/>
      <c r="C67" s="68" t="s">
        <v>174</v>
      </c>
      <c r="D67" s="53">
        <v>4.17</v>
      </c>
      <c r="E67" s="53">
        <v>4.0634090472148179</v>
      </c>
      <c r="F67" s="53">
        <v>0.96379615550509401</v>
      </c>
      <c r="G67" s="53">
        <v>1.0883312392972549E-2</v>
      </c>
      <c r="H67" s="53">
        <v>4.2194092827004218E-2</v>
      </c>
      <c r="I67" s="53">
        <v>2.1097046413502116E-4</v>
      </c>
      <c r="J67" s="53">
        <v>1.1271620360817807</v>
      </c>
      <c r="K67" s="53">
        <v>1.2770808709169894E-2</v>
      </c>
      <c r="L67" s="53" t="s">
        <v>36</v>
      </c>
      <c r="M67" s="53"/>
    </row>
    <row r="68" spans="1:13" x14ac:dyDescent="0.2">
      <c r="A68" s="257"/>
      <c r="B68" s="252"/>
      <c r="C68" s="68" t="s">
        <v>175</v>
      </c>
      <c r="D68" s="53">
        <v>2.8516129032258064</v>
      </c>
      <c r="E68" s="53">
        <v>2.9870943717317466</v>
      </c>
      <c r="F68" s="53">
        <v>0.66761902234446524</v>
      </c>
      <c r="G68" s="53">
        <v>7.7858297210432409E-3</v>
      </c>
      <c r="H68" s="53">
        <v>5.4103715802368307E-2</v>
      </c>
      <c r="I68" s="53">
        <v>4.6487228347171162E-4</v>
      </c>
      <c r="J68" s="53">
        <v>0.97095426003940166</v>
      </c>
      <c r="K68" s="53">
        <v>1.0374116709958326E-2</v>
      </c>
      <c r="L68" s="53" t="s">
        <v>36</v>
      </c>
      <c r="M68" s="53"/>
    </row>
    <row r="69" spans="1:13" x14ac:dyDescent="0.2">
      <c r="A69" s="257"/>
      <c r="B69" s="252"/>
      <c r="C69" s="68" t="s">
        <v>176</v>
      </c>
      <c r="D69" s="53">
        <v>3.0258064516129033</v>
      </c>
      <c r="E69" s="53">
        <v>2.7630180530852382</v>
      </c>
      <c r="F69" s="53">
        <v>1.0890433538016919</v>
      </c>
      <c r="G69" s="53">
        <v>9.8916359072604241E-3</v>
      </c>
      <c r="H69" s="53">
        <v>0.10610518935503238</v>
      </c>
      <c r="I69" s="53">
        <v>8.4115206638536103E-4</v>
      </c>
      <c r="J69" s="53">
        <v>0.82610040861296852</v>
      </c>
      <c r="K69" s="53">
        <v>8.9996924270832196E-3</v>
      </c>
      <c r="L69" s="53" t="s">
        <v>36</v>
      </c>
      <c r="M69" s="53"/>
    </row>
    <row r="70" spans="1:13" x14ac:dyDescent="0.2">
      <c r="A70" s="257"/>
      <c r="B70" s="252"/>
      <c r="C70" s="68" t="s">
        <v>177</v>
      </c>
      <c r="D70" s="53">
        <v>3.66</v>
      </c>
      <c r="E70" s="53">
        <v>2.5658106291610534</v>
      </c>
      <c r="F70" s="53">
        <v>1.3191432594046657</v>
      </c>
      <c r="G70" s="53">
        <v>1.0635568766832904E-2</v>
      </c>
      <c r="H70" s="53">
        <v>0.17886986018035908</v>
      </c>
      <c r="I70" s="53">
        <v>1.4238287844770688E-3</v>
      </c>
      <c r="J70" s="53">
        <v>1.541821792007942</v>
      </c>
      <c r="K70" s="53">
        <v>1.2727959118678736E-2</v>
      </c>
      <c r="L70" s="53" t="s">
        <v>36</v>
      </c>
      <c r="M70" s="53"/>
    </row>
    <row r="71" spans="1:13" x14ac:dyDescent="0.2">
      <c r="A71" s="257"/>
      <c r="B71" s="252"/>
      <c r="C71" s="68" t="s">
        <v>178</v>
      </c>
      <c r="D71" s="53">
        <v>4.3001290322580648</v>
      </c>
      <c r="E71" s="53">
        <v>3.7206945510647995</v>
      </c>
      <c r="F71" s="53">
        <v>1.5893660693837848</v>
      </c>
      <c r="G71" s="53">
        <v>1.4832776620464143E-2</v>
      </c>
      <c r="H71" s="53">
        <v>5.2024474800028669E-2</v>
      </c>
      <c r="I71" s="53">
        <v>1.1104386978825224E-3</v>
      </c>
      <c r="J71" s="53">
        <v>1.1029467455593911</v>
      </c>
      <c r="K71" s="53">
        <v>1.2110940593326718E-2</v>
      </c>
      <c r="L71" s="53" t="s">
        <v>36</v>
      </c>
      <c r="M71" s="53"/>
    </row>
    <row r="72" spans="1:13" x14ac:dyDescent="0.2">
      <c r="A72" s="257"/>
      <c r="B72" s="252"/>
      <c r="C72" s="68" t="s">
        <v>179</v>
      </c>
      <c r="D72" s="53">
        <v>3.8551724137931034</v>
      </c>
      <c r="E72" s="53">
        <v>3.4480603413615643</v>
      </c>
      <c r="F72" s="53">
        <v>0.97685831624342867</v>
      </c>
      <c r="G72" s="53">
        <v>1.3354820188853993E-2</v>
      </c>
      <c r="H72" s="53">
        <v>5.5066411576118197E-2</v>
      </c>
      <c r="I72" s="53">
        <v>5.6110233977010448E-4</v>
      </c>
      <c r="J72" s="53">
        <v>1.3441786092587464</v>
      </c>
      <c r="K72" s="53">
        <v>1.2578660953116681E-2</v>
      </c>
      <c r="L72" s="53" t="s">
        <v>36</v>
      </c>
      <c r="M72" s="53"/>
    </row>
    <row r="73" spans="1:13" ht="13.5" thickBot="1" x14ac:dyDescent="0.25">
      <c r="A73" s="258"/>
      <c r="B73" s="253"/>
      <c r="C73" s="69" t="s">
        <v>180</v>
      </c>
      <c r="D73" s="56">
        <v>2.6065806451612903</v>
      </c>
      <c r="E73" s="56">
        <v>2.9832092083009014</v>
      </c>
      <c r="F73" s="56">
        <v>0.50469490059333033</v>
      </c>
      <c r="G73" s="56">
        <v>6.9487529037724968E-3</v>
      </c>
      <c r="H73" s="56">
        <v>6.6133435816139424E-2</v>
      </c>
      <c r="I73" s="56">
        <v>5.6619373294448624E-4</v>
      </c>
      <c r="J73" s="56">
        <v>1.0248957128452834</v>
      </c>
      <c r="K73" s="56">
        <v>1.2847138648892175E-2</v>
      </c>
      <c r="L73" s="56" t="s">
        <v>36</v>
      </c>
      <c r="M73" s="56"/>
    </row>
    <row r="74" spans="1:13" ht="14.25" thickTop="1" thickBot="1" x14ac:dyDescent="0.25">
      <c r="A74" s="57" t="str">
        <f>A62</f>
        <v>CC-Warren_OH</v>
      </c>
      <c r="B74" s="58" t="str">
        <f>B62</f>
        <v>#4 Battery</v>
      </c>
      <c r="C74" s="59"/>
      <c r="D74" s="60">
        <f>AVERAGE(D62:D73)</f>
        <v>4.5108037943393891</v>
      </c>
      <c r="E74" s="60"/>
      <c r="F74" s="60">
        <f>AVERAGE(F62:F73)</f>
        <v>1.1751711673162204</v>
      </c>
      <c r="G74" s="60"/>
      <c r="H74" s="60">
        <f>AVERAGE(H62:H73)</f>
        <v>8.3837498870385344E-2</v>
      </c>
      <c r="I74" s="60"/>
      <c r="J74" s="60">
        <f>AVERAGE(J62:J73)</f>
        <v>1.2908634313721126</v>
      </c>
      <c r="K74" s="60"/>
      <c r="L74" s="60"/>
      <c r="M74" s="61"/>
    </row>
    <row r="75" spans="1:13" ht="14.25" thickTop="1" thickBot="1" x14ac:dyDescent="0.25">
      <c r="A75" s="254"/>
      <c r="B75" s="255"/>
      <c r="C75" s="255"/>
      <c r="D75" s="255"/>
      <c r="E75" s="255"/>
      <c r="F75" s="255"/>
      <c r="G75" s="255"/>
      <c r="H75" s="255"/>
      <c r="I75" s="255"/>
      <c r="J75" s="255"/>
      <c r="K75" s="255"/>
      <c r="L75" s="255"/>
      <c r="M75" s="256"/>
    </row>
    <row r="76" spans="1:13" ht="13.5" thickTop="1" x14ac:dyDescent="0.2">
      <c r="A76" s="248" t="s">
        <v>195</v>
      </c>
      <c r="B76" s="259">
        <v>1</v>
      </c>
      <c r="C76" s="68" t="s">
        <v>169</v>
      </c>
      <c r="D76" s="70">
        <v>2.024838709677419</v>
      </c>
      <c r="E76" s="71"/>
      <c r="F76" s="70">
        <v>0.5619354838709677</v>
      </c>
      <c r="G76" s="71"/>
      <c r="H76" s="72">
        <v>6.4516129032258064E-4</v>
      </c>
      <c r="I76" s="71"/>
      <c r="J76" s="72">
        <v>0.64419354838709664</v>
      </c>
      <c r="K76" s="71"/>
      <c r="L76" s="70" t="s">
        <v>1</v>
      </c>
      <c r="M76" s="71"/>
    </row>
    <row r="77" spans="1:13" ht="13.5" customHeight="1" x14ac:dyDescent="0.2">
      <c r="A77" s="249"/>
      <c r="B77" s="242"/>
      <c r="C77" s="68" t="s">
        <v>170</v>
      </c>
      <c r="D77" s="70">
        <v>1.6432142857142857</v>
      </c>
      <c r="E77" s="70">
        <v>1.8340264976958522</v>
      </c>
      <c r="F77" s="70">
        <v>0.85142857142857165</v>
      </c>
      <c r="G77" s="70">
        <v>0.70668202764976962</v>
      </c>
      <c r="H77" s="70">
        <v>0</v>
      </c>
      <c r="I77" s="70">
        <v>3.2258064516129032E-4</v>
      </c>
      <c r="J77" s="70">
        <v>0.53107142857142853</v>
      </c>
      <c r="K77" s="70">
        <v>0.58763248847926253</v>
      </c>
      <c r="L77" s="70" t="s">
        <v>1</v>
      </c>
      <c r="M77" s="70" t="s">
        <v>1</v>
      </c>
    </row>
    <row r="78" spans="1:13" ht="12.75" customHeight="1" x14ac:dyDescent="0.2">
      <c r="A78" s="249"/>
      <c r="B78" s="242"/>
      <c r="C78" s="68" t="s">
        <v>171</v>
      </c>
      <c r="D78" s="70">
        <v>1.7741935483870968</v>
      </c>
      <c r="E78" s="70">
        <v>1.8140821812596004</v>
      </c>
      <c r="F78" s="70">
        <v>1.3435483870967742</v>
      </c>
      <c r="G78" s="70">
        <v>0.91897081413210435</v>
      </c>
      <c r="H78" s="70">
        <v>3.322580645161291E-2</v>
      </c>
      <c r="I78" s="70">
        <v>1.1290322580645164E-2</v>
      </c>
      <c r="J78" s="70">
        <v>0.7535483870967743</v>
      </c>
      <c r="K78" s="70">
        <v>0.64293778801843315</v>
      </c>
      <c r="L78" s="70" t="s">
        <v>1</v>
      </c>
      <c r="M78" s="70" t="s">
        <v>1</v>
      </c>
    </row>
    <row r="79" spans="1:13" ht="12.75" customHeight="1" x14ac:dyDescent="0.2">
      <c r="A79" s="249"/>
      <c r="B79" s="242"/>
      <c r="C79" s="68" t="s">
        <v>172</v>
      </c>
      <c r="D79" s="70">
        <v>2.2960000000000003</v>
      </c>
      <c r="E79" s="70">
        <v>1.9345616359447004</v>
      </c>
      <c r="F79" s="70">
        <v>0.93733333333333335</v>
      </c>
      <c r="G79" s="70">
        <v>0.92356144393241157</v>
      </c>
      <c r="H79" s="70">
        <v>5.6666666666666679E-3</v>
      </c>
      <c r="I79" s="70">
        <v>9.8844086021505403E-3</v>
      </c>
      <c r="J79" s="70">
        <v>0.56100000000000005</v>
      </c>
      <c r="K79" s="70">
        <v>0.62245334101382488</v>
      </c>
      <c r="L79" s="70" t="s">
        <v>1</v>
      </c>
      <c r="M79" s="70" t="s">
        <v>1</v>
      </c>
    </row>
    <row r="80" spans="1:13" ht="12.75" customHeight="1" x14ac:dyDescent="0.2">
      <c r="A80" s="249"/>
      <c r="B80" s="242"/>
      <c r="C80" s="68" t="s">
        <v>173</v>
      </c>
      <c r="D80" s="70">
        <v>1.9238709677419354</v>
      </c>
      <c r="E80" s="70">
        <v>1.9324235023041474</v>
      </c>
      <c r="F80" s="70">
        <v>0.62967741935483867</v>
      </c>
      <c r="G80" s="70">
        <v>0.86478463901689706</v>
      </c>
      <c r="H80" s="70">
        <v>0</v>
      </c>
      <c r="I80" s="70">
        <v>7.9075268817204326E-3</v>
      </c>
      <c r="J80" s="70">
        <v>0.46064516129032274</v>
      </c>
      <c r="K80" s="70">
        <v>0.59009170506912445</v>
      </c>
      <c r="L80" s="70" t="s">
        <v>1</v>
      </c>
      <c r="M80" s="70" t="s">
        <v>1</v>
      </c>
    </row>
    <row r="81" spans="1:13" ht="12.75" customHeight="1" x14ac:dyDescent="0.2">
      <c r="A81" s="249"/>
      <c r="B81" s="242"/>
      <c r="C81" s="68" t="s">
        <v>174</v>
      </c>
      <c r="D81" s="70">
        <v>1.9119999999999999</v>
      </c>
      <c r="E81" s="70">
        <v>1.929019585253456</v>
      </c>
      <c r="F81" s="70">
        <v>0.78700000000000025</v>
      </c>
      <c r="G81" s="70">
        <v>0.85182053251408085</v>
      </c>
      <c r="H81" s="70">
        <v>1.0000000000000004E-2</v>
      </c>
      <c r="I81" s="70">
        <v>8.2562724014336938E-3</v>
      </c>
      <c r="J81" s="70">
        <v>0.48300000000000004</v>
      </c>
      <c r="K81" s="70">
        <v>0.57224308755760378</v>
      </c>
      <c r="L81" s="70" t="s">
        <v>1</v>
      </c>
      <c r="M81" s="70" t="s">
        <v>1</v>
      </c>
    </row>
    <row r="82" spans="1:13" ht="12.75" customHeight="1" x14ac:dyDescent="0.2">
      <c r="A82" s="249"/>
      <c r="B82" s="242"/>
      <c r="C82" s="68" t="s">
        <v>175</v>
      </c>
      <c r="D82" s="70">
        <v>2.6267741935483873</v>
      </c>
      <c r="E82" s="70">
        <v>2.0286988150098746</v>
      </c>
      <c r="F82" s="70">
        <v>0.74677419354838703</v>
      </c>
      <c r="G82" s="70">
        <v>0.83681391266183891</v>
      </c>
      <c r="H82" s="70">
        <v>0</v>
      </c>
      <c r="I82" s="70">
        <v>7.0768049155145946E-3</v>
      </c>
      <c r="J82" s="70">
        <v>0.25258064516129031</v>
      </c>
      <c r="K82" s="70">
        <v>0.52657702435813036</v>
      </c>
      <c r="L82" s="70" t="s">
        <v>1</v>
      </c>
      <c r="M82" s="70" t="s">
        <v>1</v>
      </c>
    </row>
    <row r="83" spans="1:13" ht="12.75" customHeight="1" x14ac:dyDescent="0.2">
      <c r="A83" s="249"/>
      <c r="B83" s="242"/>
      <c r="C83" s="68" t="s">
        <v>176</v>
      </c>
      <c r="D83" s="70">
        <v>2.3774193548387093</v>
      </c>
      <c r="E83" s="70">
        <v>2.0722888824884791</v>
      </c>
      <c r="F83" s="70">
        <v>0.56903225806451618</v>
      </c>
      <c r="G83" s="70">
        <v>0.80334120583717361</v>
      </c>
      <c r="H83" s="70">
        <v>0</v>
      </c>
      <c r="I83" s="70">
        <v>6.1922043010752704E-3</v>
      </c>
      <c r="J83" s="70">
        <v>0.31032258064516133</v>
      </c>
      <c r="K83" s="70">
        <v>0.49954521889400927</v>
      </c>
      <c r="L83" s="70" t="s">
        <v>1</v>
      </c>
      <c r="M83" s="70" t="s">
        <v>1</v>
      </c>
    </row>
    <row r="84" spans="1:13" ht="12.75" customHeight="1" x14ac:dyDescent="0.2">
      <c r="A84" s="249"/>
      <c r="B84" s="242"/>
      <c r="C84" s="68" t="s">
        <v>177</v>
      </c>
      <c r="D84" s="70">
        <v>2.182666666666667</v>
      </c>
      <c r="E84" s="70">
        <v>2.0845530807304997</v>
      </c>
      <c r="F84" s="70">
        <v>1.004</v>
      </c>
      <c r="G84" s="70">
        <v>0.82563662741082089</v>
      </c>
      <c r="H84" s="70">
        <v>0</v>
      </c>
      <c r="I84" s="70">
        <v>5.5041816009557959E-3</v>
      </c>
      <c r="J84" s="70">
        <v>0.45733333333333337</v>
      </c>
      <c r="K84" s="70">
        <v>0.49485500938726751</v>
      </c>
      <c r="L84" s="70" t="s">
        <v>1</v>
      </c>
      <c r="M84" s="70" t="s">
        <v>1</v>
      </c>
    </row>
    <row r="85" spans="1:13" ht="12.75" customHeight="1" x14ac:dyDescent="0.2">
      <c r="A85" s="249"/>
      <c r="B85" s="242"/>
      <c r="C85" s="68" t="s">
        <v>178</v>
      </c>
      <c r="D85" s="70">
        <v>2.5306451612903227</v>
      </c>
      <c r="E85" s="70">
        <v>2.1291622887864823</v>
      </c>
      <c r="F85" s="70">
        <v>1.0858064516129031</v>
      </c>
      <c r="G85" s="70">
        <v>0.85165360983102922</v>
      </c>
      <c r="H85" s="70">
        <v>0</v>
      </c>
      <c r="I85" s="70">
        <v>4.9537634408602163E-3</v>
      </c>
      <c r="J85" s="70">
        <v>0.59161290322580629</v>
      </c>
      <c r="K85" s="70">
        <v>0.50453079877112139</v>
      </c>
      <c r="L85" s="70" t="s">
        <v>1</v>
      </c>
      <c r="M85" s="70" t="s">
        <v>1</v>
      </c>
    </row>
    <row r="86" spans="1:13" ht="12.75" customHeight="1" x14ac:dyDescent="0.2">
      <c r="A86" s="249"/>
      <c r="B86" s="242"/>
      <c r="C86" s="68" t="s">
        <v>179</v>
      </c>
      <c r="D86" s="70">
        <v>2.1619999999999999</v>
      </c>
      <c r="E86" s="70">
        <v>2.1321475352604384</v>
      </c>
      <c r="F86" s="70">
        <v>0.59666666666666679</v>
      </c>
      <c r="G86" s="70">
        <v>0.82847297863426905</v>
      </c>
      <c r="H86" s="70">
        <v>3.3333333333333331E-3</v>
      </c>
      <c r="I86" s="70">
        <v>4.8064516129032271E-3</v>
      </c>
      <c r="J86" s="70">
        <v>0.42333333333333345</v>
      </c>
      <c r="K86" s="70">
        <v>0.49714921100404985</v>
      </c>
      <c r="L86" s="70" t="s">
        <v>1</v>
      </c>
      <c r="M86" s="70" t="s">
        <v>1</v>
      </c>
    </row>
    <row r="87" spans="1:13" ht="13.5" customHeight="1" thickBot="1" x14ac:dyDescent="0.25">
      <c r="A87" s="250"/>
      <c r="B87" s="243"/>
      <c r="C87" s="69" t="s">
        <v>180</v>
      </c>
      <c r="D87" s="73">
        <v>1.9361290322580644</v>
      </c>
      <c r="E87" s="70">
        <v>2.1158126600102407</v>
      </c>
      <c r="F87" s="70">
        <v>1.2883870967741935</v>
      </c>
      <c r="G87" s="70">
        <v>0.86679915514592942</v>
      </c>
      <c r="H87" s="70">
        <v>6.4516129032258073E-3</v>
      </c>
      <c r="I87" s="70">
        <v>4.9435483870967755E-3</v>
      </c>
      <c r="J87" s="70">
        <v>0.38483870967741934</v>
      </c>
      <c r="K87" s="70">
        <v>0.48779000256016397</v>
      </c>
      <c r="L87" s="70" t="s">
        <v>1</v>
      </c>
      <c r="M87" s="70" t="s">
        <v>1</v>
      </c>
    </row>
    <row r="88" spans="1:13" ht="14.25" thickTop="1" thickBot="1" x14ac:dyDescent="0.25">
      <c r="A88" s="57" t="s">
        <v>3</v>
      </c>
      <c r="B88" s="58">
        <f>B76</f>
        <v>1</v>
      </c>
      <c r="C88" s="59"/>
      <c r="D88" s="60">
        <f>AVERAGE(D76:D87)</f>
        <v>2.1158126600102407</v>
      </c>
      <c r="E88" s="60"/>
      <c r="F88" s="60">
        <f>AVERAGE(F76:F87)</f>
        <v>0.86679915514592942</v>
      </c>
      <c r="G88" s="60"/>
      <c r="H88" s="60">
        <f>AVERAGE(H76:H87)</f>
        <v>4.9435483870967755E-3</v>
      </c>
      <c r="I88" s="60"/>
      <c r="J88" s="60">
        <f>AVERAGE(J76:J87)</f>
        <v>0.48779000256016397</v>
      </c>
      <c r="K88" s="60"/>
      <c r="L88" s="60"/>
      <c r="M88" s="61"/>
    </row>
    <row r="89" spans="1:13" ht="14.25" thickTop="1" thickBot="1" x14ac:dyDescent="0.25">
      <c r="A89" s="254"/>
      <c r="B89" s="255"/>
      <c r="C89" s="255"/>
      <c r="D89" s="255"/>
      <c r="E89" s="255"/>
      <c r="F89" s="255"/>
      <c r="G89" s="255"/>
      <c r="H89" s="255"/>
      <c r="I89" s="255"/>
      <c r="J89" s="255"/>
      <c r="K89" s="255"/>
      <c r="L89" s="255"/>
      <c r="M89" s="256"/>
    </row>
    <row r="90" spans="1:13" ht="13.5" thickTop="1" x14ac:dyDescent="0.2">
      <c r="A90" s="248" t="s">
        <v>195</v>
      </c>
      <c r="B90" s="241">
        <v>2</v>
      </c>
      <c r="C90" s="68" t="s">
        <v>169</v>
      </c>
      <c r="D90" s="70">
        <v>1.8129032258064517</v>
      </c>
      <c r="E90" s="71"/>
      <c r="F90" s="70">
        <v>0.60774193548387112</v>
      </c>
      <c r="G90" s="71"/>
      <c r="H90" s="70">
        <v>4.8387096774193551E-3</v>
      </c>
      <c r="I90" s="71"/>
      <c r="J90" s="70">
        <v>0.31419354838709684</v>
      </c>
      <c r="K90" s="71"/>
      <c r="L90" s="70" t="s">
        <v>1</v>
      </c>
      <c r="M90" s="71"/>
    </row>
    <row r="91" spans="1:13" x14ac:dyDescent="0.2">
      <c r="A91" s="249"/>
      <c r="B91" s="242"/>
      <c r="C91" s="68" t="s">
        <v>170</v>
      </c>
      <c r="D91" s="70">
        <v>1.9114285714285715</v>
      </c>
      <c r="E91" s="70">
        <v>1.8621658986175116</v>
      </c>
      <c r="F91" s="70">
        <v>0.9364285714285715</v>
      </c>
      <c r="G91" s="70">
        <v>0.77208525345622125</v>
      </c>
      <c r="H91" s="70">
        <v>1.3571428571428576E-2</v>
      </c>
      <c r="I91" s="70">
        <v>9.2050691244239657E-3</v>
      </c>
      <c r="J91" s="70">
        <v>0.31071428571428567</v>
      </c>
      <c r="K91" s="70">
        <v>0.31245391705069125</v>
      </c>
      <c r="L91" s="70" t="s">
        <v>1</v>
      </c>
      <c r="M91" s="70" t="s">
        <v>1</v>
      </c>
    </row>
    <row r="92" spans="1:13" x14ac:dyDescent="0.2">
      <c r="A92" s="249"/>
      <c r="B92" s="242"/>
      <c r="C92" s="68" t="s">
        <v>171</v>
      </c>
      <c r="D92" s="70">
        <v>1.8680645161290321</v>
      </c>
      <c r="E92" s="70">
        <v>1.8641321044546852</v>
      </c>
      <c r="F92" s="70">
        <v>1.1177419354838709</v>
      </c>
      <c r="G92" s="70">
        <v>0.88730414746543784</v>
      </c>
      <c r="H92" s="70">
        <v>2.5161290322580659E-2</v>
      </c>
      <c r="I92" s="70">
        <v>1.4523809523809531E-2</v>
      </c>
      <c r="J92" s="70">
        <v>0.38387096774193563</v>
      </c>
      <c r="K92" s="70">
        <v>0.33625960061443938</v>
      </c>
      <c r="L92" s="70" t="s">
        <v>1</v>
      </c>
      <c r="M92" s="70" t="s">
        <v>1</v>
      </c>
    </row>
    <row r="93" spans="1:13" x14ac:dyDescent="0.2">
      <c r="A93" s="249"/>
      <c r="B93" s="242"/>
      <c r="C93" s="68" t="s">
        <v>172</v>
      </c>
      <c r="D93" s="70">
        <v>2.1193333333333331</v>
      </c>
      <c r="E93" s="70">
        <v>1.9279324116743473</v>
      </c>
      <c r="F93" s="70">
        <v>0.91733333333333311</v>
      </c>
      <c r="G93" s="70">
        <v>0.89481144393241163</v>
      </c>
      <c r="H93" s="70">
        <v>6.333333333333334E-3</v>
      </c>
      <c r="I93" s="70">
        <v>1.2476190476190483E-2</v>
      </c>
      <c r="J93" s="70">
        <v>0.37266666666666665</v>
      </c>
      <c r="K93" s="70">
        <v>0.34536136712749621</v>
      </c>
      <c r="L93" s="70" t="s">
        <v>1</v>
      </c>
      <c r="M93" s="70" t="s">
        <v>1</v>
      </c>
    </row>
    <row r="94" spans="1:13" x14ac:dyDescent="0.2">
      <c r="A94" s="249"/>
      <c r="B94" s="242"/>
      <c r="C94" s="68" t="s">
        <v>173</v>
      </c>
      <c r="D94" s="70">
        <v>2.0706451612903227</v>
      </c>
      <c r="E94" s="70">
        <v>1.9564749615975423</v>
      </c>
      <c r="F94" s="70">
        <v>0.7683870967741937</v>
      </c>
      <c r="G94" s="70">
        <v>0.86952657450076809</v>
      </c>
      <c r="H94" s="70">
        <v>3.5483870967741933E-3</v>
      </c>
      <c r="I94" s="70">
        <v>1.0690629800307225E-2</v>
      </c>
      <c r="J94" s="70">
        <v>0.49354838709677418</v>
      </c>
      <c r="K94" s="70">
        <v>0.37499877112135183</v>
      </c>
      <c r="L94" s="70" t="s">
        <v>1</v>
      </c>
      <c r="M94" s="70" t="s">
        <v>1</v>
      </c>
    </row>
    <row r="95" spans="1:13" x14ac:dyDescent="0.2">
      <c r="A95" s="249"/>
      <c r="B95" s="242"/>
      <c r="C95" s="68" t="s">
        <v>174</v>
      </c>
      <c r="D95" s="70">
        <v>2.4333333333333331</v>
      </c>
      <c r="E95" s="70">
        <v>2.0359513568868408</v>
      </c>
      <c r="F95" s="70">
        <v>0.83399999999999996</v>
      </c>
      <c r="G95" s="70">
        <v>0.86360547875064009</v>
      </c>
      <c r="H95" s="70">
        <v>0</v>
      </c>
      <c r="I95" s="70">
        <v>8.9088581669226879E-3</v>
      </c>
      <c r="J95" s="70">
        <v>0.55299999999999983</v>
      </c>
      <c r="K95" s="70">
        <v>0.40466564260112653</v>
      </c>
      <c r="L95" s="70" t="s">
        <v>1</v>
      </c>
      <c r="M95" s="70" t="s">
        <v>1</v>
      </c>
    </row>
    <row r="96" spans="1:13" x14ac:dyDescent="0.2">
      <c r="A96" s="249"/>
      <c r="B96" s="242"/>
      <c r="C96" s="68" t="s">
        <v>175</v>
      </c>
      <c r="D96" s="70">
        <v>2.3509677419354835</v>
      </c>
      <c r="E96" s="70">
        <v>2.0809536976080758</v>
      </c>
      <c r="F96" s="70">
        <v>0.89258064516129043</v>
      </c>
      <c r="G96" s="70">
        <v>0.86774478823787582</v>
      </c>
      <c r="H96" s="70">
        <v>0</v>
      </c>
      <c r="I96" s="70">
        <v>7.6361641430765887E-3</v>
      </c>
      <c r="J96" s="70">
        <v>0.30870967741935479</v>
      </c>
      <c r="K96" s="70">
        <v>0.39095764757515911</v>
      </c>
      <c r="L96" s="70" t="s">
        <v>1</v>
      </c>
      <c r="M96" s="70" t="s">
        <v>1</v>
      </c>
    </row>
    <row r="97" spans="1:13" x14ac:dyDescent="0.2">
      <c r="A97" s="249"/>
      <c r="B97" s="242"/>
      <c r="C97" s="68" t="s">
        <v>176</v>
      </c>
      <c r="D97" s="70">
        <v>2.5045161290322584</v>
      </c>
      <c r="E97" s="70">
        <v>2.1338990015360983</v>
      </c>
      <c r="F97" s="70">
        <v>0.48483870967741932</v>
      </c>
      <c r="G97" s="70">
        <v>0.81988152841781869</v>
      </c>
      <c r="H97" s="70">
        <v>0</v>
      </c>
      <c r="I97" s="70">
        <v>6.6816436251920155E-3</v>
      </c>
      <c r="J97" s="70">
        <v>0.34806451612903222</v>
      </c>
      <c r="K97" s="70">
        <v>0.38559600614439327</v>
      </c>
      <c r="L97" s="70" t="s">
        <v>1</v>
      </c>
      <c r="M97" s="70" t="s">
        <v>1</v>
      </c>
    </row>
    <row r="98" spans="1:13" x14ac:dyDescent="0.2">
      <c r="A98" s="249"/>
      <c r="B98" s="242"/>
      <c r="C98" s="68" t="s">
        <v>177</v>
      </c>
      <c r="D98" s="70">
        <v>2.3993333333333338</v>
      </c>
      <c r="E98" s="70">
        <v>2.1633917050691247</v>
      </c>
      <c r="F98" s="70">
        <v>0.69699999999999973</v>
      </c>
      <c r="G98" s="70">
        <v>0.80622802526028325</v>
      </c>
      <c r="H98" s="70">
        <v>0</v>
      </c>
      <c r="I98" s="70">
        <v>5.9392387779484586E-3</v>
      </c>
      <c r="J98" s="70">
        <v>0.29066666666666674</v>
      </c>
      <c r="K98" s="70">
        <v>0.37504830175797921</v>
      </c>
      <c r="L98" s="70" t="s">
        <v>1</v>
      </c>
      <c r="M98" s="70" t="s">
        <v>1</v>
      </c>
    </row>
    <row r="99" spans="1:13" x14ac:dyDescent="0.2">
      <c r="A99" s="249"/>
      <c r="B99" s="242"/>
      <c r="C99" s="68" t="s">
        <v>178</v>
      </c>
      <c r="D99" s="70">
        <v>2.8438709677419345</v>
      </c>
      <c r="E99" s="70">
        <v>2.2314396313364058</v>
      </c>
      <c r="F99" s="70">
        <v>0.98064516129032242</v>
      </c>
      <c r="G99" s="70">
        <v>0.82366973886328732</v>
      </c>
      <c r="H99" s="70">
        <v>1.9354838709677422E-3</v>
      </c>
      <c r="I99" s="70">
        <v>5.5388632872503864E-3</v>
      </c>
      <c r="J99" s="70">
        <v>0.54451612903225799</v>
      </c>
      <c r="K99" s="70">
        <v>0.3919950844854071</v>
      </c>
      <c r="L99" s="70" t="s">
        <v>1</v>
      </c>
      <c r="M99" s="70" t="s">
        <v>1</v>
      </c>
    </row>
    <row r="100" spans="1:13" x14ac:dyDescent="0.2">
      <c r="A100" s="249"/>
      <c r="B100" s="242"/>
      <c r="C100" s="68" t="s">
        <v>179</v>
      </c>
      <c r="D100" s="70">
        <v>2.5923333333333334</v>
      </c>
      <c r="E100" s="70">
        <v>2.2642481496997626</v>
      </c>
      <c r="F100" s="70">
        <v>0.79133333333333356</v>
      </c>
      <c r="G100" s="70">
        <v>0.82073006563329154</v>
      </c>
      <c r="H100" s="70">
        <v>8.0000000000000019E-3</v>
      </c>
      <c r="I100" s="70">
        <v>5.7626029884094432E-3</v>
      </c>
      <c r="J100" s="70">
        <v>0.50966666666666671</v>
      </c>
      <c r="K100" s="70">
        <v>0.40269250104733972</v>
      </c>
      <c r="L100" s="70" t="s">
        <v>1</v>
      </c>
      <c r="M100" s="70" t="s">
        <v>1</v>
      </c>
    </row>
    <row r="101" spans="1:13" ht="13.5" thickBot="1" x14ac:dyDescent="0.25">
      <c r="A101" s="250"/>
      <c r="B101" s="243"/>
      <c r="C101" s="69" t="s">
        <v>180</v>
      </c>
      <c r="D101" s="73">
        <v>2.3774193548387106</v>
      </c>
      <c r="E101" s="70">
        <v>2.2736790834613418</v>
      </c>
      <c r="F101" s="73">
        <v>1.1461290322580646</v>
      </c>
      <c r="G101" s="70">
        <v>0.84784664618535599</v>
      </c>
      <c r="H101" s="70">
        <v>0</v>
      </c>
      <c r="I101" s="70">
        <v>5.282386072708656E-3</v>
      </c>
      <c r="J101" s="70">
        <v>0.28129032258064512</v>
      </c>
      <c r="K101" s="70">
        <v>0.39257565284178186</v>
      </c>
      <c r="L101" s="70" t="s">
        <v>1</v>
      </c>
      <c r="M101" s="70" t="s">
        <v>1</v>
      </c>
    </row>
    <row r="102" spans="1:13" ht="14.25" thickTop="1" thickBot="1" x14ac:dyDescent="0.25">
      <c r="A102" s="57" t="s">
        <v>3</v>
      </c>
      <c r="B102" s="58">
        <f>B90</f>
        <v>2</v>
      </c>
      <c r="C102" s="59"/>
      <c r="D102" s="60">
        <f>AVERAGE(D90:D101)</f>
        <v>2.2736790834613418</v>
      </c>
      <c r="E102" s="60"/>
      <c r="F102" s="60">
        <f>AVERAGE(F90:F101)</f>
        <v>0.84784664618535599</v>
      </c>
      <c r="G102" s="60"/>
      <c r="H102" s="60">
        <f>AVERAGE(H90:H101)</f>
        <v>5.282386072708656E-3</v>
      </c>
      <c r="I102" s="60"/>
      <c r="J102" s="60">
        <f>AVERAGE(J90:J101)</f>
        <v>0.39257565284178186</v>
      </c>
      <c r="K102" s="60"/>
      <c r="L102" s="60"/>
      <c r="M102" s="61"/>
    </row>
    <row r="103" spans="1:13" ht="14.25" thickTop="1" thickBot="1" x14ac:dyDescent="0.25">
      <c r="A103" s="254"/>
      <c r="B103" s="255"/>
      <c r="C103" s="255"/>
      <c r="D103" s="255"/>
      <c r="E103" s="255"/>
      <c r="F103" s="255"/>
      <c r="G103" s="255"/>
      <c r="H103" s="255"/>
      <c r="I103" s="255"/>
      <c r="J103" s="255"/>
      <c r="K103" s="255"/>
      <c r="L103" s="255"/>
      <c r="M103" s="256"/>
    </row>
    <row r="104" spans="1:13" ht="13.5" thickTop="1" x14ac:dyDescent="0.2">
      <c r="A104" s="248" t="s">
        <v>195</v>
      </c>
      <c r="B104" s="241">
        <v>3</v>
      </c>
      <c r="C104" s="68" t="s">
        <v>169</v>
      </c>
      <c r="D104" s="70">
        <v>1.7738709677419353</v>
      </c>
      <c r="E104" s="71"/>
      <c r="F104" s="70">
        <v>0.39387096774193542</v>
      </c>
      <c r="G104" s="71"/>
      <c r="H104" s="70">
        <v>8.7096774193548415E-3</v>
      </c>
      <c r="I104" s="71"/>
      <c r="J104" s="70">
        <v>0.25967741935483868</v>
      </c>
      <c r="K104" s="71"/>
      <c r="L104" s="70" t="s">
        <v>1</v>
      </c>
      <c r="M104" s="71"/>
    </row>
    <row r="105" spans="1:13" x14ac:dyDescent="0.2">
      <c r="A105" s="249"/>
      <c r="B105" s="242"/>
      <c r="C105" s="68" t="s">
        <v>170</v>
      </c>
      <c r="D105" s="70">
        <v>1.75</v>
      </c>
      <c r="E105" s="70">
        <v>1.7619354838709675</v>
      </c>
      <c r="F105" s="70">
        <v>0.53357142857142847</v>
      </c>
      <c r="G105" s="70">
        <v>0.46372119815668195</v>
      </c>
      <c r="H105" s="70">
        <v>4.9999999999999992E-3</v>
      </c>
      <c r="I105" s="70">
        <v>6.8548387096774204E-3</v>
      </c>
      <c r="J105" s="70">
        <v>0.45999999999999991</v>
      </c>
      <c r="K105" s="70">
        <v>0.35983870967741927</v>
      </c>
      <c r="L105" s="70" t="s">
        <v>1</v>
      </c>
      <c r="M105" s="70" t="s">
        <v>1</v>
      </c>
    </row>
    <row r="106" spans="1:13" x14ac:dyDescent="0.2">
      <c r="A106" s="249"/>
      <c r="B106" s="242"/>
      <c r="C106" s="68" t="s">
        <v>171</v>
      </c>
      <c r="D106" s="70">
        <v>1.8812903225806452</v>
      </c>
      <c r="E106" s="70">
        <v>1.8017204301075267</v>
      </c>
      <c r="F106" s="70">
        <v>0.5383870967741935</v>
      </c>
      <c r="G106" s="70">
        <v>0.48860983102918576</v>
      </c>
      <c r="H106" s="70">
        <v>6.1290322580645172E-3</v>
      </c>
      <c r="I106" s="70">
        <v>6.6129032258064532E-3</v>
      </c>
      <c r="J106" s="70">
        <v>0.5074193548387097</v>
      </c>
      <c r="K106" s="70">
        <v>0.4090322580645161</v>
      </c>
      <c r="L106" s="70" t="s">
        <v>1</v>
      </c>
      <c r="M106" s="70" t="s">
        <v>1</v>
      </c>
    </row>
    <row r="107" spans="1:13" x14ac:dyDescent="0.2">
      <c r="A107" s="249"/>
      <c r="B107" s="242"/>
      <c r="C107" s="68" t="s">
        <v>172</v>
      </c>
      <c r="D107" s="70">
        <v>2.5330000000000008</v>
      </c>
      <c r="E107" s="70">
        <v>1.9845403225806453</v>
      </c>
      <c r="F107" s="70">
        <v>0.29466666666666658</v>
      </c>
      <c r="G107" s="70">
        <v>0.44012403993855598</v>
      </c>
      <c r="H107" s="70">
        <v>0</v>
      </c>
      <c r="I107" s="70">
        <v>4.9596774193548399E-3</v>
      </c>
      <c r="J107" s="70">
        <v>0.69433333333333336</v>
      </c>
      <c r="K107" s="70">
        <v>0.4803575268817204</v>
      </c>
      <c r="L107" s="70" t="s">
        <v>1</v>
      </c>
      <c r="M107" s="70" t="s">
        <v>1</v>
      </c>
    </row>
    <row r="108" spans="1:13" x14ac:dyDescent="0.2">
      <c r="A108" s="249"/>
      <c r="B108" s="242"/>
      <c r="C108" s="68" t="s">
        <v>173</v>
      </c>
      <c r="D108" s="70">
        <v>2.064193548387097</v>
      </c>
      <c r="E108" s="70">
        <v>2.0004709677419354</v>
      </c>
      <c r="F108" s="70">
        <v>0.51193548387096766</v>
      </c>
      <c r="G108" s="70">
        <v>0.4544863287250383</v>
      </c>
      <c r="H108" s="70">
        <v>0</v>
      </c>
      <c r="I108" s="70">
        <v>3.9677419354838721E-3</v>
      </c>
      <c r="J108" s="70">
        <v>0.31354838709677424</v>
      </c>
      <c r="K108" s="70">
        <v>0.44699569892473112</v>
      </c>
      <c r="L108" s="70" t="s">
        <v>1</v>
      </c>
      <c r="M108" s="70" t="s">
        <v>1</v>
      </c>
    </row>
    <row r="109" spans="1:13" x14ac:dyDescent="0.2">
      <c r="A109" s="249"/>
      <c r="B109" s="242"/>
      <c r="C109" s="68" t="s">
        <v>174</v>
      </c>
      <c r="D109" s="70">
        <v>2.0916666666666663</v>
      </c>
      <c r="E109" s="70">
        <v>2.0156702508960573</v>
      </c>
      <c r="F109" s="70">
        <v>0.47299999999999992</v>
      </c>
      <c r="G109" s="70">
        <v>0.45757194060419853</v>
      </c>
      <c r="H109" s="70">
        <v>0</v>
      </c>
      <c r="I109" s="70">
        <v>3.3064516129032266E-3</v>
      </c>
      <c r="J109" s="70">
        <v>0.51133333333333331</v>
      </c>
      <c r="K109" s="70">
        <v>0.45771863799283152</v>
      </c>
      <c r="L109" s="70" t="s">
        <v>1</v>
      </c>
      <c r="M109" s="70" t="s">
        <v>1</v>
      </c>
    </row>
    <row r="110" spans="1:13" x14ac:dyDescent="0.2">
      <c r="A110" s="249"/>
      <c r="B110" s="242"/>
      <c r="C110" s="68" t="s">
        <v>175</v>
      </c>
      <c r="D110" s="70">
        <v>2.1032258064516132</v>
      </c>
      <c r="E110" s="70">
        <v>2.0281781874039941</v>
      </c>
      <c r="F110" s="70">
        <v>0.38290322580645164</v>
      </c>
      <c r="G110" s="70">
        <v>0.44690498134737755</v>
      </c>
      <c r="H110" s="70">
        <v>0</v>
      </c>
      <c r="I110" s="70">
        <v>2.83410138248848E-3</v>
      </c>
      <c r="J110" s="70">
        <v>0.21806451612903224</v>
      </c>
      <c r="K110" s="70">
        <v>0.42348233486943165</v>
      </c>
      <c r="L110" s="70" t="s">
        <v>1</v>
      </c>
      <c r="M110" s="70" t="s">
        <v>1</v>
      </c>
    </row>
    <row r="111" spans="1:13" x14ac:dyDescent="0.2">
      <c r="A111" s="249"/>
      <c r="B111" s="242"/>
      <c r="C111" s="68" t="s">
        <v>176</v>
      </c>
      <c r="D111" s="70">
        <v>2.2567741935483872</v>
      </c>
      <c r="E111" s="70">
        <v>2.0567526881720433</v>
      </c>
      <c r="F111" s="70">
        <v>0.47290322580645167</v>
      </c>
      <c r="G111" s="70">
        <v>0.45015476190476184</v>
      </c>
      <c r="H111" s="70">
        <v>0</v>
      </c>
      <c r="I111" s="70">
        <v>2.47983870967742E-3</v>
      </c>
      <c r="J111" s="70">
        <v>0.15258064516129033</v>
      </c>
      <c r="K111" s="70">
        <v>0.38961962365591396</v>
      </c>
      <c r="L111" s="70" t="s">
        <v>1</v>
      </c>
      <c r="M111" s="70" t="s">
        <v>1</v>
      </c>
    </row>
    <row r="112" spans="1:13" x14ac:dyDescent="0.2">
      <c r="A112" s="249"/>
      <c r="B112" s="242"/>
      <c r="C112" s="68" t="s">
        <v>177</v>
      </c>
      <c r="D112" s="70">
        <v>2.1126666666666667</v>
      </c>
      <c r="E112" s="70">
        <v>2.0629653524492237</v>
      </c>
      <c r="F112" s="70">
        <v>0.41200000000000009</v>
      </c>
      <c r="G112" s="70">
        <v>0.44591534391534388</v>
      </c>
      <c r="H112" s="70">
        <v>0</v>
      </c>
      <c r="I112" s="70">
        <v>2.2043010752688177E-3</v>
      </c>
      <c r="J112" s="70">
        <v>0.14100000000000001</v>
      </c>
      <c r="K112" s="70">
        <v>0.36199522102747905</v>
      </c>
      <c r="L112" s="70" t="s">
        <v>1</v>
      </c>
      <c r="M112" s="70" t="s">
        <v>1</v>
      </c>
    </row>
    <row r="113" spans="1:13" x14ac:dyDescent="0.2">
      <c r="A113" s="249"/>
      <c r="B113" s="242"/>
      <c r="C113" s="68" t="s">
        <v>178</v>
      </c>
      <c r="D113" s="70">
        <v>2.387096774193548</v>
      </c>
      <c r="E113" s="70">
        <v>2.095378494623656</v>
      </c>
      <c r="F113" s="70">
        <v>0.58483870967741947</v>
      </c>
      <c r="G113" s="70">
        <v>0.45980768049155146</v>
      </c>
      <c r="H113" s="70">
        <v>0</v>
      </c>
      <c r="I113" s="70">
        <v>1.9838709677419361E-3</v>
      </c>
      <c r="J113" s="70">
        <v>0.23935483870967744</v>
      </c>
      <c r="K113" s="70">
        <v>0.34973118279569892</v>
      </c>
      <c r="L113" s="70" t="s">
        <v>1</v>
      </c>
      <c r="M113" s="70" t="s">
        <v>1</v>
      </c>
    </row>
    <row r="114" spans="1:13" x14ac:dyDescent="0.2">
      <c r="A114" s="249"/>
      <c r="B114" s="242"/>
      <c r="C114" s="68" t="s">
        <v>179</v>
      </c>
      <c r="D114" s="70">
        <v>2.2000000000000002</v>
      </c>
      <c r="E114" s="70">
        <v>2.1048895405669601</v>
      </c>
      <c r="F114" s="70">
        <v>0.53199999999999981</v>
      </c>
      <c r="G114" s="70">
        <v>0.46637061862868312</v>
      </c>
      <c r="H114" s="70">
        <v>3.3333333333333332E-4</v>
      </c>
      <c r="I114" s="70">
        <v>1.8338220918866085E-3</v>
      </c>
      <c r="J114" s="70">
        <v>0.39033333333333337</v>
      </c>
      <c r="K114" s="70">
        <v>0.35342228739002929</v>
      </c>
      <c r="L114" s="70" t="s">
        <v>1</v>
      </c>
      <c r="M114" s="70" t="s">
        <v>1</v>
      </c>
    </row>
    <row r="115" spans="1:13" ht="13.5" thickBot="1" x14ac:dyDescent="0.25">
      <c r="A115" s="250"/>
      <c r="B115" s="243"/>
      <c r="C115" s="69" t="s">
        <v>180</v>
      </c>
      <c r="D115" s="73">
        <v>2.2012903225806455</v>
      </c>
      <c r="E115" s="70">
        <v>2.1129229390681004</v>
      </c>
      <c r="F115" s="70">
        <v>0.47064516129032258</v>
      </c>
      <c r="G115" s="70">
        <v>0.46672683051715308</v>
      </c>
      <c r="H115" s="70">
        <v>9.3548387096774217E-3</v>
      </c>
      <c r="I115" s="70">
        <v>2.4605734767025097E-3</v>
      </c>
      <c r="J115" s="70">
        <v>0.30612903225806448</v>
      </c>
      <c r="K115" s="70">
        <v>0.3494811827956989</v>
      </c>
      <c r="L115" s="70" t="s">
        <v>1</v>
      </c>
      <c r="M115" s="70" t="s">
        <v>1</v>
      </c>
    </row>
    <row r="116" spans="1:13" ht="14.25" thickTop="1" thickBot="1" x14ac:dyDescent="0.25">
      <c r="A116" s="57" t="s">
        <v>3</v>
      </c>
      <c r="B116" s="58">
        <f>B104</f>
        <v>3</v>
      </c>
      <c r="C116" s="59"/>
      <c r="D116" s="60">
        <f>AVERAGE(D104:D115)</f>
        <v>2.1129229390681004</v>
      </c>
      <c r="E116" s="60"/>
      <c r="F116" s="60">
        <f>AVERAGE(F104:F115)</f>
        <v>0.46672683051715308</v>
      </c>
      <c r="G116" s="60"/>
      <c r="H116" s="60">
        <f>AVERAGE(H104:H115)</f>
        <v>2.4605734767025097E-3</v>
      </c>
      <c r="I116" s="60"/>
      <c r="J116" s="60">
        <f>AVERAGE(J104:J115)</f>
        <v>0.3494811827956989</v>
      </c>
      <c r="K116" s="60"/>
      <c r="L116" s="60"/>
      <c r="M116" s="61"/>
    </row>
    <row r="117" spans="1:13" ht="14.25" thickTop="1" thickBot="1" x14ac:dyDescent="0.25">
      <c r="A117" s="254"/>
      <c r="B117" s="255"/>
      <c r="C117" s="255"/>
      <c r="D117" s="255"/>
      <c r="E117" s="255"/>
      <c r="F117" s="255"/>
      <c r="G117" s="255"/>
      <c r="H117" s="255"/>
      <c r="I117" s="255"/>
      <c r="J117" s="255"/>
      <c r="K117" s="255"/>
      <c r="L117" s="255"/>
      <c r="M117" s="256"/>
    </row>
    <row r="118" spans="1:13" ht="13.5" thickTop="1" x14ac:dyDescent="0.2">
      <c r="A118" s="248" t="s">
        <v>195</v>
      </c>
      <c r="B118" s="241">
        <v>13</v>
      </c>
      <c r="C118" s="68" t="s">
        <v>169</v>
      </c>
      <c r="D118" s="70">
        <v>1.8941935483870975</v>
      </c>
      <c r="E118" s="71"/>
      <c r="F118" s="70">
        <v>0.19387096774193555</v>
      </c>
      <c r="G118" s="71"/>
      <c r="H118" s="70">
        <v>5.1612903225806452E-3</v>
      </c>
      <c r="I118" s="71"/>
      <c r="J118" s="70">
        <v>0.64290322580645165</v>
      </c>
      <c r="K118" s="71"/>
      <c r="L118" s="70" t="s">
        <v>1</v>
      </c>
      <c r="M118" s="71"/>
    </row>
    <row r="119" spans="1:13" x14ac:dyDescent="0.2">
      <c r="A119" s="249"/>
      <c r="B119" s="242"/>
      <c r="C119" s="68" t="s">
        <v>170</v>
      </c>
      <c r="D119" s="70">
        <v>1.5510714285714287</v>
      </c>
      <c r="E119" s="70">
        <v>1.7226324884792632</v>
      </c>
      <c r="F119" s="70">
        <v>8.607142857142859E-2</v>
      </c>
      <c r="G119" s="70">
        <v>0.13997119815668208</v>
      </c>
      <c r="H119" s="70">
        <v>4.9999999999999992E-3</v>
      </c>
      <c r="I119" s="70">
        <v>5.0806451612903222E-3</v>
      </c>
      <c r="J119" s="70">
        <v>0.5357142857142857</v>
      </c>
      <c r="K119" s="70">
        <v>0.58930875576036867</v>
      </c>
      <c r="L119" s="70" t="s">
        <v>1</v>
      </c>
      <c r="M119" s="70" t="s">
        <v>1</v>
      </c>
    </row>
    <row r="120" spans="1:13" x14ac:dyDescent="0.2">
      <c r="A120" s="249"/>
      <c r="B120" s="242"/>
      <c r="C120" s="68" t="s">
        <v>171</v>
      </c>
      <c r="D120" s="70">
        <v>1.5438709677419353</v>
      </c>
      <c r="E120" s="70">
        <v>1.6630453149001541</v>
      </c>
      <c r="F120" s="70">
        <v>0.10548387096774191</v>
      </c>
      <c r="G120" s="70">
        <v>0.12847542242703536</v>
      </c>
      <c r="H120" s="70">
        <v>0</v>
      </c>
      <c r="I120" s="70">
        <v>3.3870967741935483E-3</v>
      </c>
      <c r="J120" s="70">
        <v>0.32322580645161281</v>
      </c>
      <c r="K120" s="70">
        <v>0.50061443932411676</v>
      </c>
      <c r="L120" s="70" t="s">
        <v>1</v>
      </c>
      <c r="M120" s="70" t="s">
        <v>1</v>
      </c>
    </row>
    <row r="121" spans="1:13" x14ac:dyDescent="0.2">
      <c r="A121" s="249"/>
      <c r="B121" s="242"/>
      <c r="C121" s="68" t="s">
        <v>172</v>
      </c>
      <c r="D121" s="70">
        <v>1.6559999999999997</v>
      </c>
      <c r="E121" s="70">
        <v>1.6612839861751154</v>
      </c>
      <c r="F121" s="70">
        <v>0.11899999999999998</v>
      </c>
      <c r="G121" s="70">
        <v>0.12610656682027652</v>
      </c>
      <c r="H121" s="70">
        <v>0</v>
      </c>
      <c r="I121" s="70">
        <v>2.5403225806451611E-3</v>
      </c>
      <c r="J121" s="70">
        <v>0.48233333333333339</v>
      </c>
      <c r="K121" s="70">
        <v>0.49604416282642094</v>
      </c>
      <c r="L121" s="70" t="s">
        <v>1</v>
      </c>
      <c r="M121" s="70" t="s">
        <v>1</v>
      </c>
    </row>
    <row r="122" spans="1:13" x14ac:dyDescent="0.2">
      <c r="A122" s="249"/>
      <c r="B122" s="242"/>
      <c r="C122" s="68" t="s">
        <v>173</v>
      </c>
      <c r="D122" s="70">
        <v>1.4935483870967738</v>
      </c>
      <c r="E122" s="70">
        <v>1.6277368663594474</v>
      </c>
      <c r="F122" s="70">
        <v>0.15387096774193554</v>
      </c>
      <c r="G122" s="70">
        <v>0.13165944700460833</v>
      </c>
      <c r="H122" s="70">
        <v>0</v>
      </c>
      <c r="I122" s="70">
        <v>2.0322580645161289E-3</v>
      </c>
      <c r="J122" s="70">
        <v>0.40870967741935466</v>
      </c>
      <c r="K122" s="70">
        <v>0.4785772657450077</v>
      </c>
      <c r="L122" s="70" t="s">
        <v>1</v>
      </c>
      <c r="M122" s="70" t="s">
        <v>1</v>
      </c>
    </row>
    <row r="123" spans="1:13" x14ac:dyDescent="0.2">
      <c r="A123" s="249"/>
      <c r="B123" s="242"/>
      <c r="C123" s="68" t="s">
        <v>174</v>
      </c>
      <c r="D123" s="70">
        <v>1.4966666666666666</v>
      </c>
      <c r="E123" s="70">
        <v>1.6058918330773171</v>
      </c>
      <c r="F123" s="70">
        <v>0.2016666666666668</v>
      </c>
      <c r="G123" s="70">
        <v>0.14332731694828474</v>
      </c>
      <c r="H123" s="70">
        <v>0</v>
      </c>
      <c r="I123" s="70">
        <v>1.6935483870967741E-3</v>
      </c>
      <c r="J123" s="70">
        <v>0.3816666666666666</v>
      </c>
      <c r="K123" s="70">
        <v>0.46242549923195081</v>
      </c>
      <c r="L123" s="70" t="s">
        <v>1</v>
      </c>
      <c r="M123" s="70" t="s">
        <v>1</v>
      </c>
    </row>
    <row r="124" spans="1:13" x14ac:dyDescent="0.2">
      <c r="A124" s="249"/>
      <c r="B124" s="242"/>
      <c r="C124" s="68" t="s">
        <v>175</v>
      </c>
      <c r="D124" s="70">
        <v>1.8441935483870968</v>
      </c>
      <c r="E124" s="70">
        <v>1.6399349352644284</v>
      </c>
      <c r="F124" s="70">
        <v>0.22838709677419358</v>
      </c>
      <c r="G124" s="70">
        <v>0.1554787140662717</v>
      </c>
      <c r="H124" s="70">
        <v>0</v>
      </c>
      <c r="I124" s="70">
        <v>1.4516129032258063E-3</v>
      </c>
      <c r="J124" s="70">
        <v>0.48677419354838736</v>
      </c>
      <c r="K124" s="70">
        <v>0.46590388413429895</v>
      </c>
      <c r="L124" s="70" t="s">
        <v>1</v>
      </c>
      <c r="M124" s="70" t="s">
        <v>1</v>
      </c>
    </row>
    <row r="125" spans="1:13" x14ac:dyDescent="0.2">
      <c r="A125" s="249"/>
      <c r="B125" s="242"/>
      <c r="C125" s="68" t="s">
        <v>176</v>
      </c>
      <c r="D125" s="70">
        <v>2.0558064516129035</v>
      </c>
      <c r="E125" s="70">
        <v>1.6919188748079879</v>
      </c>
      <c r="F125" s="70">
        <v>0.1819354838709677</v>
      </c>
      <c r="G125" s="70">
        <v>0.1587858102918587</v>
      </c>
      <c r="H125" s="70">
        <v>0</v>
      </c>
      <c r="I125" s="70">
        <v>1.2701612903225805E-3</v>
      </c>
      <c r="J125" s="70">
        <v>0.45612903225806473</v>
      </c>
      <c r="K125" s="70">
        <v>0.46468202764976968</v>
      </c>
      <c r="L125" s="70" t="s">
        <v>1</v>
      </c>
      <c r="M125" s="70" t="s">
        <v>1</v>
      </c>
    </row>
    <row r="126" spans="1:13" x14ac:dyDescent="0.2">
      <c r="A126" s="249"/>
      <c r="B126" s="242"/>
      <c r="C126" s="68" t="s">
        <v>177</v>
      </c>
      <c r="D126" s="70">
        <v>2.2046666666666668</v>
      </c>
      <c r="E126" s="70">
        <v>1.7488908516811743</v>
      </c>
      <c r="F126" s="70">
        <v>0.28766666666666657</v>
      </c>
      <c r="G126" s="70">
        <v>0.17310590544461513</v>
      </c>
      <c r="H126" s="70">
        <v>0</v>
      </c>
      <c r="I126" s="70">
        <v>1.129032258064516E-3</v>
      </c>
      <c r="J126" s="70">
        <v>0.66666666666666674</v>
      </c>
      <c r="K126" s="70">
        <v>0.48712476531831378</v>
      </c>
      <c r="L126" s="70" t="s">
        <v>1</v>
      </c>
      <c r="M126" s="70" t="s">
        <v>1</v>
      </c>
    </row>
    <row r="127" spans="1:13" x14ac:dyDescent="0.2">
      <c r="A127" s="249"/>
      <c r="B127" s="242"/>
      <c r="C127" s="68" t="s">
        <v>178</v>
      </c>
      <c r="D127" s="70">
        <v>2.0941935483870964</v>
      </c>
      <c r="E127" s="70">
        <v>1.7834211213517666</v>
      </c>
      <c r="F127" s="70">
        <v>0.21290322580645168</v>
      </c>
      <c r="G127" s="70">
        <v>0.17708563748079878</v>
      </c>
      <c r="H127" s="70">
        <v>1.1612903225806454E-2</v>
      </c>
      <c r="I127" s="70">
        <v>2.1774193548387095E-3</v>
      </c>
      <c r="J127" s="70">
        <v>0.64548387096774207</v>
      </c>
      <c r="K127" s="70">
        <v>0.50296067588325655</v>
      </c>
      <c r="L127" s="70" t="s">
        <v>1</v>
      </c>
      <c r="M127" s="70" t="s">
        <v>1</v>
      </c>
    </row>
    <row r="128" spans="1:13" x14ac:dyDescent="0.2">
      <c r="A128" s="249"/>
      <c r="B128" s="242"/>
      <c r="C128" s="68" t="s">
        <v>179</v>
      </c>
      <c r="D128" s="70">
        <v>2.0036666666666663</v>
      </c>
      <c r="E128" s="70">
        <v>1.8034434436531213</v>
      </c>
      <c r="F128" s="70">
        <v>0.19066666666666671</v>
      </c>
      <c r="G128" s="70">
        <v>0.17832027649769586</v>
      </c>
      <c r="H128" s="70">
        <v>1.7000000000000008E-2</v>
      </c>
      <c r="I128" s="70">
        <v>3.5249266862170097E-3</v>
      </c>
      <c r="J128" s="70">
        <v>0.68233333333333335</v>
      </c>
      <c r="K128" s="70">
        <v>0.51926728110599085</v>
      </c>
      <c r="L128" s="70" t="s">
        <v>1</v>
      </c>
      <c r="M128" s="70" t="s">
        <v>1</v>
      </c>
    </row>
    <row r="129" spans="1:13" ht="13.5" thickBot="1" x14ac:dyDescent="0.25">
      <c r="A129" s="250"/>
      <c r="B129" s="243"/>
      <c r="C129" s="69" t="s">
        <v>180</v>
      </c>
      <c r="D129" s="73">
        <v>1.8567741935483872</v>
      </c>
      <c r="E129" s="70">
        <v>1.80788767281106</v>
      </c>
      <c r="F129" s="70">
        <v>0.24161290322580661</v>
      </c>
      <c r="G129" s="70">
        <v>0.18359466205837174</v>
      </c>
      <c r="H129" s="70">
        <v>0</v>
      </c>
      <c r="I129" s="70">
        <v>3.2311827956989256E-3</v>
      </c>
      <c r="J129" s="70">
        <v>0.52483870967741941</v>
      </c>
      <c r="K129" s="70">
        <v>0.51973156682027655</v>
      </c>
      <c r="L129" s="70" t="s">
        <v>1</v>
      </c>
      <c r="M129" s="70" t="s">
        <v>1</v>
      </c>
    </row>
    <row r="130" spans="1:13" ht="14.25" thickTop="1" thickBot="1" x14ac:dyDescent="0.25">
      <c r="A130" s="57" t="s">
        <v>3</v>
      </c>
      <c r="B130" s="58">
        <f>B118</f>
        <v>13</v>
      </c>
      <c r="C130" s="59"/>
      <c r="D130" s="60">
        <f>AVERAGE(D118:D129)</f>
        <v>1.80788767281106</v>
      </c>
      <c r="E130" s="60"/>
      <c r="F130" s="60">
        <f>AVERAGE(F118:F129)</f>
        <v>0.18359466205837174</v>
      </c>
      <c r="G130" s="60"/>
      <c r="H130" s="60">
        <f>AVERAGE(H118:H129)</f>
        <v>3.2311827956989256E-3</v>
      </c>
      <c r="I130" s="60"/>
      <c r="J130" s="60">
        <f>AVERAGE(J118:J129)</f>
        <v>0.51973156682027655</v>
      </c>
      <c r="K130" s="60"/>
      <c r="L130" s="60"/>
      <c r="M130" s="61"/>
    </row>
    <row r="131" spans="1:13" ht="14.25" thickTop="1" thickBot="1" x14ac:dyDescent="0.25">
      <c r="A131" s="254"/>
      <c r="B131" s="255"/>
      <c r="C131" s="255"/>
      <c r="D131" s="255"/>
      <c r="E131" s="255"/>
      <c r="F131" s="255"/>
      <c r="G131" s="255"/>
      <c r="H131" s="255"/>
      <c r="I131" s="255"/>
      <c r="J131" s="255"/>
      <c r="K131" s="255"/>
      <c r="L131" s="255"/>
      <c r="M131" s="256"/>
    </row>
    <row r="132" spans="1:13" ht="13.5" thickTop="1" x14ac:dyDescent="0.2">
      <c r="A132" s="248" t="s">
        <v>195</v>
      </c>
      <c r="B132" s="241">
        <v>14</v>
      </c>
      <c r="C132" s="68" t="s">
        <v>169</v>
      </c>
      <c r="D132" s="70">
        <v>1.9538709677419359</v>
      </c>
      <c r="E132" s="71"/>
      <c r="F132" s="70">
        <v>0.19645161290322585</v>
      </c>
      <c r="G132" s="71"/>
      <c r="H132" s="70">
        <v>0</v>
      </c>
      <c r="I132" s="71"/>
      <c r="J132" s="70">
        <v>0.37483870967741945</v>
      </c>
      <c r="K132" s="71"/>
      <c r="L132" s="70" t="s">
        <v>1</v>
      </c>
      <c r="M132" s="71"/>
    </row>
    <row r="133" spans="1:13" x14ac:dyDescent="0.2">
      <c r="A133" s="249"/>
      <c r="B133" s="242"/>
      <c r="C133" s="68" t="s">
        <v>170</v>
      </c>
      <c r="D133" s="70">
        <v>1.5571428571428567</v>
      </c>
      <c r="E133" s="70">
        <v>1.7555069124423963</v>
      </c>
      <c r="F133" s="70">
        <v>0.20178571428571429</v>
      </c>
      <c r="G133" s="70">
        <v>0.19911866359447006</v>
      </c>
      <c r="H133" s="70">
        <v>0</v>
      </c>
      <c r="I133" s="70">
        <v>0</v>
      </c>
      <c r="J133" s="70">
        <v>0.3050000000000001</v>
      </c>
      <c r="K133" s="70">
        <v>0.33991935483870978</v>
      </c>
      <c r="L133" s="70" t="s">
        <v>1</v>
      </c>
      <c r="M133" s="70" t="s">
        <v>1</v>
      </c>
    </row>
    <row r="134" spans="1:13" x14ac:dyDescent="0.2">
      <c r="A134" s="249"/>
      <c r="B134" s="242"/>
      <c r="C134" s="68" t="s">
        <v>171</v>
      </c>
      <c r="D134" s="70">
        <v>1.6032258064516127</v>
      </c>
      <c r="E134" s="70">
        <v>1.7047465437788016</v>
      </c>
      <c r="F134" s="70">
        <v>9.1935483870967727E-2</v>
      </c>
      <c r="G134" s="70">
        <v>0.16339093701996929</v>
      </c>
      <c r="H134" s="70">
        <v>0</v>
      </c>
      <c r="I134" s="70">
        <v>0</v>
      </c>
      <c r="J134" s="70">
        <v>0.45645161290322578</v>
      </c>
      <c r="K134" s="70">
        <v>0.37876344086021513</v>
      </c>
      <c r="L134" s="70" t="s">
        <v>1</v>
      </c>
      <c r="M134" s="70" t="s">
        <v>1</v>
      </c>
    </row>
    <row r="135" spans="1:13" x14ac:dyDescent="0.2">
      <c r="A135" s="249"/>
      <c r="B135" s="242"/>
      <c r="C135" s="68" t="s">
        <v>172</v>
      </c>
      <c r="D135" s="70">
        <v>1.6929999999999992</v>
      </c>
      <c r="E135" s="70">
        <v>1.7018099078341011</v>
      </c>
      <c r="F135" s="70">
        <v>0.16533333333333336</v>
      </c>
      <c r="G135" s="70">
        <v>0.16387653609831029</v>
      </c>
      <c r="H135" s="70">
        <v>0</v>
      </c>
      <c r="I135" s="70">
        <v>0</v>
      </c>
      <c r="J135" s="70">
        <v>0.44633333333333347</v>
      </c>
      <c r="K135" s="70">
        <v>0.3956559139784947</v>
      </c>
      <c r="L135" s="70" t="s">
        <v>1</v>
      </c>
      <c r="M135" s="70" t="s">
        <v>1</v>
      </c>
    </row>
    <row r="136" spans="1:13" x14ac:dyDescent="0.2">
      <c r="A136" s="249"/>
      <c r="B136" s="242"/>
      <c r="C136" s="68" t="s">
        <v>173</v>
      </c>
      <c r="D136" s="70">
        <v>1.5987096774193548</v>
      </c>
      <c r="E136" s="70">
        <v>1.6811898617511516</v>
      </c>
      <c r="F136" s="70">
        <v>0.36806451612903218</v>
      </c>
      <c r="G136" s="70">
        <v>0.20471413210445469</v>
      </c>
      <c r="H136" s="70">
        <v>0</v>
      </c>
      <c r="I136" s="70">
        <v>0</v>
      </c>
      <c r="J136" s="70">
        <v>0.33096774193548373</v>
      </c>
      <c r="K136" s="70">
        <v>0.38271827956989252</v>
      </c>
      <c r="L136" s="70" t="s">
        <v>1</v>
      </c>
      <c r="M136" s="70" t="s">
        <v>1</v>
      </c>
    </row>
    <row r="137" spans="1:13" x14ac:dyDescent="0.2">
      <c r="A137" s="249"/>
      <c r="B137" s="242"/>
      <c r="C137" s="68" t="s">
        <v>174</v>
      </c>
      <c r="D137" s="70">
        <v>1.7139999999999997</v>
      </c>
      <c r="E137" s="70">
        <v>1.6866582181259597</v>
      </c>
      <c r="F137" s="70">
        <v>0.27099999999999996</v>
      </c>
      <c r="G137" s="70">
        <v>0.21576177675371222</v>
      </c>
      <c r="H137" s="70">
        <v>2.1000000000000001E-2</v>
      </c>
      <c r="I137" s="70">
        <v>3.5000000000000001E-3</v>
      </c>
      <c r="J137" s="70">
        <v>0.70000000000000007</v>
      </c>
      <c r="K137" s="70">
        <v>0.43559856630824378</v>
      </c>
      <c r="L137" s="70" t="s">
        <v>1</v>
      </c>
      <c r="M137" s="70" t="s">
        <v>1</v>
      </c>
    </row>
    <row r="138" spans="1:13" x14ac:dyDescent="0.2">
      <c r="A138" s="249"/>
      <c r="B138" s="242"/>
      <c r="C138" s="68" t="s">
        <v>175</v>
      </c>
      <c r="D138" s="70">
        <v>2.2377419354838715</v>
      </c>
      <c r="E138" s="70">
        <v>1.7653844634628044</v>
      </c>
      <c r="F138" s="70">
        <v>0.16612903225806458</v>
      </c>
      <c r="G138" s="70">
        <v>0.20867138468290541</v>
      </c>
      <c r="H138" s="70">
        <v>1.8387096774193548E-2</v>
      </c>
      <c r="I138" s="70">
        <v>5.6267281105990786E-3</v>
      </c>
      <c r="J138" s="70">
        <v>0.95806451612903221</v>
      </c>
      <c r="K138" s="70">
        <v>0.51023655913978494</v>
      </c>
      <c r="L138" s="70" t="s">
        <v>1</v>
      </c>
      <c r="M138" s="70" t="s">
        <v>1</v>
      </c>
    </row>
    <row r="139" spans="1:13" x14ac:dyDescent="0.2">
      <c r="A139" s="249"/>
      <c r="B139" s="242"/>
      <c r="C139" s="68" t="s">
        <v>176</v>
      </c>
      <c r="D139" s="70">
        <v>1.8616129032258069</v>
      </c>
      <c r="E139" s="70">
        <v>1.7774130184331796</v>
      </c>
      <c r="F139" s="70">
        <v>3.0967741935483885E-2</v>
      </c>
      <c r="G139" s="70">
        <v>0.18645842933947773</v>
      </c>
      <c r="H139" s="70">
        <v>0</v>
      </c>
      <c r="I139" s="70">
        <v>4.9233870967741941E-3</v>
      </c>
      <c r="J139" s="70">
        <v>0.44032258064516133</v>
      </c>
      <c r="K139" s="70">
        <v>0.50149731182795698</v>
      </c>
      <c r="L139" s="70" t="s">
        <v>1</v>
      </c>
      <c r="M139" s="70" t="s">
        <v>1</v>
      </c>
    </row>
    <row r="140" spans="1:13" x14ac:dyDescent="0.2">
      <c r="A140" s="249"/>
      <c r="B140" s="242"/>
      <c r="C140" s="68" t="s">
        <v>177</v>
      </c>
      <c r="D140" s="70">
        <v>1.8149999999999999</v>
      </c>
      <c r="E140" s="70">
        <v>1.7815893497183819</v>
      </c>
      <c r="F140" s="70">
        <v>0.19466666666666668</v>
      </c>
      <c r="G140" s="70">
        <v>0.18737045570916541</v>
      </c>
      <c r="H140" s="70">
        <v>0</v>
      </c>
      <c r="I140" s="70">
        <v>4.3763440860215058E-3</v>
      </c>
      <c r="J140" s="70">
        <v>0.5196666666666665</v>
      </c>
      <c r="K140" s="70">
        <v>0.50351612903225806</v>
      </c>
      <c r="L140" s="70" t="s">
        <v>1</v>
      </c>
      <c r="M140" s="70" t="s">
        <v>1</v>
      </c>
    </row>
    <row r="141" spans="1:13" x14ac:dyDescent="0.2">
      <c r="A141" s="249"/>
      <c r="B141" s="242"/>
      <c r="C141" s="68" t="s">
        <v>178</v>
      </c>
      <c r="D141" s="70">
        <v>1.9990322580645161</v>
      </c>
      <c r="E141" s="70">
        <v>1.8033336405529954</v>
      </c>
      <c r="F141" s="70">
        <v>0.23322580645161295</v>
      </c>
      <c r="G141" s="70">
        <v>0.19195599078341016</v>
      </c>
      <c r="H141" s="70">
        <v>1.3548387096774198E-2</v>
      </c>
      <c r="I141" s="70">
        <v>5.2935483870967751E-3</v>
      </c>
      <c r="J141" s="70">
        <v>0.52806451612903216</v>
      </c>
      <c r="K141" s="70">
        <v>0.50597096774193551</v>
      </c>
      <c r="L141" s="70" t="s">
        <v>1</v>
      </c>
      <c r="M141" s="70" t="s">
        <v>1</v>
      </c>
    </row>
    <row r="142" spans="1:13" x14ac:dyDescent="0.2">
      <c r="A142" s="249"/>
      <c r="B142" s="242"/>
      <c r="C142" s="68" t="s">
        <v>179</v>
      </c>
      <c r="D142" s="70">
        <v>1.8323333333333334</v>
      </c>
      <c r="E142" s="70">
        <v>1.805969976260299</v>
      </c>
      <c r="F142" s="70">
        <v>0.35466666666666674</v>
      </c>
      <c r="G142" s="70">
        <v>0.20674787040916076</v>
      </c>
      <c r="H142" s="70">
        <v>1.6000000000000007E-2</v>
      </c>
      <c r="I142" s="70">
        <v>6.2668621700879782E-3</v>
      </c>
      <c r="J142" s="70">
        <v>0.73066666666666658</v>
      </c>
      <c r="K142" s="70">
        <v>0.52639784946236567</v>
      </c>
      <c r="L142" s="70" t="s">
        <v>1</v>
      </c>
      <c r="M142" s="70" t="s">
        <v>1</v>
      </c>
    </row>
    <row r="143" spans="1:13" ht="13.5" thickBot="1" x14ac:dyDescent="0.25">
      <c r="A143" s="250"/>
      <c r="B143" s="243"/>
      <c r="C143" s="69" t="s">
        <v>180</v>
      </c>
      <c r="D143" s="73">
        <v>1.7835483870967743</v>
      </c>
      <c r="E143" s="70">
        <v>1.804101510496672</v>
      </c>
      <c r="F143" s="70">
        <v>0.31903225806451613</v>
      </c>
      <c r="G143" s="70">
        <v>0.21610490271377369</v>
      </c>
      <c r="H143" s="70">
        <v>1.9354838709677419E-3</v>
      </c>
      <c r="I143" s="70">
        <v>5.9059139784946252E-3</v>
      </c>
      <c r="J143" s="70">
        <v>0.57032258064516128</v>
      </c>
      <c r="K143" s="70">
        <v>0.53005824372759858</v>
      </c>
      <c r="L143" s="70" t="s">
        <v>1</v>
      </c>
      <c r="M143" s="70" t="s">
        <v>1</v>
      </c>
    </row>
    <row r="144" spans="1:13" ht="14.25" thickTop="1" thickBot="1" x14ac:dyDescent="0.25">
      <c r="A144" s="57" t="s">
        <v>3</v>
      </c>
      <c r="B144" s="58">
        <f>B132</f>
        <v>14</v>
      </c>
      <c r="C144" s="59"/>
      <c r="D144" s="60">
        <f>AVERAGE(D132:D143)</f>
        <v>1.804101510496672</v>
      </c>
      <c r="E144" s="60"/>
      <c r="F144" s="60">
        <f>AVERAGE(F132:F143)</f>
        <v>0.21610490271377369</v>
      </c>
      <c r="G144" s="60"/>
      <c r="H144" s="60">
        <f>AVERAGE(H132:H143)</f>
        <v>5.9059139784946252E-3</v>
      </c>
      <c r="I144" s="60"/>
      <c r="J144" s="60">
        <f>AVERAGE(J132:J143)</f>
        <v>0.53005824372759858</v>
      </c>
      <c r="K144" s="60"/>
      <c r="L144" s="60"/>
      <c r="M144" s="61"/>
    </row>
    <row r="145" spans="1:13" ht="14.25" thickTop="1" thickBot="1" x14ac:dyDescent="0.25">
      <c r="A145" s="254"/>
      <c r="B145" s="255"/>
      <c r="C145" s="255"/>
      <c r="D145" s="255"/>
      <c r="E145" s="255"/>
      <c r="F145" s="255"/>
      <c r="G145" s="255"/>
      <c r="H145" s="255"/>
      <c r="I145" s="255"/>
      <c r="J145" s="255"/>
      <c r="K145" s="255"/>
      <c r="L145" s="255"/>
      <c r="M145" s="256"/>
    </row>
    <row r="146" spans="1:13" ht="13.5" thickTop="1" x14ac:dyDescent="0.2">
      <c r="A146" s="248" t="s">
        <v>195</v>
      </c>
      <c r="B146" s="241">
        <v>19</v>
      </c>
      <c r="C146" s="68" t="s">
        <v>169</v>
      </c>
      <c r="D146" s="70">
        <v>1.687741935483871</v>
      </c>
      <c r="E146" s="71"/>
      <c r="F146" s="70">
        <v>0.14774193548387099</v>
      </c>
      <c r="G146" s="71"/>
      <c r="H146" s="70">
        <v>1.1935483870967746E-2</v>
      </c>
      <c r="I146" s="71"/>
      <c r="J146" s="70">
        <v>0.55774193548387097</v>
      </c>
      <c r="K146" s="71"/>
      <c r="L146" s="70" t="s">
        <v>1</v>
      </c>
      <c r="M146" s="71"/>
    </row>
    <row r="147" spans="1:13" x14ac:dyDescent="0.2">
      <c r="A147" s="249"/>
      <c r="B147" s="242"/>
      <c r="C147" s="68" t="s">
        <v>170</v>
      </c>
      <c r="D147" s="70">
        <v>1.6982142857142859</v>
      </c>
      <c r="E147" s="70">
        <v>1.6929781105990784</v>
      </c>
      <c r="F147" s="70">
        <v>0.19357142857142864</v>
      </c>
      <c r="G147" s="70">
        <v>0.17065668202764983</v>
      </c>
      <c r="H147" s="70">
        <v>2.0000000000000007E-2</v>
      </c>
      <c r="I147" s="70">
        <v>1.5967741935483878E-2</v>
      </c>
      <c r="J147" s="70">
        <v>0.70500000000000007</v>
      </c>
      <c r="K147" s="70">
        <v>0.63137096774193546</v>
      </c>
      <c r="L147" s="70" t="s">
        <v>1</v>
      </c>
      <c r="M147" s="70" t="s">
        <v>1</v>
      </c>
    </row>
    <row r="148" spans="1:13" x14ac:dyDescent="0.2">
      <c r="A148" s="249"/>
      <c r="B148" s="242"/>
      <c r="C148" s="68" t="s">
        <v>171</v>
      </c>
      <c r="D148" s="70">
        <v>1.5896774193548384</v>
      </c>
      <c r="E148" s="70">
        <v>1.6585445468509985</v>
      </c>
      <c r="F148" s="70">
        <v>0.20645161290322578</v>
      </c>
      <c r="G148" s="70">
        <v>0.1825883256528418</v>
      </c>
      <c r="H148" s="70">
        <v>5.8064516129032262E-3</v>
      </c>
      <c r="I148" s="70">
        <v>1.2580645161290328E-2</v>
      </c>
      <c r="J148" s="70">
        <v>0.58838709677419365</v>
      </c>
      <c r="K148" s="70">
        <v>0.61704301075268819</v>
      </c>
      <c r="L148" s="70" t="s">
        <v>1</v>
      </c>
      <c r="M148" s="70" t="s">
        <v>1</v>
      </c>
    </row>
    <row r="149" spans="1:13" x14ac:dyDescent="0.2">
      <c r="A149" s="249"/>
      <c r="B149" s="242"/>
      <c r="C149" s="68" t="s">
        <v>172</v>
      </c>
      <c r="D149" s="70">
        <v>1.6053333333333339</v>
      </c>
      <c r="E149" s="70">
        <v>1.6452417434715825</v>
      </c>
      <c r="F149" s="70">
        <v>0.37800000000000006</v>
      </c>
      <c r="G149" s="70">
        <v>0.23144124423963136</v>
      </c>
      <c r="H149" s="70">
        <v>7.3333333333333349E-3</v>
      </c>
      <c r="I149" s="70">
        <v>1.126881720430108E-2</v>
      </c>
      <c r="J149" s="70">
        <v>0.73733333333333317</v>
      </c>
      <c r="K149" s="70">
        <v>0.64711559139784947</v>
      </c>
      <c r="L149" s="70" t="s">
        <v>1</v>
      </c>
      <c r="M149" s="70" t="s">
        <v>1</v>
      </c>
    </row>
    <row r="150" spans="1:13" x14ac:dyDescent="0.2">
      <c r="A150" s="249"/>
      <c r="B150" s="242"/>
      <c r="C150" s="68" t="s">
        <v>173</v>
      </c>
      <c r="D150" s="70">
        <v>1.7254838709677418</v>
      </c>
      <c r="E150" s="70">
        <v>1.6612901689708142</v>
      </c>
      <c r="F150" s="70">
        <v>0.26870967741935486</v>
      </c>
      <c r="G150" s="70">
        <v>0.23889493087557606</v>
      </c>
      <c r="H150" s="70">
        <v>1.4838709677419359E-2</v>
      </c>
      <c r="I150" s="70">
        <v>1.1982795698924737E-2</v>
      </c>
      <c r="J150" s="70">
        <v>0.61741935483870969</v>
      </c>
      <c r="K150" s="70">
        <v>0.64117634408602142</v>
      </c>
      <c r="L150" s="70" t="s">
        <v>1</v>
      </c>
      <c r="M150" s="70" t="s">
        <v>1</v>
      </c>
    </row>
    <row r="151" spans="1:13" x14ac:dyDescent="0.2">
      <c r="A151" s="249"/>
      <c r="B151" s="242"/>
      <c r="C151" s="68" t="s">
        <v>174</v>
      </c>
      <c r="D151" s="70">
        <v>1.7583333333333333</v>
      </c>
      <c r="E151" s="70">
        <v>1.6774640296979006</v>
      </c>
      <c r="F151" s="70">
        <v>0.34666666666666657</v>
      </c>
      <c r="G151" s="70">
        <v>0.25685688684075786</v>
      </c>
      <c r="H151" s="70">
        <v>1.3333333333333333E-3</v>
      </c>
      <c r="I151" s="70">
        <v>1.0207885304659502E-2</v>
      </c>
      <c r="J151" s="70">
        <v>0.61733333333333329</v>
      </c>
      <c r="K151" s="70">
        <v>0.6372025089605734</v>
      </c>
      <c r="L151" s="70" t="s">
        <v>1</v>
      </c>
      <c r="M151" s="70" t="s">
        <v>1</v>
      </c>
    </row>
    <row r="152" spans="1:13" x14ac:dyDescent="0.2">
      <c r="A152" s="249"/>
      <c r="B152" s="242"/>
      <c r="C152" s="68" t="s">
        <v>175</v>
      </c>
      <c r="D152" s="70">
        <v>1.8699999999999994</v>
      </c>
      <c r="E152" s="70">
        <v>1.7049691683124861</v>
      </c>
      <c r="F152" s="70">
        <v>0.41225806451612912</v>
      </c>
      <c r="G152" s="70">
        <v>0.27905705508009659</v>
      </c>
      <c r="H152" s="70">
        <v>3.2258064516129028E-3</v>
      </c>
      <c r="I152" s="70">
        <v>9.2104454685099889E-3</v>
      </c>
      <c r="J152" s="70">
        <v>0.53612903225806441</v>
      </c>
      <c r="K152" s="70">
        <v>0.62276344086021496</v>
      </c>
      <c r="L152" s="70" t="s">
        <v>1</v>
      </c>
      <c r="M152" s="70" t="s">
        <v>1</v>
      </c>
    </row>
    <row r="153" spans="1:13" x14ac:dyDescent="0.2">
      <c r="A153" s="249"/>
      <c r="B153" s="242"/>
      <c r="C153" s="68" t="s">
        <v>176</v>
      </c>
      <c r="D153" s="70">
        <v>1.925483870967742</v>
      </c>
      <c r="E153" s="70">
        <v>1.7325335061443932</v>
      </c>
      <c r="F153" s="70">
        <v>0.21419354838709675</v>
      </c>
      <c r="G153" s="70">
        <v>0.27094911674347161</v>
      </c>
      <c r="H153" s="70">
        <v>1.8709677419354843E-2</v>
      </c>
      <c r="I153" s="70">
        <v>1.0397849462365594E-2</v>
      </c>
      <c r="J153" s="70">
        <v>0.48322580645161284</v>
      </c>
      <c r="K153" s="70">
        <v>0.60532123655913972</v>
      </c>
      <c r="L153" s="70" t="s">
        <v>1</v>
      </c>
      <c r="M153" s="70" t="s">
        <v>1</v>
      </c>
    </row>
    <row r="154" spans="1:13" x14ac:dyDescent="0.2">
      <c r="A154" s="249"/>
      <c r="B154" s="242"/>
      <c r="C154" s="68" t="s">
        <v>177</v>
      </c>
      <c r="D154" s="70">
        <v>1.8043333333333333</v>
      </c>
      <c r="E154" s="70">
        <v>1.7405112647209422</v>
      </c>
      <c r="F154" s="70">
        <v>0.2413333333333334</v>
      </c>
      <c r="G154" s="70">
        <v>0.26765847414234512</v>
      </c>
      <c r="H154" s="70">
        <v>7.3333333333333358E-3</v>
      </c>
      <c r="I154" s="70">
        <v>1.0057347670250898E-2</v>
      </c>
      <c r="J154" s="70">
        <v>0.36266666666666664</v>
      </c>
      <c r="K154" s="70">
        <v>0.57835961768219823</v>
      </c>
      <c r="L154" s="70" t="s">
        <v>1</v>
      </c>
      <c r="M154" s="70" t="s">
        <v>1</v>
      </c>
    </row>
    <row r="155" spans="1:13" x14ac:dyDescent="0.2">
      <c r="A155" s="249"/>
      <c r="B155" s="242"/>
      <c r="C155" s="68" t="s">
        <v>178</v>
      </c>
      <c r="D155" s="70">
        <v>1.8851612903225807</v>
      </c>
      <c r="E155" s="70">
        <v>1.754976267281106</v>
      </c>
      <c r="F155" s="70">
        <v>0.3267741935483871</v>
      </c>
      <c r="G155" s="70">
        <v>0.27357004608294933</v>
      </c>
      <c r="H155" s="70">
        <v>0</v>
      </c>
      <c r="I155" s="70">
        <v>9.0516129032258089E-3</v>
      </c>
      <c r="J155" s="70">
        <v>0.4467741935483871</v>
      </c>
      <c r="K155" s="70">
        <v>0.56520107526881724</v>
      </c>
      <c r="L155" s="70" t="s">
        <v>1</v>
      </c>
      <c r="M155" s="70" t="s">
        <v>1</v>
      </c>
    </row>
    <row r="156" spans="1:13" x14ac:dyDescent="0.2">
      <c r="A156" s="249"/>
      <c r="B156" s="242"/>
      <c r="C156" s="68" t="s">
        <v>179</v>
      </c>
      <c r="D156" s="70">
        <v>1.9793333333333332</v>
      </c>
      <c r="E156" s="70">
        <v>1.7753723641949448</v>
      </c>
      <c r="F156" s="70">
        <v>0.20533333333333334</v>
      </c>
      <c r="G156" s="70">
        <v>0.26736670856025696</v>
      </c>
      <c r="H156" s="70">
        <v>0</v>
      </c>
      <c r="I156" s="70">
        <v>8.228739002932554E-3</v>
      </c>
      <c r="J156" s="70">
        <v>0.71266666666666678</v>
      </c>
      <c r="K156" s="70">
        <v>0.57860703812316716</v>
      </c>
      <c r="L156" s="70" t="s">
        <v>1</v>
      </c>
      <c r="M156" s="70" t="s">
        <v>1</v>
      </c>
    </row>
    <row r="157" spans="1:13" ht="13.5" thickBot="1" x14ac:dyDescent="0.25">
      <c r="A157" s="250"/>
      <c r="B157" s="243"/>
      <c r="C157" s="69" t="s">
        <v>180</v>
      </c>
      <c r="D157" s="73">
        <v>2.113225806451613</v>
      </c>
      <c r="E157" s="70">
        <v>1.8035268177163337</v>
      </c>
      <c r="F157" s="70">
        <v>0.53129032258064535</v>
      </c>
      <c r="G157" s="70">
        <v>0.28936034306195602</v>
      </c>
      <c r="H157" s="70">
        <v>9.6774193548387118E-3</v>
      </c>
      <c r="I157" s="70">
        <v>8.3494623655913994E-3</v>
      </c>
      <c r="J157" s="70">
        <v>0.59612903225806446</v>
      </c>
      <c r="K157" s="70">
        <v>0.58006720430107528</v>
      </c>
      <c r="L157" s="70" t="s">
        <v>1</v>
      </c>
      <c r="M157" s="70" t="s">
        <v>1</v>
      </c>
    </row>
    <row r="158" spans="1:13" ht="14.25" thickTop="1" thickBot="1" x14ac:dyDescent="0.25">
      <c r="A158" s="57" t="s">
        <v>3</v>
      </c>
      <c r="B158" s="58">
        <f>B146</f>
        <v>19</v>
      </c>
      <c r="C158" s="59"/>
      <c r="D158" s="60">
        <f>AVERAGE(D146:D157)</f>
        <v>1.8035268177163337</v>
      </c>
      <c r="E158" s="60"/>
      <c r="F158" s="60">
        <f>AVERAGE(F146:F157)</f>
        <v>0.28936034306195602</v>
      </c>
      <c r="G158" s="60"/>
      <c r="H158" s="60">
        <f>AVERAGE(H146:H157)</f>
        <v>8.3494623655913994E-3</v>
      </c>
      <c r="I158" s="60"/>
      <c r="J158" s="60">
        <f>AVERAGE(J146:J157)</f>
        <v>0.58006720430107528</v>
      </c>
      <c r="K158" s="60"/>
      <c r="L158" s="60"/>
      <c r="M158" s="61"/>
    </row>
    <row r="159" spans="1:13" ht="14.25" thickTop="1" thickBot="1" x14ac:dyDescent="0.25">
      <c r="A159" s="254"/>
      <c r="B159" s="255"/>
      <c r="C159" s="255"/>
      <c r="D159" s="255"/>
      <c r="E159" s="255"/>
      <c r="F159" s="255"/>
      <c r="G159" s="255"/>
      <c r="H159" s="255"/>
      <c r="I159" s="255"/>
      <c r="J159" s="255"/>
      <c r="K159" s="255"/>
      <c r="L159" s="255"/>
      <c r="M159" s="256"/>
    </row>
    <row r="160" spans="1:13" ht="13.5" thickTop="1" x14ac:dyDescent="0.2">
      <c r="A160" s="248" t="s">
        <v>195</v>
      </c>
      <c r="B160" s="241">
        <v>20</v>
      </c>
      <c r="C160" s="68" t="s">
        <v>169</v>
      </c>
      <c r="D160" s="70">
        <v>1.5967741935483866</v>
      </c>
      <c r="E160" s="71"/>
      <c r="F160" s="70">
        <v>0.13032258064516139</v>
      </c>
      <c r="G160" s="71"/>
      <c r="H160" s="70">
        <v>9.3548387096774217E-3</v>
      </c>
      <c r="I160" s="71"/>
      <c r="J160" s="70">
        <v>0.47032258064516136</v>
      </c>
      <c r="K160" s="71"/>
      <c r="L160" s="70" t="s">
        <v>1</v>
      </c>
      <c r="M160" s="71"/>
    </row>
    <row r="161" spans="1:13" x14ac:dyDescent="0.2">
      <c r="A161" s="249"/>
      <c r="B161" s="242"/>
      <c r="C161" s="68" t="s">
        <v>170</v>
      </c>
      <c r="D161" s="70">
        <v>1.845</v>
      </c>
      <c r="E161" s="70">
        <v>1.7208870967741934</v>
      </c>
      <c r="F161" s="70">
        <v>0.16785714285714293</v>
      </c>
      <c r="G161" s="70">
        <v>0.14908986175115216</v>
      </c>
      <c r="H161" s="70">
        <v>1.785714285714286E-2</v>
      </c>
      <c r="I161" s="70">
        <v>1.3605990783410141E-2</v>
      </c>
      <c r="J161" s="70">
        <v>0.50928571428571423</v>
      </c>
      <c r="K161" s="70">
        <v>0.48980414746543777</v>
      </c>
      <c r="L161" s="70" t="s">
        <v>1</v>
      </c>
      <c r="M161" s="70" t="s">
        <v>1</v>
      </c>
    </row>
    <row r="162" spans="1:13" x14ac:dyDescent="0.2">
      <c r="A162" s="249"/>
      <c r="B162" s="242"/>
      <c r="C162" s="68" t="s">
        <v>171</v>
      </c>
      <c r="D162" s="70">
        <v>1.6729032258064516</v>
      </c>
      <c r="E162" s="70">
        <v>1.7048924731182795</v>
      </c>
      <c r="F162" s="70">
        <v>0.23354838709677414</v>
      </c>
      <c r="G162" s="70">
        <v>0.17724270353302615</v>
      </c>
      <c r="H162" s="70">
        <v>1.3225806451612906E-2</v>
      </c>
      <c r="I162" s="70">
        <v>1.3479262672811063E-2</v>
      </c>
      <c r="J162" s="70">
        <v>0.61677419354838703</v>
      </c>
      <c r="K162" s="70">
        <v>0.53212749615975419</v>
      </c>
      <c r="L162" s="70" t="s">
        <v>1</v>
      </c>
      <c r="M162" s="70" t="s">
        <v>1</v>
      </c>
    </row>
    <row r="163" spans="1:13" x14ac:dyDescent="0.2">
      <c r="A163" s="249"/>
      <c r="B163" s="242"/>
      <c r="C163" s="68" t="s">
        <v>172</v>
      </c>
      <c r="D163" s="70">
        <v>1.6780000000000002</v>
      </c>
      <c r="E163" s="70">
        <v>1.6981693548387096</v>
      </c>
      <c r="F163" s="70">
        <v>0.43666666666666665</v>
      </c>
      <c r="G163" s="70">
        <v>0.24209869431643627</v>
      </c>
      <c r="H163" s="70">
        <v>1.0666666666666666E-2</v>
      </c>
      <c r="I163" s="70">
        <v>1.2776113671274963E-2</v>
      </c>
      <c r="J163" s="70">
        <v>0.66733333333333333</v>
      </c>
      <c r="K163" s="70">
        <v>0.56592895545314903</v>
      </c>
      <c r="L163" s="70" t="s">
        <v>1</v>
      </c>
      <c r="M163" s="70" t="s">
        <v>1</v>
      </c>
    </row>
    <row r="164" spans="1:13" x14ac:dyDescent="0.2">
      <c r="A164" s="249"/>
      <c r="B164" s="242"/>
      <c r="C164" s="68" t="s">
        <v>173</v>
      </c>
      <c r="D164" s="70">
        <v>1.7364516129032255</v>
      </c>
      <c r="E164" s="70">
        <v>1.7058258064516127</v>
      </c>
      <c r="F164" s="70">
        <v>0.26387096774193547</v>
      </c>
      <c r="G164" s="70">
        <v>0.24645314900153611</v>
      </c>
      <c r="H164" s="70">
        <v>1.7419354838709687E-2</v>
      </c>
      <c r="I164" s="70">
        <v>1.3704761904761909E-2</v>
      </c>
      <c r="J164" s="70">
        <v>0.6558064516129033</v>
      </c>
      <c r="K164" s="70">
        <v>0.58390445468509988</v>
      </c>
      <c r="L164" s="70" t="s">
        <v>1</v>
      </c>
      <c r="M164" s="70" t="s">
        <v>1</v>
      </c>
    </row>
    <row r="165" spans="1:13" x14ac:dyDescent="0.2">
      <c r="A165" s="249"/>
      <c r="B165" s="242"/>
      <c r="C165" s="68" t="s">
        <v>174</v>
      </c>
      <c r="D165" s="70">
        <v>1.6103333333333332</v>
      </c>
      <c r="E165" s="70">
        <v>1.6899103942652329</v>
      </c>
      <c r="F165" s="70">
        <v>0.253</v>
      </c>
      <c r="G165" s="70">
        <v>0.24754429083461341</v>
      </c>
      <c r="H165" s="70">
        <v>9.0000000000000028E-3</v>
      </c>
      <c r="I165" s="70">
        <v>1.2920634920634924E-2</v>
      </c>
      <c r="J165" s="70">
        <v>0.7380000000000001</v>
      </c>
      <c r="K165" s="70">
        <v>0.60958704557091659</v>
      </c>
      <c r="L165" s="70" t="s">
        <v>1</v>
      </c>
      <c r="M165" s="70" t="s">
        <v>1</v>
      </c>
    </row>
    <row r="166" spans="1:13" x14ac:dyDescent="0.2">
      <c r="A166" s="249"/>
      <c r="B166" s="242"/>
      <c r="C166" s="68" t="s">
        <v>175</v>
      </c>
      <c r="D166" s="70">
        <v>1.7122580645161289</v>
      </c>
      <c r="E166" s="70">
        <v>1.6931029185867896</v>
      </c>
      <c r="F166" s="70">
        <v>0.4032258064516131</v>
      </c>
      <c r="G166" s="70">
        <v>0.26978450735132764</v>
      </c>
      <c r="H166" s="70">
        <v>2.2580645161290325E-3</v>
      </c>
      <c r="I166" s="70">
        <v>1.1397410577134084E-2</v>
      </c>
      <c r="J166" s="70">
        <v>0.88806451612903226</v>
      </c>
      <c r="K166" s="70">
        <v>0.64936954136493308</v>
      </c>
      <c r="L166" s="70" t="s">
        <v>1</v>
      </c>
      <c r="M166" s="70" t="s">
        <v>1</v>
      </c>
    </row>
    <row r="167" spans="1:13" x14ac:dyDescent="0.2">
      <c r="A167" s="249"/>
      <c r="B167" s="242"/>
      <c r="C167" s="68" t="s">
        <v>176</v>
      </c>
      <c r="D167" s="70">
        <v>1.8796774193548385</v>
      </c>
      <c r="E167" s="70">
        <v>1.7164247311827956</v>
      </c>
      <c r="F167" s="70">
        <v>0.28354838709677421</v>
      </c>
      <c r="G167" s="70">
        <v>0.27150499231950848</v>
      </c>
      <c r="H167" s="70">
        <v>1.7419354838709683E-2</v>
      </c>
      <c r="I167" s="70">
        <v>1.2150153609831033E-2</v>
      </c>
      <c r="J167" s="70">
        <v>0.82032258064516106</v>
      </c>
      <c r="K167" s="70">
        <v>0.67073867127496156</v>
      </c>
      <c r="L167" s="70" t="s">
        <v>1</v>
      </c>
      <c r="M167" s="70" t="s">
        <v>1</v>
      </c>
    </row>
    <row r="168" spans="1:13" x14ac:dyDescent="0.2">
      <c r="A168" s="249"/>
      <c r="B168" s="242"/>
      <c r="C168" s="68" t="s">
        <v>177</v>
      </c>
      <c r="D168" s="70">
        <v>1.862333333333333</v>
      </c>
      <c r="E168" s="70">
        <v>1.7326367980884108</v>
      </c>
      <c r="F168" s="70">
        <v>0.35866666666666663</v>
      </c>
      <c r="G168" s="70">
        <v>0.28118962280252607</v>
      </c>
      <c r="H168" s="70">
        <v>2E-3</v>
      </c>
      <c r="I168" s="70">
        <v>1.1022358764294252E-2</v>
      </c>
      <c r="J168" s="70">
        <v>0.4986666666666667</v>
      </c>
      <c r="K168" s="70">
        <v>0.65161955965181773</v>
      </c>
      <c r="L168" s="70" t="s">
        <v>1</v>
      </c>
      <c r="M168" s="70" t="s">
        <v>1</v>
      </c>
    </row>
    <row r="169" spans="1:13" x14ac:dyDescent="0.2">
      <c r="A169" s="249"/>
      <c r="B169" s="242"/>
      <c r="C169" s="68" t="s">
        <v>178</v>
      </c>
      <c r="D169" s="70">
        <v>1.9470967741935481</v>
      </c>
      <c r="E169" s="70">
        <v>1.7540827956989244</v>
      </c>
      <c r="F169" s="70">
        <v>0.26999999999999996</v>
      </c>
      <c r="G169" s="70">
        <v>0.28007066052227347</v>
      </c>
      <c r="H169" s="70">
        <v>0</v>
      </c>
      <c r="I169" s="70">
        <v>9.9201228878648268E-3</v>
      </c>
      <c r="J169" s="70">
        <v>0.45032258064516145</v>
      </c>
      <c r="K169" s="70">
        <v>0.63148986175115207</v>
      </c>
      <c r="L169" s="70" t="s">
        <v>1</v>
      </c>
      <c r="M169" s="70" t="s">
        <v>1</v>
      </c>
    </row>
    <row r="170" spans="1:13" x14ac:dyDescent="0.2">
      <c r="A170" s="249"/>
      <c r="B170" s="242"/>
      <c r="C170" s="68" t="s">
        <v>179</v>
      </c>
      <c r="D170" s="70">
        <v>1.8096666666666663</v>
      </c>
      <c r="E170" s="70">
        <v>1.7591358748778099</v>
      </c>
      <c r="F170" s="70">
        <v>0.30899999999999994</v>
      </c>
      <c r="G170" s="70">
        <v>0.28270060047479401</v>
      </c>
      <c r="H170" s="70">
        <v>0</v>
      </c>
      <c r="I170" s="70">
        <v>9.0182935344225706E-3</v>
      </c>
      <c r="J170" s="70">
        <v>0.63933333333333342</v>
      </c>
      <c r="K170" s="70">
        <v>0.63220290462225937</v>
      </c>
      <c r="L170" s="70" t="s">
        <v>1</v>
      </c>
      <c r="M170" s="70" t="s">
        <v>1</v>
      </c>
    </row>
    <row r="171" spans="1:13" ht="13.5" thickBot="1" x14ac:dyDescent="0.25">
      <c r="A171" s="250"/>
      <c r="B171" s="243"/>
      <c r="C171" s="69" t="s">
        <v>180</v>
      </c>
      <c r="D171" s="73">
        <v>1.9516129032258061</v>
      </c>
      <c r="E171" s="70">
        <v>1.7751756272401427</v>
      </c>
      <c r="F171" s="70">
        <v>0.35193548387096757</v>
      </c>
      <c r="G171" s="70">
        <v>0.28847017409114178</v>
      </c>
      <c r="H171" s="70">
        <v>1.6129032258064516E-3</v>
      </c>
      <c r="I171" s="70">
        <v>8.4011776753712269E-3</v>
      </c>
      <c r="J171" s="70">
        <v>0.44774193548387098</v>
      </c>
      <c r="K171" s="70">
        <v>0.61683115719406034</v>
      </c>
      <c r="L171" s="70" t="s">
        <v>1</v>
      </c>
      <c r="M171" s="70" t="s">
        <v>1</v>
      </c>
    </row>
    <row r="172" spans="1:13" ht="14.25" thickTop="1" thickBot="1" x14ac:dyDescent="0.25">
      <c r="A172" s="57" t="s">
        <v>3</v>
      </c>
      <c r="B172" s="58">
        <f>B160</f>
        <v>20</v>
      </c>
      <c r="C172" s="59"/>
      <c r="D172" s="60">
        <f>AVERAGE(D160:D171)</f>
        <v>1.7751756272401427</v>
      </c>
      <c r="E172" s="60"/>
      <c r="F172" s="60">
        <f>AVERAGE(F160:F171)</f>
        <v>0.28847017409114178</v>
      </c>
      <c r="G172" s="60"/>
      <c r="H172" s="60">
        <f>AVERAGE(H160:H171)</f>
        <v>8.4011776753712269E-3</v>
      </c>
      <c r="I172" s="60"/>
      <c r="J172" s="60">
        <f>AVERAGE(J160:J171)</f>
        <v>0.61683115719406034</v>
      </c>
      <c r="K172" s="60"/>
      <c r="L172" s="60"/>
      <c r="M172" s="61"/>
    </row>
    <row r="173" spans="1:13" ht="14.25" thickTop="1" thickBot="1" x14ac:dyDescent="0.25">
      <c r="A173" s="254"/>
      <c r="B173" s="255"/>
      <c r="C173" s="255"/>
      <c r="D173" s="255"/>
      <c r="E173" s="255"/>
      <c r="F173" s="255"/>
      <c r="G173" s="255"/>
      <c r="H173" s="255"/>
      <c r="I173" s="255"/>
      <c r="J173" s="255"/>
      <c r="K173" s="255"/>
      <c r="L173" s="255"/>
      <c r="M173" s="256"/>
    </row>
    <row r="174" spans="1:13" ht="13.5" thickTop="1" x14ac:dyDescent="0.2">
      <c r="A174" s="248" t="s">
        <v>195</v>
      </c>
      <c r="B174" s="251" t="s">
        <v>145</v>
      </c>
      <c r="C174" s="68" t="s">
        <v>169</v>
      </c>
      <c r="D174" s="70">
        <v>2.7290322580645165</v>
      </c>
      <c r="E174" s="71"/>
      <c r="F174" s="70">
        <v>0.97935483870967721</v>
      </c>
      <c r="G174" s="71"/>
      <c r="H174" s="70">
        <v>3.5483870967741933E-3</v>
      </c>
      <c r="I174" s="71"/>
      <c r="J174" s="70">
        <v>0.34709677419354845</v>
      </c>
      <c r="K174" s="71"/>
      <c r="L174" s="70" t="s">
        <v>1</v>
      </c>
      <c r="M174" s="71"/>
    </row>
    <row r="175" spans="1:13" x14ac:dyDescent="0.2">
      <c r="A175" s="249"/>
      <c r="B175" s="252"/>
      <c r="C175" s="68" t="s">
        <v>170</v>
      </c>
      <c r="D175" s="70">
        <v>2.8182142857142858</v>
      </c>
      <c r="E175" s="70">
        <v>2.7736232718894014</v>
      </c>
      <c r="F175" s="70">
        <v>0.58214285714285718</v>
      </c>
      <c r="G175" s="70">
        <v>0.7807488479262672</v>
      </c>
      <c r="H175" s="70">
        <v>0</v>
      </c>
      <c r="I175" s="70">
        <v>1.7741935483870967E-3</v>
      </c>
      <c r="J175" s="70">
        <v>0.29464285714285721</v>
      </c>
      <c r="K175" s="70">
        <v>0.32086981566820283</v>
      </c>
      <c r="L175" s="70" t="s">
        <v>1</v>
      </c>
      <c r="M175" s="70" t="s">
        <v>1</v>
      </c>
    </row>
    <row r="176" spans="1:13" x14ac:dyDescent="0.2">
      <c r="A176" s="249"/>
      <c r="B176" s="252"/>
      <c r="C176" s="68" t="s">
        <v>171</v>
      </c>
      <c r="D176" s="70">
        <v>2.8441935483870968</v>
      </c>
      <c r="E176" s="70">
        <v>2.7971466973886332</v>
      </c>
      <c r="F176" s="70">
        <v>0.78419354838709654</v>
      </c>
      <c r="G176" s="70">
        <v>0.78189708141321024</v>
      </c>
      <c r="H176" s="70">
        <v>9.6774193548387136E-3</v>
      </c>
      <c r="I176" s="70">
        <v>4.4086021505376355E-3</v>
      </c>
      <c r="J176" s="70">
        <v>0.23225806451612901</v>
      </c>
      <c r="K176" s="70">
        <v>0.29133256528417822</v>
      </c>
      <c r="L176" s="70" t="s">
        <v>1</v>
      </c>
      <c r="M176" s="70" t="s">
        <v>1</v>
      </c>
    </row>
    <row r="177" spans="1:13" x14ac:dyDescent="0.2">
      <c r="A177" s="249"/>
      <c r="B177" s="252"/>
      <c r="C177" s="68" t="s">
        <v>172</v>
      </c>
      <c r="D177" s="70">
        <v>2.9840000000000009</v>
      </c>
      <c r="E177" s="70">
        <v>2.8438600230414748</v>
      </c>
      <c r="F177" s="70">
        <v>0.34866666666666674</v>
      </c>
      <c r="G177" s="70">
        <v>0.6735894777265744</v>
      </c>
      <c r="H177" s="70">
        <v>0</v>
      </c>
      <c r="I177" s="70">
        <v>3.3064516129032266E-3</v>
      </c>
      <c r="J177" s="70">
        <v>0.28100000000000003</v>
      </c>
      <c r="K177" s="70">
        <v>0.28874942396313363</v>
      </c>
      <c r="L177" s="70" t="s">
        <v>1</v>
      </c>
      <c r="M177" s="70" t="s">
        <v>1</v>
      </c>
    </row>
    <row r="178" spans="1:13" x14ac:dyDescent="0.2">
      <c r="A178" s="249"/>
      <c r="B178" s="252"/>
      <c r="C178" s="68" t="s">
        <v>173</v>
      </c>
      <c r="D178" s="70">
        <v>3.3458064516129031</v>
      </c>
      <c r="E178" s="70">
        <v>2.9442493087557606</v>
      </c>
      <c r="F178" s="70">
        <v>0.49774193548387091</v>
      </c>
      <c r="G178" s="70">
        <v>0.63841996927803368</v>
      </c>
      <c r="H178" s="70">
        <v>0</v>
      </c>
      <c r="I178" s="70">
        <v>2.6451612903225811E-3</v>
      </c>
      <c r="J178" s="70">
        <v>0.19322580645161297</v>
      </c>
      <c r="K178" s="70">
        <v>0.2696447004608295</v>
      </c>
      <c r="L178" s="70" t="s">
        <v>1</v>
      </c>
      <c r="M178" s="70" t="s">
        <v>1</v>
      </c>
    </row>
    <row r="179" spans="1:13" x14ac:dyDescent="0.2">
      <c r="A179" s="249"/>
      <c r="B179" s="252"/>
      <c r="C179" s="68" t="s">
        <v>174</v>
      </c>
      <c r="D179" s="70">
        <v>3.1146666666666665</v>
      </c>
      <c r="E179" s="70">
        <v>2.9726522017409116</v>
      </c>
      <c r="F179" s="70">
        <v>0.51566666666666672</v>
      </c>
      <c r="G179" s="70">
        <v>0.61796108550947249</v>
      </c>
      <c r="H179" s="70">
        <v>7.6666666666666689E-3</v>
      </c>
      <c r="I179" s="70">
        <v>3.482078853046596E-3</v>
      </c>
      <c r="J179" s="70">
        <v>0.23133333333333334</v>
      </c>
      <c r="K179" s="70">
        <v>0.26325947260624682</v>
      </c>
      <c r="L179" s="70" t="s">
        <v>1</v>
      </c>
      <c r="M179" s="70" t="s">
        <v>1</v>
      </c>
    </row>
    <row r="180" spans="1:13" x14ac:dyDescent="0.2">
      <c r="A180" s="249"/>
      <c r="B180" s="252"/>
      <c r="C180" s="68" t="s">
        <v>175</v>
      </c>
      <c r="D180" s="70">
        <v>2.7164516129032261</v>
      </c>
      <c r="E180" s="70">
        <v>2.9360521176212422</v>
      </c>
      <c r="F180" s="70">
        <v>0.55709677419354853</v>
      </c>
      <c r="G180" s="70">
        <v>0.60926618389291198</v>
      </c>
      <c r="H180" s="70">
        <v>2.2580645161290325E-3</v>
      </c>
      <c r="I180" s="70">
        <v>3.3072196620583727E-3</v>
      </c>
      <c r="J180" s="70">
        <v>0.22677419354838718</v>
      </c>
      <c r="K180" s="70">
        <v>0.25804728988369546</v>
      </c>
      <c r="L180" s="70" t="s">
        <v>1</v>
      </c>
      <c r="M180" s="70" t="s">
        <v>1</v>
      </c>
    </row>
    <row r="181" spans="1:13" x14ac:dyDescent="0.2">
      <c r="A181" s="249"/>
      <c r="B181" s="252"/>
      <c r="C181" s="68" t="s">
        <v>176</v>
      </c>
      <c r="D181" s="70">
        <v>2.7645161290322577</v>
      </c>
      <c r="E181" s="70">
        <v>2.9146101190476195</v>
      </c>
      <c r="F181" s="70">
        <v>0.41548387096774203</v>
      </c>
      <c r="G181" s="70">
        <v>0.58504339477726575</v>
      </c>
      <c r="H181" s="70">
        <v>0</v>
      </c>
      <c r="I181" s="70">
        <v>2.893817204301076E-3</v>
      </c>
      <c r="J181" s="70">
        <v>0.19806451612903228</v>
      </c>
      <c r="K181" s="70">
        <v>0.25054944316436256</v>
      </c>
      <c r="L181" s="70" t="s">
        <v>1</v>
      </c>
      <c r="M181" s="70" t="s">
        <v>1</v>
      </c>
    </row>
    <row r="182" spans="1:13" x14ac:dyDescent="0.2">
      <c r="A182" s="249"/>
      <c r="B182" s="252"/>
      <c r="C182" s="68" t="s">
        <v>177</v>
      </c>
      <c r="D182" s="70">
        <v>2.630666666666666</v>
      </c>
      <c r="E182" s="70">
        <v>2.8830608465608467</v>
      </c>
      <c r="F182" s="70">
        <v>0.56266666666666665</v>
      </c>
      <c r="G182" s="70">
        <v>0.58255709165386582</v>
      </c>
      <c r="H182" s="70">
        <v>7.0000000000000019E-3</v>
      </c>
      <c r="I182" s="70">
        <v>3.3500597371565123E-3</v>
      </c>
      <c r="J182" s="70">
        <v>0.27066666666666672</v>
      </c>
      <c r="K182" s="70">
        <v>0.25278469022017414</v>
      </c>
      <c r="L182" s="70" t="s">
        <v>1</v>
      </c>
      <c r="M182" s="70" t="s">
        <v>1</v>
      </c>
    </row>
    <row r="183" spans="1:13" x14ac:dyDescent="0.2">
      <c r="A183" s="249"/>
      <c r="B183" s="252"/>
      <c r="C183" s="68" t="s">
        <v>178</v>
      </c>
      <c r="D183" s="70">
        <v>2.9861290322580638</v>
      </c>
      <c r="E183" s="70">
        <v>2.8933676651305684</v>
      </c>
      <c r="F183" s="70">
        <v>0.1880645161290323</v>
      </c>
      <c r="G183" s="70">
        <v>0.54310783410138253</v>
      </c>
      <c r="H183" s="70">
        <v>2.9032258064516127E-3</v>
      </c>
      <c r="I183" s="70">
        <v>3.3053763440860223E-3</v>
      </c>
      <c r="J183" s="70">
        <v>0.29322580645161289</v>
      </c>
      <c r="K183" s="70">
        <v>0.25682880184331802</v>
      </c>
      <c r="L183" s="70" t="s">
        <v>1</v>
      </c>
      <c r="M183" s="70" t="s">
        <v>1</v>
      </c>
    </row>
    <row r="184" spans="1:13" x14ac:dyDescent="0.2">
      <c r="A184" s="249"/>
      <c r="B184" s="252"/>
      <c r="C184" s="68" t="s">
        <v>179</v>
      </c>
      <c r="D184" s="70">
        <v>2.8843333333333336</v>
      </c>
      <c r="E184" s="70">
        <v>2.8925463622399108</v>
      </c>
      <c r="F184" s="70">
        <v>0.42433333333333328</v>
      </c>
      <c r="G184" s="70">
        <v>0.53231015221337807</v>
      </c>
      <c r="H184" s="70">
        <v>0</v>
      </c>
      <c r="I184" s="70">
        <v>3.0048875855327476E-3</v>
      </c>
      <c r="J184" s="70">
        <v>0.3813333333333333</v>
      </c>
      <c r="K184" s="70">
        <v>0.26814739561513756</v>
      </c>
      <c r="L184" s="70" t="s">
        <v>1</v>
      </c>
      <c r="M184" s="70" t="s">
        <v>1</v>
      </c>
    </row>
    <row r="185" spans="1:13" ht="13.5" thickBot="1" x14ac:dyDescent="0.25">
      <c r="A185" s="250"/>
      <c r="B185" s="253"/>
      <c r="C185" s="69" t="s">
        <v>180</v>
      </c>
      <c r="D185" s="73">
        <v>3.0906451612903223</v>
      </c>
      <c r="E185" s="70">
        <v>2.909054595494112</v>
      </c>
      <c r="F185" s="70">
        <v>0.61322580645161284</v>
      </c>
      <c r="G185" s="70">
        <v>0.53905312339989764</v>
      </c>
      <c r="H185" s="70">
        <v>1.6129032258064516E-3</v>
      </c>
      <c r="I185" s="70">
        <v>2.8888888888888892E-3</v>
      </c>
      <c r="J185" s="70">
        <v>0.31903225806451607</v>
      </c>
      <c r="K185" s="70">
        <v>0.27238780081925246</v>
      </c>
      <c r="L185" s="70" t="s">
        <v>1</v>
      </c>
      <c r="M185" s="70" t="s">
        <v>1</v>
      </c>
    </row>
    <row r="186" spans="1:13" ht="14.25" thickTop="1" thickBot="1" x14ac:dyDescent="0.25">
      <c r="A186" s="57" t="s">
        <v>3</v>
      </c>
      <c r="B186" s="58" t="str">
        <f>B174</f>
        <v>B</v>
      </c>
      <c r="C186" s="59"/>
      <c r="D186" s="60">
        <f>AVERAGE(D174:D185)</f>
        <v>2.909054595494112</v>
      </c>
      <c r="E186" s="60"/>
      <c r="F186" s="60">
        <f>AVERAGE(F174:F185)</f>
        <v>0.53905312339989764</v>
      </c>
      <c r="G186" s="60"/>
      <c r="H186" s="60">
        <f>AVERAGE(H174:H185)</f>
        <v>2.8888888888888892E-3</v>
      </c>
      <c r="I186" s="60"/>
      <c r="J186" s="60">
        <f>AVERAGE(J174:J185)</f>
        <v>0.27238780081925246</v>
      </c>
      <c r="K186" s="60"/>
      <c r="L186" s="60"/>
      <c r="M186" s="61"/>
    </row>
    <row r="187" spans="1:13" ht="14.25" thickTop="1" thickBot="1" x14ac:dyDescent="0.25">
      <c r="A187" s="254"/>
      <c r="B187" s="255"/>
      <c r="C187" s="255"/>
      <c r="D187" s="255"/>
      <c r="E187" s="255"/>
      <c r="F187" s="255"/>
      <c r="G187" s="255"/>
      <c r="H187" s="255"/>
      <c r="I187" s="255"/>
      <c r="J187" s="255"/>
      <c r="K187" s="255"/>
      <c r="L187" s="255"/>
      <c r="M187" s="256"/>
    </row>
    <row r="188" spans="1:13" ht="13.5" thickTop="1" x14ac:dyDescent="0.2">
      <c r="A188" s="248" t="s">
        <v>195</v>
      </c>
      <c r="B188" s="251" t="s">
        <v>146</v>
      </c>
      <c r="C188" s="68" t="s">
        <v>169</v>
      </c>
      <c r="D188" s="70">
        <v>3.0648387096774199</v>
      </c>
      <c r="E188" s="71"/>
      <c r="F188" s="70">
        <v>0.61451612903225794</v>
      </c>
      <c r="G188" s="71"/>
      <c r="H188" s="70">
        <v>1.6451612903225808E-2</v>
      </c>
      <c r="I188" s="71"/>
      <c r="J188" s="70">
        <v>0.16225806451612906</v>
      </c>
      <c r="K188" s="71"/>
      <c r="L188" s="70" t="s">
        <v>1</v>
      </c>
      <c r="M188" s="71"/>
    </row>
    <row r="189" spans="1:13" x14ac:dyDescent="0.2">
      <c r="A189" s="249"/>
      <c r="B189" s="252"/>
      <c r="C189" s="68" t="s">
        <v>170</v>
      </c>
      <c r="D189" s="70">
        <v>3.6896428571428568</v>
      </c>
      <c r="E189" s="70">
        <v>3.3772407834101381</v>
      </c>
      <c r="F189" s="70">
        <v>0.58785714285714297</v>
      </c>
      <c r="G189" s="70">
        <v>0.60118663594470045</v>
      </c>
      <c r="H189" s="70">
        <v>2.142857142857143E-3</v>
      </c>
      <c r="I189" s="70">
        <v>9.2972350230414759E-3</v>
      </c>
      <c r="J189" s="70">
        <v>0.16928571428571432</v>
      </c>
      <c r="K189" s="70">
        <v>0.16577188940092169</v>
      </c>
      <c r="L189" s="70" t="s">
        <v>1</v>
      </c>
      <c r="M189" s="70" t="s">
        <v>1</v>
      </c>
    </row>
    <row r="190" spans="1:13" x14ac:dyDescent="0.2">
      <c r="A190" s="249"/>
      <c r="B190" s="252"/>
      <c r="C190" s="68" t="s">
        <v>171</v>
      </c>
      <c r="D190" s="70">
        <v>3.785806451612904</v>
      </c>
      <c r="E190" s="70">
        <v>3.5134293394777267</v>
      </c>
      <c r="F190" s="70">
        <v>0.48096774193548392</v>
      </c>
      <c r="G190" s="70">
        <v>0.56111367127496159</v>
      </c>
      <c r="H190" s="70">
        <v>1.7419354838709683E-2</v>
      </c>
      <c r="I190" s="70">
        <v>1.2004608294930878E-2</v>
      </c>
      <c r="J190" s="70">
        <v>6.5806451612903258E-2</v>
      </c>
      <c r="K190" s="70">
        <v>0.13245007680491555</v>
      </c>
      <c r="L190" s="70" t="s">
        <v>1</v>
      </c>
      <c r="M190" s="70" t="s">
        <v>1</v>
      </c>
    </row>
    <row r="191" spans="1:13" x14ac:dyDescent="0.2">
      <c r="A191" s="249"/>
      <c r="B191" s="252"/>
      <c r="C191" s="68" t="s">
        <v>172</v>
      </c>
      <c r="D191" s="70">
        <v>3.6199999999999997</v>
      </c>
      <c r="E191" s="70">
        <v>3.540072004608295</v>
      </c>
      <c r="F191" s="70">
        <v>0.58366666666666644</v>
      </c>
      <c r="G191" s="70">
        <v>0.56675192012288778</v>
      </c>
      <c r="H191" s="70">
        <v>4.6666666666666662E-3</v>
      </c>
      <c r="I191" s="70">
        <v>1.0170122887864825E-2</v>
      </c>
      <c r="J191" s="70">
        <v>7.7333333333333351E-2</v>
      </c>
      <c r="K191" s="70">
        <v>0.11867089093702</v>
      </c>
      <c r="L191" s="70" t="s">
        <v>1</v>
      </c>
      <c r="M191" s="70" t="s">
        <v>1</v>
      </c>
    </row>
    <row r="192" spans="1:13" x14ac:dyDescent="0.2">
      <c r="A192" s="249"/>
      <c r="B192" s="252"/>
      <c r="C192" s="68" t="s">
        <v>173</v>
      </c>
      <c r="D192" s="70">
        <v>3.5964516129032251</v>
      </c>
      <c r="E192" s="70">
        <v>3.5513479262672809</v>
      </c>
      <c r="F192" s="70">
        <v>0.38838709677419364</v>
      </c>
      <c r="G192" s="70">
        <v>0.53107895545314898</v>
      </c>
      <c r="H192" s="70">
        <v>8.3870967741935462E-3</v>
      </c>
      <c r="I192" s="70">
        <v>9.8135176651305694E-3</v>
      </c>
      <c r="J192" s="70">
        <v>1.935483870967742E-2</v>
      </c>
      <c r="K192" s="70">
        <v>9.8807680491551489E-2</v>
      </c>
      <c r="L192" s="70" t="s">
        <v>1</v>
      </c>
      <c r="M192" s="70" t="s">
        <v>1</v>
      </c>
    </row>
    <row r="193" spans="1:13" x14ac:dyDescent="0.2">
      <c r="A193" s="249"/>
      <c r="B193" s="252"/>
      <c r="C193" s="68" t="s">
        <v>174</v>
      </c>
      <c r="D193" s="70">
        <v>3.9249999999999998</v>
      </c>
      <c r="E193" s="70">
        <v>3.6136232718894008</v>
      </c>
      <c r="F193" s="70">
        <v>0.29199999999999998</v>
      </c>
      <c r="G193" s="70">
        <v>0.49123246287762412</v>
      </c>
      <c r="H193" s="70">
        <v>1.666666666666667E-2</v>
      </c>
      <c r="I193" s="70">
        <v>1.0955709165386587E-2</v>
      </c>
      <c r="J193" s="70">
        <v>0.11600000000000008</v>
      </c>
      <c r="K193" s="70">
        <v>0.10167306707629292</v>
      </c>
      <c r="L193" s="70" t="s">
        <v>1</v>
      </c>
      <c r="M193" s="70" t="s">
        <v>1</v>
      </c>
    </row>
    <row r="194" spans="1:13" x14ac:dyDescent="0.2">
      <c r="A194" s="249"/>
      <c r="B194" s="252"/>
      <c r="C194" s="68" t="s">
        <v>175</v>
      </c>
      <c r="D194" s="70">
        <v>3.4222580645161282</v>
      </c>
      <c r="E194" s="70">
        <v>3.5862853851217906</v>
      </c>
      <c r="F194" s="70">
        <v>0.34096774193548379</v>
      </c>
      <c r="G194" s="70">
        <v>0.46976607417160404</v>
      </c>
      <c r="H194" s="70">
        <v>1.6129032258064516E-3</v>
      </c>
      <c r="I194" s="70">
        <v>9.6210226025894262E-3</v>
      </c>
      <c r="J194" s="70">
        <v>9.8064516129032289E-2</v>
      </c>
      <c r="K194" s="70">
        <v>0.10115755979811283</v>
      </c>
      <c r="L194" s="70" t="s">
        <v>1</v>
      </c>
      <c r="M194" s="70" t="s">
        <v>1</v>
      </c>
    </row>
    <row r="195" spans="1:13" x14ac:dyDescent="0.2">
      <c r="A195" s="249"/>
      <c r="B195" s="252"/>
      <c r="C195" s="68" t="s">
        <v>176</v>
      </c>
      <c r="D195" s="70">
        <v>3.3529032258064517</v>
      </c>
      <c r="E195" s="70">
        <v>3.5571126152073731</v>
      </c>
      <c r="F195" s="70">
        <v>0.29032258064516137</v>
      </c>
      <c r="G195" s="70">
        <v>0.44733563748079874</v>
      </c>
      <c r="H195" s="70">
        <v>3.1612903225806441E-2</v>
      </c>
      <c r="I195" s="70">
        <v>1.2370007680491553E-2</v>
      </c>
      <c r="J195" s="70">
        <v>0.2464516129032259</v>
      </c>
      <c r="K195" s="70">
        <v>0.11931931643625197</v>
      </c>
      <c r="L195" s="70" t="s">
        <v>1</v>
      </c>
      <c r="M195" s="70" t="s">
        <v>1</v>
      </c>
    </row>
    <row r="196" spans="1:13" x14ac:dyDescent="0.2">
      <c r="A196" s="249"/>
      <c r="B196" s="252"/>
      <c r="C196" s="68" t="s">
        <v>177</v>
      </c>
      <c r="D196" s="70">
        <v>3.2356666666666665</v>
      </c>
      <c r="E196" s="70">
        <v>3.52139639870285</v>
      </c>
      <c r="F196" s="70">
        <v>0.4523333333333332</v>
      </c>
      <c r="G196" s="70">
        <v>0.44789093701996918</v>
      </c>
      <c r="H196" s="70">
        <v>5.2000000000000011E-2</v>
      </c>
      <c r="I196" s="70">
        <v>1.6773340160436936E-2</v>
      </c>
      <c r="J196" s="70">
        <v>9.6000000000000058E-2</v>
      </c>
      <c r="K196" s="70">
        <v>0.11672828127666841</v>
      </c>
      <c r="L196" s="70" t="s">
        <v>1</v>
      </c>
      <c r="M196" s="70" t="s">
        <v>1</v>
      </c>
    </row>
    <row r="197" spans="1:13" x14ac:dyDescent="0.2">
      <c r="A197" s="249"/>
      <c r="B197" s="252"/>
      <c r="C197" s="68" t="s">
        <v>178</v>
      </c>
      <c r="D197" s="70">
        <v>3.4606451612903233</v>
      </c>
      <c r="E197" s="70">
        <v>3.5153212749615976</v>
      </c>
      <c r="F197" s="70">
        <v>0.78032258064516158</v>
      </c>
      <c r="G197" s="70">
        <v>0.48113410138248841</v>
      </c>
      <c r="H197" s="70">
        <v>0</v>
      </c>
      <c r="I197" s="70">
        <v>1.5096006144393243E-2</v>
      </c>
      <c r="J197" s="70">
        <v>4.1290322580645161E-2</v>
      </c>
      <c r="K197" s="70">
        <v>0.10918448540706609</v>
      </c>
      <c r="L197" s="70" t="s">
        <v>1</v>
      </c>
      <c r="M197" s="70" t="s">
        <v>1</v>
      </c>
    </row>
    <row r="198" spans="1:13" x14ac:dyDescent="0.2">
      <c r="A198" s="249"/>
      <c r="B198" s="252"/>
      <c r="C198" s="68" t="s">
        <v>179</v>
      </c>
      <c r="D198" s="70">
        <v>3.5929999999999991</v>
      </c>
      <c r="E198" s="70">
        <v>3.5223829772378155</v>
      </c>
      <c r="F198" s="70">
        <v>0.53299999999999992</v>
      </c>
      <c r="G198" s="70">
        <v>0.48584918307498948</v>
      </c>
      <c r="H198" s="70">
        <v>0</v>
      </c>
      <c r="I198" s="70">
        <v>1.3723641949448402E-2</v>
      </c>
      <c r="J198" s="70">
        <v>5.2000000000000011E-2</v>
      </c>
      <c r="K198" s="70">
        <v>0.10398589582460555</v>
      </c>
      <c r="L198" s="70" t="s">
        <v>1</v>
      </c>
      <c r="M198" s="70" t="s">
        <v>1</v>
      </c>
    </row>
    <row r="199" spans="1:13" ht="13.5" thickBot="1" x14ac:dyDescent="0.25">
      <c r="A199" s="250"/>
      <c r="B199" s="253"/>
      <c r="C199" s="69" t="s">
        <v>180</v>
      </c>
      <c r="D199" s="73">
        <v>3.4399999999999991</v>
      </c>
      <c r="E199" s="70">
        <v>3.5155177291346642</v>
      </c>
      <c r="F199" s="70">
        <v>0.6287096774193548</v>
      </c>
      <c r="G199" s="70">
        <v>0.49775422427035326</v>
      </c>
      <c r="H199" s="70">
        <v>0</v>
      </c>
      <c r="I199" s="70">
        <v>1.2580005120327703E-2</v>
      </c>
      <c r="J199" s="70">
        <v>0</v>
      </c>
      <c r="K199" s="70">
        <v>9.5320404505888412E-2</v>
      </c>
      <c r="L199" s="70" t="s">
        <v>1</v>
      </c>
      <c r="M199" s="70" t="s">
        <v>1</v>
      </c>
    </row>
    <row r="200" spans="1:13" ht="14.25" thickTop="1" thickBot="1" x14ac:dyDescent="0.25">
      <c r="A200" s="57" t="s">
        <v>3</v>
      </c>
      <c r="B200" s="58" t="str">
        <f>B188</f>
        <v>C</v>
      </c>
      <c r="C200" s="59"/>
      <c r="D200" s="60">
        <f>AVERAGE(D188:D199)</f>
        <v>3.5155177291346642</v>
      </c>
      <c r="E200" s="60"/>
      <c r="F200" s="60">
        <f>AVERAGE(F188:F199)</f>
        <v>0.49775422427035326</v>
      </c>
      <c r="G200" s="60"/>
      <c r="H200" s="60">
        <f>AVERAGE(H188:H199)</f>
        <v>1.2580005120327703E-2</v>
      </c>
      <c r="I200" s="60"/>
      <c r="J200" s="60">
        <f>AVERAGE(J188:J199)</f>
        <v>9.5320404505888412E-2</v>
      </c>
      <c r="K200" s="60"/>
      <c r="L200" s="60"/>
      <c r="M200" s="61"/>
    </row>
    <row r="201" spans="1:13" ht="14.25" thickTop="1" thickBot="1" x14ac:dyDescent="0.25">
      <c r="A201" s="244"/>
      <c r="B201" s="245"/>
      <c r="C201" s="245"/>
      <c r="D201" s="245"/>
      <c r="E201" s="245"/>
      <c r="F201" s="245"/>
      <c r="G201" s="245"/>
      <c r="H201" s="245"/>
      <c r="I201" s="245"/>
      <c r="J201" s="245"/>
      <c r="K201" s="245"/>
      <c r="L201" s="245"/>
      <c r="M201" s="246"/>
    </row>
    <row r="202" spans="1:13" ht="13.5" thickTop="1" x14ac:dyDescent="0.2">
      <c r="A202" s="239" t="s">
        <v>85</v>
      </c>
      <c r="B202" s="242" t="s">
        <v>196</v>
      </c>
      <c r="C202" s="52" t="s">
        <v>169</v>
      </c>
      <c r="D202" s="53">
        <v>4.75</v>
      </c>
      <c r="E202" s="54"/>
      <c r="F202" s="53">
        <v>2.34</v>
      </c>
      <c r="G202" s="54"/>
      <c r="H202" s="53">
        <v>0.01</v>
      </c>
      <c r="I202" s="54"/>
      <c r="J202" s="74">
        <v>0</v>
      </c>
      <c r="K202" s="54"/>
      <c r="L202" s="53" t="s">
        <v>1</v>
      </c>
      <c r="M202" s="54"/>
    </row>
    <row r="203" spans="1:13" x14ac:dyDescent="0.2">
      <c r="A203" s="239"/>
      <c r="B203" s="242"/>
      <c r="C203" s="52" t="s">
        <v>170</v>
      </c>
      <c r="D203" s="53">
        <v>4.3600000000000003</v>
      </c>
      <c r="E203" s="53">
        <v>4.4800000000000004</v>
      </c>
      <c r="F203" s="53">
        <v>2.0699999999999998</v>
      </c>
      <c r="G203" s="53">
        <v>2.31</v>
      </c>
      <c r="H203" s="53">
        <v>0.03</v>
      </c>
      <c r="I203" s="53">
        <v>0.16</v>
      </c>
      <c r="J203" s="74">
        <v>3.0999999999999999E-3</v>
      </c>
      <c r="K203" s="74">
        <v>0</v>
      </c>
      <c r="L203" s="53" t="s">
        <v>1</v>
      </c>
      <c r="M203" s="53" t="s">
        <v>1</v>
      </c>
    </row>
    <row r="204" spans="1:13" x14ac:dyDescent="0.2">
      <c r="A204" s="239"/>
      <c r="B204" s="242"/>
      <c r="C204" s="52" t="s">
        <v>171</v>
      </c>
      <c r="D204" s="53">
        <v>4.4400000000000004</v>
      </c>
      <c r="E204" s="53">
        <v>4.71</v>
      </c>
      <c r="F204" s="53">
        <v>2.23</v>
      </c>
      <c r="G204" s="53">
        <v>2.08</v>
      </c>
      <c r="H204" s="53">
        <v>0.02</v>
      </c>
      <c r="I204" s="53">
        <v>0.06</v>
      </c>
      <c r="J204" s="74">
        <v>5.5999999999999999E-3</v>
      </c>
      <c r="K204" s="74">
        <v>2.8999999999999998E-3</v>
      </c>
      <c r="L204" s="53" t="s">
        <v>1</v>
      </c>
      <c r="M204" s="53" t="s">
        <v>1</v>
      </c>
    </row>
    <row r="205" spans="1:13" x14ac:dyDescent="0.2">
      <c r="A205" s="239"/>
      <c r="B205" s="242"/>
      <c r="C205" s="52" t="s">
        <v>172</v>
      </c>
      <c r="D205" s="53">
        <v>4.42</v>
      </c>
      <c r="E205" s="53">
        <v>4.42</v>
      </c>
      <c r="F205" s="53">
        <v>2.33</v>
      </c>
      <c r="G205" s="53">
        <v>2.2799999999999998</v>
      </c>
      <c r="H205" s="53">
        <v>0.02</v>
      </c>
      <c r="I205" s="53">
        <v>7.0000000000000007E-2</v>
      </c>
      <c r="J205" s="74">
        <v>5.7000000000000002E-3</v>
      </c>
      <c r="K205" s="74">
        <v>2.8999999999999998E-3</v>
      </c>
      <c r="L205" s="53" t="s">
        <v>1</v>
      </c>
      <c r="M205" s="53" t="s">
        <v>1</v>
      </c>
    </row>
    <row r="206" spans="1:13" x14ac:dyDescent="0.2">
      <c r="A206" s="239"/>
      <c r="B206" s="242"/>
      <c r="C206" s="52" t="s">
        <v>173</v>
      </c>
      <c r="D206" s="53">
        <v>4.79</v>
      </c>
      <c r="E206" s="53">
        <v>4.37</v>
      </c>
      <c r="F206" s="53">
        <v>2.38</v>
      </c>
      <c r="G206" s="53">
        <v>2.33</v>
      </c>
      <c r="H206" s="53">
        <v>0.01</v>
      </c>
      <c r="I206" s="53">
        <v>0.06</v>
      </c>
      <c r="J206" s="74">
        <v>2.8999999999999998E-3</v>
      </c>
      <c r="K206" s="74">
        <v>2.8999999999999998E-3</v>
      </c>
      <c r="L206" s="53" t="s">
        <v>1</v>
      </c>
      <c r="M206" s="53" t="s">
        <v>1</v>
      </c>
    </row>
    <row r="207" spans="1:13" x14ac:dyDescent="0.2">
      <c r="A207" s="239"/>
      <c r="B207" s="242"/>
      <c r="C207" s="52" t="s">
        <v>174</v>
      </c>
      <c r="D207" s="53">
        <v>4.79</v>
      </c>
      <c r="E207" s="53">
        <v>4.75</v>
      </c>
      <c r="F207" s="53">
        <v>2.52</v>
      </c>
      <c r="G207" s="53">
        <v>2.38</v>
      </c>
      <c r="H207" s="53">
        <v>0.01</v>
      </c>
      <c r="I207" s="53">
        <v>0.05</v>
      </c>
      <c r="J207" s="74">
        <v>0</v>
      </c>
      <c r="K207" s="74">
        <v>0</v>
      </c>
      <c r="L207" s="53" t="s">
        <v>1</v>
      </c>
      <c r="M207" s="53" t="s">
        <v>1</v>
      </c>
    </row>
    <row r="208" spans="1:13" x14ac:dyDescent="0.2">
      <c r="A208" s="239"/>
      <c r="B208" s="242"/>
      <c r="C208" s="52" t="s">
        <v>175</v>
      </c>
      <c r="D208" s="53">
        <v>4.57</v>
      </c>
      <c r="E208" s="53">
        <v>4.41</v>
      </c>
      <c r="F208" s="53">
        <v>2.41</v>
      </c>
      <c r="G208" s="53">
        <v>2.68</v>
      </c>
      <c r="H208" s="53">
        <v>0.01</v>
      </c>
      <c r="I208" s="53">
        <v>0.06</v>
      </c>
      <c r="J208" s="74">
        <v>0</v>
      </c>
      <c r="K208" s="74">
        <v>0</v>
      </c>
      <c r="L208" s="53" t="s">
        <v>1</v>
      </c>
      <c r="M208" s="53" t="s">
        <v>1</v>
      </c>
    </row>
    <row r="209" spans="1:13" x14ac:dyDescent="0.2">
      <c r="A209" s="239"/>
      <c r="B209" s="242"/>
      <c r="C209" s="52" t="s">
        <v>176</v>
      </c>
      <c r="D209" s="53">
        <v>4.55</v>
      </c>
      <c r="E209" s="53">
        <v>4.5999999999999996</v>
      </c>
      <c r="F209" s="53">
        <v>2.44</v>
      </c>
      <c r="G209" s="53">
        <v>2.38</v>
      </c>
      <c r="H209" s="53">
        <v>0</v>
      </c>
      <c r="I209" s="53">
        <v>0.01</v>
      </c>
      <c r="J209" s="74">
        <v>2.8E-3</v>
      </c>
      <c r="K209" s="74">
        <v>0</v>
      </c>
      <c r="L209" s="53" t="s">
        <v>1</v>
      </c>
      <c r="M209" s="53" t="s">
        <v>1</v>
      </c>
    </row>
    <row r="210" spans="1:13" x14ac:dyDescent="0.2">
      <c r="A210" s="239"/>
      <c r="B210" s="242"/>
      <c r="C210" s="52" t="s">
        <v>177</v>
      </c>
      <c r="D210" s="53">
        <v>4.72</v>
      </c>
      <c r="E210" s="53">
        <v>4.55</v>
      </c>
      <c r="F210" s="53">
        <v>2.4300000000000002</v>
      </c>
      <c r="G210" s="53">
        <v>2.4300000000000002</v>
      </c>
      <c r="H210" s="53">
        <v>0.04</v>
      </c>
      <c r="I210" s="53">
        <v>0.04</v>
      </c>
      <c r="J210" s="74">
        <v>0</v>
      </c>
      <c r="K210" s="74">
        <v>2.8999999999999998E-3</v>
      </c>
      <c r="L210" s="53" t="s">
        <v>1</v>
      </c>
      <c r="M210" s="53" t="s">
        <v>1</v>
      </c>
    </row>
    <row r="211" spans="1:13" x14ac:dyDescent="0.2">
      <c r="A211" s="239"/>
      <c r="B211" s="242"/>
      <c r="C211" s="52" t="s">
        <v>178</v>
      </c>
      <c r="D211" s="53">
        <v>4.55</v>
      </c>
      <c r="E211" s="53">
        <v>4.67</v>
      </c>
      <c r="F211" s="53">
        <v>2.35</v>
      </c>
      <c r="G211" s="53">
        <v>2.4500000000000002</v>
      </c>
      <c r="H211" s="53">
        <v>0.01</v>
      </c>
      <c r="I211" s="53">
        <v>0.01</v>
      </c>
      <c r="J211" s="74">
        <v>5.5999999999999999E-3</v>
      </c>
      <c r="K211" s="74">
        <v>0</v>
      </c>
      <c r="L211" s="53" t="s">
        <v>1</v>
      </c>
      <c r="M211" s="53" t="s">
        <v>1</v>
      </c>
    </row>
    <row r="212" spans="1:13" x14ac:dyDescent="0.2">
      <c r="A212" s="239"/>
      <c r="B212" s="242"/>
      <c r="C212" s="52" t="s">
        <v>179</v>
      </c>
      <c r="D212" s="53">
        <v>4.5199999999999996</v>
      </c>
      <c r="E212" s="53">
        <v>4.54</v>
      </c>
      <c r="F212" s="53">
        <v>2.65</v>
      </c>
      <c r="G212" s="53">
        <v>2.33</v>
      </c>
      <c r="H212" s="53">
        <v>7.0000000000000007E-2</v>
      </c>
      <c r="I212" s="53">
        <v>0.05</v>
      </c>
      <c r="J212" s="74">
        <v>5.7999999999999996E-3</v>
      </c>
      <c r="K212" s="74">
        <v>5.7000000000000002E-3</v>
      </c>
      <c r="L212" s="53" t="s">
        <v>1</v>
      </c>
      <c r="M212" s="53" t="s">
        <v>1</v>
      </c>
    </row>
    <row r="213" spans="1:13" ht="13.5" thickBot="1" x14ac:dyDescent="0.25">
      <c r="A213" s="240"/>
      <c r="B213" s="243"/>
      <c r="C213" s="55" t="s">
        <v>180</v>
      </c>
      <c r="D213" s="56">
        <v>3.07</v>
      </c>
      <c r="E213" s="56">
        <v>4.49</v>
      </c>
      <c r="F213" s="56">
        <v>3.07</v>
      </c>
      <c r="G213" s="56">
        <v>2.71</v>
      </c>
      <c r="H213" s="56">
        <v>0.05</v>
      </c>
      <c r="I213" s="56">
        <v>0.05</v>
      </c>
      <c r="J213" s="74">
        <v>0</v>
      </c>
      <c r="K213" s="75">
        <v>5.7999999999999996E-3</v>
      </c>
      <c r="L213" s="53" t="s">
        <v>1</v>
      </c>
      <c r="M213" s="53" t="s">
        <v>1</v>
      </c>
    </row>
    <row r="214" spans="1:13" ht="14.25" thickTop="1" thickBot="1" x14ac:dyDescent="0.25">
      <c r="A214" s="57" t="str">
        <f>A202</f>
        <v>ABC-Tarrant-AL</v>
      </c>
      <c r="B214" s="58" t="str">
        <f>B202</f>
        <v>Wilputte Battery 1</v>
      </c>
      <c r="C214" s="59"/>
      <c r="D214" s="60">
        <f>AVERAGE(D202:D213)</f>
        <v>4.4608333333333325</v>
      </c>
      <c r="E214" s="60"/>
      <c r="F214" s="60">
        <f>AVERAGE(F202:F213)</f>
        <v>2.4350000000000001</v>
      </c>
      <c r="G214" s="60"/>
      <c r="H214" s="60">
        <f>AVERAGE(H202:H213)</f>
        <v>2.3333333333333334E-2</v>
      </c>
      <c r="I214" s="60"/>
      <c r="J214" s="60">
        <f>AVERAGE(J202:J213)</f>
        <v>2.6250000000000002E-3</v>
      </c>
      <c r="K214" s="60"/>
      <c r="L214" s="60"/>
      <c r="M214" s="61"/>
    </row>
    <row r="215" spans="1:13" ht="14.25" thickTop="1" thickBot="1" x14ac:dyDescent="0.25">
      <c r="A215" s="244"/>
      <c r="B215" s="245"/>
      <c r="C215" s="245"/>
      <c r="D215" s="245"/>
      <c r="E215" s="245"/>
      <c r="F215" s="245"/>
      <c r="G215" s="245"/>
      <c r="H215" s="245"/>
      <c r="I215" s="245"/>
      <c r="J215" s="245"/>
      <c r="K215" s="245"/>
      <c r="L215" s="245"/>
      <c r="M215" s="246"/>
    </row>
    <row r="216" spans="1:13" ht="13.5" thickTop="1" x14ac:dyDescent="0.2">
      <c r="A216" s="239" t="s">
        <v>85</v>
      </c>
      <c r="B216" s="241" t="s">
        <v>197</v>
      </c>
      <c r="C216" s="52" t="s">
        <v>169</v>
      </c>
      <c r="D216" s="53">
        <v>5.05</v>
      </c>
      <c r="E216" s="54"/>
      <c r="F216" s="53">
        <v>0.28000000000000003</v>
      </c>
      <c r="G216" s="54"/>
      <c r="H216" s="53">
        <v>0</v>
      </c>
      <c r="I216" s="54"/>
      <c r="J216" s="53">
        <v>0</v>
      </c>
      <c r="K216" s="54"/>
      <c r="L216" s="53" t="s">
        <v>1</v>
      </c>
      <c r="M216" s="54"/>
    </row>
    <row r="217" spans="1:13" x14ac:dyDescent="0.2">
      <c r="A217" s="239"/>
      <c r="B217" s="242"/>
      <c r="C217" s="52" t="s">
        <v>170</v>
      </c>
      <c r="D217" s="53">
        <v>4.76</v>
      </c>
      <c r="E217" s="53">
        <v>5.04</v>
      </c>
      <c r="F217" s="53">
        <v>0</v>
      </c>
      <c r="G217" s="53">
        <v>0.28999999999999998</v>
      </c>
      <c r="H217" s="53">
        <v>0</v>
      </c>
      <c r="I217" s="53">
        <v>0</v>
      </c>
      <c r="J217" s="53">
        <v>0</v>
      </c>
      <c r="K217" s="53">
        <v>0.2</v>
      </c>
      <c r="L217" s="53" t="s">
        <v>1</v>
      </c>
      <c r="M217" s="53" t="s">
        <v>1</v>
      </c>
    </row>
    <row r="218" spans="1:13" x14ac:dyDescent="0.2">
      <c r="A218" s="239"/>
      <c r="B218" s="242"/>
      <c r="C218" s="52" t="s">
        <v>171</v>
      </c>
      <c r="D218" s="53">
        <v>4.93</v>
      </c>
      <c r="E218" s="53">
        <v>4.7300000000000004</v>
      </c>
      <c r="F218" s="53">
        <v>0</v>
      </c>
      <c r="G218" s="53">
        <v>0</v>
      </c>
      <c r="H218" s="53">
        <v>0.04</v>
      </c>
      <c r="I218" s="53">
        <v>0.04</v>
      </c>
      <c r="J218" s="53">
        <v>0</v>
      </c>
      <c r="K218" s="53">
        <v>0</v>
      </c>
      <c r="L218" s="53" t="s">
        <v>1</v>
      </c>
      <c r="M218" s="53" t="s">
        <v>1</v>
      </c>
    </row>
    <row r="219" spans="1:13" x14ac:dyDescent="0.2">
      <c r="A219" s="239"/>
      <c r="B219" s="242"/>
      <c r="C219" s="52" t="s">
        <v>172</v>
      </c>
      <c r="D219" s="53">
        <v>4.8499999999999996</v>
      </c>
      <c r="E219" s="53">
        <v>4.91</v>
      </c>
      <c r="F219" s="53">
        <v>0</v>
      </c>
      <c r="G219" s="53">
        <v>0</v>
      </c>
      <c r="H219" s="53">
        <v>0</v>
      </c>
      <c r="I219" s="53">
        <v>0</v>
      </c>
      <c r="J219" s="53">
        <v>0</v>
      </c>
      <c r="K219" s="53">
        <v>0</v>
      </c>
      <c r="L219" s="53" t="s">
        <v>1</v>
      </c>
      <c r="M219" s="53" t="s">
        <v>1</v>
      </c>
    </row>
    <row r="220" spans="1:13" x14ac:dyDescent="0.2">
      <c r="A220" s="239"/>
      <c r="B220" s="242"/>
      <c r="C220" s="52" t="s">
        <v>173</v>
      </c>
      <c r="D220" s="53">
        <v>4.87</v>
      </c>
      <c r="E220" s="53">
        <v>4.8</v>
      </c>
      <c r="F220" s="53">
        <v>0</v>
      </c>
      <c r="G220" s="53">
        <v>0</v>
      </c>
      <c r="H220" s="53">
        <v>0</v>
      </c>
      <c r="I220" s="53">
        <v>0</v>
      </c>
      <c r="J220" s="53">
        <v>0</v>
      </c>
      <c r="K220" s="53">
        <v>1</v>
      </c>
      <c r="L220" s="53" t="s">
        <v>1</v>
      </c>
      <c r="M220" s="53" t="s">
        <v>1</v>
      </c>
    </row>
    <row r="221" spans="1:13" x14ac:dyDescent="0.2">
      <c r="A221" s="239"/>
      <c r="B221" s="242"/>
      <c r="C221" s="52" t="s">
        <v>174</v>
      </c>
      <c r="D221" s="53">
        <v>4.78</v>
      </c>
      <c r="E221" s="53">
        <v>4.84</v>
      </c>
      <c r="F221" s="53">
        <v>0</v>
      </c>
      <c r="G221" s="53">
        <v>0</v>
      </c>
      <c r="H221" s="53">
        <v>0</v>
      </c>
      <c r="I221" s="53">
        <v>0</v>
      </c>
      <c r="J221" s="53">
        <v>0</v>
      </c>
      <c r="K221" s="53">
        <v>0</v>
      </c>
      <c r="L221" s="53" t="s">
        <v>1</v>
      </c>
      <c r="M221" s="53" t="s">
        <v>1</v>
      </c>
    </row>
    <row r="222" spans="1:13" x14ac:dyDescent="0.2">
      <c r="A222" s="239"/>
      <c r="B222" s="242"/>
      <c r="C222" s="52" t="s">
        <v>175</v>
      </c>
      <c r="D222" s="53">
        <v>4.8</v>
      </c>
      <c r="E222" s="53">
        <v>4.75</v>
      </c>
      <c r="F222" s="53">
        <v>0</v>
      </c>
      <c r="G222" s="53">
        <v>0</v>
      </c>
      <c r="H222" s="53">
        <v>0</v>
      </c>
      <c r="I222" s="53">
        <v>0</v>
      </c>
      <c r="J222" s="53">
        <v>0</v>
      </c>
      <c r="K222" s="53">
        <v>0</v>
      </c>
      <c r="L222" s="53" t="s">
        <v>1</v>
      </c>
      <c r="M222" s="53" t="s">
        <v>1</v>
      </c>
    </row>
    <row r="223" spans="1:13" x14ac:dyDescent="0.2">
      <c r="A223" s="239"/>
      <c r="B223" s="242"/>
      <c r="C223" s="52" t="s">
        <v>176</v>
      </c>
      <c r="D223" s="53">
        <v>4.6500000000000004</v>
      </c>
      <c r="E223" s="53">
        <v>4.45</v>
      </c>
      <c r="F223" s="53">
        <v>0</v>
      </c>
      <c r="G223" s="53">
        <v>0</v>
      </c>
      <c r="H223" s="53">
        <v>0</v>
      </c>
      <c r="I223" s="53">
        <v>0</v>
      </c>
      <c r="J223" s="53">
        <v>0</v>
      </c>
      <c r="K223" s="53">
        <v>0</v>
      </c>
      <c r="L223" s="53" t="s">
        <v>1</v>
      </c>
      <c r="M223" s="53" t="s">
        <v>1</v>
      </c>
    </row>
    <row r="224" spans="1:13" x14ac:dyDescent="0.2">
      <c r="A224" s="239"/>
      <c r="B224" s="242"/>
      <c r="C224" s="52" t="s">
        <v>177</v>
      </c>
      <c r="D224" s="53">
        <v>4.79</v>
      </c>
      <c r="E224" s="53">
        <v>4.67</v>
      </c>
      <c r="F224" s="53">
        <v>0</v>
      </c>
      <c r="G224" s="53">
        <v>0</v>
      </c>
      <c r="H224" s="53">
        <v>0</v>
      </c>
      <c r="I224" s="53">
        <v>0</v>
      </c>
      <c r="J224" s="53">
        <v>0</v>
      </c>
      <c r="K224" s="53">
        <v>0</v>
      </c>
      <c r="L224" s="53" t="s">
        <v>1</v>
      </c>
      <c r="M224" s="53" t="s">
        <v>1</v>
      </c>
    </row>
    <row r="225" spans="1:13" x14ac:dyDescent="0.2">
      <c r="A225" s="239"/>
      <c r="B225" s="242"/>
      <c r="C225" s="52" t="s">
        <v>178</v>
      </c>
      <c r="D225" s="53">
        <v>4.93</v>
      </c>
      <c r="E225" s="53">
        <v>4.79</v>
      </c>
      <c r="F225" s="53">
        <v>0.21</v>
      </c>
      <c r="G225" s="53">
        <v>0</v>
      </c>
      <c r="H225" s="53">
        <v>0</v>
      </c>
      <c r="I225" s="53">
        <v>0</v>
      </c>
      <c r="J225" s="53">
        <v>0</v>
      </c>
      <c r="K225" s="53">
        <v>0</v>
      </c>
      <c r="L225" s="53" t="s">
        <v>1</v>
      </c>
      <c r="M225" s="53" t="s">
        <v>1</v>
      </c>
    </row>
    <row r="226" spans="1:13" x14ac:dyDescent="0.2">
      <c r="A226" s="239"/>
      <c r="B226" s="242"/>
      <c r="C226" s="52" t="s">
        <v>179</v>
      </c>
      <c r="D226" s="53">
        <v>4.88</v>
      </c>
      <c r="E226" s="53">
        <v>4.84</v>
      </c>
      <c r="F226" s="53">
        <v>0</v>
      </c>
      <c r="G226" s="53">
        <v>0.22</v>
      </c>
      <c r="H226" s="53">
        <v>0.04</v>
      </c>
      <c r="I226" s="53">
        <v>0</v>
      </c>
      <c r="J226" s="53">
        <v>0</v>
      </c>
      <c r="K226" s="53">
        <v>0</v>
      </c>
      <c r="L226" s="53" t="s">
        <v>1</v>
      </c>
      <c r="M226" s="53" t="s">
        <v>1</v>
      </c>
    </row>
    <row r="227" spans="1:13" ht="13.5" thickBot="1" x14ac:dyDescent="0.25">
      <c r="A227" s="240"/>
      <c r="B227" s="243"/>
      <c r="C227" s="55" t="s">
        <v>180</v>
      </c>
      <c r="D227" s="56">
        <v>5.0199999999999996</v>
      </c>
      <c r="E227" s="56">
        <v>4.87</v>
      </c>
      <c r="F227" s="56">
        <v>0.3</v>
      </c>
      <c r="G227" s="56">
        <v>0</v>
      </c>
      <c r="H227" s="56">
        <v>0.04</v>
      </c>
      <c r="I227" s="56">
        <v>0.04</v>
      </c>
      <c r="J227" s="56">
        <v>0.1898</v>
      </c>
      <c r="K227" s="56">
        <v>0</v>
      </c>
      <c r="L227" s="56" t="s">
        <v>1</v>
      </c>
      <c r="M227" s="53" t="s">
        <v>1</v>
      </c>
    </row>
    <row r="228" spans="1:13" ht="14.25" thickTop="1" thickBot="1" x14ac:dyDescent="0.25">
      <c r="A228" s="57" t="str">
        <f>A216</f>
        <v>ABC-Tarrant-AL</v>
      </c>
      <c r="B228" s="58" t="str">
        <f>B216</f>
        <v>Beckers Battery 5</v>
      </c>
      <c r="C228" s="59"/>
      <c r="D228" s="60">
        <f>AVERAGE(D216:D227)</f>
        <v>4.8591666666666669</v>
      </c>
      <c r="E228" s="60"/>
      <c r="F228" s="60">
        <f>AVERAGE(F216:F227)</f>
        <v>6.5833333333333341E-2</v>
      </c>
      <c r="G228" s="60"/>
      <c r="H228" s="60">
        <f>AVERAGE(H216:H227)</f>
        <v>0.01</v>
      </c>
      <c r="I228" s="60"/>
      <c r="J228" s="60">
        <f>AVERAGE(J216:J227)</f>
        <v>1.5816666666666666E-2</v>
      </c>
      <c r="K228" s="60"/>
      <c r="L228" s="60"/>
      <c r="M228" s="61"/>
    </row>
    <row r="229" spans="1:13" ht="14.25" thickTop="1" thickBot="1" x14ac:dyDescent="0.25">
      <c r="A229" s="244"/>
      <c r="B229" s="245"/>
      <c r="C229" s="245"/>
      <c r="D229" s="245"/>
      <c r="E229" s="245"/>
      <c r="F229" s="245"/>
      <c r="G229" s="245"/>
      <c r="H229" s="245"/>
      <c r="I229" s="245"/>
      <c r="J229" s="245"/>
      <c r="K229" s="245"/>
      <c r="L229" s="245"/>
      <c r="M229" s="246"/>
    </row>
    <row r="230" spans="1:13" ht="14.25" thickTop="1" thickBot="1" x14ac:dyDescent="0.25">
      <c r="A230" s="239" t="s">
        <v>85</v>
      </c>
      <c r="B230" s="241" t="s">
        <v>198</v>
      </c>
      <c r="C230" s="52" t="s">
        <v>169</v>
      </c>
      <c r="D230" s="53">
        <v>5.0599999999999996</v>
      </c>
      <c r="E230" s="54"/>
      <c r="F230" s="53">
        <v>0</v>
      </c>
      <c r="G230" s="54"/>
      <c r="H230" s="53">
        <v>0</v>
      </c>
      <c r="I230" s="54"/>
      <c r="J230" s="53">
        <v>0</v>
      </c>
      <c r="K230" s="54"/>
      <c r="L230" s="56" t="s">
        <v>1</v>
      </c>
      <c r="M230" s="54"/>
    </row>
    <row r="231" spans="1:13" ht="14.25" thickTop="1" thickBot="1" x14ac:dyDescent="0.25">
      <c r="A231" s="239"/>
      <c r="B231" s="242"/>
      <c r="C231" s="52" t="s">
        <v>170</v>
      </c>
      <c r="D231" s="53">
        <v>4.7699999999999996</v>
      </c>
      <c r="E231" s="53">
        <v>5.0599999999999996</v>
      </c>
      <c r="F231" s="53">
        <v>3.4000000000000002E-2</v>
      </c>
      <c r="G231" s="53">
        <v>0</v>
      </c>
      <c r="H231" s="53">
        <v>0</v>
      </c>
      <c r="I231" s="53">
        <v>0</v>
      </c>
      <c r="J231" s="53">
        <v>0</v>
      </c>
      <c r="K231" s="53">
        <v>0</v>
      </c>
      <c r="L231" s="56" t="s">
        <v>1</v>
      </c>
      <c r="M231" s="56" t="s">
        <v>1</v>
      </c>
    </row>
    <row r="232" spans="1:13" ht="14.25" thickTop="1" thickBot="1" x14ac:dyDescent="0.25">
      <c r="A232" s="239"/>
      <c r="B232" s="242"/>
      <c r="C232" s="52" t="s">
        <v>171</v>
      </c>
      <c r="D232" s="53">
        <v>4.93</v>
      </c>
      <c r="E232" s="53">
        <v>4.74</v>
      </c>
      <c r="F232" s="53">
        <v>0.09</v>
      </c>
      <c r="G232" s="53">
        <v>0.32</v>
      </c>
      <c r="H232" s="53">
        <v>0</v>
      </c>
      <c r="I232" s="53">
        <v>0</v>
      </c>
      <c r="J232" s="53">
        <v>0</v>
      </c>
      <c r="K232" s="53">
        <v>0</v>
      </c>
      <c r="L232" s="56" t="s">
        <v>1</v>
      </c>
      <c r="M232" s="56" t="s">
        <v>1</v>
      </c>
    </row>
    <row r="233" spans="1:13" ht="14.25" thickTop="1" thickBot="1" x14ac:dyDescent="0.25">
      <c r="A233" s="239"/>
      <c r="B233" s="242"/>
      <c r="C233" s="52" t="s">
        <v>172</v>
      </c>
      <c r="D233" s="53">
        <v>4.88</v>
      </c>
      <c r="E233" s="53">
        <v>4.91</v>
      </c>
      <c r="F233" s="53">
        <v>0</v>
      </c>
      <c r="G233" s="53">
        <v>0</v>
      </c>
      <c r="H233" s="53">
        <v>0</v>
      </c>
      <c r="I233" s="53">
        <v>0</v>
      </c>
      <c r="J233" s="53">
        <v>0</v>
      </c>
      <c r="K233" s="53">
        <v>0</v>
      </c>
      <c r="L233" s="56" t="s">
        <v>1</v>
      </c>
      <c r="M233" s="56" t="s">
        <v>1</v>
      </c>
    </row>
    <row r="234" spans="1:13" ht="14.25" thickTop="1" thickBot="1" x14ac:dyDescent="0.25">
      <c r="A234" s="239"/>
      <c r="B234" s="242"/>
      <c r="C234" s="52" t="s">
        <v>173</v>
      </c>
      <c r="D234" s="53">
        <v>4.8600000000000003</v>
      </c>
      <c r="E234" s="53">
        <v>4.83</v>
      </c>
      <c r="F234" s="53">
        <v>0</v>
      </c>
      <c r="G234" s="53">
        <v>0</v>
      </c>
      <c r="H234" s="53">
        <v>0</v>
      </c>
      <c r="I234" s="53">
        <v>0</v>
      </c>
      <c r="J234" s="53">
        <v>0</v>
      </c>
      <c r="K234" s="53">
        <v>0</v>
      </c>
      <c r="L234" s="56" t="s">
        <v>1</v>
      </c>
      <c r="M234" s="56" t="s">
        <v>1</v>
      </c>
    </row>
    <row r="235" spans="1:13" ht="14.25" thickTop="1" thickBot="1" x14ac:dyDescent="0.25">
      <c r="A235" s="239"/>
      <c r="B235" s="242"/>
      <c r="C235" s="52" t="s">
        <v>174</v>
      </c>
      <c r="D235" s="53">
        <v>4.76</v>
      </c>
      <c r="E235" s="53">
        <v>4.83</v>
      </c>
      <c r="F235" s="53">
        <v>0.28000000000000003</v>
      </c>
      <c r="G235" s="53">
        <v>0</v>
      </c>
      <c r="H235" s="53">
        <v>0.04</v>
      </c>
      <c r="I235" s="53">
        <v>0.03</v>
      </c>
      <c r="J235" s="53">
        <v>0</v>
      </c>
      <c r="K235" s="53">
        <v>0</v>
      </c>
      <c r="L235" s="56" t="s">
        <v>1</v>
      </c>
      <c r="M235" s="56" t="s">
        <v>1</v>
      </c>
    </row>
    <row r="236" spans="1:13" ht="14.25" thickTop="1" thickBot="1" x14ac:dyDescent="0.25">
      <c r="A236" s="239"/>
      <c r="B236" s="242"/>
      <c r="C236" s="52" t="s">
        <v>175</v>
      </c>
      <c r="D236" s="53">
        <v>4.7699999999999996</v>
      </c>
      <c r="E236" s="53">
        <v>4.7300000000000004</v>
      </c>
      <c r="F236" s="53">
        <v>0</v>
      </c>
      <c r="G236" s="53">
        <v>0.28000000000000003</v>
      </c>
      <c r="H236" s="53">
        <v>0</v>
      </c>
      <c r="I236" s="53">
        <v>0.01</v>
      </c>
      <c r="J236" s="53">
        <v>0</v>
      </c>
      <c r="K236" s="53">
        <v>0</v>
      </c>
      <c r="L236" s="56" t="s">
        <v>1</v>
      </c>
      <c r="M236" s="56" t="s">
        <v>1</v>
      </c>
    </row>
    <row r="237" spans="1:13" ht="14.25" thickTop="1" thickBot="1" x14ac:dyDescent="0.25">
      <c r="A237" s="239"/>
      <c r="B237" s="242"/>
      <c r="C237" s="52" t="s">
        <v>176</v>
      </c>
      <c r="D237" s="53">
        <v>4.66</v>
      </c>
      <c r="E237" s="53">
        <v>4.71</v>
      </c>
      <c r="F237" s="53">
        <v>0.08</v>
      </c>
      <c r="G237" s="53">
        <v>0</v>
      </c>
      <c r="H237" s="53">
        <v>0</v>
      </c>
      <c r="I237" s="53">
        <v>0</v>
      </c>
      <c r="J237" s="53">
        <v>0</v>
      </c>
      <c r="K237" s="53">
        <v>0</v>
      </c>
      <c r="L237" s="56" t="s">
        <v>1</v>
      </c>
      <c r="M237" s="56" t="s">
        <v>1</v>
      </c>
    </row>
    <row r="238" spans="1:13" ht="14.25" thickTop="1" thickBot="1" x14ac:dyDescent="0.25">
      <c r="A238" s="239"/>
      <c r="B238" s="242"/>
      <c r="C238" s="52" t="s">
        <v>177</v>
      </c>
      <c r="D238" s="53">
        <v>4.75</v>
      </c>
      <c r="E238" s="53">
        <v>4.68</v>
      </c>
      <c r="F238" s="53">
        <v>0</v>
      </c>
      <c r="G238" s="53">
        <v>0.09</v>
      </c>
      <c r="H238" s="53">
        <v>0</v>
      </c>
      <c r="I238" s="53">
        <v>0</v>
      </c>
      <c r="J238" s="53">
        <v>0</v>
      </c>
      <c r="K238" s="53">
        <v>0</v>
      </c>
      <c r="L238" s="56" t="s">
        <v>1</v>
      </c>
      <c r="M238" s="56" t="s">
        <v>1</v>
      </c>
    </row>
    <row r="239" spans="1:13" ht="14.25" thickTop="1" thickBot="1" x14ac:dyDescent="0.25">
      <c r="A239" s="239"/>
      <c r="B239" s="242"/>
      <c r="C239" s="52" t="s">
        <v>178</v>
      </c>
      <c r="D239" s="53">
        <v>4.92</v>
      </c>
      <c r="E239" s="53">
        <v>4.74</v>
      </c>
      <c r="F239" s="53">
        <v>0</v>
      </c>
      <c r="G239" s="53">
        <v>0</v>
      </c>
      <c r="H239" s="53">
        <v>0.03</v>
      </c>
      <c r="I239" s="53">
        <v>0.01</v>
      </c>
      <c r="J239" s="53">
        <v>0</v>
      </c>
      <c r="K239" s="53">
        <v>0</v>
      </c>
      <c r="L239" s="56" t="s">
        <v>1</v>
      </c>
      <c r="M239" s="56" t="s">
        <v>1</v>
      </c>
    </row>
    <row r="240" spans="1:13" ht="14.25" thickTop="1" thickBot="1" x14ac:dyDescent="0.25">
      <c r="A240" s="239"/>
      <c r="B240" s="242"/>
      <c r="C240" s="52" t="s">
        <v>179</v>
      </c>
      <c r="D240" s="53">
        <v>4.91</v>
      </c>
      <c r="E240" s="53">
        <v>4.83</v>
      </c>
      <c r="F240" s="53">
        <v>0</v>
      </c>
      <c r="G240" s="53">
        <v>0</v>
      </c>
      <c r="H240" s="53">
        <v>0.04</v>
      </c>
      <c r="I240" s="53">
        <v>0.02</v>
      </c>
      <c r="J240" s="53">
        <v>0</v>
      </c>
      <c r="K240" s="53">
        <v>0.2</v>
      </c>
      <c r="L240" s="56" t="s">
        <v>1</v>
      </c>
      <c r="M240" s="56" t="s">
        <v>1</v>
      </c>
    </row>
    <row r="241" spans="1:13" ht="14.25" thickTop="1" thickBot="1" x14ac:dyDescent="0.25">
      <c r="A241" s="240"/>
      <c r="B241" s="243"/>
      <c r="C241" s="55" t="s">
        <v>180</v>
      </c>
      <c r="D241" s="56">
        <v>5.0199999999999996</v>
      </c>
      <c r="E241" s="56">
        <v>4.9000000000000004</v>
      </c>
      <c r="F241" s="56">
        <v>0</v>
      </c>
      <c r="G241" s="56">
        <v>0</v>
      </c>
      <c r="H241" s="56">
        <v>0</v>
      </c>
      <c r="I241" s="56">
        <v>0.04</v>
      </c>
      <c r="J241" s="53">
        <v>0</v>
      </c>
      <c r="K241" s="56">
        <v>0.18</v>
      </c>
      <c r="L241" s="56" t="s">
        <v>1</v>
      </c>
      <c r="M241" s="56" t="s">
        <v>1</v>
      </c>
    </row>
    <row r="242" spans="1:13" ht="14.25" thickTop="1" thickBot="1" x14ac:dyDescent="0.25">
      <c r="A242" s="57" t="str">
        <f>A230</f>
        <v>ABC-Tarrant-AL</v>
      </c>
      <c r="B242" s="58" t="str">
        <f>B230</f>
        <v>Beckers Battery 6</v>
      </c>
      <c r="C242" s="59"/>
      <c r="D242" s="60">
        <f>AVERAGE(D230:D241)</f>
        <v>4.857499999999999</v>
      </c>
      <c r="E242" s="60"/>
      <c r="F242" s="60">
        <f>AVERAGE(F230:F241)</f>
        <v>4.0333333333333339E-2</v>
      </c>
      <c r="G242" s="60"/>
      <c r="H242" s="60">
        <f>AVERAGE(H230:H241)</f>
        <v>9.1666666666666684E-3</v>
      </c>
      <c r="I242" s="60"/>
      <c r="J242" s="60">
        <f>AVERAGE(J230:J241)</f>
        <v>0</v>
      </c>
      <c r="K242" s="60"/>
      <c r="L242" s="60"/>
      <c r="M242" s="61"/>
    </row>
    <row r="243" spans="1:13" ht="14.25" thickTop="1" thickBot="1" x14ac:dyDescent="0.25">
      <c r="A243" s="244"/>
      <c r="B243" s="245"/>
      <c r="C243" s="245"/>
      <c r="D243" s="245"/>
      <c r="E243" s="245"/>
      <c r="F243" s="245"/>
      <c r="G243" s="245"/>
      <c r="H243" s="245"/>
      <c r="I243" s="245"/>
      <c r="J243" s="245"/>
      <c r="K243" s="245"/>
      <c r="L243" s="245"/>
      <c r="M243" s="246"/>
    </row>
    <row r="244" spans="1:13" ht="13.5" thickTop="1" x14ac:dyDescent="0.2">
      <c r="A244" s="247" t="s">
        <v>43</v>
      </c>
      <c r="B244" s="242" t="s">
        <v>199</v>
      </c>
      <c r="C244" s="52" t="s">
        <v>169</v>
      </c>
      <c r="D244" s="66">
        <v>1.25</v>
      </c>
      <c r="E244" s="65"/>
      <c r="F244" s="66">
        <v>0.11</v>
      </c>
      <c r="G244" s="65"/>
      <c r="H244" s="66">
        <v>0.01</v>
      </c>
      <c r="I244" s="65"/>
      <c r="J244" s="66">
        <v>0</v>
      </c>
      <c r="K244" s="65"/>
      <c r="L244" s="66">
        <v>0</v>
      </c>
      <c r="M244" s="65"/>
    </row>
    <row r="245" spans="1:13" x14ac:dyDescent="0.2">
      <c r="A245" s="239"/>
      <c r="B245" s="242"/>
      <c r="C245" s="52" t="s">
        <v>170</v>
      </c>
      <c r="D245" s="66">
        <v>1.55</v>
      </c>
      <c r="E245" s="66">
        <v>1.3</v>
      </c>
      <c r="F245" s="66">
        <v>0.12</v>
      </c>
      <c r="G245" s="66">
        <v>0.11</v>
      </c>
      <c r="H245" s="66">
        <v>0.02</v>
      </c>
      <c r="I245" s="66">
        <v>0.01</v>
      </c>
      <c r="J245" s="66">
        <v>0.04</v>
      </c>
      <c r="K245" s="66">
        <v>0.01</v>
      </c>
      <c r="L245" s="66">
        <v>0</v>
      </c>
      <c r="M245" s="66">
        <v>0</v>
      </c>
    </row>
    <row r="246" spans="1:13" x14ac:dyDescent="0.2">
      <c r="A246" s="239"/>
      <c r="B246" s="242"/>
      <c r="C246" s="52" t="s">
        <v>171</v>
      </c>
      <c r="D246" s="66">
        <v>1.58</v>
      </c>
      <c r="E246" s="66">
        <v>1.54</v>
      </c>
      <c r="F246" s="66">
        <v>0.02</v>
      </c>
      <c r="G246" s="66">
        <v>0.08</v>
      </c>
      <c r="H246" s="66">
        <v>0</v>
      </c>
      <c r="I246" s="66">
        <v>0.01</v>
      </c>
      <c r="J246" s="66">
        <v>0.08</v>
      </c>
      <c r="K246" s="66">
        <v>0.01</v>
      </c>
      <c r="L246" s="66">
        <v>0</v>
      </c>
      <c r="M246" s="66">
        <v>0</v>
      </c>
    </row>
    <row r="247" spans="1:13" x14ac:dyDescent="0.2">
      <c r="A247" s="239"/>
      <c r="B247" s="242"/>
      <c r="C247" s="52" t="s">
        <v>172</v>
      </c>
      <c r="D247" s="66">
        <v>1.5</v>
      </c>
      <c r="E247" s="66">
        <v>1.43</v>
      </c>
      <c r="F247" s="66">
        <v>0.05</v>
      </c>
      <c r="G247" s="66">
        <v>0.04</v>
      </c>
      <c r="H247" s="66">
        <v>0.02</v>
      </c>
      <c r="I247" s="66">
        <v>0.02</v>
      </c>
      <c r="J247" s="66">
        <v>0.06</v>
      </c>
      <c r="K247" s="66">
        <v>0.02</v>
      </c>
      <c r="L247" s="66">
        <v>0</v>
      </c>
      <c r="M247" s="66">
        <v>0</v>
      </c>
    </row>
    <row r="248" spans="1:13" x14ac:dyDescent="0.2">
      <c r="A248" s="239"/>
      <c r="B248" s="242"/>
      <c r="C248" s="52" t="s">
        <v>173</v>
      </c>
      <c r="D248" s="66">
        <v>1.78</v>
      </c>
      <c r="E248" s="66">
        <v>1.66</v>
      </c>
      <c r="F248" s="66">
        <v>0.14000000000000001</v>
      </c>
      <c r="G248" s="66">
        <v>0.09</v>
      </c>
      <c r="H248" s="66">
        <v>0.03</v>
      </c>
      <c r="I248" s="66">
        <v>0.02</v>
      </c>
      <c r="J248" s="66">
        <v>0.04</v>
      </c>
      <c r="K248" s="66">
        <v>0.02</v>
      </c>
      <c r="L248" s="66">
        <v>0</v>
      </c>
      <c r="M248" s="66">
        <v>0</v>
      </c>
    </row>
    <row r="249" spans="1:13" x14ac:dyDescent="0.2">
      <c r="A249" s="239"/>
      <c r="B249" s="242"/>
      <c r="C249" s="52" t="s">
        <v>174</v>
      </c>
      <c r="D249" s="66">
        <v>2.12</v>
      </c>
      <c r="E249" s="66">
        <v>1.97</v>
      </c>
      <c r="F249" s="66">
        <v>0.11</v>
      </c>
      <c r="G249" s="66">
        <v>0.13</v>
      </c>
      <c r="H249" s="66">
        <v>0</v>
      </c>
      <c r="I249" s="66">
        <v>0.02</v>
      </c>
      <c r="J249" s="66">
        <v>0.04</v>
      </c>
      <c r="K249" s="66">
        <v>0.02</v>
      </c>
      <c r="L249" s="66">
        <v>0</v>
      </c>
      <c r="M249" s="66">
        <v>0</v>
      </c>
    </row>
    <row r="250" spans="1:13" x14ac:dyDescent="0.2">
      <c r="A250" s="239"/>
      <c r="B250" s="242"/>
      <c r="C250" s="52" t="s">
        <v>175</v>
      </c>
      <c r="D250" s="66">
        <v>1.75</v>
      </c>
      <c r="E250" s="66">
        <v>1.79</v>
      </c>
      <c r="F250" s="66">
        <v>0.09</v>
      </c>
      <c r="G250" s="66">
        <v>0.1</v>
      </c>
      <c r="H250" s="66">
        <v>0.02</v>
      </c>
      <c r="I250" s="66">
        <v>0.01</v>
      </c>
      <c r="J250" s="66">
        <v>0.1</v>
      </c>
      <c r="K250" s="66">
        <v>0.01</v>
      </c>
      <c r="L250" s="66">
        <v>0</v>
      </c>
      <c r="M250" s="66">
        <v>0</v>
      </c>
    </row>
    <row r="251" spans="1:13" x14ac:dyDescent="0.2">
      <c r="A251" s="239"/>
      <c r="B251" s="242"/>
      <c r="C251" s="52" t="s">
        <v>176</v>
      </c>
      <c r="D251" s="66">
        <v>2.37</v>
      </c>
      <c r="E251" s="66">
        <v>1.92</v>
      </c>
      <c r="F251" s="66">
        <v>7.0000000000000007E-2</v>
      </c>
      <c r="G251" s="66">
        <v>7.0000000000000007E-2</v>
      </c>
      <c r="H251" s="66">
        <v>0.04</v>
      </c>
      <c r="I251" s="66">
        <v>0.03</v>
      </c>
      <c r="J251" s="66">
        <v>0.16</v>
      </c>
      <c r="K251" s="66">
        <v>0.03</v>
      </c>
      <c r="L251" s="66">
        <v>0</v>
      </c>
      <c r="M251" s="66">
        <v>0</v>
      </c>
    </row>
    <row r="252" spans="1:13" x14ac:dyDescent="0.2">
      <c r="A252" s="239"/>
      <c r="B252" s="242"/>
      <c r="C252" s="52" t="s">
        <v>177</v>
      </c>
      <c r="D252" s="66">
        <v>2.56</v>
      </c>
      <c r="E252" s="66">
        <v>2.37</v>
      </c>
      <c r="F252" s="66">
        <v>0.26</v>
      </c>
      <c r="G252" s="66">
        <v>0.16</v>
      </c>
      <c r="H252" s="66">
        <v>0.02</v>
      </c>
      <c r="I252" s="66">
        <v>0.03</v>
      </c>
      <c r="J252" s="66">
        <v>0.11</v>
      </c>
      <c r="K252" s="66">
        <v>0.03</v>
      </c>
      <c r="L252" s="66">
        <v>0</v>
      </c>
      <c r="M252" s="66">
        <v>0</v>
      </c>
    </row>
    <row r="253" spans="1:13" x14ac:dyDescent="0.2">
      <c r="A253" s="239"/>
      <c r="B253" s="242"/>
      <c r="C253" s="52" t="s">
        <v>178</v>
      </c>
      <c r="D253" s="66">
        <v>1.87</v>
      </c>
      <c r="E253" s="66">
        <v>2.1</v>
      </c>
      <c r="F253" s="66">
        <v>0.11</v>
      </c>
      <c r="G253" s="66">
        <v>0.18</v>
      </c>
      <c r="H253" s="66">
        <v>0</v>
      </c>
      <c r="I253" s="66">
        <v>0.02</v>
      </c>
      <c r="J253" s="66">
        <v>0.1</v>
      </c>
      <c r="K253" s="66">
        <v>0.02</v>
      </c>
      <c r="L253" s="66">
        <v>0</v>
      </c>
      <c r="M253" s="66">
        <v>0</v>
      </c>
    </row>
    <row r="254" spans="1:13" x14ac:dyDescent="0.2">
      <c r="A254" s="239"/>
      <c r="B254" s="242"/>
      <c r="C254" s="52" t="s">
        <v>179</v>
      </c>
      <c r="D254" s="66">
        <v>1.67</v>
      </c>
      <c r="E254" s="66">
        <v>1.7</v>
      </c>
      <c r="F254" s="66">
        <v>0.14000000000000001</v>
      </c>
      <c r="G254" s="66">
        <v>0.14000000000000001</v>
      </c>
      <c r="H254" s="66">
        <v>0</v>
      </c>
      <c r="I254" s="66">
        <v>0</v>
      </c>
      <c r="J254" s="66">
        <v>0.08</v>
      </c>
      <c r="K254" s="66">
        <v>0</v>
      </c>
      <c r="L254" s="66">
        <v>0</v>
      </c>
      <c r="M254" s="66">
        <v>0</v>
      </c>
    </row>
    <row r="255" spans="1:13" ht="13.5" thickBot="1" x14ac:dyDescent="0.25">
      <c r="A255" s="240"/>
      <c r="B255" s="243"/>
      <c r="C255" s="55" t="s">
        <v>180</v>
      </c>
      <c r="D255" s="67">
        <v>1.57</v>
      </c>
      <c r="E255" s="67">
        <v>1.58</v>
      </c>
      <c r="F255" s="67">
        <v>0.16</v>
      </c>
      <c r="G255" s="67">
        <v>0.17</v>
      </c>
      <c r="H255" s="67">
        <v>0</v>
      </c>
      <c r="I255" s="67">
        <v>0</v>
      </c>
      <c r="J255" s="67">
        <v>0</v>
      </c>
      <c r="K255" s="67">
        <v>0</v>
      </c>
      <c r="L255" s="67">
        <v>0</v>
      </c>
      <c r="M255" s="67">
        <v>0</v>
      </c>
    </row>
    <row r="256" spans="1:13" ht="14.25" thickTop="1" thickBot="1" x14ac:dyDescent="0.25">
      <c r="A256" s="57" t="str">
        <f>A244</f>
        <v>EES-RiverRouge-MI</v>
      </c>
      <c r="B256" s="58" t="str">
        <f>B244</f>
        <v>EUCOKE - BATTERY</v>
      </c>
      <c r="C256" s="59"/>
      <c r="D256" s="60">
        <f>AVERAGE(D244:D255)</f>
        <v>1.7975000000000001</v>
      </c>
      <c r="E256" s="60"/>
      <c r="F256" s="60">
        <f>AVERAGE(F244:F255)</f>
        <v>0.115</v>
      </c>
      <c r="G256" s="60"/>
      <c r="H256" s="60">
        <f>AVERAGE(H244:H255)</f>
        <v>1.3333333333333334E-2</v>
      </c>
      <c r="I256" s="60"/>
      <c r="J256" s="60">
        <f>AVERAGE(J244:J255)</f>
        <v>6.7499999999999991E-2</v>
      </c>
      <c r="K256" s="60"/>
      <c r="L256" s="60"/>
      <c r="M256" s="61"/>
    </row>
    <row r="257" ht="13.5" thickTop="1" x14ac:dyDescent="0.2"/>
  </sheetData>
  <mergeCells count="63">
    <mergeCell ref="A2:A5"/>
    <mergeCell ref="B2:M2"/>
    <mergeCell ref="B3:B5"/>
    <mergeCell ref="C3:C5"/>
    <mergeCell ref="D3:M3"/>
    <mergeCell ref="D4:E4"/>
    <mergeCell ref="F4:G4"/>
    <mergeCell ref="H4:I4"/>
    <mergeCell ref="J4:K4"/>
    <mergeCell ref="L4:M4"/>
    <mergeCell ref="A61:M61"/>
    <mergeCell ref="A6:A17"/>
    <mergeCell ref="B6:B17"/>
    <mergeCell ref="A19:M19"/>
    <mergeCell ref="A20:A31"/>
    <mergeCell ref="B20:B31"/>
    <mergeCell ref="A33:M33"/>
    <mergeCell ref="A34:A45"/>
    <mergeCell ref="B34:B45"/>
    <mergeCell ref="A47:M47"/>
    <mergeCell ref="A48:A59"/>
    <mergeCell ref="B48:B59"/>
    <mergeCell ref="A117:M117"/>
    <mergeCell ref="A62:A73"/>
    <mergeCell ref="B62:B73"/>
    <mergeCell ref="A75:M75"/>
    <mergeCell ref="A76:A87"/>
    <mergeCell ref="B76:B87"/>
    <mergeCell ref="A89:M89"/>
    <mergeCell ref="A90:A101"/>
    <mergeCell ref="B90:B101"/>
    <mergeCell ref="A103:M103"/>
    <mergeCell ref="A104:A115"/>
    <mergeCell ref="B104:B115"/>
    <mergeCell ref="A173:M173"/>
    <mergeCell ref="A118:A129"/>
    <mergeCell ref="B118:B129"/>
    <mergeCell ref="A131:M131"/>
    <mergeCell ref="A132:A143"/>
    <mergeCell ref="B132:B143"/>
    <mergeCell ref="A145:M145"/>
    <mergeCell ref="A146:A157"/>
    <mergeCell ref="B146:B157"/>
    <mergeCell ref="A159:M159"/>
    <mergeCell ref="A160:A171"/>
    <mergeCell ref="B160:B171"/>
    <mergeCell ref="A229:M229"/>
    <mergeCell ref="A174:A185"/>
    <mergeCell ref="B174:B185"/>
    <mergeCell ref="A187:M187"/>
    <mergeCell ref="A188:A199"/>
    <mergeCell ref="B188:B199"/>
    <mergeCell ref="A201:M201"/>
    <mergeCell ref="A202:A213"/>
    <mergeCell ref="B202:B213"/>
    <mergeCell ref="A215:M215"/>
    <mergeCell ref="A216:A227"/>
    <mergeCell ref="B216:B227"/>
    <mergeCell ref="A230:A241"/>
    <mergeCell ref="B230:B241"/>
    <mergeCell ref="A243:M243"/>
    <mergeCell ref="A244:A255"/>
    <mergeCell ref="B244:B255"/>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E094B-2761-4E00-9F9B-4A4684A85C4D}">
  <dimension ref="A1:O212"/>
  <sheetViews>
    <sheetView workbookViewId="0">
      <pane xSplit="1" ySplit="5" topLeftCell="B39" activePane="bottomRight" state="frozen"/>
      <selection activeCell="D30" sqref="D19:D30"/>
      <selection pane="topRight" activeCell="D30" sqref="D19:D30"/>
      <selection pane="bottomLeft" activeCell="D30" sqref="D19:D30"/>
      <selection pane="bottomRight"/>
    </sheetView>
  </sheetViews>
  <sheetFormatPr defaultRowHeight="15" x14ac:dyDescent="0.25"/>
  <cols>
    <col min="1" max="1" width="22.5703125" customWidth="1"/>
    <col min="2" max="2" width="21.5703125" style="8" customWidth="1"/>
    <col min="3" max="3" width="21.5703125" customWidth="1"/>
    <col min="4" max="11" width="15.5703125" customWidth="1"/>
    <col min="12" max="12" width="35.7109375" style="3" customWidth="1"/>
    <col min="13" max="13" width="37.28515625" style="3" customWidth="1"/>
    <col min="14" max="14" width="18.5703125" customWidth="1"/>
    <col min="15" max="15" width="20" customWidth="1"/>
  </cols>
  <sheetData>
    <row r="1" spans="1:15" ht="15.75" thickBot="1" x14ac:dyDescent="0.3">
      <c r="B1" s="4" t="s">
        <v>6</v>
      </c>
      <c r="C1" s="5"/>
      <c r="D1" s="5"/>
      <c r="E1" s="5"/>
    </row>
    <row r="2" spans="1:15" ht="54.95" customHeight="1" x14ac:dyDescent="0.25">
      <c r="A2" s="271" t="s">
        <v>7</v>
      </c>
      <c r="B2" s="273" t="s">
        <v>8</v>
      </c>
      <c r="C2" s="274"/>
      <c r="D2" s="274"/>
      <c r="E2" s="274"/>
      <c r="F2" s="274"/>
      <c r="G2" s="274"/>
      <c r="H2" s="6"/>
      <c r="I2" s="6"/>
      <c r="J2" s="6"/>
      <c r="K2" s="6"/>
      <c r="L2" s="6"/>
      <c r="M2" s="6"/>
      <c r="N2" s="6"/>
      <c r="O2" s="77"/>
    </row>
    <row r="3" spans="1:15" ht="44.1" customHeight="1" x14ac:dyDescent="0.25">
      <c r="A3" s="272"/>
      <c r="B3" s="275" t="s">
        <v>9</v>
      </c>
      <c r="C3" s="277" t="s">
        <v>5</v>
      </c>
      <c r="D3" s="279" t="s">
        <v>10</v>
      </c>
      <c r="E3" s="280"/>
      <c r="F3" s="280"/>
      <c r="G3" s="280"/>
      <c r="H3" s="280"/>
      <c r="I3" s="280"/>
      <c r="J3" s="280"/>
      <c r="K3" s="280"/>
      <c r="L3" s="280"/>
      <c r="M3" s="281"/>
      <c r="N3" s="282" t="s">
        <v>11</v>
      </c>
      <c r="O3" s="284"/>
    </row>
    <row r="4" spans="1:15" ht="39.75" customHeight="1" x14ac:dyDescent="0.25">
      <c r="A4" s="272"/>
      <c r="B4" s="276"/>
      <c r="C4" s="278"/>
      <c r="D4" s="282" t="s">
        <v>12</v>
      </c>
      <c r="E4" s="283"/>
      <c r="F4" s="279" t="s">
        <v>13</v>
      </c>
      <c r="G4" s="281"/>
      <c r="H4" s="282" t="s">
        <v>14</v>
      </c>
      <c r="I4" s="285"/>
      <c r="J4" s="279" t="s">
        <v>15</v>
      </c>
      <c r="K4" s="281"/>
      <c r="L4" s="282" t="s">
        <v>16</v>
      </c>
      <c r="M4" s="283"/>
      <c r="N4" s="279" t="s">
        <v>13</v>
      </c>
      <c r="O4" s="281"/>
    </row>
    <row r="5" spans="1:15" ht="30.2" customHeight="1" x14ac:dyDescent="0.25">
      <c r="A5" s="272"/>
      <c r="B5" s="276"/>
      <c r="C5" s="278"/>
      <c r="D5" s="45" t="s">
        <v>17</v>
      </c>
      <c r="E5" s="45" t="s">
        <v>18</v>
      </c>
      <c r="F5" s="45" t="s">
        <v>17</v>
      </c>
      <c r="G5" s="45" t="s">
        <v>18</v>
      </c>
      <c r="H5" s="45" t="s">
        <v>17</v>
      </c>
      <c r="I5" s="45" t="s">
        <v>18</v>
      </c>
      <c r="J5" s="45" t="s">
        <v>17</v>
      </c>
      <c r="K5" s="45" t="s">
        <v>18</v>
      </c>
      <c r="L5" s="45" t="s">
        <v>17</v>
      </c>
      <c r="M5" s="45" t="s">
        <v>18</v>
      </c>
      <c r="N5" s="45" t="s">
        <v>17</v>
      </c>
      <c r="O5" s="45" t="s">
        <v>18</v>
      </c>
    </row>
    <row r="6" spans="1:15" s="84" customFormat="1" ht="165.75" x14ac:dyDescent="0.2">
      <c r="A6" s="78" t="s">
        <v>0</v>
      </c>
      <c r="B6" s="269" t="s">
        <v>19</v>
      </c>
      <c r="C6" s="79" t="s">
        <v>20</v>
      </c>
      <c r="D6" s="80">
        <v>5.7991391355282067</v>
      </c>
      <c r="E6" s="81" t="s">
        <v>21</v>
      </c>
      <c r="F6" s="82">
        <v>1.6733333333333333E-2</v>
      </c>
      <c r="G6" s="81" t="s">
        <v>22</v>
      </c>
      <c r="H6" s="82">
        <v>1.5666666666666663E-4</v>
      </c>
      <c r="I6" s="81" t="s">
        <v>22</v>
      </c>
      <c r="J6" s="82">
        <v>0</v>
      </c>
      <c r="K6" s="81" t="s">
        <v>22</v>
      </c>
      <c r="L6" s="82">
        <v>0</v>
      </c>
      <c r="M6" s="83" t="s">
        <v>22</v>
      </c>
      <c r="N6" s="81" t="s">
        <v>1</v>
      </c>
      <c r="O6" s="83" t="s">
        <v>22</v>
      </c>
    </row>
    <row r="7" spans="1:15" s="84" customFormat="1" ht="12.75" x14ac:dyDescent="0.2">
      <c r="A7" s="78" t="s">
        <v>0</v>
      </c>
      <c r="B7" s="269"/>
      <c r="C7" s="79" t="s">
        <v>23</v>
      </c>
      <c r="D7" s="85">
        <v>6.4001086189208287</v>
      </c>
      <c r="E7" s="85">
        <f>AVERAGE(D$6:D7)</f>
        <v>6.0996238772245182</v>
      </c>
      <c r="F7" s="82">
        <v>1.4776666666666671E-2</v>
      </c>
      <c r="G7" s="82">
        <f>AVERAGE(F$6:F7)</f>
        <v>1.5755000000000002E-2</v>
      </c>
      <c r="H7" s="82">
        <v>0</v>
      </c>
      <c r="I7" s="82">
        <f>AVERAGE(H$6:H7)</f>
        <v>7.8333333333333317E-5</v>
      </c>
      <c r="J7" s="82">
        <v>0</v>
      </c>
      <c r="K7" s="82">
        <f>AVERAGE(J$6:J7)</f>
        <v>0</v>
      </c>
      <c r="L7" s="82">
        <v>0</v>
      </c>
      <c r="M7" s="82">
        <v>0</v>
      </c>
      <c r="N7" s="81" t="s">
        <v>1</v>
      </c>
      <c r="O7" s="81" t="s">
        <v>1</v>
      </c>
    </row>
    <row r="8" spans="1:15" s="84" customFormat="1" ht="12.75" x14ac:dyDescent="0.2">
      <c r="A8" s="78" t="s">
        <v>0</v>
      </c>
      <c r="B8" s="269"/>
      <c r="C8" s="79" t="s">
        <v>24</v>
      </c>
      <c r="D8" s="85">
        <v>5.482239424450472</v>
      </c>
      <c r="E8" s="85">
        <f>AVERAGE(D$6:D8)</f>
        <v>5.8938290596331697</v>
      </c>
      <c r="F8" s="82">
        <v>1.6773333333333331E-2</v>
      </c>
      <c r="G8" s="82">
        <f>AVERAGE(F$6:F8)</f>
        <v>1.6094444444444442E-2</v>
      </c>
      <c r="H8" s="82">
        <v>1.6666666666666666E-4</v>
      </c>
      <c r="I8" s="82">
        <f>AVERAGE(H$6:H8)</f>
        <v>1.0777777777777777E-4</v>
      </c>
      <c r="J8" s="82">
        <v>0</v>
      </c>
      <c r="K8" s="82">
        <f>AVERAGE(J$6:J8)</f>
        <v>0</v>
      </c>
      <c r="L8" s="82">
        <v>0</v>
      </c>
      <c r="M8" s="82">
        <v>0</v>
      </c>
      <c r="N8" s="81" t="s">
        <v>1</v>
      </c>
      <c r="O8" s="81" t="s">
        <v>1</v>
      </c>
    </row>
    <row r="9" spans="1:15" s="84" customFormat="1" ht="12.75" x14ac:dyDescent="0.2">
      <c r="A9" s="78" t="s">
        <v>0</v>
      </c>
      <c r="B9" s="269"/>
      <c r="C9" s="79" t="s">
        <v>25</v>
      </c>
      <c r="D9" s="85">
        <v>5.9443887553088812</v>
      </c>
      <c r="E9" s="85">
        <f>AVERAGE(D$6:D9)</f>
        <v>5.9064689835520978</v>
      </c>
      <c r="F9" s="82">
        <v>1.9216216216216213E-2</v>
      </c>
      <c r="G9" s="82">
        <f>AVERAGE(F$6:F9)</f>
        <v>1.6874887387387384E-2</v>
      </c>
      <c r="H9" s="82">
        <v>0</v>
      </c>
      <c r="I9" s="82">
        <f>AVERAGE(H$6:H9)</f>
        <v>8.0833333333333324E-5</v>
      </c>
      <c r="J9" s="82">
        <v>0</v>
      </c>
      <c r="K9" s="82">
        <f>AVERAGE(J$6:J9)</f>
        <v>0</v>
      </c>
      <c r="L9" s="82">
        <v>0</v>
      </c>
      <c r="M9" s="82">
        <v>0</v>
      </c>
      <c r="N9" s="81" t="s">
        <v>1</v>
      </c>
      <c r="O9" s="81" t="s">
        <v>1</v>
      </c>
    </row>
    <row r="10" spans="1:15" s="84" customFormat="1" ht="12.75" x14ac:dyDescent="0.2">
      <c r="A10" s="78" t="s">
        <v>0</v>
      </c>
      <c r="B10" s="269"/>
      <c r="C10" s="79" t="s">
        <v>26</v>
      </c>
      <c r="D10" s="85">
        <v>5.8519493389489776</v>
      </c>
      <c r="E10" s="85">
        <f>AVERAGE(D$6:D10)</f>
        <v>5.895565054631474</v>
      </c>
      <c r="F10" s="82">
        <v>1.7566666666666668E-2</v>
      </c>
      <c r="G10" s="82">
        <f>AVERAGE(F$6:F10)</f>
        <v>1.7013243243243242E-2</v>
      </c>
      <c r="H10" s="82">
        <v>1.5666666666666663E-4</v>
      </c>
      <c r="I10" s="82">
        <f>AVERAGE(H$6:H10)</f>
        <v>9.5999999999999989E-5</v>
      </c>
      <c r="J10" s="82">
        <v>2.333333333333333E-4</v>
      </c>
      <c r="K10" s="82">
        <f>AVERAGE(J$6:J10)</f>
        <v>4.6666666666666658E-5</v>
      </c>
      <c r="L10" s="82">
        <v>0</v>
      </c>
      <c r="M10" s="82">
        <v>0</v>
      </c>
      <c r="N10" s="81" t="s">
        <v>1</v>
      </c>
      <c r="O10" s="81" t="s">
        <v>1</v>
      </c>
    </row>
    <row r="11" spans="1:15" s="84" customFormat="1" ht="12.75" x14ac:dyDescent="0.2">
      <c r="A11" s="78" t="s">
        <v>0</v>
      </c>
      <c r="B11" s="269"/>
      <c r="C11" s="79" t="s">
        <v>27</v>
      </c>
      <c r="D11" s="85">
        <v>6.6382221650498892</v>
      </c>
      <c r="E11" s="85">
        <f>AVERAGE(D$6:D11)</f>
        <v>6.0193412397012098</v>
      </c>
      <c r="F11" s="82">
        <v>1.7366666666666662E-2</v>
      </c>
      <c r="G11" s="82">
        <f>AVERAGE(F$6:F11)</f>
        <v>1.7072147147147148E-2</v>
      </c>
      <c r="H11" s="82">
        <v>0</v>
      </c>
      <c r="I11" s="82">
        <f>AVERAGE(H$6:H11)</f>
        <v>7.9999999999999993E-5</v>
      </c>
      <c r="J11" s="82">
        <v>2.333333333333333E-4</v>
      </c>
      <c r="K11" s="82">
        <f>AVERAGE(J$6:J11)</f>
        <v>7.7777777777777768E-5</v>
      </c>
      <c r="L11" s="82">
        <v>0</v>
      </c>
      <c r="M11" s="82">
        <v>0</v>
      </c>
      <c r="N11" s="81" t="s">
        <v>1</v>
      </c>
      <c r="O11" s="81" t="s">
        <v>1</v>
      </c>
    </row>
    <row r="12" spans="1:15" s="84" customFormat="1" ht="12.75" x14ac:dyDescent="0.2">
      <c r="A12" s="78" t="s">
        <v>0</v>
      </c>
      <c r="B12" s="269"/>
      <c r="C12" s="79" t="s">
        <v>28</v>
      </c>
      <c r="D12" s="85">
        <v>5.9396951906762094</v>
      </c>
      <c r="E12" s="85">
        <f>AVERAGE(D$6:D12)</f>
        <v>6.0079632326976391</v>
      </c>
      <c r="F12" s="82">
        <v>1.691666666666666E-2</v>
      </c>
      <c r="G12" s="82">
        <f>AVERAGE(F$6:F12)</f>
        <v>1.7049935649935649E-2</v>
      </c>
      <c r="H12" s="82">
        <v>0</v>
      </c>
      <c r="I12" s="82">
        <f>AVERAGE(H$6:H12)</f>
        <v>6.8571428571428567E-5</v>
      </c>
      <c r="J12" s="82">
        <v>4.8333333333333328E-4</v>
      </c>
      <c r="K12" s="82">
        <f>AVERAGE(J$6:J12)</f>
        <v>1.3571428571428569E-4</v>
      </c>
      <c r="L12" s="82">
        <v>0</v>
      </c>
      <c r="M12" s="82">
        <v>0</v>
      </c>
      <c r="N12" s="81" t="s">
        <v>1</v>
      </c>
      <c r="O12" s="81" t="s">
        <v>1</v>
      </c>
    </row>
    <row r="13" spans="1:15" s="84" customFormat="1" ht="12.75" x14ac:dyDescent="0.2">
      <c r="A13" s="78" t="s">
        <v>0</v>
      </c>
      <c r="B13" s="269"/>
      <c r="C13" s="79" t="s">
        <v>29</v>
      </c>
      <c r="D13" s="85">
        <v>5.4635950192732485</v>
      </c>
      <c r="E13" s="85">
        <f>AVERAGE(D$6:D13)</f>
        <v>5.9399172060195902</v>
      </c>
      <c r="F13" s="82">
        <v>1.4653333333333329E-2</v>
      </c>
      <c r="G13" s="82">
        <f>AVERAGE(F$6:F13)</f>
        <v>1.6750360360360358E-2</v>
      </c>
      <c r="H13" s="82">
        <v>0</v>
      </c>
      <c r="I13" s="82">
        <f>AVERAGE(H$6:H13)</f>
        <v>5.9999999999999995E-5</v>
      </c>
      <c r="J13" s="82">
        <v>0</v>
      </c>
      <c r="K13" s="82">
        <f>AVERAGE(J$6:J13)</f>
        <v>1.1874999999999999E-4</v>
      </c>
      <c r="L13" s="82">
        <v>0</v>
      </c>
      <c r="M13" s="82">
        <v>0</v>
      </c>
      <c r="N13" s="81" t="s">
        <v>1</v>
      </c>
      <c r="O13" s="81" t="s">
        <v>1</v>
      </c>
    </row>
    <row r="14" spans="1:15" s="84" customFormat="1" ht="12.75" x14ac:dyDescent="0.2">
      <c r="A14" s="78" t="s">
        <v>0</v>
      </c>
      <c r="B14" s="269"/>
      <c r="C14" s="79" t="s">
        <v>30</v>
      </c>
      <c r="D14" s="85">
        <v>6.1419572516475807</v>
      </c>
      <c r="E14" s="85">
        <f>AVERAGE(D$6:D14)</f>
        <v>5.9623660999782562</v>
      </c>
      <c r="F14" s="82">
        <v>2.0666666666666663E-2</v>
      </c>
      <c r="G14" s="82">
        <f>AVERAGE(F$6:F14)</f>
        <v>1.7185505505505502E-2</v>
      </c>
      <c r="H14" s="82">
        <v>0</v>
      </c>
      <c r="I14" s="82">
        <f>AVERAGE(H$6:H14)</f>
        <v>5.3333333333333326E-5</v>
      </c>
      <c r="J14" s="82">
        <v>0</v>
      </c>
      <c r="K14" s="82">
        <f>AVERAGE(J$6:J14)</f>
        <v>1.0555555555555554E-4</v>
      </c>
      <c r="L14" s="82">
        <v>0</v>
      </c>
      <c r="M14" s="82">
        <v>0</v>
      </c>
      <c r="N14" s="81" t="s">
        <v>1</v>
      </c>
      <c r="O14" s="81" t="s">
        <v>1</v>
      </c>
    </row>
    <row r="15" spans="1:15" s="84" customFormat="1" ht="12.75" x14ac:dyDescent="0.2">
      <c r="A15" s="78" t="s">
        <v>0</v>
      </c>
      <c r="B15" s="269"/>
      <c r="C15" s="79" t="s">
        <v>31</v>
      </c>
      <c r="D15" s="85">
        <v>5.7509539917512198</v>
      </c>
      <c r="E15" s="85">
        <f>AVERAGE(D$6:D15)</f>
        <v>5.9412248891555519</v>
      </c>
      <c r="F15" s="82">
        <v>1.6266666666666665E-2</v>
      </c>
      <c r="G15" s="82">
        <f>AVERAGE(F$6:F15)</f>
        <v>1.7093621621621619E-2</v>
      </c>
      <c r="H15" s="82">
        <v>1.5666666666666663E-4</v>
      </c>
      <c r="I15" s="82">
        <f>AVERAGE(H$6:H15)</f>
        <v>6.3666666666666651E-5</v>
      </c>
      <c r="J15" s="82">
        <v>0</v>
      </c>
      <c r="K15" s="82">
        <f>AVERAGE(J$6:J15)</f>
        <v>9.4999999999999992E-5</v>
      </c>
      <c r="L15" s="82">
        <v>0</v>
      </c>
      <c r="M15" s="82">
        <v>0</v>
      </c>
      <c r="N15" s="81" t="s">
        <v>1</v>
      </c>
      <c r="O15" s="81" t="s">
        <v>1</v>
      </c>
    </row>
    <row r="16" spans="1:15" s="84" customFormat="1" ht="12.75" x14ac:dyDescent="0.2">
      <c r="A16" s="78" t="s">
        <v>0</v>
      </c>
      <c r="B16" s="269"/>
      <c r="C16" s="79" t="s">
        <v>32</v>
      </c>
      <c r="D16" s="85">
        <v>5.2023303165349049</v>
      </c>
      <c r="E16" s="85">
        <f>AVERAGE(D$6:D16)</f>
        <v>5.8740526552809476</v>
      </c>
      <c r="F16" s="82">
        <v>1.2936666666666669E-2</v>
      </c>
      <c r="G16" s="82">
        <f>AVERAGE(F$6:F16)</f>
        <v>1.6715716625716623E-2</v>
      </c>
      <c r="H16" s="82">
        <v>0</v>
      </c>
      <c r="I16" s="82">
        <f>AVERAGE(H$6:H16)</f>
        <v>5.787878787878787E-5</v>
      </c>
      <c r="J16" s="82">
        <v>4.6999999999999999E-4</v>
      </c>
      <c r="K16" s="82">
        <f>AVERAGE(J$6:J16)</f>
        <v>1.2909090909090908E-4</v>
      </c>
      <c r="L16" s="82">
        <v>0</v>
      </c>
      <c r="M16" s="82">
        <v>0</v>
      </c>
      <c r="N16" s="81" t="s">
        <v>1</v>
      </c>
      <c r="O16" s="81" t="s">
        <v>1</v>
      </c>
    </row>
    <row r="17" spans="1:15" s="84" customFormat="1" ht="12.75" x14ac:dyDescent="0.2">
      <c r="A17" s="78" t="s">
        <v>0</v>
      </c>
      <c r="B17" s="269"/>
      <c r="C17" s="79" t="s">
        <v>33</v>
      </c>
      <c r="D17" s="85">
        <v>5.4827226096390422</v>
      </c>
      <c r="E17" s="85">
        <f>AVERAGE(D$6:D17)</f>
        <v>5.8414418181441219</v>
      </c>
      <c r="F17" s="82">
        <v>2.1623335664431555E-2</v>
      </c>
      <c r="G17" s="82">
        <f>AVERAGE(F$6:F17)</f>
        <v>1.7124684878942868E-2</v>
      </c>
      <c r="H17" s="82">
        <v>0</v>
      </c>
      <c r="I17" s="82">
        <f>AVERAGE(H$6:H17)</f>
        <v>5.3055555555555545E-5</v>
      </c>
      <c r="J17" s="82">
        <v>2.4875621890547262E-4</v>
      </c>
      <c r="K17" s="82">
        <f>AVERAGE(J$6:J17)</f>
        <v>1.3906301824212272E-4</v>
      </c>
      <c r="L17" s="82">
        <v>0</v>
      </c>
      <c r="M17" s="82">
        <v>0</v>
      </c>
      <c r="N17" s="81" t="s">
        <v>1</v>
      </c>
      <c r="O17" s="81" t="s">
        <v>1</v>
      </c>
    </row>
    <row r="18" spans="1:15" s="84" customFormat="1" ht="12.75" x14ac:dyDescent="0.2">
      <c r="A18" s="86"/>
      <c r="B18" s="86"/>
      <c r="C18" s="86"/>
      <c r="D18" s="86"/>
      <c r="E18" s="86"/>
      <c r="F18" s="86"/>
      <c r="G18" s="86"/>
      <c r="H18" s="86"/>
      <c r="I18" s="86"/>
      <c r="J18" s="86"/>
      <c r="K18" s="86"/>
      <c r="L18" s="86"/>
      <c r="M18" s="86"/>
      <c r="N18" s="86"/>
      <c r="O18" s="86"/>
    </row>
    <row r="19" spans="1:15" s="84" customFormat="1" ht="38.25" x14ac:dyDescent="0.2">
      <c r="A19" s="81" t="s">
        <v>34</v>
      </c>
      <c r="B19" s="269" t="s">
        <v>35</v>
      </c>
      <c r="C19" s="79" t="s">
        <v>20</v>
      </c>
      <c r="D19" s="87">
        <v>9.16</v>
      </c>
      <c r="E19" s="88"/>
      <c r="F19" s="89">
        <v>2.0199999999999999E-2</v>
      </c>
      <c r="G19" s="88"/>
      <c r="H19" s="90">
        <v>4.0000000000000002E-4</v>
      </c>
      <c r="I19" s="88"/>
      <c r="J19" s="90">
        <v>4.7999999999999996E-3</v>
      </c>
      <c r="K19" s="88"/>
      <c r="L19" s="90" t="s">
        <v>36</v>
      </c>
      <c r="M19" s="83"/>
      <c r="N19" s="91" t="s">
        <v>1</v>
      </c>
      <c r="O19" s="83" t="s">
        <v>1</v>
      </c>
    </row>
    <row r="20" spans="1:15" s="84" customFormat="1" ht="38.25" x14ac:dyDescent="0.2">
      <c r="A20" s="81" t="s">
        <v>34</v>
      </c>
      <c r="B20" s="269"/>
      <c r="C20" s="79" t="s">
        <v>23</v>
      </c>
      <c r="D20" s="87">
        <v>8.17</v>
      </c>
      <c r="E20" s="92">
        <f>AVERAGE(D19:D20)</f>
        <v>8.6649999999999991</v>
      </c>
      <c r="F20" s="90">
        <v>1.7600000000000001E-2</v>
      </c>
      <c r="G20" s="93">
        <f>AVERAGE(F19:F20)</f>
        <v>1.89E-2</v>
      </c>
      <c r="H20" s="90">
        <v>5.0000000000000001E-4</v>
      </c>
      <c r="I20" s="93">
        <f>AVERAGE(H19:H20)</f>
        <v>4.4999999999999999E-4</v>
      </c>
      <c r="J20" s="90">
        <v>1.9E-3</v>
      </c>
      <c r="K20" s="93">
        <f>AVERAGE(J19:J20)</f>
        <v>3.3499999999999997E-3</v>
      </c>
      <c r="L20" s="90" t="s">
        <v>36</v>
      </c>
      <c r="M20" s="90" t="s">
        <v>36</v>
      </c>
      <c r="N20" s="91" t="s">
        <v>1</v>
      </c>
      <c r="O20" s="91" t="s">
        <v>1</v>
      </c>
    </row>
    <row r="21" spans="1:15" s="84" customFormat="1" ht="38.25" x14ac:dyDescent="0.2">
      <c r="A21" s="81" t="s">
        <v>34</v>
      </c>
      <c r="B21" s="269"/>
      <c r="C21" s="79" t="s">
        <v>24</v>
      </c>
      <c r="D21" s="87">
        <v>8.49</v>
      </c>
      <c r="E21" s="92">
        <f>AVERAGE(D19:D21)</f>
        <v>8.6066666666666674</v>
      </c>
      <c r="F21" s="90">
        <v>1.6299999999999999E-2</v>
      </c>
      <c r="G21" s="93">
        <f>AVERAGE(F19:F21)</f>
        <v>1.8033333333333332E-2</v>
      </c>
      <c r="H21" s="90">
        <v>5.9999999999999995E-4</v>
      </c>
      <c r="I21" s="93">
        <f>AVERAGE(H19:H21)</f>
        <v>5.0000000000000001E-4</v>
      </c>
      <c r="J21" s="90">
        <v>4.4999999999999997E-3</v>
      </c>
      <c r="K21" s="93">
        <f>AVERAGE(J19:J21)</f>
        <v>3.7333333333333329E-3</v>
      </c>
      <c r="L21" s="90" t="s">
        <v>36</v>
      </c>
      <c r="M21" s="90" t="s">
        <v>36</v>
      </c>
      <c r="N21" s="91" t="s">
        <v>1</v>
      </c>
      <c r="O21" s="91" t="s">
        <v>1</v>
      </c>
    </row>
    <row r="22" spans="1:15" s="84" customFormat="1" ht="38.25" x14ac:dyDescent="0.2">
      <c r="A22" s="81" t="s">
        <v>34</v>
      </c>
      <c r="B22" s="269"/>
      <c r="C22" s="79" t="s">
        <v>25</v>
      </c>
      <c r="D22" s="87">
        <v>8.7799999999999994</v>
      </c>
      <c r="E22" s="92">
        <f>AVERAGE(D19:D22)</f>
        <v>8.65</v>
      </c>
      <c r="F22" s="90">
        <v>1.7100000000000001E-2</v>
      </c>
      <c r="G22" s="93">
        <f>AVERAGE(F19:F22)</f>
        <v>1.78E-2</v>
      </c>
      <c r="H22" s="90">
        <v>8.9999999999999998E-4</v>
      </c>
      <c r="I22" s="93">
        <f>AVERAGE(H19:H22)</f>
        <v>6.0000000000000006E-4</v>
      </c>
      <c r="J22" s="90">
        <v>8.9999999999999993E-3</v>
      </c>
      <c r="K22" s="93">
        <f>AVERAGE(J19:J22)</f>
        <v>5.0499999999999989E-3</v>
      </c>
      <c r="L22" s="90" t="s">
        <v>36</v>
      </c>
      <c r="M22" s="90" t="s">
        <v>36</v>
      </c>
      <c r="N22" s="91" t="s">
        <v>1</v>
      </c>
      <c r="O22" s="91" t="s">
        <v>1</v>
      </c>
    </row>
    <row r="23" spans="1:15" s="84" customFormat="1" ht="38.25" x14ac:dyDescent="0.2">
      <c r="A23" s="81" t="s">
        <v>34</v>
      </c>
      <c r="B23" s="269"/>
      <c r="C23" s="79" t="s">
        <v>26</v>
      </c>
      <c r="D23" s="87">
        <v>9.27</v>
      </c>
      <c r="E23" s="92">
        <f>AVERAGEA(D19:D23)</f>
        <v>8.7740000000000009</v>
      </c>
      <c r="F23" s="90">
        <v>1.9400000000000001E-2</v>
      </c>
      <c r="G23" s="93">
        <f>AVERAGEA(F19:F23)</f>
        <v>1.8120000000000001E-2</v>
      </c>
      <c r="H23" s="90">
        <v>8.0000000000000004E-4</v>
      </c>
      <c r="I23" s="93">
        <f>AVERAGEA(H19:H23)</f>
        <v>6.4000000000000005E-4</v>
      </c>
      <c r="J23" s="90">
        <v>9.4000000000000004E-3</v>
      </c>
      <c r="K23" s="93">
        <f>AVERAGEA(J19:J23)</f>
        <v>5.919999999999999E-3</v>
      </c>
      <c r="L23" s="90" t="s">
        <v>36</v>
      </c>
      <c r="M23" s="90" t="s">
        <v>36</v>
      </c>
      <c r="N23" s="91" t="s">
        <v>1</v>
      </c>
      <c r="O23" s="91" t="s">
        <v>1</v>
      </c>
    </row>
    <row r="24" spans="1:15" s="84" customFormat="1" ht="38.25" x14ac:dyDescent="0.2">
      <c r="A24" s="81" t="s">
        <v>34</v>
      </c>
      <c r="B24" s="269"/>
      <c r="C24" s="79" t="s">
        <v>27</v>
      </c>
      <c r="D24" s="87">
        <v>8.6</v>
      </c>
      <c r="E24" s="92">
        <f>AVERAGE(D19:D24)</f>
        <v>8.745000000000001</v>
      </c>
      <c r="F24" s="90">
        <v>1.7600000000000001E-2</v>
      </c>
      <c r="G24" s="93">
        <f>AVERAGE(F19:F24)</f>
        <v>1.8033333333333335E-2</v>
      </c>
      <c r="H24" s="90">
        <v>5.0000000000000001E-4</v>
      </c>
      <c r="I24" s="93">
        <f>AVERAGE(H19:H24)</f>
        <v>6.1666666666666673E-4</v>
      </c>
      <c r="J24" s="90">
        <v>6.4000000000000003E-3</v>
      </c>
      <c r="K24" s="93">
        <f>AVERAGE(J19:J24)</f>
        <v>5.9999999999999993E-3</v>
      </c>
      <c r="L24" s="90" t="s">
        <v>36</v>
      </c>
      <c r="M24" s="90" t="s">
        <v>36</v>
      </c>
      <c r="N24" s="91" t="s">
        <v>1</v>
      </c>
      <c r="O24" s="91" t="s">
        <v>1</v>
      </c>
    </row>
    <row r="25" spans="1:15" s="84" customFormat="1" ht="38.25" x14ac:dyDescent="0.2">
      <c r="A25" s="81" t="s">
        <v>34</v>
      </c>
      <c r="B25" s="269"/>
      <c r="C25" s="79" t="s">
        <v>28</v>
      </c>
      <c r="D25" s="87">
        <v>8.5399999999999991</v>
      </c>
      <c r="E25" s="92">
        <f>AVERAGE(D19:D25)</f>
        <v>8.7157142857142862</v>
      </c>
      <c r="F25" s="90">
        <v>2.07E-2</v>
      </c>
      <c r="G25" s="93">
        <f>AVERAGE(F19:F25)</f>
        <v>1.8414285714285716E-2</v>
      </c>
      <c r="H25" s="90">
        <v>6.9999999999999999E-4</v>
      </c>
      <c r="I25" s="93">
        <f>AVERAGE(H19:H25)</f>
        <v>6.2857142857142864E-4</v>
      </c>
      <c r="J25" s="90">
        <v>4.1000000000000003E-3</v>
      </c>
      <c r="K25" s="93">
        <f>AVERAGE(J19:J25)</f>
        <v>5.7285714285714284E-3</v>
      </c>
      <c r="L25" s="90" t="s">
        <v>36</v>
      </c>
      <c r="M25" s="90" t="s">
        <v>36</v>
      </c>
      <c r="N25" s="91" t="s">
        <v>1</v>
      </c>
      <c r="O25" s="91" t="s">
        <v>1</v>
      </c>
    </row>
    <row r="26" spans="1:15" s="84" customFormat="1" ht="38.25" x14ac:dyDescent="0.2">
      <c r="A26" s="81" t="s">
        <v>34</v>
      </c>
      <c r="B26" s="269"/>
      <c r="C26" s="79" t="s">
        <v>29</v>
      </c>
      <c r="D26" s="87">
        <v>9.4600000000000009</v>
      </c>
      <c r="E26" s="92">
        <f>AVERAGE(D19:D26)</f>
        <v>8.8087499999999999</v>
      </c>
      <c r="F26" s="90">
        <v>2.4500000000000001E-2</v>
      </c>
      <c r="G26" s="93">
        <f>AVERAGE(F19:F26)</f>
        <v>1.9175000000000001E-2</v>
      </c>
      <c r="H26" s="90">
        <v>6.9999999999999999E-4</v>
      </c>
      <c r="I26" s="93">
        <f>AVERAGE(H19:H26)</f>
        <v>6.3750000000000005E-4</v>
      </c>
      <c r="J26" s="90">
        <v>6.7000000000000002E-3</v>
      </c>
      <c r="K26" s="93">
        <f>AVERAGE(J19:J26)</f>
        <v>5.8499999999999993E-3</v>
      </c>
      <c r="L26" s="90" t="s">
        <v>36</v>
      </c>
      <c r="M26" s="90" t="s">
        <v>36</v>
      </c>
      <c r="N26" s="91" t="s">
        <v>1</v>
      </c>
      <c r="O26" s="91" t="s">
        <v>1</v>
      </c>
    </row>
    <row r="27" spans="1:15" s="84" customFormat="1" ht="38.25" x14ac:dyDescent="0.2">
      <c r="A27" s="81" t="s">
        <v>34</v>
      </c>
      <c r="B27" s="269"/>
      <c r="C27" s="79" t="s">
        <v>30</v>
      </c>
      <c r="D27" s="87">
        <v>9</v>
      </c>
      <c r="E27" s="92">
        <f>AVERAGE(D19:D27)</f>
        <v>8.83</v>
      </c>
      <c r="F27" s="90">
        <v>2.92E-2</v>
      </c>
      <c r="G27" s="93">
        <f>AVERAGE(F19:F27)</f>
        <v>2.0288888888888891E-2</v>
      </c>
      <c r="H27" s="90">
        <v>5.0000000000000001E-4</v>
      </c>
      <c r="I27" s="93">
        <f>AVERAGE(H19:H27)</f>
        <v>6.2222222222222236E-4</v>
      </c>
      <c r="J27" s="90">
        <v>3.0000000000000001E-3</v>
      </c>
      <c r="K27" s="93">
        <f>AVERAGE(J19:J27)</f>
        <v>5.5333333333333328E-3</v>
      </c>
      <c r="L27" s="90" t="s">
        <v>36</v>
      </c>
      <c r="M27" s="90" t="s">
        <v>36</v>
      </c>
      <c r="N27" s="91" t="s">
        <v>1</v>
      </c>
      <c r="O27" s="91" t="s">
        <v>1</v>
      </c>
    </row>
    <row r="28" spans="1:15" s="84" customFormat="1" ht="38.25" x14ac:dyDescent="0.2">
      <c r="A28" s="81" t="s">
        <v>34</v>
      </c>
      <c r="B28" s="269"/>
      <c r="C28" s="79" t="s">
        <v>31</v>
      </c>
      <c r="D28" s="87">
        <v>10.119999999999999</v>
      </c>
      <c r="E28" s="92">
        <f>AVERAGE(D19:D28)</f>
        <v>8.9589999999999996</v>
      </c>
      <c r="F28" s="90">
        <v>2.7300000000000001E-2</v>
      </c>
      <c r="G28" s="93">
        <f>AVERAGE(F19:F28)</f>
        <v>2.0990000000000002E-2</v>
      </c>
      <c r="H28" s="90">
        <v>6.9999999999999999E-4</v>
      </c>
      <c r="I28" s="93">
        <f>AVERAGE(H19:H28)</f>
        <v>6.3000000000000013E-4</v>
      </c>
      <c r="J28" s="90">
        <v>6.4000000000000003E-3</v>
      </c>
      <c r="K28" s="93">
        <f>AVERAGE(J19:J28)</f>
        <v>5.62E-3</v>
      </c>
      <c r="L28" s="90" t="s">
        <v>36</v>
      </c>
      <c r="M28" s="90" t="s">
        <v>36</v>
      </c>
      <c r="N28" s="91" t="s">
        <v>1</v>
      </c>
      <c r="O28" s="91" t="s">
        <v>1</v>
      </c>
    </row>
    <row r="29" spans="1:15" s="84" customFormat="1" ht="38.25" x14ac:dyDescent="0.2">
      <c r="A29" s="81" t="s">
        <v>34</v>
      </c>
      <c r="B29" s="269"/>
      <c r="C29" s="79" t="s">
        <v>32</v>
      </c>
      <c r="D29" s="87">
        <v>9.7899999999999991</v>
      </c>
      <c r="E29" s="92">
        <f>AVERAGE(D19:D29)</f>
        <v>9.0345454545454533</v>
      </c>
      <c r="F29" s="90">
        <v>2.3199999999999998E-2</v>
      </c>
      <c r="G29" s="93">
        <f>AVERAGE(F19:F29)</f>
        <v>2.119090909090909E-2</v>
      </c>
      <c r="H29" s="90">
        <v>5.0000000000000001E-4</v>
      </c>
      <c r="I29" s="93">
        <f>AVERAGE(H19:H29)</f>
        <v>6.1818181818181818E-4</v>
      </c>
      <c r="J29" s="90">
        <v>4.4000000000000003E-3</v>
      </c>
      <c r="K29" s="93">
        <f>AVERAGE(J19:J29)</f>
        <v>5.5090909090909088E-3</v>
      </c>
      <c r="L29" s="90" t="s">
        <v>36</v>
      </c>
      <c r="M29" s="90" t="s">
        <v>36</v>
      </c>
      <c r="N29" s="91" t="s">
        <v>1</v>
      </c>
      <c r="O29" s="91" t="s">
        <v>1</v>
      </c>
    </row>
    <row r="30" spans="1:15" s="84" customFormat="1" ht="38.25" x14ac:dyDescent="0.2">
      <c r="A30" s="81" t="s">
        <v>34</v>
      </c>
      <c r="B30" s="269"/>
      <c r="C30" s="79" t="s">
        <v>33</v>
      </c>
      <c r="D30" s="87">
        <v>8.8699999999999992</v>
      </c>
      <c r="E30" s="92">
        <f>AVERAGE(D19:D30)</f>
        <v>9.0208333333333339</v>
      </c>
      <c r="F30" s="90">
        <v>1.9699999999999999E-2</v>
      </c>
      <c r="G30" s="93">
        <f>AVERAGE(F19:F30)</f>
        <v>2.1066666666666668E-2</v>
      </c>
      <c r="H30" s="90">
        <v>4.0000000000000002E-4</v>
      </c>
      <c r="I30" s="93">
        <f>AVERAGE(H19:H30)</f>
        <v>6.0000000000000006E-4</v>
      </c>
      <c r="J30" s="90">
        <v>4.1999999999999997E-3</v>
      </c>
      <c r="K30" s="93">
        <f>AVERAGE(J19:J30)</f>
        <v>5.3999999999999994E-3</v>
      </c>
      <c r="L30" s="90" t="s">
        <v>36</v>
      </c>
      <c r="M30" s="90" t="s">
        <v>36</v>
      </c>
      <c r="N30" s="91" t="s">
        <v>1</v>
      </c>
      <c r="O30" s="91" t="s">
        <v>1</v>
      </c>
    </row>
    <row r="31" spans="1:15" s="84" customFormat="1" ht="12.75" x14ac:dyDescent="0.2">
      <c r="A31" s="86"/>
      <c r="B31" s="86"/>
      <c r="C31" s="86"/>
      <c r="D31" s="86"/>
      <c r="E31" s="86"/>
      <c r="F31" s="86"/>
      <c r="G31" s="86"/>
      <c r="H31" s="86"/>
      <c r="I31" s="86"/>
      <c r="J31" s="86"/>
      <c r="K31" s="86"/>
      <c r="L31" s="86"/>
      <c r="M31" s="86"/>
      <c r="N31" s="86"/>
      <c r="O31" s="86"/>
    </row>
    <row r="32" spans="1:15" s="84" customFormat="1" ht="38.25" x14ac:dyDescent="0.2">
      <c r="A32" s="81" t="s">
        <v>34</v>
      </c>
      <c r="B32" s="269" t="s">
        <v>2</v>
      </c>
      <c r="C32" s="79" t="s">
        <v>20</v>
      </c>
      <c r="D32" s="87">
        <v>10.33</v>
      </c>
      <c r="E32" s="88"/>
      <c r="F32" s="90">
        <v>3.0200000000000001E-2</v>
      </c>
      <c r="G32" s="88"/>
      <c r="H32" s="90">
        <v>1.2999999999999999E-3</v>
      </c>
      <c r="I32" s="88"/>
      <c r="J32" s="90">
        <v>5.5999999999999999E-3</v>
      </c>
      <c r="K32" s="88"/>
      <c r="L32" s="90" t="s">
        <v>36</v>
      </c>
      <c r="M32" s="88"/>
      <c r="N32" s="91" t="s">
        <v>1</v>
      </c>
      <c r="O32" s="88" t="s">
        <v>1</v>
      </c>
    </row>
    <row r="33" spans="1:15" s="84" customFormat="1" ht="38.25" x14ac:dyDescent="0.2">
      <c r="A33" s="81" t="s">
        <v>34</v>
      </c>
      <c r="B33" s="269"/>
      <c r="C33" s="79" t="s">
        <v>23</v>
      </c>
      <c r="D33" s="87">
        <v>9.5</v>
      </c>
      <c r="E33" s="92">
        <f>AVERAGE(D32:D33)</f>
        <v>9.9149999999999991</v>
      </c>
      <c r="F33" s="90">
        <v>2.6100000000000002E-2</v>
      </c>
      <c r="G33" s="93">
        <f>AVERAGE(F32:F33)</f>
        <v>2.8150000000000001E-2</v>
      </c>
      <c r="H33" s="90">
        <v>1.9E-3</v>
      </c>
      <c r="I33" s="93">
        <f>AVERAGE(H32:H33)</f>
        <v>1.5999999999999999E-3</v>
      </c>
      <c r="J33" s="90">
        <v>7.1000000000000004E-3</v>
      </c>
      <c r="K33" s="93">
        <f>AVERAGE(J32:J33)</f>
        <v>6.3499999999999997E-3</v>
      </c>
      <c r="L33" s="90" t="s">
        <v>36</v>
      </c>
      <c r="M33" s="90" t="s">
        <v>36</v>
      </c>
      <c r="N33" s="91" t="s">
        <v>1</v>
      </c>
      <c r="O33" s="91" t="s">
        <v>1</v>
      </c>
    </row>
    <row r="34" spans="1:15" s="84" customFormat="1" ht="38.25" x14ac:dyDescent="0.2">
      <c r="A34" s="81" t="s">
        <v>34</v>
      </c>
      <c r="B34" s="269"/>
      <c r="C34" s="79" t="s">
        <v>24</v>
      </c>
      <c r="D34" s="87">
        <v>9.81</v>
      </c>
      <c r="E34" s="92">
        <f>AVERAGE(D32:D34)</f>
        <v>9.8800000000000008</v>
      </c>
      <c r="F34" s="90">
        <v>1.8499999999999999E-2</v>
      </c>
      <c r="G34" s="93">
        <f>AVERAGE(F32:F34)</f>
        <v>2.4933333333333335E-2</v>
      </c>
      <c r="H34" s="90">
        <v>8.9999999999999998E-4</v>
      </c>
      <c r="I34" s="93">
        <f>AVERAGE(H32:H34)</f>
        <v>1.3666666666666664E-3</v>
      </c>
      <c r="J34" s="90">
        <v>7.0000000000000001E-3</v>
      </c>
      <c r="K34" s="93">
        <f>AVERAGE(J32:J34)</f>
        <v>6.566666666666666E-3</v>
      </c>
      <c r="L34" s="90" t="s">
        <v>36</v>
      </c>
      <c r="M34" s="90" t="s">
        <v>36</v>
      </c>
      <c r="N34" s="91" t="s">
        <v>1</v>
      </c>
      <c r="O34" s="91" t="s">
        <v>1</v>
      </c>
    </row>
    <row r="35" spans="1:15" s="84" customFormat="1" ht="38.25" x14ac:dyDescent="0.2">
      <c r="A35" s="81" t="s">
        <v>34</v>
      </c>
      <c r="B35" s="269"/>
      <c r="C35" s="79" t="s">
        <v>25</v>
      </c>
      <c r="D35" s="87">
        <v>10.199999999999999</v>
      </c>
      <c r="E35" s="92">
        <f>AVERAGE(D32:D35)</f>
        <v>9.9600000000000009</v>
      </c>
      <c r="F35" s="90">
        <v>2.2100000000000002E-2</v>
      </c>
      <c r="G35" s="93">
        <f>AVERAGE(F32:F35)</f>
        <v>2.4225000000000003E-2</v>
      </c>
      <c r="H35" s="90">
        <v>8.9999999999999998E-4</v>
      </c>
      <c r="I35" s="93">
        <f>AVERAGE(H32:H35)</f>
        <v>1.2499999999999998E-3</v>
      </c>
      <c r="J35" s="90">
        <v>7.0000000000000001E-3</v>
      </c>
      <c r="K35" s="93">
        <f>AVERAGE(J32:J35)</f>
        <v>6.6749999999999995E-3</v>
      </c>
      <c r="L35" s="90" t="s">
        <v>36</v>
      </c>
      <c r="M35" s="90" t="s">
        <v>36</v>
      </c>
      <c r="N35" s="91" t="s">
        <v>1</v>
      </c>
      <c r="O35" s="91" t="s">
        <v>1</v>
      </c>
    </row>
    <row r="36" spans="1:15" s="84" customFormat="1" ht="38.25" x14ac:dyDescent="0.2">
      <c r="A36" s="81" t="s">
        <v>34</v>
      </c>
      <c r="B36" s="269"/>
      <c r="C36" s="79" t="s">
        <v>26</v>
      </c>
      <c r="D36" s="87">
        <v>9.7799999999999994</v>
      </c>
      <c r="E36" s="92">
        <f>AVERAGEA(D32:D36)</f>
        <v>9.9240000000000013</v>
      </c>
      <c r="F36" s="90">
        <v>2.7099999999999999E-2</v>
      </c>
      <c r="G36" s="93">
        <f>AVERAGEA(F32:F36)</f>
        <v>2.4800000000000003E-2</v>
      </c>
      <c r="H36" s="90">
        <v>1.1000000000000001E-3</v>
      </c>
      <c r="I36" s="93">
        <f>AVERAGEA(H32:H36)</f>
        <v>1.2199999999999999E-3</v>
      </c>
      <c r="J36" s="90">
        <v>1.2500000000000001E-2</v>
      </c>
      <c r="K36" s="93">
        <f>AVERAGEA(J32:J36)</f>
        <v>7.8399999999999997E-3</v>
      </c>
      <c r="L36" s="90" t="s">
        <v>36</v>
      </c>
      <c r="M36" s="90" t="s">
        <v>36</v>
      </c>
      <c r="N36" s="91" t="s">
        <v>1</v>
      </c>
      <c r="O36" s="91" t="s">
        <v>1</v>
      </c>
    </row>
    <row r="37" spans="1:15" s="84" customFormat="1" ht="38.25" x14ac:dyDescent="0.2">
      <c r="A37" s="81" t="s">
        <v>34</v>
      </c>
      <c r="B37" s="269"/>
      <c r="C37" s="79" t="s">
        <v>27</v>
      </c>
      <c r="D37" s="87">
        <v>9.73</v>
      </c>
      <c r="E37" s="92">
        <f>AVERAGE(D32:D37)</f>
        <v>9.8916666666666675</v>
      </c>
      <c r="F37" s="90">
        <v>2.0299999999999999E-2</v>
      </c>
      <c r="G37" s="93">
        <f>AVERAGE(F32:F37)</f>
        <v>2.4050000000000002E-2</v>
      </c>
      <c r="H37" s="90">
        <v>1.4E-3</v>
      </c>
      <c r="I37" s="93">
        <f>AVERAGE(H32:H37)</f>
        <v>1.25E-3</v>
      </c>
      <c r="J37" s="90">
        <v>6.6E-3</v>
      </c>
      <c r="K37" s="93">
        <f>AVERAGE(J32:J37)</f>
        <v>7.6333333333333331E-3</v>
      </c>
      <c r="L37" s="90" t="s">
        <v>36</v>
      </c>
      <c r="M37" s="90" t="s">
        <v>36</v>
      </c>
      <c r="N37" s="91" t="s">
        <v>1</v>
      </c>
      <c r="O37" s="91" t="s">
        <v>1</v>
      </c>
    </row>
    <row r="38" spans="1:15" s="84" customFormat="1" ht="38.25" x14ac:dyDescent="0.2">
      <c r="A38" s="81" t="s">
        <v>34</v>
      </c>
      <c r="B38" s="269"/>
      <c r="C38" s="79" t="s">
        <v>28</v>
      </c>
      <c r="D38" s="87">
        <v>10.210000000000001</v>
      </c>
      <c r="E38" s="92">
        <f>AVERAGE(D32:D38)</f>
        <v>9.9371428571428577</v>
      </c>
      <c r="F38" s="90">
        <v>2.2800000000000001E-2</v>
      </c>
      <c r="G38" s="93">
        <f>AVERAGE(F32:F38)</f>
        <v>2.3871428571428575E-2</v>
      </c>
      <c r="H38" s="90">
        <v>1.8E-3</v>
      </c>
      <c r="I38" s="93">
        <f>AVERAGE(H32:H38)</f>
        <v>1.3285714285714285E-3</v>
      </c>
      <c r="J38" s="90">
        <v>7.1000000000000004E-3</v>
      </c>
      <c r="K38" s="93">
        <f>AVERAGE(J32:J38)</f>
        <v>7.5571428571428578E-3</v>
      </c>
      <c r="L38" s="90" t="s">
        <v>36</v>
      </c>
      <c r="M38" s="90" t="s">
        <v>36</v>
      </c>
      <c r="N38" s="91" t="s">
        <v>1</v>
      </c>
      <c r="O38" s="91" t="s">
        <v>1</v>
      </c>
    </row>
    <row r="39" spans="1:15" s="84" customFormat="1" ht="38.25" x14ac:dyDescent="0.2">
      <c r="A39" s="81" t="s">
        <v>34</v>
      </c>
      <c r="B39" s="269"/>
      <c r="C39" s="79" t="s">
        <v>29</v>
      </c>
      <c r="D39" s="87">
        <v>9.74</v>
      </c>
      <c r="E39" s="92">
        <f>AVERAGE(D32:D39)</f>
        <v>9.9124999999999996</v>
      </c>
      <c r="F39" s="90">
        <v>2.9100000000000001E-2</v>
      </c>
      <c r="G39" s="93">
        <f>AVERAGE(F32:F39)</f>
        <v>2.4525000000000005E-2</v>
      </c>
      <c r="H39" s="90">
        <v>2.0999999999999999E-3</v>
      </c>
      <c r="I39" s="93">
        <f>AVERAGE(H32:H39)</f>
        <v>1.4249999999999998E-3</v>
      </c>
      <c r="J39" s="90">
        <v>8.3000000000000001E-3</v>
      </c>
      <c r="K39" s="93">
        <f>AVERAGE(J32:J39)</f>
        <v>7.6500000000000005E-3</v>
      </c>
      <c r="L39" s="90" t="s">
        <v>36</v>
      </c>
      <c r="M39" s="90" t="s">
        <v>36</v>
      </c>
      <c r="N39" s="91" t="s">
        <v>1</v>
      </c>
      <c r="O39" s="91" t="s">
        <v>1</v>
      </c>
    </row>
    <row r="40" spans="1:15" s="84" customFormat="1" ht="38.25" x14ac:dyDescent="0.2">
      <c r="A40" s="81" t="s">
        <v>34</v>
      </c>
      <c r="B40" s="269"/>
      <c r="C40" s="79" t="s">
        <v>30</v>
      </c>
      <c r="D40" s="87">
        <v>9.4</v>
      </c>
      <c r="E40" s="92">
        <f>AVERAGE(D32:D40)</f>
        <v>9.8555555555555561</v>
      </c>
      <c r="F40" s="90">
        <v>2.5499999999999998E-2</v>
      </c>
      <c r="G40" s="93">
        <f>AVERAGE(F32:F40)</f>
        <v>2.4633333333333337E-2</v>
      </c>
      <c r="H40" s="90">
        <v>1.4E-3</v>
      </c>
      <c r="I40" s="93">
        <f>AVERAGE(H32:H40)</f>
        <v>1.4222222222222221E-3</v>
      </c>
      <c r="J40" s="90">
        <v>6.0000000000000001E-3</v>
      </c>
      <c r="K40" s="93">
        <f>AVERAGE(J32:J40)</f>
        <v>7.4666666666666675E-3</v>
      </c>
      <c r="L40" s="90" t="s">
        <v>36</v>
      </c>
      <c r="M40" s="90" t="s">
        <v>36</v>
      </c>
      <c r="N40" s="91" t="s">
        <v>1</v>
      </c>
      <c r="O40" s="91" t="s">
        <v>1</v>
      </c>
    </row>
    <row r="41" spans="1:15" s="84" customFormat="1" ht="38.25" x14ac:dyDescent="0.2">
      <c r="A41" s="81" t="s">
        <v>34</v>
      </c>
      <c r="B41" s="269"/>
      <c r="C41" s="79" t="s">
        <v>31</v>
      </c>
      <c r="D41" s="87">
        <v>9.48</v>
      </c>
      <c r="E41" s="92">
        <f>AVERAGE(D32:D41)</f>
        <v>9.8180000000000014</v>
      </c>
      <c r="F41" s="90">
        <v>2.3900000000000001E-2</v>
      </c>
      <c r="G41" s="93">
        <f>AVERAGE(F32:F41)</f>
        <v>2.4560000000000005E-2</v>
      </c>
      <c r="H41" s="90">
        <v>1.4E-3</v>
      </c>
      <c r="I41" s="93">
        <f>AVERAGE(H32:H41)</f>
        <v>1.4199999999999998E-3</v>
      </c>
      <c r="J41" s="90">
        <v>6.4000000000000003E-3</v>
      </c>
      <c r="K41" s="93">
        <f>AVERAGE(J32:J41)</f>
        <v>7.3600000000000011E-3</v>
      </c>
      <c r="L41" s="90" t="s">
        <v>36</v>
      </c>
      <c r="M41" s="90" t="s">
        <v>36</v>
      </c>
      <c r="N41" s="91" t="s">
        <v>1</v>
      </c>
      <c r="O41" s="91" t="s">
        <v>1</v>
      </c>
    </row>
    <row r="42" spans="1:15" s="84" customFormat="1" ht="38.25" x14ac:dyDescent="0.2">
      <c r="A42" s="81" t="s">
        <v>34</v>
      </c>
      <c r="B42" s="269"/>
      <c r="C42" s="79" t="s">
        <v>32</v>
      </c>
      <c r="D42" s="87">
        <v>9.7100000000000009</v>
      </c>
      <c r="E42" s="92">
        <f>AVERAGE(D32:D42)</f>
        <v>9.8081818181818203</v>
      </c>
      <c r="F42" s="90">
        <v>2.53E-2</v>
      </c>
      <c r="G42" s="93">
        <f>AVERAGE(F32:F42)</f>
        <v>2.462727272727273E-2</v>
      </c>
      <c r="H42" s="90">
        <v>1.5E-3</v>
      </c>
      <c r="I42" s="93">
        <f>AVERAGE(H32:H42)</f>
        <v>1.4272727272727271E-3</v>
      </c>
      <c r="J42" s="90">
        <v>8.0999999999999996E-3</v>
      </c>
      <c r="K42" s="93">
        <f>AVERAGE(J32:J42)</f>
        <v>7.4272727272727277E-3</v>
      </c>
      <c r="L42" s="90" t="s">
        <v>36</v>
      </c>
      <c r="M42" s="90" t="s">
        <v>36</v>
      </c>
      <c r="N42" s="91" t="s">
        <v>1</v>
      </c>
      <c r="O42" s="91" t="s">
        <v>1</v>
      </c>
    </row>
    <row r="43" spans="1:15" s="84" customFormat="1" ht="38.25" x14ac:dyDescent="0.2">
      <c r="A43" s="81" t="s">
        <v>34</v>
      </c>
      <c r="B43" s="269"/>
      <c r="C43" s="79" t="s">
        <v>33</v>
      </c>
      <c r="D43" s="87">
        <v>8.2200000000000006</v>
      </c>
      <c r="E43" s="92">
        <f>AVERAGE(D32:D43)</f>
        <v>9.6758333333333351</v>
      </c>
      <c r="F43" s="90">
        <v>2.23E-2</v>
      </c>
      <c r="G43" s="93">
        <f>AVERAGE(F32:F43)</f>
        <v>2.4433333333333335E-2</v>
      </c>
      <c r="H43" s="90">
        <v>1E-3</v>
      </c>
      <c r="I43" s="93">
        <f>AVERAGE(H32:H43)</f>
        <v>1.3916666666666667E-3</v>
      </c>
      <c r="J43" s="90">
        <v>1.0999999999999999E-2</v>
      </c>
      <c r="K43" s="93">
        <f>AVERAGE(J32:J43)</f>
        <v>7.7250000000000001E-3</v>
      </c>
      <c r="L43" s="90" t="s">
        <v>36</v>
      </c>
      <c r="M43" s="90" t="s">
        <v>36</v>
      </c>
      <c r="N43" s="91" t="s">
        <v>1</v>
      </c>
      <c r="O43" s="91" t="s">
        <v>1</v>
      </c>
    </row>
    <row r="44" spans="1:15" s="84" customFormat="1" ht="12.75" x14ac:dyDescent="0.2">
      <c r="A44" s="86"/>
      <c r="B44" s="86"/>
      <c r="C44" s="86"/>
      <c r="D44" s="86"/>
      <c r="E44" s="86"/>
      <c r="F44" s="86"/>
      <c r="G44" s="86"/>
      <c r="H44" s="86"/>
      <c r="I44" s="86"/>
      <c r="J44" s="86"/>
      <c r="K44" s="86"/>
      <c r="L44" s="86"/>
      <c r="M44" s="86"/>
      <c r="N44" s="86"/>
      <c r="O44" s="86"/>
    </row>
    <row r="45" spans="1:15" s="84" customFormat="1" ht="38.25" x14ac:dyDescent="0.2">
      <c r="A45" s="81" t="s">
        <v>37</v>
      </c>
      <c r="B45" s="269" t="s">
        <v>38</v>
      </c>
      <c r="C45" s="79" t="s">
        <v>20</v>
      </c>
      <c r="D45" s="94">
        <v>6.71</v>
      </c>
      <c r="E45" s="95"/>
      <c r="F45" s="94">
        <v>0.77</v>
      </c>
      <c r="G45" s="95"/>
      <c r="H45" s="94">
        <v>0</v>
      </c>
      <c r="I45" s="95"/>
      <c r="J45" s="94">
        <v>0.39</v>
      </c>
      <c r="K45" s="95"/>
      <c r="L45" s="96" t="s">
        <v>39</v>
      </c>
      <c r="M45" s="97"/>
      <c r="N45" s="91" t="s">
        <v>1</v>
      </c>
      <c r="O45" s="97" t="s">
        <v>1</v>
      </c>
    </row>
    <row r="46" spans="1:15" s="84" customFormat="1" ht="38.25" x14ac:dyDescent="0.2">
      <c r="A46" s="81" t="s">
        <v>37</v>
      </c>
      <c r="B46" s="269"/>
      <c r="C46" s="79" t="s">
        <v>23</v>
      </c>
      <c r="D46" s="94">
        <v>6.42</v>
      </c>
      <c r="E46" s="94">
        <v>6.55</v>
      </c>
      <c r="F46" s="94">
        <v>0.48</v>
      </c>
      <c r="G46" s="94">
        <v>0.56000000000000005</v>
      </c>
      <c r="H46" s="94">
        <v>0</v>
      </c>
      <c r="I46" s="94">
        <v>0</v>
      </c>
      <c r="J46" s="94">
        <v>0.36</v>
      </c>
      <c r="K46" s="94">
        <v>0.42</v>
      </c>
      <c r="L46" s="96" t="s">
        <v>39</v>
      </c>
      <c r="M46" s="96"/>
      <c r="N46" s="91" t="s">
        <v>1</v>
      </c>
      <c r="O46" s="91" t="s">
        <v>1</v>
      </c>
    </row>
    <row r="47" spans="1:15" s="84" customFormat="1" ht="38.25" x14ac:dyDescent="0.2">
      <c r="A47" s="81" t="s">
        <v>37</v>
      </c>
      <c r="B47" s="269"/>
      <c r="C47" s="79" t="s">
        <v>24</v>
      </c>
      <c r="D47" s="94">
        <v>5.52</v>
      </c>
      <c r="E47" s="94">
        <v>5.6</v>
      </c>
      <c r="F47" s="94">
        <v>0.68</v>
      </c>
      <c r="G47" s="94">
        <v>0.57999999999999996</v>
      </c>
      <c r="H47" s="94">
        <v>0</v>
      </c>
      <c r="I47" s="94">
        <v>0</v>
      </c>
      <c r="J47" s="94">
        <v>0.53</v>
      </c>
      <c r="K47" s="94">
        <v>0.49</v>
      </c>
      <c r="L47" s="96" t="s">
        <v>39</v>
      </c>
      <c r="M47" s="96"/>
      <c r="N47" s="91" t="s">
        <v>1</v>
      </c>
      <c r="O47" s="91" t="s">
        <v>1</v>
      </c>
    </row>
    <row r="48" spans="1:15" s="84" customFormat="1" ht="38.25" x14ac:dyDescent="0.2">
      <c r="A48" s="81" t="s">
        <v>37</v>
      </c>
      <c r="B48" s="269"/>
      <c r="C48" s="79" t="s">
        <v>25</v>
      </c>
      <c r="D48" s="94">
        <v>6.02</v>
      </c>
      <c r="E48" s="94">
        <v>5.36</v>
      </c>
      <c r="F48" s="94">
        <v>0.5</v>
      </c>
      <c r="G48" s="94">
        <v>0.68</v>
      </c>
      <c r="H48" s="94">
        <v>0</v>
      </c>
      <c r="I48" s="94">
        <v>0</v>
      </c>
      <c r="J48" s="94">
        <v>0.63</v>
      </c>
      <c r="K48" s="94">
        <v>0.53</v>
      </c>
      <c r="L48" s="96" t="s">
        <v>39</v>
      </c>
      <c r="M48" s="96"/>
      <c r="N48" s="91" t="s">
        <v>1</v>
      </c>
      <c r="O48" s="91" t="s">
        <v>1</v>
      </c>
    </row>
    <row r="49" spans="1:15" s="84" customFormat="1" ht="38.25" x14ac:dyDescent="0.2">
      <c r="A49" s="81" t="s">
        <v>37</v>
      </c>
      <c r="B49" s="269"/>
      <c r="C49" s="79" t="s">
        <v>26</v>
      </c>
      <c r="D49" s="94">
        <v>6.58</v>
      </c>
      <c r="E49" s="94">
        <v>6.39</v>
      </c>
      <c r="F49" s="94">
        <v>0.61</v>
      </c>
      <c r="G49" s="94">
        <v>0.55000000000000004</v>
      </c>
      <c r="H49" s="94">
        <v>0</v>
      </c>
      <c r="I49" s="94">
        <v>0</v>
      </c>
      <c r="J49" s="94">
        <v>0.5</v>
      </c>
      <c r="K49" s="94">
        <v>0.56000000000000005</v>
      </c>
      <c r="L49" s="96" t="s">
        <v>39</v>
      </c>
      <c r="M49" s="96"/>
      <c r="N49" s="91" t="s">
        <v>1</v>
      </c>
      <c r="O49" s="91" t="s">
        <v>1</v>
      </c>
    </row>
    <row r="50" spans="1:15" s="84" customFormat="1" ht="38.25" x14ac:dyDescent="0.2">
      <c r="A50" s="81" t="s">
        <v>37</v>
      </c>
      <c r="B50" s="269"/>
      <c r="C50" s="79" t="s">
        <v>27</v>
      </c>
      <c r="D50" s="94">
        <v>5.91</v>
      </c>
      <c r="E50" s="94">
        <v>6.25</v>
      </c>
      <c r="F50" s="94">
        <v>0.41</v>
      </c>
      <c r="G50" s="94">
        <v>0.54</v>
      </c>
      <c r="H50" s="94">
        <v>0</v>
      </c>
      <c r="I50" s="94">
        <v>0</v>
      </c>
      <c r="J50" s="94">
        <v>0.38</v>
      </c>
      <c r="K50" s="94">
        <v>0.41</v>
      </c>
      <c r="L50" s="96" t="s">
        <v>39</v>
      </c>
      <c r="M50" s="96"/>
      <c r="N50" s="91" t="s">
        <v>1</v>
      </c>
      <c r="O50" s="91" t="s">
        <v>1</v>
      </c>
    </row>
    <row r="51" spans="1:15" s="84" customFormat="1" ht="38.25" x14ac:dyDescent="0.2">
      <c r="A51" s="81" t="s">
        <v>37</v>
      </c>
      <c r="B51" s="269"/>
      <c r="C51" s="79" t="s">
        <v>28</v>
      </c>
      <c r="D51" s="94">
        <v>6.88</v>
      </c>
      <c r="E51" s="94">
        <v>5.91</v>
      </c>
      <c r="F51" s="94">
        <v>0.52</v>
      </c>
      <c r="G51" s="94">
        <v>0.38</v>
      </c>
      <c r="H51" s="94">
        <v>0</v>
      </c>
      <c r="I51" s="94">
        <v>0</v>
      </c>
      <c r="J51" s="94">
        <v>0.69</v>
      </c>
      <c r="K51" s="94">
        <v>0.54</v>
      </c>
      <c r="L51" s="96" t="s">
        <v>39</v>
      </c>
      <c r="M51" s="96"/>
      <c r="N51" s="91" t="s">
        <v>1</v>
      </c>
      <c r="O51" s="91" t="s">
        <v>1</v>
      </c>
    </row>
    <row r="52" spans="1:15" s="84" customFormat="1" ht="38.25" x14ac:dyDescent="0.2">
      <c r="A52" s="81" t="s">
        <v>37</v>
      </c>
      <c r="B52" s="269"/>
      <c r="C52" s="79" t="s">
        <v>29</v>
      </c>
      <c r="D52" s="94">
        <v>7.52</v>
      </c>
      <c r="E52" s="94">
        <v>7.58</v>
      </c>
      <c r="F52" s="94">
        <v>0.74</v>
      </c>
      <c r="G52" s="94">
        <v>0.6</v>
      </c>
      <c r="H52" s="94">
        <v>0</v>
      </c>
      <c r="I52" s="94">
        <v>0</v>
      </c>
      <c r="J52" s="94">
        <v>0.68</v>
      </c>
      <c r="K52" s="94">
        <v>0.72</v>
      </c>
      <c r="L52" s="96" t="s">
        <v>39</v>
      </c>
      <c r="M52" s="96"/>
      <c r="N52" s="91" t="s">
        <v>1</v>
      </c>
      <c r="O52" s="91" t="s">
        <v>1</v>
      </c>
    </row>
    <row r="53" spans="1:15" s="84" customFormat="1" ht="38.25" x14ac:dyDescent="0.2">
      <c r="A53" s="81" t="s">
        <v>37</v>
      </c>
      <c r="B53" s="269"/>
      <c r="C53" s="79" t="s">
        <v>30</v>
      </c>
      <c r="D53" s="94">
        <v>6.69</v>
      </c>
      <c r="E53" s="94">
        <v>6.88</v>
      </c>
      <c r="F53" s="94">
        <v>0.54</v>
      </c>
      <c r="G53" s="94">
        <v>0.8</v>
      </c>
      <c r="H53" s="94">
        <v>0</v>
      </c>
      <c r="I53" s="94">
        <v>0</v>
      </c>
      <c r="J53" s="94">
        <v>0.33</v>
      </c>
      <c r="K53" s="94">
        <v>0.5</v>
      </c>
      <c r="L53" s="96" t="s">
        <v>39</v>
      </c>
      <c r="M53" s="96"/>
      <c r="N53" s="91" t="s">
        <v>1</v>
      </c>
      <c r="O53" s="91" t="s">
        <v>1</v>
      </c>
    </row>
    <row r="54" spans="1:15" s="84" customFormat="1" ht="38.25" x14ac:dyDescent="0.2">
      <c r="A54" s="81" t="s">
        <v>37</v>
      </c>
      <c r="B54" s="269"/>
      <c r="C54" s="79" t="s">
        <v>31</v>
      </c>
      <c r="D54" s="94">
        <v>6.14</v>
      </c>
      <c r="E54" s="94">
        <v>6.26</v>
      </c>
      <c r="F54" s="94">
        <v>0.17</v>
      </c>
      <c r="G54" s="94">
        <v>0.22</v>
      </c>
      <c r="H54" s="94">
        <v>0</v>
      </c>
      <c r="I54" s="94">
        <v>0</v>
      </c>
      <c r="J54" s="94">
        <v>0.36</v>
      </c>
      <c r="K54" s="94">
        <v>0.36</v>
      </c>
      <c r="L54" s="96" t="s">
        <v>39</v>
      </c>
      <c r="M54" s="96"/>
      <c r="N54" s="91" t="s">
        <v>1</v>
      </c>
      <c r="O54" s="91" t="s">
        <v>1</v>
      </c>
    </row>
    <row r="55" spans="1:15" s="84" customFormat="1" ht="38.25" x14ac:dyDescent="0.2">
      <c r="A55" s="81" t="s">
        <v>37</v>
      </c>
      <c r="B55" s="269"/>
      <c r="C55" s="79" t="s">
        <v>32</v>
      </c>
      <c r="D55" s="94">
        <v>5.69</v>
      </c>
      <c r="E55" s="94">
        <v>5.66</v>
      </c>
      <c r="F55" s="94">
        <v>0.41</v>
      </c>
      <c r="G55" s="94">
        <v>0.34</v>
      </c>
      <c r="H55" s="94">
        <v>0</v>
      </c>
      <c r="I55" s="94">
        <v>0</v>
      </c>
      <c r="J55" s="94">
        <v>0.33</v>
      </c>
      <c r="K55" s="94">
        <v>0.25</v>
      </c>
      <c r="L55" s="96" t="s">
        <v>39</v>
      </c>
      <c r="M55" s="96"/>
      <c r="N55" s="91" t="s">
        <v>1</v>
      </c>
      <c r="O55" s="91" t="s">
        <v>1</v>
      </c>
    </row>
    <row r="56" spans="1:15" s="84" customFormat="1" ht="38.25" x14ac:dyDescent="0.2">
      <c r="A56" s="81" t="s">
        <v>37</v>
      </c>
      <c r="B56" s="269"/>
      <c r="C56" s="79" t="s">
        <v>33</v>
      </c>
      <c r="D56" s="94">
        <v>5.89</v>
      </c>
      <c r="E56" s="94">
        <v>5.86</v>
      </c>
      <c r="F56" s="94">
        <v>0.89</v>
      </c>
      <c r="G56" s="94">
        <v>0.89</v>
      </c>
      <c r="H56" s="94">
        <v>0</v>
      </c>
      <c r="I56" s="94">
        <v>0</v>
      </c>
      <c r="J56" s="94">
        <v>0.6</v>
      </c>
      <c r="K56" s="94">
        <v>0.59</v>
      </c>
      <c r="L56" s="96" t="s">
        <v>39</v>
      </c>
      <c r="M56" s="96"/>
      <c r="N56" s="91" t="s">
        <v>1</v>
      </c>
      <c r="O56" s="91" t="s">
        <v>1</v>
      </c>
    </row>
    <row r="57" spans="1:15" s="84" customFormat="1" ht="12.75" x14ac:dyDescent="0.2">
      <c r="A57" s="86"/>
      <c r="B57" s="86"/>
      <c r="C57" s="86"/>
      <c r="D57" s="86"/>
      <c r="E57" s="86"/>
      <c r="F57" s="86"/>
      <c r="G57" s="86"/>
      <c r="H57" s="86"/>
      <c r="I57" s="86"/>
      <c r="J57" s="86"/>
      <c r="K57" s="86"/>
      <c r="L57" s="86"/>
      <c r="M57" s="86"/>
      <c r="N57" s="86"/>
      <c r="O57" s="86"/>
    </row>
    <row r="58" spans="1:15" s="84" customFormat="1" ht="38.25" x14ac:dyDescent="0.2">
      <c r="A58" s="81" t="s">
        <v>37</v>
      </c>
      <c r="B58" s="269" t="s">
        <v>40</v>
      </c>
      <c r="C58" s="79" t="s">
        <v>20</v>
      </c>
      <c r="D58" s="94">
        <v>6.71</v>
      </c>
      <c r="E58" s="95"/>
      <c r="F58" s="94">
        <v>1.05</v>
      </c>
      <c r="G58" s="95"/>
      <c r="H58" s="94">
        <v>0</v>
      </c>
      <c r="I58" s="95"/>
      <c r="J58" s="94">
        <v>0.46</v>
      </c>
      <c r="K58" s="95"/>
      <c r="L58" s="96" t="s">
        <v>39</v>
      </c>
      <c r="M58" s="97"/>
      <c r="N58" s="91" t="s">
        <v>1</v>
      </c>
      <c r="O58" s="97" t="s">
        <v>1</v>
      </c>
    </row>
    <row r="59" spans="1:15" s="84" customFormat="1" ht="38.25" x14ac:dyDescent="0.2">
      <c r="A59" s="81" t="s">
        <v>37</v>
      </c>
      <c r="B59" s="269"/>
      <c r="C59" s="79" t="s">
        <v>23</v>
      </c>
      <c r="D59" s="94">
        <v>6.42</v>
      </c>
      <c r="E59" s="94">
        <v>6.55</v>
      </c>
      <c r="F59" s="94">
        <v>0.85</v>
      </c>
      <c r="G59" s="94">
        <v>0.95</v>
      </c>
      <c r="H59" s="94">
        <v>0</v>
      </c>
      <c r="I59" s="94">
        <v>0</v>
      </c>
      <c r="J59" s="94">
        <v>0.11</v>
      </c>
      <c r="K59" s="94">
        <v>0.28000000000000003</v>
      </c>
      <c r="L59" s="96" t="s">
        <v>39</v>
      </c>
      <c r="M59" s="96"/>
      <c r="N59" s="91" t="s">
        <v>1</v>
      </c>
      <c r="O59" s="91" t="s">
        <v>1</v>
      </c>
    </row>
    <row r="60" spans="1:15" s="84" customFormat="1" ht="38.25" x14ac:dyDescent="0.2">
      <c r="A60" s="81" t="s">
        <v>37</v>
      </c>
      <c r="B60" s="269"/>
      <c r="C60" s="79" t="s">
        <v>24</v>
      </c>
      <c r="D60" s="94">
        <v>5.52</v>
      </c>
      <c r="E60" s="94">
        <v>5.6</v>
      </c>
      <c r="F60" s="94">
        <v>1.1399999999999999</v>
      </c>
      <c r="G60" s="94">
        <v>1.07</v>
      </c>
      <c r="H60" s="94">
        <v>0</v>
      </c>
      <c r="I60" s="94">
        <v>0</v>
      </c>
      <c r="J60" s="94">
        <v>0.18</v>
      </c>
      <c r="K60" s="94">
        <v>0.21</v>
      </c>
      <c r="L60" s="96" t="s">
        <v>39</v>
      </c>
      <c r="M60" s="96"/>
      <c r="N60" s="91" t="s">
        <v>1</v>
      </c>
      <c r="O60" s="91" t="s">
        <v>1</v>
      </c>
    </row>
    <row r="61" spans="1:15" s="84" customFormat="1" ht="38.25" x14ac:dyDescent="0.2">
      <c r="A61" s="81" t="s">
        <v>37</v>
      </c>
      <c r="B61" s="269"/>
      <c r="C61" s="79" t="s">
        <v>25</v>
      </c>
      <c r="D61" s="94">
        <v>6.02</v>
      </c>
      <c r="E61" s="94">
        <v>5.36</v>
      </c>
      <c r="F61" s="94">
        <v>1.32</v>
      </c>
      <c r="G61" s="94">
        <v>1.1200000000000001</v>
      </c>
      <c r="H61" s="94">
        <v>0</v>
      </c>
      <c r="I61" s="94">
        <v>0</v>
      </c>
      <c r="J61" s="94">
        <v>0.47</v>
      </c>
      <c r="K61" s="94">
        <v>0.18</v>
      </c>
      <c r="L61" s="96" t="s">
        <v>39</v>
      </c>
      <c r="M61" s="96"/>
      <c r="N61" s="91" t="s">
        <v>1</v>
      </c>
      <c r="O61" s="91" t="s">
        <v>1</v>
      </c>
    </row>
    <row r="62" spans="1:15" s="84" customFormat="1" ht="38.25" x14ac:dyDescent="0.2">
      <c r="A62" s="81" t="s">
        <v>37</v>
      </c>
      <c r="B62" s="269"/>
      <c r="C62" s="79" t="s">
        <v>26</v>
      </c>
      <c r="D62" s="94">
        <v>6.58</v>
      </c>
      <c r="E62" s="94">
        <v>6.39</v>
      </c>
      <c r="F62" s="94">
        <v>1.61</v>
      </c>
      <c r="G62" s="94">
        <v>1.66</v>
      </c>
      <c r="H62" s="94">
        <v>0</v>
      </c>
      <c r="I62" s="94">
        <v>0</v>
      </c>
      <c r="J62" s="94">
        <v>0.56000000000000005</v>
      </c>
      <c r="K62" s="94">
        <v>0.59</v>
      </c>
      <c r="L62" s="96" t="s">
        <v>39</v>
      </c>
      <c r="M62" s="96"/>
      <c r="N62" s="91" t="s">
        <v>1</v>
      </c>
      <c r="O62" s="91" t="s">
        <v>1</v>
      </c>
    </row>
    <row r="63" spans="1:15" s="84" customFormat="1" ht="38.25" x14ac:dyDescent="0.2">
      <c r="A63" s="81" t="s">
        <v>37</v>
      </c>
      <c r="B63" s="269"/>
      <c r="C63" s="79" t="s">
        <v>27</v>
      </c>
      <c r="D63" s="94">
        <v>5.91</v>
      </c>
      <c r="E63" s="94">
        <v>6.25</v>
      </c>
      <c r="F63" s="94">
        <v>0.96</v>
      </c>
      <c r="G63" s="94">
        <v>1.26</v>
      </c>
      <c r="H63" s="94">
        <v>0</v>
      </c>
      <c r="I63" s="94">
        <v>0</v>
      </c>
      <c r="J63" s="94">
        <v>0</v>
      </c>
      <c r="K63" s="94">
        <v>0.28999999999999998</v>
      </c>
      <c r="L63" s="96" t="s">
        <v>39</v>
      </c>
      <c r="M63" s="96"/>
      <c r="N63" s="91" t="s">
        <v>1</v>
      </c>
      <c r="O63" s="91" t="s">
        <v>1</v>
      </c>
    </row>
    <row r="64" spans="1:15" s="84" customFormat="1" ht="38.25" x14ac:dyDescent="0.2">
      <c r="A64" s="81" t="s">
        <v>37</v>
      </c>
      <c r="B64" s="269"/>
      <c r="C64" s="79" t="s">
        <v>28</v>
      </c>
      <c r="D64" s="94">
        <v>6.88</v>
      </c>
      <c r="E64" s="94">
        <v>5.91</v>
      </c>
      <c r="F64" s="94">
        <v>0.93</v>
      </c>
      <c r="G64" s="94">
        <v>0.93</v>
      </c>
      <c r="H64" s="94">
        <v>0</v>
      </c>
      <c r="I64" s="94">
        <v>0</v>
      </c>
      <c r="J64" s="94">
        <v>0.09</v>
      </c>
      <c r="K64" s="94">
        <v>0.08</v>
      </c>
      <c r="L64" s="96" t="s">
        <v>39</v>
      </c>
      <c r="M64" s="96"/>
      <c r="N64" s="91" t="s">
        <v>1</v>
      </c>
      <c r="O64" s="91" t="s">
        <v>1</v>
      </c>
    </row>
    <row r="65" spans="1:15" s="84" customFormat="1" ht="38.25" x14ac:dyDescent="0.2">
      <c r="A65" s="81" t="s">
        <v>37</v>
      </c>
      <c r="B65" s="269"/>
      <c r="C65" s="79" t="s">
        <v>29</v>
      </c>
      <c r="D65" s="94">
        <v>7.52</v>
      </c>
      <c r="E65" s="94">
        <v>7.58</v>
      </c>
      <c r="F65" s="94">
        <v>1.36</v>
      </c>
      <c r="G65" s="94">
        <v>1.1399999999999999</v>
      </c>
      <c r="H65" s="94">
        <v>0</v>
      </c>
      <c r="I65" s="94">
        <v>0</v>
      </c>
      <c r="J65" s="94">
        <v>0.09</v>
      </c>
      <c r="K65" s="94">
        <v>0.04</v>
      </c>
      <c r="L65" s="96" t="s">
        <v>39</v>
      </c>
      <c r="M65" s="96"/>
      <c r="N65" s="91" t="s">
        <v>1</v>
      </c>
      <c r="O65" s="91" t="s">
        <v>1</v>
      </c>
    </row>
    <row r="66" spans="1:15" s="84" customFormat="1" ht="38.25" x14ac:dyDescent="0.2">
      <c r="A66" s="81" t="s">
        <v>37</v>
      </c>
      <c r="B66" s="269"/>
      <c r="C66" s="79" t="s">
        <v>30</v>
      </c>
      <c r="D66" s="94">
        <v>6.69</v>
      </c>
      <c r="E66" s="94">
        <v>6.88</v>
      </c>
      <c r="F66" s="94">
        <v>0.61</v>
      </c>
      <c r="G66" s="94">
        <v>1.03</v>
      </c>
      <c r="H66" s="94">
        <v>0</v>
      </c>
      <c r="I66" s="94">
        <v>0</v>
      </c>
      <c r="J66" s="94">
        <v>0.19</v>
      </c>
      <c r="K66" s="94">
        <v>0.2</v>
      </c>
      <c r="L66" s="96" t="s">
        <v>39</v>
      </c>
      <c r="M66" s="96"/>
      <c r="N66" s="91" t="s">
        <v>1</v>
      </c>
      <c r="O66" s="91" t="s">
        <v>1</v>
      </c>
    </row>
    <row r="67" spans="1:15" s="84" customFormat="1" ht="38.25" x14ac:dyDescent="0.2">
      <c r="A67" s="81" t="s">
        <v>37</v>
      </c>
      <c r="B67" s="269"/>
      <c r="C67" s="79" t="s">
        <v>31</v>
      </c>
      <c r="D67" s="94">
        <v>6.14</v>
      </c>
      <c r="E67" s="94">
        <v>6.26</v>
      </c>
      <c r="F67" s="94">
        <v>0.25</v>
      </c>
      <c r="G67" s="94">
        <v>0.34</v>
      </c>
      <c r="H67" s="94">
        <v>0</v>
      </c>
      <c r="I67" s="94">
        <v>0</v>
      </c>
      <c r="J67" s="94">
        <v>0.08</v>
      </c>
      <c r="K67" s="94">
        <v>0.1</v>
      </c>
      <c r="L67" s="96" t="s">
        <v>39</v>
      </c>
      <c r="M67" s="96"/>
      <c r="N67" s="91" t="s">
        <v>1</v>
      </c>
      <c r="O67" s="91" t="s">
        <v>1</v>
      </c>
    </row>
    <row r="68" spans="1:15" s="84" customFormat="1" ht="38.25" x14ac:dyDescent="0.2">
      <c r="A68" s="81" t="s">
        <v>37</v>
      </c>
      <c r="B68" s="269"/>
      <c r="C68" s="79" t="s">
        <v>32</v>
      </c>
      <c r="D68" s="94">
        <v>5.69</v>
      </c>
      <c r="E68" s="94">
        <v>5.66</v>
      </c>
      <c r="F68" s="94">
        <v>0.7</v>
      </c>
      <c r="G68" s="94">
        <v>0.44</v>
      </c>
      <c r="H68" s="94">
        <v>0</v>
      </c>
      <c r="I68" s="94">
        <v>0</v>
      </c>
      <c r="J68" s="94">
        <v>0.09</v>
      </c>
      <c r="K68" s="94">
        <v>0.14000000000000001</v>
      </c>
      <c r="L68" s="96" t="s">
        <v>39</v>
      </c>
      <c r="M68" s="96"/>
      <c r="N68" s="91" t="s">
        <v>1</v>
      </c>
      <c r="O68" s="91" t="s">
        <v>1</v>
      </c>
    </row>
    <row r="69" spans="1:15" s="84" customFormat="1" ht="38.25" x14ac:dyDescent="0.2">
      <c r="A69" s="81" t="s">
        <v>37</v>
      </c>
      <c r="B69" s="269"/>
      <c r="C69" s="79" t="s">
        <v>33</v>
      </c>
      <c r="D69" s="94">
        <v>5.89</v>
      </c>
      <c r="E69" s="94">
        <v>5.86</v>
      </c>
      <c r="F69" s="94">
        <v>0.6</v>
      </c>
      <c r="G69" s="94">
        <v>0.7</v>
      </c>
      <c r="H69" s="94">
        <v>0</v>
      </c>
      <c r="I69" s="94">
        <v>0</v>
      </c>
      <c r="J69" s="94">
        <v>0.17</v>
      </c>
      <c r="K69" s="94">
        <v>0.16</v>
      </c>
      <c r="L69" s="96" t="s">
        <v>39</v>
      </c>
      <c r="M69" s="96"/>
      <c r="N69" s="91" t="s">
        <v>1</v>
      </c>
      <c r="O69" s="91" t="s">
        <v>1</v>
      </c>
    </row>
    <row r="70" spans="1:15" s="84" customFormat="1" ht="12.75" x14ac:dyDescent="0.2">
      <c r="A70" s="86"/>
      <c r="B70" s="86"/>
      <c r="C70" s="86"/>
      <c r="D70" s="86"/>
      <c r="E70" s="86"/>
      <c r="F70" s="86"/>
      <c r="G70" s="86"/>
      <c r="H70" s="86"/>
      <c r="I70" s="86"/>
      <c r="J70" s="86"/>
      <c r="K70" s="86"/>
      <c r="L70" s="86"/>
      <c r="M70" s="86"/>
      <c r="N70" s="86"/>
      <c r="O70" s="86"/>
    </row>
    <row r="71" spans="1:15" s="84" customFormat="1" ht="38.25" x14ac:dyDescent="0.2">
      <c r="A71" s="81" t="s">
        <v>41</v>
      </c>
      <c r="B71" s="269" t="s">
        <v>42</v>
      </c>
      <c r="C71" s="79" t="s">
        <v>20</v>
      </c>
      <c r="D71" s="98">
        <v>2.2999999999999998</v>
      </c>
      <c r="E71" s="95"/>
      <c r="F71" s="93">
        <v>1.3253033415256991E-2</v>
      </c>
      <c r="G71" s="95"/>
      <c r="H71" s="93">
        <v>0</v>
      </c>
      <c r="I71" s="95"/>
      <c r="J71" s="93">
        <v>5.9291305657912623E-3</v>
      </c>
      <c r="K71" s="95"/>
      <c r="L71" s="81" t="s">
        <v>39</v>
      </c>
      <c r="M71" s="95"/>
      <c r="N71" s="91" t="s">
        <v>1</v>
      </c>
      <c r="O71" s="95" t="s">
        <v>1</v>
      </c>
    </row>
    <row r="72" spans="1:15" s="84" customFormat="1" ht="38.25" x14ac:dyDescent="0.2">
      <c r="A72" s="81" t="s">
        <v>41</v>
      </c>
      <c r="B72" s="269"/>
      <c r="C72" s="79" t="s">
        <v>23</v>
      </c>
      <c r="D72" s="98">
        <v>2.0714285714285716</v>
      </c>
      <c r="E72" s="98">
        <v>2.0935714244842529</v>
      </c>
      <c r="F72" s="93">
        <v>2.0416145811784685E-2</v>
      </c>
      <c r="G72" s="93">
        <v>1.6575851689801586E-2</v>
      </c>
      <c r="H72" s="93">
        <v>1.6307893020221786E-4</v>
      </c>
      <c r="I72" s="93">
        <v>2.1743857360295716E-5</v>
      </c>
      <c r="J72" s="93">
        <v>3.8129106550159175E-3</v>
      </c>
      <c r="K72" s="93">
        <v>4.9538390701551168E-3</v>
      </c>
      <c r="L72" s="81" t="s">
        <v>39</v>
      </c>
      <c r="M72" s="81"/>
      <c r="N72" s="91" t="s">
        <v>1</v>
      </c>
      <c r="O72" s="91" t="s">
        <v>1</v>
      </c>
    </row>
    <row r="73" spans="1:15" s="84" customFormat="1" ht="38.25" x14ac:dyDescent="0.2">
      <c r="A73" s="81" t="s">
        <v>41</v>
      </c>
      <c r="B73" s="269"/>
      <c r="C73" s="79" t="s">
        <v>24</v>
      </c>
      <c r="D73" s="98">
        <v>1.6516129032258067</v>
      </c>
      <c r="E73" s="98">
        <v>2.0016128901512391</v>
      </c>
      <c r="F73" s="93">
        <v>1.8690805077804712E-2</v>
      </c>
      <c r="G73" s="93">
        <v>2.0861223992780519E-2</v>
      </c>
      <c r="H73" s="93">
        <v>3.094458914935773E-4</v>
      </c>
      <c r="I73" s="93">
        <v>2.5648072742431632E-4</v>
      </c>
      <c r="J73" s="93">
        <v>4.1545769561677649E-3</v>
      </c>
      <c r="K73" s="93">
        <v>4.7120931631437334E-3</v>
      </c>
      <c r="L73" s="81" t="s">
        <v>39</v>
      </c>
      <c r="M73" s="81"/>
      <c r="N73" s="91" t="s">
        <v>1</v>
      </c>
      <c r="O73" s="91" t="s">
        <v>1</v>
      </c>
    </row>
    <row r="74" spans="1:15" s="84" customFormat="1" ht="38.25" x14ac:dyDescent="0.2">
      <c r="A74" s="81" t="s">
        <v>41</v>
      </c>
      <c r="B74" s="269"/>
      <c r="C74" s="79" t="s">
        <v>25</v>
      </c>
      <c r="D74" s="98">
        <v>4.286666666666668</v>
      </c>
      <c r="E74" s="98">
        <v>2.5320000092188519</v>
      </c>
      <c r="F74" s="93">
        <v>1.5601662815634101E-2</v>
      </c>
      <c r="G74" s="93">
        <v>1.5946928652018723E-2</v>
      </c>
      <c r="H74" s="93">
        <v>1.4245014245014247E-4</v>
      </c>
      <c r="I74" s="93">
        <v>2.9678587649602142E-4</v>
      </c>
      <c r="J74" s="93">
        <v>9.1196890205541975E-3</v>
      </c>
      <c r="K74" s="93">
        <v>5.520895104384649E-3</v>
      </c>
      <c r="L74" s="81" t="s">
        <v>39</v>
      </c>
      <c r="M74" s="81"/>
      <c r="N74" s="91" t="s">
        <v>1</v>
      </c>
      <c r="O74" s="91" t="s">
        <v>1</v>
      </c>
    </row>
    <row r="75" spans="1:15" s="84" customFormat="1" ht="38.25" x14ac:dyDescent="0.2">
      <c r="A75" s="81" t="s">
        <v>41</v>
      </c>
      <c r="B75" s="269"/>
      <c r="C75" s="79" t="s">
        <v>26</v>
      </c>
      <c r="D75" s="98">
        <v>3.6193548387096772</v>
      </c>
      <c r="E75" s="98">
        <v>4.4441935477718228</v>
      </c>
      <c r="F75" s="93">
        <v>1.9070780440359848E-2</v>
      </c>
      <c r="G75" s="93">
        <v>1.8109879979870125E-2</v>
      </c>
      <c r="H75" s="93">
        <v>5.6099979107560147E-4</v>
      </c>
      <c r="I75" s="93">
        <v>2.1744832396178982E-4</v>
      </c>
      <c r="J75" s="93">
        <v>5.8074551523811142E-3</v>
      </c>
      <c r="K75" s="93">
        <v>8.2052275683410052E-3</v>
      </c>
      <c r="L75" s="81" t="s">
        <v>39</v>
      </c>
      <c r="M75" s="81"/>
      <c r="N75" s="91" t="s">
        <v>1</v>
      </c>
      <c r="O75" s="91" t="s">
        <v>1</v>
      </c>
    </row>
    <row r="76" spans="1:15" s="84" customFormat="1" ht="38.25" x14ac:dyDescent="0.2">
      <c r="A76" s="81" t="s">
        <v>41</v>
      </c>
      <c r="B76" s="269"/>
      <c r="C76" s="79" t="s">
        <v>27</v>
      </c>
      <c r="D76" s="98">
        <v>3.49</v>
      </c>
      <c r="E76" s="98">
        <v>3.846000011761983</v>
      </c>
      <c r="F76" s="93">
        <v>2.3994987795006223E-2</v>
      </c>
      <c r="G76" s="93">
        <v>2.2128358486384555E-2</v>
      </c>
      <c r="H76" s="93">
        <v>5.7169740714044508E-4</v>
      </c>
      <c r="I76" s="93">
        <v>7.443113784244052E-4</v>
      </c>
      <c r="J76" s="93">
        <v>9.0470023081615364E-3</v>
      </c>
      <c r="K76" s="93">
        <v>7.8764345921852035E-3</v>
      </c>
      <c r="L76" s="81" t="s">
        <v>39</v>
      </c>
      <c r="M76" s="81"/>
      <c r="N76" s="91" t="s">
        <v>1</v>
      </c>
      <c r="O76" s="91" t="s">
        <v>1</v>
      </c>
    </row>
    <row r="77" spans="1:15" s="84" customFormat="1" ht="38.25" x14ac:dyDescent="0.2">
      <c r="A77" s="81" t="s">
        <v>41</v>
      </c>
      <c r="B77" s="269"/>
      <c r="C77" s="79" t="s">
        <v>28</v>
      </c>
      <c r="D77" s="98">
        <v>2.8096774193548391</v>
      </c>
      <c r="E77" s="98">
        <v>2.6264516153643207</v>
      </c>
      <c r="F77" s="93">
        <v>1.3822889833318254E-2</v>
      </c>
      <c r="G77" s="93">
        <v>1.6661822000025629E-2</v>
      </c>
      <c r="H77" s="93">
        <v>7.1520652165813446E-4</v>
      </c>
      <c r="I77" s="93">
        <v>6.2360943373601597E-4</v>
      </c>
      <c r="J77" s="93">
        <v>1.3258723190059291E-2</v>
      </c>
      <c r="K77" s="93">
        <v>9.9807945310705394E-3</v>
      </c>
      <c r="L77" s="81" t="s">
        <v>39</v>
      </c>
      <c r="M77" s="81"/>
      <c r="N77" s="91" t="s">
        <v>1</v>
      </c>
      <c r="O77" s="91" t="s">
        <v>1</v>
      </c>
    </row>
    <row r="78" spans="1:15" s="84" customFormat="1" ht="38.25" x14ac:dyDescent="0.2">
      <c r="A78" s="81" t="s">
        <v>41</v>
      </c>
      <c r="B78" s="269"/>
      <c r="C78" s="79" t="s">
        <v>29</v>
      </c>
      <c r="D78" s="98">
        <v>3.8709677419354844</v>
      </c>
      <c r="E78" s="98">
        <v>3.5441935446954544</v>
      </c>
      <c r="F78" s="93">
        <v>1.9246358484972942E-2</v>
      </c>
      <c r="G78" s="93">
        <v>1.7824879379098449E-2</v>
      </c>
      <c r="H78" s="93">
        <v>5.6685777520952075E-4</v>
      </c>
      <c r="I78" s="93">
        <v>5.0566163408629153E-4</v>
      </c>
      <c r="J78" s="93">
        <v>1.0484293524469567E-2</v>
      </c>
      <c r="K78" s="93">
        <v>1.2640374032766752E-2</v>
      </c>
      <c r="L78" s="81" t="s">
        <v>39</v>
      </c>
      <c r="M78" s="81"/>
      <c r="N78" s="91" t="s">
        <v>1</v>
      </c>
      <c r="O78" s="91" t="s">
        <v>1</v>
      </c>
    </row>
    <row r="79" spans="1:15" s="84" customFormat="1" ht="38.25" x14ac:dyDescent="0.2">
      <c r="A79" s="81" t="s">
        <v>41</v>
      </c>
      <c r="B79" s="269"/>
      <c r="C79" s="79" t="s">
        <v>30</v>
      </c>
      <c r="D79" s="98">
        <v>5.9366666666666674</v>
      </c>
      <c r="E79" s="98">
        <v>5.1020000298817951</v>
      </c>
      <c r="F79" s="93">
        <v>2.8218907000499227E-2</v>
      </c>
      <c r="G79" s="93">
        <v>2.3343639078154618E-2</v>
      </c>
      <c r="H79" s="93">
        <v>7.3742025496411452E-4</v>
      </c>
      <c r="I79" s="93">
        <v>8.802596242314262E-4</v>
      </c>
      <c r="J79" s="93">
        <v>1.1941886645383402E-2</v>
      </c>
      <c r="K79" s="93">
        <v>1.1229158158400801E-2</v>
      </c>
      <c r="L79" s="81" t="s">
        <v>39</v>
      </c>
      <c r="M79" s="81"/>
      <c r="N79" s="91" t="s">
        <v>1</v>
      </c>
      <c r="O79" s="91" t="s">
        <v>1</v>
      </c>
    </row>
    <row r="80" spans="1:15" s="84" customFormat="1" ht="38.25" x14ac:dyDescent="0.2">
      <c r="A80" s="81" t="s">
        <v>41</v>
      </c>
      <c r="B80" s="269"/>
      <c r="C80" s="79" t="s">
        <v>31</v>
      </c>
      <c r="D80" s="98">
        <v>3.5903225806451613</v>
      </c>
      <c r="E80" s="98">
        <v>4.5596773701329383</v>
      </c>
      <c r="F80" s="93">
        <v>1.1184763277991132E-2</v>
      </c>
      <c r="G80" s="93">
        <v>2.0036199492532467E-2</v>
      </c>
      <c r="H80" s="93">
        <v>5.8326996904106937E-4</v>
      </c>
      <c r="I80" s="93">
        <v>6.3990943236574436E-4</v>
      </c>
      <c r="J80" s="93">
        <v>6.082277654630857E-3</v>
      </c>
      <c r="K80" s="93">
        <v>8.5069697674512498E-3</v>
      </c>
      <c r="L80" s="81" t="s">
        <v>39</v>
      </c>
      <c r="M80" s="81"/>
      <c r="N80" s="91" t="s">
        <v>1</v>
      </c>
      <c r="O80" s="91" t="s">
        <v>1</v>
      </c>
    </row>
    <row r="81" spans="1:15" s="84" customFormat="1" ht="38.25" x14ac:dyDescent="0.2">
      <c r="A81" s="81" t="s">
        <v>41</v>
      </c>
      <c r="B81" s="269"/>
      <c r="C81" s="79" t="s">
        <v>32</v>
      </c>
      <c r="D81" s="98">
        <v>4.883333333333332</v>
      </c>
      <c r="E81" s="98">
        <v>3.9916666666666667</v>
      </c>
      <c r="F81" s="93">
        <v>8.6855641838861665E-3</v>
      </c>
      <c r="G81" s="93">
        <v>8.0879823270310382E-3</v>
      </c>
      <c r="H81" s="93">
        <v>2.9629629629629629E-4</v>
      </c>
      <c r="I81" s="93">
        <v>4.4728015686919796E-4</v>
      </c>
      <c r="J81" s="93">
        <v>8.9817083755439914E-3</v>
      </c>
      <c r="K81" s="93">
        <v>7.2612159605108841E-3</v>
      </c>
      <c r="L81" s="81" t="s">
        <v>39</v>
      </c>
      <c r="M81" s="81"/>
      <c r="N81" s="91" t="s">
        <v>1</v>
      </c>
      <c r="O81" s="91" t="s">
        <v>1</v>
      </c>
    </row>
    <row r="82" spans="1:15" s="84" customFormat="1" ht="38.25" x14ac:dyDescent="0.2">
      <c r="A82" s="81" t="s">
        <v>41</v>
      </c>
      <c r="B82" s="269"/>
      <c r="C82" s="79" t="s">
        <v>33</v>
      </c>
      <c r="D82" s="98">
        <v>3.6709677419354834</v>
      </c>
      <c r="E82" s="98">
        <v>4.6238709342095161</v>
      </c>
      <c r="F82" s="93">
        <v>1.6450621734767652E-2</v>
      </c>
      <c r="G82" s="93">
        <v>1.4983628021789345E-2</v>
      </c>
      <c r="H82" s="93">
        <v>0</v>
      </c>
      <c r="I82" s="93">
        <v>0</v>
      </c>
      <c r="J82" s="93">
        <v>7.927903268275853E-3</v>
      </c>
      <c r="K82" s="93">
        <v>8.1428295662125082E-3</v>
      </c>
      <c r="L82" s="81" t="s">
        <v>39</v>
      </c>
      <c r="M82" s="81"/>
      <c r="N82" s="91" t="s">
        <v>1</v>
      </c>
      <c r="O82" s="91" t="s">
        <v>1</v>
      </c>
    </row>
    <row r="83" spans="1:15" s="84" customFormat="1" ht="12.75" x14ac:dyDescent="0.2">
      <c r="A83" s="86"/>
      <c r="B83" s="86"/>
      <c r="C83" s="86"/>
      <c r="D83" s="86"/>
      <c r="E83" s="86"/>
      <c r="F83" s="86"/>
      <c r="G83" s="86"/>
      <c r="H83" s="86"/>
      <c r="I83" s="86"/>
      <c r="J83" s="86"/>
      <c r="K83" s="86"/>
      <c r="L83" s="86"/>
      <c r="M83" s="86"/>
      <c r="N83" s="86"/>
      <c r="O83" s="86"/>
    </row>
    <row r="84" spans="1:15" s="84" customFormat="1" ht="12.75" x14ac:dyDescent="0.2">
      <c r="A84" s="81" t="s">
        <v>43</v>
      </c>
      <c r="B84" s="269" t="s">
        <v>44</v>
      </c>
      <c r="C84" s="79" t="s">
        <v>20</v>
      </c>
      <c r="D84" s="81">
        <v>1.18</v>
      </c>
      <c r="E84" s="88">
        <v>2.08</v>
      </c>
      <c r="F84" s="81">
        <v>0.02</v>
      </c>
      <c r="G84" s="88">
        <v>0.06</v>
      </c>
      <c r="H84" s="81">
        <v>0</v>
      </c>
      <c r="I84" s="88">
        <v>0</v>
      </c>
      <c r="J84" s="81">
        <v>0</v>
      </c>
      <c r="K84" s="88">
        <v>0.01</v>
      </c>
      <c r="L84" s="81">
        <v>0</v>
      </c>
      <c r="M84" s="88">
        <v>0</v>
      </c>
      <c r="N84" s="81" t="s">
        <v>45</v>
      </c>
      <c r="O84" s="88" t="s">
        <v>45</v>
      </c>
    </row>
    <row r="85" spans="1:15" s="84" customFormat="1" ht="12.75" x14ac:dyDescent="0.2">
      <c r="A85" s="81" t="s">
        <v>43</v>
      </c>
      <c r="B85" s="269"/>
      <c r="C85" s="79" t="s">
        <v>23</v>
      </c>
      <c r="D85" s="81">
        <v>0.98</v>
      </c>
      <c r="E85" s="81">
        <v>1.96</v>
      </c>
      <c r="F85" s="81">
        <v>0</v>
      </c>
      <c r="G85" s="81">
        <v>0.05</v>
      </c>
      <c r="H85" s="81">
        <v>0</v>
      </c>
      <c r="I85" s="81">
        <v>0</v>
      </c>
      <c r="J85" s="81">
        <v>0</v>
      </c>
      <c r="K85" s="81">
        <v>0.01</v>
      </c>
      <c r="L85" s="81">
        <v>0</v>
      </c>
      <c r="M85" s="81">
        <v>0</v>
      </c>
      <c r="N85" s="81" t="s">
        <v>45</v>
      </c>
      <c r="O85" s="81" t="s">
        <v>45</v>
      </c>
    </row>
    <row r="86" spans="1:15" s="84" customFormat="1" ht="12.75" x14ac:dyDescent="0.2">
      <c r="A86" s="81" t="s">
        <v>43</v>
      </c>
      <c r="B86" s="269"/>
      <c r="C86" s="79" t="s">
        <v>24</v>
      </c>
      <c r="D86" s="81">
        <v>1.32</v>
      </c>
      <c r="E86" s="81">
        <v>1.9</v>
      </c>
      <c r="F86" s="81">
        <v>0.04</v>
      </c>
      <c r="G86" s="81">
        <v>0.05</v>
      </c>
      <c r="H86" s="81">
        <v>0</v>
      </c>
      <c r="I86" s="81">
        <v>0</v>
      </c>
      <c r="J86" s="81">
        <v>0</v>
      </c>
      <c r="K86" s="81">
        <v>0.01</v>
      </c>
      <c r="L86" s="81">
        <v>0</v>
      </c>
      <c r="M86" s="81">
        <v>0</v>
      </c>
      <c r="N86" s="81" t="s">
        <v>45</v>
      </c>
      <c r="O86" s="81" t="s">
        <v>45</v>
      </c>
    </row>
    <row r="87" spans="1:15" s="84" customFormat="1" ht="12.75" x14ac:dyDescent="0.2">
      <c r="A87" s="81" t="s">
        <v>43</v>
      </c>
      <c r="B87" s="269"/>
      <c r="C87" s="79" t="s">
        <v>25</v>
      </c>
      <c r="D87" s="81">
        <v>1.25</v>
      </c>
      <c r="E87" s="81">
        <v>1.86</v>
      </c>
      <c r="F87" s="81">
        <v>0</v>
      </c>
      <c r="G87" s="81">
        <v>0.04</v>
      </c>
      <c r="H87" s="81">
        <v>0</v>
      </c>
      <c r="I87" s="81">
        <v>0</v>
      </c>
      <c r="J87" s="81">
        <v>0.02</v>
      </c>
      <c r="K87" s="81">
        <v>0.01</v>
      </c>
      <c r="L87" s="81">
        <v>0</v>
      </c>
      <c r="M87" s="81">
        <v>0</v>
      </c>
      <c r="N87" s="81" t="s">
        <v>45</v>
      </c>
      <c r="O87" s="81" t="s">
        <v>45</v>
      </c>
    </row>
    <row r="88" spans="1:15" s="84" customFormat="1" ht="12.75" x14ac:dyDescent="0.2">
      <c r="A88" s="81" t="s">
        <v>43</v>
      </c>
      <c r="B88" s="269"/>
      <c r="C88" s="79" t="s">
        <v>26</v>
      </c>
      <c r="D88" s="81">
        <v>1.1000000000000001</v>
      </c>
      <c r="E88" s="81">
        <v>1.82</v>
      </c>
      <c r="F88" s="81">
        <v>0</v>
      </c>
      <c r="G88" s="81">
        <v>0.02</v>
      </c>
      <c r="H88" s="81">
        <v>0</v>
      </c>
      <c r="I88" s="81">
        <v>0</v>
      </c>
      <c r="J88" s="81">
        <v>0</v>
      </c>
      <c r="K88" s="81">
        <v>0</v>
      </c>
      <c r="L88" s="81">
        <v>0</v>
      </c>
      <c r="M88" s="81">
        <v>0</v>
      </c>
      <c r="N88" s="81" t="s">
        <v>45</v>
      </c>
      <c r="O88" s="81" t="s">
        <v>45</v>
      </c>
    </row>
    <row r="89" spans="1:15" s="84" customFormat="1" ht="12.75" x14ac:dyDescent="0.2">
      <c r="A89" s="81" t="s">
        <v>43</v>
      </c>
      <c r="B89" s="269"/>
      <c r="C89" s="79" t="s">
        <v>27</v>
      </c>
      <c r="D89" s="81">
        <v>1.5</v>
      </c>
      <c r="E89" s="81">
        <v>1.74</v>
      </c>
      <c r="F89" s="81">
        <v>0.02</v>
      </c>
      <c r="G89" s="81">
        <v>0.02</v>
      </c>
      <c r="H89" s="81">
        <v>0</v>
      </c>
      <c r="I89" s="81">
        <v>0</v>
      </c>
      <c r="J89" s="81">
        <v>0</v>
      </c>
      <c r="K89" s="81">
        <v>0</v>
      </c>
      <c r="L89" s="81">
        <v>0</v>
      </c>
      <c r="M89" s="81">
        <v>0</v>
      </c>
      <c r="N89" s="81" t="s">
        <v>45</v>
      </c>
      <c r="O89" s="81" t="s">
        <v>45</v>
      </c>
    </row>
    <row r="90" spans="1:15" s="84" customFormat="1" ht="12.75" x14ac:dyDescent="0.2">
      <c r="A90" s="81" t="s">
        <v>43</v>
      </c>
      <c r="B90" s="269"/>
      <c r="C90" s="79" t="s">
        <v>28</v>
      </c>
      <c r="D90" s="81">
        <v>1.7</v>
      </c>
      <c r="E90" s="81">
        <v>1.64</v>
      </c>
      <c r="F90" s="81">
        <v>0</v>
      </c>
      <c r="G90" s="81">
        <v>0.02</v>
      </c>
      <c r="H90" s="81">
        <v>0</v>
      </c>
      <c r="I90" s="81">
        <v>0</v>
      </c>
      <c r="J90" s="81">
        <v>0</v>
      </c>
      <c r="K90" s="81">
        <v>0</v>
      </c>
      <c r="L90" s="81">
        <v>0</v>
      </c>
      <c r="M90" s="81">
        <v>0</v>
      </c>
      <c r="N90" s="81" t="s">
        <v>45</v>
      </c>
      <c r="O90" s="81" t="s">
        <v>45</v>
      </c>
    </row>
    <row r="91" spans="1:15" s="84" customFormat="1" ht="12.75" x14ac:dyDescent="0.2">
      <c r="A91" s="81" t="s">
        <v>43</v>
      </c>
      <c r="B91" s="269"/>
      <c r="C91" s="79" t="s">
        <v>29</v>
      </c>
      <c r="D91" s="81">
        <v>1.64</v>
      </c>
      <c r="E91" s="81">
        <v>1.49</v>
      </c>
      <c r="F91" s="81">
        <v>0</v>
      </c>
      <c r="G91" s="81">
        <v>0.02</v>
      </c>
      <c r="H91" s="81">
        <v>0</v>
      </c>
      <c r="I91" s="81">
        <v>0</v>
      </c>
      <c r="J91" s="81">
        <v>0.02</v>
      </c>
      <c r="K91" s="81">
        <v>0</v>
      </c>
      <c r="L91" s="81">
        <v>0</v>
      </c>
      <c r="M91" s="81">
        <v>0</v>
      </c>
      <c r="N91" s="81" t="s">
        <v>45</v>
      </c>
      <c r="O91" s="81" t="s">
        <v>45</v>
      </c>
    </row>
    <row r="92" spans="1:15" s="84" customFormat="1" ht="12.75" x14ac:dyDescent="0.2">
      <c r="A92" s="81" t="s">
        <v>43</v>
      </c>
      <c r="B92" s="269"/>
      <c r="C92" s="79" t="s">
        <v>30</v>
      </c>
      <c r="D92" s="81">
        <v>1.84</v>
      </c>
      <c r="E92" s="81">
        <v>1.45</v>
      </c>
      <c r="F92" s="81">
        <v>0.05</v>
      </c>
      <c r="G92" s="81">
        <v>0.02</v>
      </c>
      <c r="H92" s="81">
        <v>0</v>
      </c>
      <c r="I92" s="81">
        <v>0</v>
      </c>
      <c r="J92" s="81">
        <v>0.04</v>
      </c>
      <c r="K92" s="81">
        <v>0.01</v>
      </c>
      <c r="L92" s="81">
        <v>0</v>
      </c>
      <c r="M92" s="81">
        <v>0</v>
      </c>
      <c r="N92" s="81" t="s">
        <v>45</v>
      </c>
      <c r="O92" s="81" t="s">
        <v>45</v>
      </c>
    </row>
    <row r="93" spans="1:15" s="84" customFormat="1" ht="12.75" x14ac:dyDescent="0.2">
      <c r="A93" s="81" t="s">
        <v>43</v>
      </c>
      <c r="B93" s="269"/>
      <c r="C93" s="79" t="s">
        <v>31</v>
      </c>
      <c r="D93" s="81">
        <v>1.3</v>
      </c>
      <c r="E93" s="81">
        <v>1.39</v>
      </c>
      <c r="F93" s="81">
        <v>0.02</v>
      </c>
      <c r="G93" s="81">
        <v>0.02</v>
      </c>
      <c r="H93" s="81">
        <v>0</v>
      </c>
      <c r="I93" s="81">
        <v>0</v>
      </c>
      <c r="J93" s="81">
        <v>0.1</v>
      </c>
      <c r="K93" s="81">
        <v>0.02</v>
      </c>
      <c r="L93" s="81">
        <v>0</v>
      </c>
      <c r="M93" s="81">
        <v>0</v>
      </c>
      <c r="N93" s="81" t="s">
        <v>45</v>
      </c>
      <c r="O93" s="81" t="s">
        <v>45</v>
      </c>
    </row>
    <row r="94" spans="1:15" s="84" customFormat="1" ht="12.75" x14ac:dyDescent="0.2">
      <c r="A94" s="81" t="s">
        <v>43</v>
      </c>
      <c r="B94" s="269"/>
      <c r="C94" s="79" t="s">
        <v>32</v>
      </c>
      <c r="D94" s="81">
        <v>1.0900000000000001</v>
      </c>
      <c r="E94" s="81">
        <v>1.35</v>
      </c>
      <c r="F94" s="81">
        <v>0.05</v>
      </c>
      <c r="G94" s="81">
        <v>0.02</v>
      </c>
      <c r="H94" s="81">
        <v>0</v>
      </c>
      <c r="I94" s="81">
        <v>0</v>
      </c>
      <c r="J94" s="81">
        <v>0</v>
      </c>
      <c r="K94" s="81">
        <v>0.02</v>
      </c>
      <c r="L94" s="81">
        <v>0</v>
      </c>
      <c r="M94" s="81">
        <v>0</v>
      </c>
      <c r="N94" s="81" t="s">
        <v>45</v>
      </c>
      <c r="O94" s="81" t="s">
        <v>45</v>
      </c>
    </row>
    <row r="95" spans="1:15" s="84" customFormat="1" ht="12.75" x14ac:dyDescent="0.2">
      <c r="A95" s="81" t="s">
        <v>43</v>
      </c>
      <c r="B95" s="269"/>
      <c r="C95" s="79" t="s">
        <v>33</v>
      </c>
      <c r="D95" s="81">
        <v>0.8</v>
      </c>
      <c r="E95" s="81">
        <v>1.31</v>
      </c>
      <c r="F95" s="81">
        <v>0.02</v>
      </c>
      <c r="G95" s="81">
        <v>0.02</v>
      </c>
      <c r="H95" s="81">
        <v>0.01</v>
      </c>
      <c r="I95" s="81">
        <v>0</v>
      </c>
      <c r="J95" s="81">
        <v>0</v>
      </c>
      <c r="K95" s="81">
        <v>0.02</v>
      </c>
      <c r="L95" s="81">
        <v>0</v>
      </c>
      <c r="M95" s="81">
        <v>0</v>
      </c>
      <c r="N95" s="81" t="s">
        <v>45</v>
      </c>
      <c r="O95" s="81" t="s">
        <v>45</v>
      </c>
    </row>
    <row r="96" spans="1:15" s="84" customFormat="1" ht="12.75" x14ac:dyDescent="0.2">
      <c r="A96" s="86"/>
      <c r="B96" s="86"/>
      <c r="C96" s="86"/>
      <c r="D96" s="86"/>
      <c r="E96" s="86"/>
      <c r="F96" s="86"/>
      <c r="G96" s="86"/>
      <c r="H96" s="86"/>
      <c r="I96" s="86"/>
      <c r="J96" s="86"/>
      <c r="K96" s="86"/>
      <c r="L96" s="86"/>
      <c r="M96" s="86"/>
      <c r="N96" s="86"/>
      <c r="O96" s="86"/>
    </row>
    <row r="97" spans="1:15" s="84" customFormat="1" ht="12.75" x14ac:dyDescent="0.2">
      <c r="A97" s="81" t="s">
        <v>46</v>
      </c>
      <c r="B97" s="269" t="s">
        <v>47</v>
      </c>
      <c r="C97" s="79" t="s">
        <v>20</v>
      </c>
      <c r="D97" s="81">
        <v>4.4000000000000004</v>
      </c>
      <c r="E97" s="88">
        <v>2.91</v>
      </c>
      <c r="F97" s="81">
        <v>0.25</v>
      </c>
      <c r="G97" s="88">
        <v>0.26</v>
      </c>
      <c r="H97" s="81">
        <v>0</v>
      </c>
      <c r="I97" s="88">
        <v>0</v>
      </c>
      <c r="J97" s="81">
        <v>0</v>
      </c>
      <c r="K97" s="88">
        <v>0</v>
      </c>
      <c r="L97" s="81">
        <v>0</v>
      </c>
      <c r="M97" s="88">
        <v>0</v>
      </c>
      <c r="N97" s="91" t="s">
        <v>1</v>
      </c>
      <c r="O97" s="88" t="s">
        <v>1</v>
      </c>
    </row>
    <row r="98" spans="1:15" s="84" customFormat="1" ht="12.75" x14ac:dyDescent="0.2">
      <c r="A98" s="81" t="s">
        <v>46</v>
      </c>
      <c r="B98" s="269"/>
      <c r="C98" s="79" t="s">
        <v>23</v>
      </c>
      <c r="D98" s="81">
        <v>4.4000000000000004</v>
      </c>
      <c r="E98" s="81">
        <v>3.63</v>
      </c>
      <c r="F98" s="81">
        <v>0.72</v>
      </c>
      <c r="G98" s="81">
        <v>0.67</v>
      </c>
      <c r="H98" s="81">
        <v>0</v>
      </c>
      <c r="I98" s="81">
        <v>0</v>
      </c>
      <c r="J98" s="81">
        <v>0</v>
      </c>
      <c r="K98" s="81">
        <v>0</v>
      </c>
      <c r="L98" s="81">
        <v>0</v>
      </c>
      <c r="M98" s="81">
        <v>0</v>
      </c>
      <c r="N98" s="91" t="s">
        <v>1</v>
      </c>
      <c r="O98" s="91" t="s">
        <v>1</v>
      </c>
    </row>
    <row r="99" spans="1:15" s="84" customFormat="1" ht="12.75" x14ac:dyDescent="0.2">
      <c r="A99" s="81" t="s">
        <v>46</v>
      </c>
      <c r="B99" s="269"/>
      <c r="C99" s="79" t="s">
        <v>24</v>
      </c>
      <c r="D99" s="81">
        <v>2.6</v>
      </c>
      <c r="E99" s="81">
        <v>2.38</v>
      </c>
      <c r="F99" s="81">
        <v>0.22</v>
      </c>
      <c r="G99" s="81">
        <v>0.24</v>
      </c>
      <c r="H99" s="81">
        <v>0</v>
      </c>
      <c r="I99" s="81">
        <v>0</v>
      </c>
      <c r="J99" s="81">
        <v>0</v>
      </c>
      <c r="K99" s="81">
        <v>0</v>
      </c>
      <c r="L99" s="81">
        <v>0</v>
      </c>
      <c r="M99" s="81">
        <v>0</v>
      </c>
      <c r="N99" s="91" t="s">
        <v>1</v>
      </c>
      <c r="O99" s="91" t="s">
        <v>1</v>
      </c>
    </row>
    <row r="100" spans="1:15" s="84" customFormat="1" ht="12.75" x14ac:dyDescent="0.2">
      <c r="A100" s="81" t="s">
        <v>46</v>
      </c>
      <c r="B100" s="269"/>
      <c r="C100" s="79" t="s">
        <v>25</v>
      </c>
      <c r="D100" s="81">
        <v>2.7</v>
      </c>
      <c r="E100" s="81">
        <v>2.7</v>
      </c>
      <c r="F100" s="81">
        <v>0.19</v>
      </c>
      <c r="G100" s="81">
        <v>0.28999999999999998</v>
      </c>
      <c r="H100" s="81">
        <v>0</v>
      </c>
      <c r="I100" s="81">
        <v>0</v>
      </c>
      <c r="J100" s="81">
        <v>0</v>
      </c>
      <c r="K100" s="81">
        <v>0</v>
      </c>
      <c r="L100" s="81">
        <v>0</v>
      </c>
      <c r="M100" s="81">
        <v>0</v>
      </c>
      <c r="N100" s="91" t="s">
        <v>1</v>
      </c>
      <c r="O100" s="91" t="s">
        <v>1</v>
      </c>
    </row>
    <row r="101" spans="1:15" s="84" customFormat="1" ht="12.75" x14ac:dyDescent="0.2">
      <c r="A101" s="81" t="s">
        <v>46</v>
      </c>
      <c r="B101" s="269"/>
      <c r="C101" s="79" t="s">
        <v>26</v>
      </c>
      <c r="D101" s="81">
        <v>3.3</v>
      </c>
      <c r="E101" s="81">
        <v>2.91</v>
      </c>
      <c r="F101" s="81">
        <v>0.78</v>
      </c>
      <c r="G101" s="81">
        <v>0.19</v>
      </c>
      <c r="H101" s="81">
        <v>0.14000000000000001</v>
      </c>
      <c r="I101" s="81">
        <v>0.14000000000000001</v>
      </c>
      <c r="J101" s="81">
        <v>0.25</v>
      </c>
      <c r="K101" s="81">
        <v>0.1</v>
      </c>
      <c r="L101" s="81">
        <v>0</v>
      </c>
      <c r="M101" s="81">
        <v>0</v>
      </c>
      <c r="N101" s="91" t="s">
        <v>1</v>
      </c>
      <c r="O101" s="91" t="s">
        <v>1</v>
      </c>
    </row>
    <row r="102" spans="1:15" s="84" customFormat="1" ht="12.75" x14ac:dyDescent="0.2">
      <c r="A102" s="81" t="s">
        <v>46</v>
      </c>
      <c r="B102" s="269"/>
      <c r="C102" s="79" t="s">
        <v>27</v>
      </c>
      <c r="D102" s="81">
        <v>3.1</v>
      </c>
      <c r="E102" s="81">
        <v>2.84</v>
      </c>
      <c r="F102" s="81">
        <v>0.38</v>
      </c>
      <c r="G102" s="81">
        <v>0.14000000000000001</v>
      </c>
      <c r="H102" s="81">
        <v>0.03</v>
      </c>
      <c r="I102" s="81">
        <v>0.03</v>
      </c>
      <c r="J102" s="81">
        <v>0.17</v>
      </c>
      <c r="K102" s="81">
        <v>0.17</v>
      </c>
      <c r="L102" s="81">
        <v>0</v>
      </c>
      <c r="M102" s="81">
        <v>0</v>
      </c>
      <c r="N102" s="91" t="s">
        <v>1</v>
      </c>
      <c r="O102" s="91" t="s">
        <v>1</v>
      </c>
    </row>
    <row r="103" spans="1:15" s="84" customFormat="1" ht="12.75" x14ac:dyDescent="0.2">
      <c r="A103" s="81" t="s">
        <v>46</v>
      </c>
      <c r="B103" s="269"/>
      <c r="C103" s="79" t="s">
        <v>28</v>
      </c>
      <c r="D103" s="81">
        <v>3.1</v>
      </c>
      <c r="E103" s="81">
        <v>2.88</v>
      </c>
      <c r="F103" s="81">
        <v>0.14000000000000001</v>
      </c>
      <c r="G103" s="81">
        <v>0.14000000000000001</v>
      </c>
      <c r="H103" s="81">
        <v>0</v>
      </c>
      <c r="I103" s="81">
        <v>0</v>
      </c>
      <c r="J103" s="81">
        <v>0</v>
      </c>
      <c r="K103" s="81">
        <v>0</v>
      </c>
      <c r="L103" s="81">
        <v>0</v>
      </c>
      <c r="M103" s="81">
        <v>0</v>
      </c>
      <c r="N103" s="91" t="s">
        <v>1</v>
      </c>
      <c r="O103" s="91" t="s">
        <v>1</v>
      </c>
    </row>
    <row r="104" spans="1:15" s="84" customFormat="1" ht="12.75" x14ac:dyDescent="0.2">
      <c r="A104" s="81" t="s">
        <v>46</v>
      </c>
      <c r="B104" s="269"/>
      <c r="C104" s="79" t="s">
        <v>29</v>
      </c>
      <c r="D104" s="81">
        <v>3.2</v>
      </c>
      <c r="E104" s="81">
        <v>3.88</v>
      </c>
      <c r="F104" s="81">
        <v>0.21</v>
      </c>
      <c r="G104" s="81">
        <v>0.22</v>
      </c>
      <c r="H104" s="81">
        <v>0.03</v>
      </c>
      <c r="I104" s="81">
        <v>0.06</v>
      </c>
      <c r="J104" s="81">
        <v>0</v>
      </c>
      <c r="K104" s="81">
        <v>0</v>
      </c>
      <c r="L104" s="81">
        <v>0</v>
      </c>
      <c r="M104" s="81">
        <v>0</v>
      </c>
      <c r="N104" s="91" t="s">
        <v>1</v>
      </c>
      <c r="O104" s="91" t="s">
        <v>1</v>
      </c>
    </row>
    <row r="105" spans="1:15" s="84" customFormat="1" ht="12.75" x14ac:dyDescent="0.2">
      <c r="A105" s="81" t="s">
        <v>46</v>
      </c>
      <c r="B105" s="269"/>
      <c r="C105" s="79" t="s">
        <v>30</v>
      </c>
      <c r="D105" s="81">
        <v>4.9000000000000004</v>
      </c>
      <c r="E105" s="81">
        <v>4.1500000000000004</v>
      </c>
      <c r="F105" s="81">
        <v>0.36</v>
      </c>
      <c r="G105" s="81">
        <v>0.36</v>
      </c>
      <c r="H105" s="81">
        <v>0.03</v>
      </c>
      <c r="I105" s="81">
        <v>0.03</v>
      </c>
      <c r="J105" s="81">
        <v>0</v>
      </c>
      <c r="K105" s="81">
        <v>0</v>
      </c>
      <c r="L105" s="81">
        <v>0</v>
      </c>
      <c r="M105" s="81">
        <v>0</v>
      </c>
      <c r="N105" s="91" t="s">
        <v>1</v>
      </c>
      <c r="O105" s="91" t="s">
        <v>1</v>
      </c>
    </row>
    <row r="106" spans="1:15" s="84" customFormat="1" ht="12.75" x14ac:dyDescent="0.2">
      <c r="A106" s="81" t="s">
        <v>46</v>
      </c>
      <c r="B106" s="269"/>
      <c r="C106" s="79" t="s">
        <v>31</v>
      </c>
      <c r="D106" s="81">
        <v>4.9000000000000004</v>
      </c>
      <c r="E106" s="81">
        <v>4.4400000000000004</v>
      </c>
      <c r="F106" s="81">
        <v>0.42</v>
      </c>
      <c r="G106" s="81">
        <v>0.43</v>
      </c>
      <c r="H106" s="81">
        <v>0</v>
      </c>
      <c r="I106" s="81">
        <v>0</v>
      </c>
      <c r="J106" s="81">
        <v>0.15</v>
      </c>
      <c r="K106" s="81">
        <v>0.16</v>
      </c>
      <c r="L106" s="81">
        <v>0</v>
      </c>
      <c r="M106" s="81">
        <v>0</v>
      </c>
      <c r="N106" s="91" t="s">
        <v>1</v>
      </c>
      <c r="O106" s="91" t="s">
        <v>1</v>
      </c>
    </row>
    <row r="107" spans="1:15" s="84" customFormat="1" ht="12.75" x14ac:dyDescent="0.2">
      <c r="A107" s="81" t="s">
        <v>46</v>
      </c>
      <c r="B107" s="269"/>
      <c r="C107" s="79" t="s">
        <v>32</v>
      </c>
      <c r="D107" s="81">
        <v>3.7</v>
      </c>
      <c r="E107" s="81">
        <v>3.92</v>
      </c>
      <c r="F107" s="81">
        <v>0.36</v>
      </c>
      <c r="G107" s="81">
        <v>0.43</v>
      </c>
      <c r="H107" s="81">
        <v>0.03</v>
      </c>
      <c r="I107" s="81">
        <v>0.03</v>
      </c>
      <c r="J107" s="81">
        <v>0.28999999999999998</v>
      </c>
      <c r="K107" s="81">
        <v>0.44</v>
      </c>
      <c r="L107" s="81">
        <v>0</v>
      </c>
      <c r="M107" s="81">
        <v>0</v>
      </c>
      <c r="N107" s="91" t="s">
        <v>1</v>
      </c>
      <c r="O107" s="91" t="s">
        <v>1</v>
      </c>
    </row>
    <row r="108" spans="1:15" s="84" customFormat="1" ht="12.75" x14ac:dyDescent="0.2">
      <c r="A108" s="81" t="s">
        <v>46</v>
      </c>
      <c r="B108" s="269"/>
      <c r="C108" s="79" t="s">
        <v>33</v>
      </c>
      <c r="D108" s="81">
        <v>3.8</v>
      </c>
      <c r="E108" s="81">
        <v>3.54</v>
      </c>
      <c r="F108" s="81">
        <v>0.28000000000000003</v>
      </c>
      <c r="G108" s="81">
        <v>0.28999999999999998</v>
      </c>
      <c r="H108" s="81">
        <v>0</v>
      </c>
      <c r="I108" s="81">
        <v>0</v>
      </c>
      <c r="J108" s="81">
        <v>0.77</v>
      </c>
      <c r="K108" s="81">
        <v>0.79</v>
      </c>
      <c r="L108" s="81">
        <v>0</v>
      </c>
      <c r="M108" s="81">
        <v>0</v>
      </c>
      <c r="N108" s="91" t="s">
        <v>1</v>
      </c>
      <c r="O108" s="91" t="s">
        <v>1</v>
      </c>
    </row>
    <row r="109" spans="1:15" s="84" customFormat="1" ht="12.75" x14ac:dyDescent="0.2">
      <c r="A109" s="86"/>
      <c r="B109" s="86"/>
      <c r="C109" s="86"/>
      <c r="D109" s="86"/>
      <c r="E109" s="86"/>
      <c r="F109" s="86"/>
      <c r="G109" s="86"/>
      <c r="H109" s="86"/>
      <c r="I109" s="86"/>
      <c r="J109" s="86"/>
      <c r="K109" s="86"/>
      <c r="L109" s="86"/>
      <c r="M109" s="86"/>
      <c r="N109" s="86"/>
      <c r="O109" s="86"/>
    </row>
    <row r="110" spans="1:15" s="84" customFormat="1" ht="12.75" x14ac:dyDescent="0.2">
      <c r="A110" s="81" t="s">
        <v>46</v>
      </c>
      <c r="B110" s="269" t="s">
        <v>48</v>
      </c>
      <c r="C110" s="79" t="s">
        <v>20</v>
      </c>
      <c r="D110" s="81">
        <v>4.4000000000000004</v>
      </c>
      <c r="E110" s="88">
        <v>2.91</v>
      </c>
      <c r="F110" s="81">
        <v>0.51</v>
      </c>
      <c r="G110" s="88">
        <v>0.53</v>
      </c>
      <c r="H110" s="81">
        <v>0</v>
      </c>
      <c r="I110" s="88">
        <v>0</v>
      </c>
      <c r="J110" s="81">
        <v>0.12</v>
      </c>
      <c r="K110" s="88">
        <v>0.12</v>
      </c>
      <c r="L110" s="81">
        <v>0</v>
      </c>
      <c r="M110" s="88">
        <v>0</v>
      </c>
      <c r="N110" s="91" t="s">
        <v>1</v>
      </c>
      <c r="O110" s="88" t="s">
        <v>1</v>
      </c>
    </row>
    <row r="111" spans="1:15" s="84" customFormat="1" ht="12.75" x14ac:dyDescent="0.2">
      <c r="A111" s="81" t="s">
        <v>46</v>
      </c>
      <c r="B111" s="269"/>
      <c r="C111" s="79" t="s">
        <v>23</v>
      </c>
      <c r="D111" s="81">
        <v>4.4000000000000004</v>
      </c>
      <c r="E111" s="81">
        <v>3.63</v>
      </c>
      <c r="F111" s="81">
        <v>0.66</v>
      </c>
      <c r="G111" s="81">
        <v>0.67</v>
      </c>
      <c r="H111" s="81">
        <v>0</v>
      </c>
      <c r="I111" s="81">
        <v>0</v>
      </c>
      <c r="J111" s="81">
        <v>0</v>
      </c>
      <c r="K111" s="81">
        <v>0.12</v>
      </c>
      <c r="L111" s="81">
        <v>0</v>
      </c>
      <c r="M111" s="81">
        <v>0</v>
      </c>
      <c r="N111" s="91" t="s">
        <v>1</v>
      </c>
      <c r="O111" s="91" t="s">
        <v>1</v>
      </c>
    </row>
    <row r="112" spans="1:15" s="84" customFormat="1" ht="12.75" x14ac:dyDescent="0.2">
      <c r="A112" s="81" t="s">
        <v>46</v>
      </c>
      <c r="B112" s="269"/>
      <c r="C112" s="79" t="s">
        <v>24</v>
      </c>
      <c r="D112" s="81">
        <v>2.6</v>
      </c>
      <c r="E112" s="81">
        <v>2.38</v>
      </c>
      <c r="F112" s="81">
        <v>0.22</v>
      </c>
      <c r="G112" s="81">
        <v>0.24</v>
      </c>
      <c r="H112" s="81">
        <v>0</v>
      </c>
      <c r="I112" s="81">
        <v>0</v>
      </c>
      <c r="J112" s="81">
        <v>0</v>
      </c>
      <c r="K112" s="81">
        <v>0</v>
      </c>
      <c r="L112" s="81">
        <v>0</v>
      </c>
      <c r="M112" s="81">
        <v>0</v>
      </c>
      <c r="N112" s="91" t="s">
        <v>1</v>
      </c>
      <c r="O112" s="91" t="s">
        <v>1</v>
      </c>
    </row>
    <row r="113" spans="1:15" s="84" customFormat="1" ht="12.75" x14ac:dyDescent="0.2">
      <c r="A113" s="81" t="s">
        <v>46</v>
      </c>
      <c r="B113" s="269"/>
      <c r="C113" s="79" t="s">
        <v>25</v>
      </c>
      <c r="D113" s="81">
        <v>2.7</v>
      </c>
      <c r="E113" s="81">
        <v>2.7</v>
      </c>
      <c r="F113" s="81">
        <v>0.43</v>
      </c>
      <c r="G113" s="81">
        <v>0.43</v>
      </c>
      <c r="H113" s="81">
        <v>0</v>
      </c>
      <c r="I113" s="81">
        <v>0</v>
      </c>
      <c r="J113" s="81">
        <v>0.12</v>
      </c>
      <c r="K113" s="81">
        <v>0.11</v>
      </c>
      <c r="L113" s="81">
        <v>0</v>
      </c>
      <c r="M113" s="81">
        <v>0</v>
      </c>
      <c r="N113" s="91" t="s">
        <v>1</v>
      </c>
      <c r="O113" s="91" t="s">
        <v>1</v>
      </c>
    </row>
    <row r="114" spans="1:15" s="84" customFormat="1" ht="12.75" x14ac:dyDescent="0.2">
      <c r="A114" s="81" t="s">
        <v>46</v>
      </c>
      <c r="B114" s="269"/>
      <c r="C114" s="79" t="s">
        <v>26</v>
      </c>
      <c r="D114" s="81">
        <v>3.3</v>
      </c>
      <c r="E114" s="81">
        <v>2.91</v>
      </c>
      <c r="F114" s="81">
        <v>0.78</v>
      </c>
      <c r="G114" s="81">
        <v>0.81</v>
      </c>
      <c r="H114" s="81">
        <v>0.14000000000000001</v>
      </c>
      <c r="I114" s="81">
        <v>0.14000000000000001</v>
      </c>
      <c r="J114" s="81">
        <v>0.09</v>
      </c>
      <c r="K114" s="81">
        <v>0.1</v>
      </c>
      <c r="L114" s="81">
        <v>0</v>
      </c>
      <c r="M114" s="81">
        <v>0</v>
      </c>
      <c r="N114" s="91" t="s">
        <v>1</v>
      </c>
      <c r="O114" s="91" t="s">
        <v>1</v>
      </c>
    </row>
    <row r="115" spans="1:15" s="84" customFormat="1" ht="12.75" x14ac:dyDescent="0.2">
      <c r="A115" s="81" t="s">
        <v>46</v>
      </c>
      <c r="B115" s="269"/>
      <c r="C115" s="79" t="s">
        <v>27</v>
      </c>
      <c r="D115" s="81">
        <v>3.1</v>
      </c>
      <c r="E115" s="81">
        <v>2.84</v>
      </c>
      <c r="F115" s="81">
        <v>0.67</v>
      </c>
      <c r="G115" s="81">
        <v>0.67</v>
      </c>
      <c r="H115" s="81">
        <v>0</v>
      </c>
      <c r="I115" s="81">
        <v>0</v>
      </c>
      <c r="J115" s="81">
        <v>0.1</v>
      </c>
      <c r="K115" s="81">
        <v>0.1</v>
      </c>
      <c r="L115" s="81">
        <v>0</v>
      </c>
      <c r="M115" s="81">
        <v>0</v>
      </c>
      <c r="N115" s="91" t="s">
        <v>1</v>
      </c>
      <c r="O115" s="91" t="s">
        <v>1</v>
      </c>
    </row>
    <row r="116" spans="1:15" s="84" customFormat="1" ht="12.75" x14ac:dyDescent="0.2">
      <c r="A116" s="81" t="s">
        <v>46</v>
      </c>
      <c r="B116" s="269"/>
      <c r="C116" s="79" t="s">
        <v>28</v>
      </c>
      <c r="D116" s="81">
        <v>3.1</v>
      </c>
      <c r="E116" s="81">
        <v>2.88</v>
      </c>
      <c r="F116" s="81">
        <v>0.28000000000000003</v>
      </c>
      <c r="G116" s="81">
        <v>0.28999999999999998</v>
      </c>
      <c r="H116" s="81">
        <v>0</v>
      </c>
      <c r="I116" s="81">
        <v>0</v>
      </c>
      <c r="J116" s="81">
        <v>0</v>
      </c>
      <c r="K116" s="81">
        <v>0</v>
      </c>
      <c r="L116" s="81">
        <v>0</v>
      </c>
      <c r="M116" s="81">
        <v>0</v>
      </c>
      <c r="N116" s="91" t="s">
        <v>1</v>
      </c>
      <c r="O116" s="91" t="s">
        <v>1</v>
      </c>
    </row>
    <row r="117" spans="1:15" s="84" customFormat="1" ht="12.75" x14ac:dyDescent="0.2">
      <c r="A117" s="81" t="s">
        <v>46</v>
      </c>
      <c r="B117" s="269"/>
      <c r="C117" s="79" t="s">
        <v>29</v>
      </c>
      <c r="D117" s="81">
        <v>3.2</v>
      </c>
      <c r="E117" s="81">
        <v>3.88</v>
      </c>
      <c r="F117" s="81">
        <v>0.42</v>
      </c>
      <c r="G117" s="81">
        <v>0.52</v>
      </c>
      <c r="H117" s="81">
        <v>0.02</v>
      </c>
      <c r="I117" s="81">
        <v>0.02</v>
      </c>
      <c r="J117" s="81">
        <v>0.1</v>
      </c>
      <c r="K117" s="81">
        <v>0.1</v>
      </c>
      <c r="L117" s="81">
        <v>0</v>
      </c>
      <c r="M117" s="81">
        <v>0</v>
      </c>
      <c r="N117" s="91" t="s">
        <v>1</v>
      </c>
      <c r="O117" s="91" t="s">
        <v>1</v>
      </c>
    </row>
    <row r="118" spans="1:15" s="84" customFormat="1" ht="12.75" x14ac:dyDescent="0.2">
      <c r="A118" s="81" t="s">
        <v>46</v>
      </c>
      <c r="B118" s="269"/>
      <c r="C118" s="79" t="s">
        <v>30</v>
      </c>
      <c r="D118" s="81">
        <v>4.9000000000000004</v>
      </c>
      <c r="E118" s="81">
        <v>4.1500000000000004</v>
      </c>
      <c r="F118" s="81">
        <v>0.48</v>
      </c>
      <c r="G118" s="81">
        <v>0.48</v>
      </c>
      <c r="H118" s="81">
        <v>0</v>
      </c>
      <c r="I118" s="81">
        <v>0</v>
      </c>
      <c r="J118" s="81">
        <v>0.11</v>
      </c>
      <c r="K118" s="81">
        <v>0.11</v>
      </c>
      <c r="L118" s="81">
        <v>0</v>
      </c>
      <c r="M118" s="81">
        <v>0</v>
      </c>
      <c r="N118" s="91" t="s">
        <v>1</v>
      </c>
      <c r="O118" s="91" t="s">
        <v>1</v>
      </c>
    </row>
    <row r="119" spans="1:15" s="84" customFormat="1" ht="12.75" x14ac:dyDescent="0.2">
      <c r="A119" s="81" t="s">
        <v>46</v>
      </c>
      <c r="B119" s="269"/>
      <c r="C119" s="79" t="s">
        <v>31</v>
      </c>
      <c r="D119" s="81">
        <v>4.9000000000000004</v>
      </c>
      <c r="E119" s="81">
        <v>4.4400000000000004</v>
      </c>
      <c r="F119" s="81">
        <v>0.65</v>
      </c>
      <c r="G119" s="81">
        <v>0.67</v>
      </c>
      <c r="H119" s="81">
        <v>0</v>
      </c>
      <c r="I119" s="81">
        <v>0</v>
      </c>
      <c r="J119" s="81">
        <v>0.41</v>
      </c>
      <c r="K119" s="81">
        <v>0.42</v>
      </c>
      <c r="L119" s="81">
        <v>0</v>
      </c>
      <c r="M119" s="81">
        <v>0</v>
      </c>
      <c r="N119" s="91" t="s">
        <v>1</v>
      </c>
      <c r="O119" s="91" t="s">
        <v>1</v>
      </c>
    </row>
    <row r="120" spans="1:15" s="84" customFormat="1" ht="12.75" x14ac:dyDescent="0.2">
      <c r="A120" s="81" t="s">
        <v>46</v>
      </c>
      <c r="B120" s="269"/>
      <c r="C120" s="79" t="s">
        <v>32</v>
      </c>
      <c r="D120" s="81">
        <v>3.7</v>
      </c>
      <c r="E120" s="81">
        <v>3.92</v>
      </c>
      <c r="F120" s="81">
        <v>0.62</v>
      </c>
      <c r="G120" s="81">
        <v>0.71</v>
      </c>
      <c r="H120" s="81">
        <v>0.04</v>
      </c>
      <c r="I120" s="81">
        <v>0.04</v>
      </c>
      <c r="J120" s="81">
        <v>0.43</v>
      </c>
      <c r="K120" s="81">
        <v>0.43</v>
      </c>
      <c r="L120" s="81">
        <v>0</v>
      </c>
      <c r="M120" s="81">
        <v>0</v>
      </c>
      <c r="N120" s="91" t="s">
        <v>1</v>
      </c>
      <c r="O120" s="91" t="s">
        <v>1</v>
      </c>
    </row>
    <row r="121" spans="1:15" s="84" customFormat="1" ht="12.75" x14ac:dyDescent="0.2">
      <c r="A121" s="81" t="s">
        <v>46</v>
      </c>
      <c r="B121" s="269"/>
      <c r="C121" s="79" t="s">
        <v>33</v>
      </c>
      <c r="D121" s="81">
        <v>3.8</v>
      </c>
      <c r="E121" s="81">
        <v>3.54</v>
      </c>
      <c r="F121" s="81">
        <v>0.32</v>
      </c>
      <c r="G121" s="81">
        <v>0.33</v>
      </c>
      <c r="H121" s="81">
        <v>0</v>
      </c>
      <c r="I121" s="81">
        <v>0</v>
      </c>
      <c r="J121" s="81">
        <v>0.31</v>
      </c>
      <c r="K121" s="81">
        <v>0.32</v>
      </c>
      <c r="L121" s="81">
        <v>0</v>
      </c>
      <c r="M121" s="81">
        <v>0</v>
      </c>
      <c r="N121" s="91" t="s">
        <v>1</v>
      </c>
      <c r="O121" s="91" t="s">
        <v>1</v>
      </c>
    </row>
    <row r="122" spans="1:15" s="84" customFormat="1" ht="12.75" x14ac:dyDescent="0.2">
      <c r="A122" s="86"/>
      <c r="B122" s="86"/>
      <c r="C122" s="86"/>
      <c r="D122" s="86"/>
      <c r="E122" s="86"/>
      <c r="F122" s="86"/>
      <c r="G122" s="86"/>
      <c r="H122" s="86"/>
      <c r="I122" s="86"/>
      <c r="J122" s="86"/>
      <c r="K122" s="86"/>
      <c r="L122" s="86"/>
      <c r="M122" s="86"/>
      <c r="N122" s="86"/>
      <c r="O122" s="86"/>
    </row>
    <row r="123" spans="1:15" s="84" customFormat="1" ht="165.75" x14ac:dyDescent="0.2">
      <c r="A123" s="99" t="s">
        <v>49</v>
      </c>
      <c r="B123" s="270" t="s">
        <v>50</v>
      </c>
      <c r="C123" s="100" t="s">
        <v>20</v>
      </c>
      <c r="D123" s="101">
        <v>7.44</v>
      </c>
      <c r="E123" s="88" t="s">
        <v>51</v>
      </c>
      <c r="F123" s="102">
        <v>0</v>
      </c>
      <c r="G123" s="88" t="s">
        <v>22</v>
      </c>
      <c r="H123" s="102">
        <v>0</v>
      </c>
      <c r="I123" s="88" t="s">
        <v>22</v>
      </c>
      <c r="J123" s="102">
        <v>1.6999999999999999E-3</v>
      </c>
      <c r="K123" s="88" t="s">
        <v>22</v>
      </c>
      <c r="L123" s="102">
        <v>0</v>
      </c>
      <c r="M123" s="88" t="s">
        <v>22</v>
      </c>
      <c r="N123" s="91" t="s">
        <v>1</v>
      </c>
      <c r="O123" s="88" t="s">
        <v>1</v>
      </c>
    </row>
    <row r="124" spans="1:15" s="84" customFormat="1" ht="12.75" x14ac:dyDescent="0.2">
      <c r="A124" s="99" t="s">
        <v>49</v>
      </c>
      <c r="B124" s="270"/>
      <c r="C124" s="100" t="s">
        <v>23</v>
      </c>
      <c r="D124" s="103">
        <v>7.52</v>
      </c>
      <c r="E124" s="104">
        <f>AVERAGE(D$6:D124)</f>
        <v>5.5221663661966458</v>
      </c>
      <c r="F124" s="102">
        <v>0</v>
      </c>
      <c r="G124" s="102">
        <f>AVERAGE(F$6:F124)</f>
        <v>0.26936484307653275</v>
      </c>
      <c r="H124" s="102">
        <v>0</v>
      </c>
      <c r="I124" s="102">
        <f>AVERAGE(H$6:H124)</f>
        <v>4.5380308149654347E-3</v>
      </c>
      <c r="J124" s="102">
        <v>0</v>
      </c>
      <c r="K124" s="102">
        <f>AVERAGE(J$6:J124)</f>
        <v>0.11024923921395759</v>
      </c>
      <c r="L124" s="102">
        <v>0</v>
      </c>
      <c r="M124" s="102">
        <v>0</v>
      </c>
      <c r="N124" s="91" t="s">
        <v>1</v>
      </c>
      <c r="O124" s="91" t="s">
        <v>1</v>
      </c>
    </row>
    <row r="125" spans="1:15" s="84" customFormat="1" ht="12.75" x14ac:dyDescent="0.2">
      <c r="A125" s="99" t="s">
        <v>49</v>
      </c>
      <c r="B125" s="270"/>
      <c r="C125" s="100" t="s">
        <v>24</v>
      </c>
      <c r="D125" s="103">
        <v>9.0399999999999991</v>
      </c>
      <c r="E125" s="104">
        <f>AVERAGE(D$6:D125)</f>
        <v>5.5538585610957751</v>
      </c>
      <c r="F125" s="102">
        <v>0</v>
      </c>
      <c r="G125" s="102">
        <f>AVERAGE(F$6:F125)</f>
        <v>0.26693813277854594</v>
      </c>
      <c r="H125" s="102">
        <v>0</v>
      </c>
      <c r="I125" s="102">
        <f>AVERAGE(H$6:H125)</f>
        <v>4.4971476544702505E-3</v>
      </c>
      <c r="J125" s="102">
        <v>0</v>
      </c>
      <c r="K125" s="102">
        <f>AVERAGE(J$6:J125)</f>
        <v>0.10925600282464265</v>
      </c>
      <c r="L125" s="102">
        <v>0</v>
      </c>
      <c r="M125" s="102">
        <v>0</v>
      </c>
      <c r="N125" s="91" t="s">
        <v>1</v>
      </c>
      <c r="O125" s="91" t="s">
        <v>1</v>
      </c>
    </row>
    <row r="126" spans="1:15" s="84" customFormat="1" ht="63.75" x14ac:dyDescent="0.2">
      <c r="A126" s="99" t="s">
        <v>49</v>
      </c>
      <c r="B126" s="270"/>
      <c r="C126" s="100" t="s">
        <v>25</v>
      </c>
      <c r="D126" s="105" t="s">
        <v>52</v>
      </c>
      <c r="E126" s="36"/>
      <c r="F126" s="36"/>
      <c r="G126" s="36"/>
      <c r="H126" s="36"/>
      <c r="I126" s="36"/>
      <c r="J126" s="36"/>
      <c r="K126" s="36"/>
      <c r="L126" s="36"/>
      <c r="M126" s="36"/>
      <c r="N126" s="91" t="s">
        <v>1</v>
      </c>
      <c r="O126" s="91" t="s">
        <v>1</v>
      </c>
    </row>
    <row r="127" spans="1:15" s="84" customFormat="1" ht="63.75" x14ac:dyDescent="0.2">
      <c r="A127" s="99" t="s">
        <v>49</v>
      </c>
      <c r="B127" s="270"/>
      <c r="C127" s="100" t="s">
        <v>26</v>
      </c>
      <c r="D127" s="105" t="s">
        <v>52</v>
      </c>
      <c r="E127" s="36"/>
      <c r="F127" s="36"/>
      <c r="G127" s="36"/>
      <c r="H127" s="36"/>
      <c r="I127" s="36"/>
      <c r="J127" s="36"/>
      <c r="K127" s="36"/>
      <c r="L127" s="36"/>
      <c r="M127" s="36"/>
      <c r="N127" s="91" t="s">
        <v>1</v>
      </c>
      <c r="O127" s="91" t="s">
        <v>1</v>
      </c>
    </row>
    <row r="128" spans="1:15" s="84" customFormat="1" ht="63.75" x14ac:dyDescent="0.2">
      <c r="A128" s="99" t="s">
        <v>49</v>
      </c>
      <c r="B128" s="270"/>
      <c r="C128" s="100" t="s">
        <v>27</v>
      </c>
      <c r="D128" s="105" t="s">
        <v>52</v>
      </c>
      <c r="E128" s="36"/>
      <c r="F128" s="36"/>
      <c r="G128" s="36"/>
      <c r="H128" s="36"/>
      <c r="I128" s="36"/>
      <c r="J128" s="36"/>
      <c r="K128" s="36"/>
      <c r="L128" s="36"/>
      <c r="M128" s="36"/>
      <c r="N128" s="91" t="s">
        <v>1</v>
      </c>
      <c r="O128" s="91" t="s">
        <v>1</v>
      </c>
    </row>
    <row r="129" spans="1:15" s="84" customFormat="1" ht="12.75" x14ac:dyDescent="0.2">
      <c r="A129" s="99" t="s">
        <v>49</v>
      </c>
      <c r="B129" s="270"/>
      <c r="C129" s="100" t="s">
        <v>28</v>
      </c>
      <c r="D129" s="103">
        <v>8.64</v>
      </c>
      <c r="E129" s="106">
        <f>AVERAGE(D$6:D129)</f>
        <v>5.5814133953717056</v>
      </c>
      <c r="F129" s="102">
        <v>0</v>
      </c>
      <c r="G129" s="102">
        <f>AVERAGE(F$6:F129)</f>
        <v>0.26455475659302324</v>
      </c>
      <c r="H129" s="102">
        <v>0</v>
      </c>
      <c r="I129" s="102">
        <f>AVERAGE(H$6:H129)</f>
        <v>4.4569945504124809E-3</v>
      </c>
      <c r="J129" s="102">
        <v>0</v>
      </c>
      <c r="K129" s="102">
        <f>AVERAGE(J$6:J129)</f>
        <v>0.10828050279942263</v>
      </c>
      <c r="L129" s="102">
        <v>0</v>
      </c>
      <c r="M129" s="102">
        <v>0</v>
      </c>
      <c r="N129" s="91" t="s">
        <v>1</v>
      </c>
      <c r="O129" s="91" t="s">
        <v>1</v>
      </c>
    </row>
    <row r="130" spans="1:15" s="84" customFormat="1" ht="12.75" x14ac:dyDescent="0.2">
      <c r="A130" s="99" t="s">
        <v>49</v>
      </c>
      <c r="B130" s="270"/>
      <c r="C130" s="100" t="s">
        <v>29</v>
      </c>
      <c r="D130" s="103">
        <v>6.71</v>
      </c>
      <c r="E130" s="106">
        <f>AVERAGE(D$6:D130)</f>
        <v>5.5914008874480627</v>
      </c>
      <c r="F130" s="102">
        <v>0</v>
      </c>
      <c r="G130" s="102">
        <f>AVERAGE(F$6:F130)</f>
        <v>0.2622135640568018</v>
      </c>
      <c r="H130" s="102">
        <v>0</v>
      </c>
      <c r="I130" s="102">
        <f>AVERAGE(H$6:H130)</f>
        <v>4.4175521207628129E-3</v>
      </c>
      <c r="J130" s="102">
        <v>0</v>
      </c>
      <c r="K130" s="102">
        <f>AVERAGE(J$6:J130)</f>
        <v>0.10732226826137464</v>
      </c>
      <c r="L130" s="102">
        <v>0</v>
      </c>
      <c r="M130" s="102">
        <v>0</v>
      </c>
      <c r="N130" s="91" t="s">
        <v>1</v>
      </c>
      <c r="O130" s="91" t="s">
        <v>1</v>
      </c>
    </row>
    <row r="131" spans="1:15" s="84" customFormat="1" ht="12.75" x14ac:dyDescent="0.2">
      <c r="A131" s="99" t="s">
        <v>49</v>
      </c>
      <c r="B131" s="270"/>
      <c r="C131" s="100" t="s">
        <v>30</v>
      </c>
      <c r="D131" s="103">
        <v>6.68</v>
      </c>
      <c r="E131" s="106">
        <f>AVERAGE(D$6:D131)</f>
        <v>5.6009500024704479</v>
      </c>
      <c r="F131" s="102">
        <v>6.9999999999999999E-4</v>
      </c>
      <c r="G131" s="102">
        <f>AVERAGE(F$6:F131)</f>
        <v>0.25991958542472454</v>
      </c>
      <c r="H131" s="102">
        <v>0</v>
      </c>
      <c r="I131" s="102">
        <f>AVERAGE(H$6:H131)</f>
        <v>4.3788016635631392E-3</v>
      </c>
      <c r="J131" s="102">
        <v>0</v>
      </c>
      <c r="K131" s="102">
        <f>AVERAGE(J$6:J131)</f>
        <v>0.10638084485557311</v>
      </c>
      <c r="L131" s="102">
        <v>0</v>
      </c>
      <c r="M131" s="102">
        <v>0</v>
      </c>
      <c r="N131" s="91" t="s">
        <v>1</v>
      </c>
      <c r="O131" s="91" t="s">
        <v>1</v>
      </c>
    </row>
    <row r="132" spans="1:15" s="84" customFormat="1" ht="12.75" x14ac:dyDescent="0.2">
      <c r="A132" s="99" t="s">
        <v>49</v>
      </c>
      <c r="B132" s="270"/>
      <c r="C132" s="100" t="s">
        <v>31</v>
      </c>
      <c r="D132" s="103">
        <v>6.56</v>
      </c>
      <c r="E132" s="106">
        <f>AVERAGE(D$6:D132)</f>
        <v>5.6092895676663561</v>
      </c>
      <c r="F132" s="102">
        <v>2.5000000000000001E-3</v>
      </c>
      <c r="G132" s="102">
        <f>AVERAGE(F$6:F132)</f>
        <v>0.25768115424711829</v>
      </c>
      <c r="H132" s="102">
        <v>0</v>
      </c>
      <c r="I132" s="102">
        <f>AVERAGE(H$6:H132)</f>
        <v>4.3407251273582421E-3</v>
      </c>
      <c r="J132" s="102">
        <v>0</v>
      </c>
      <c r="K132" s="102">
        <f>AVERAGE(J$6:J132)</f>
        <v>0.10545579403074204</v>
      </c>
      <c r="L132" s="102">
        <v>0</v>
      </c>
      <c r="M132" s="102">
        <v>0</v>
      </c>
      <c r="N132" s="91" t="s">
        <v>1</v>
      </c>
      <c r="O132" s="91" t="s">
        <v>1</v>
      </c>
    </row>
    <row r="133" spans="1:15" s="84" customFormat="1" ht="12.75" x14ac:dyDescent="0.2">
      <c r="A133" s="99" t="s">
        <v>49</v>
      </c>
      <c r="B133" s="270"/>
      <c r="C133" s="100" t="s">
        <v>32</v>
      </c>
      <c r="D133" s="103">
        <v>6.01</v>
      </c>
      <c r="E133" s="106">
        <f>AVERAGE(D$6:D133)</f>
        <v>5.6127439679450948</v>
      </c>
      <c r="F133" s="102">
        <v>1.5E-3</v>
      </c>
      <c r="G133" s="102">
        <f>AVERAGE(F$6:F133)</f>
        <v>0.25547269602085004</v>
      </c>
      <c r="H133" s="102">
        <v>0</v>
      </c>
      <c r="I133" s="102">
        <f>AVERAGE(H$6:H133)</f>
        <v>4.3033050831568784E-3</v>
      </c>
      <c r="J133" s="102">
        <v>0</v>
      </c>
      <c r="K133" s="102">
        <f>AVERAGE(J$6:J133)</f>
        <v>0.10454669235806323</v>
      </c>
      <c r="L133" s="102">
        <v>0</v>
      </c>
      <c r="M133" s="102">
        <v>0</v>
      </c>
      <c r="N133" s="91" t="s">
        <v>1</v>
      </c>
      <c r="O133" s="91" t="s">
        <v>1</v>
      </c>
    </row>
    <row r="134" spans="1:15" s="84" customFormat="1" ht="12.75" x14ac:dyDescent="0.2">
      <c r="A134" s="99" t="s">
        <v>49</v>
      </c>
      <c r="B134" s="270"/>
      <c r="C134" s="100" t="s">
        <v>33</v>
      </c>
      <c r="D134" s="103">
        <v>8.15</v>
      </c>
      <c r="E134" s="106">
        <f>AVERAGE(D$6:D134)</f>
        <v>5.6344299169370169</v>
      </c>
      <c r="F134" s="102">
        <v>2.5999999999999999E-3</v>
      </c>
      <c r="G134" s="102">
        <f>AVERAGE(F$6:F134)</f>
        <v>0.25331139092665472</v>
      </c>
      <c r="H134" s="102">
        <v>0</v>
      </c>
      <c r="I134" s="102">
        <f>AVERAGE(H$6:H134)</f>
        <v>4.2665246978307505E-3</v>
      </c>
      <c r="J134" s="102">
        <v>0</v>
      </c>
      <c r="K134" s="102">
        <f>AVERAGE(J$6:J134)</f>
        <v>0.10365313088491739</v>
      </c>
      <c r="L134" s="102">
        <v>0</v>
      </c>
      <c r="M134" s="102">
        <v>0</v>
      </c>
      <c r="N134" s="91" t="s">
        <v>1</v>
      </c>
      <c r="O134" s="91" t="s">
        <v>1</v>
      </c>
    </row>
    <row r="135" spans="1:15" s="84" customFormat="1" ht="12.75" x14ac:dyDescent="0.2">
      <c r="A135" s="86"/>
      <c r="B135" s="86"/>
      <c r="C135" s="86"/>
      <c r="D135" s="86"/>
      <c r="E135" s="86"/>
      <c r="F135" s="86"/>
      <c r="G135" s="86"/>
      <c r="H135" s="86"/>
      <c r="I135" s="86"/>
      <c r="J135" s="86"/>
      <c r="K135" s="86"/>
      <c r="L135" s="86"/>
      <c r="M135" s="86"/>
      <c r="N135" s="86"/>
      <c r="O135" s="86"/>
    </row>
    <row r="136" spans="1:15" s="84" customFormat="1" ht="165.75" x14ac:dyDescent="0.2">
      <c r="A136" s="99" t="s">
        <v>49</v>
      </c>
      <c r="B136" s="270" t="s">
        <v>53</v>
      </c>
      <c r="C136" s="100" t="s">
        <v>20</v>
      </c>
      <c r="D136" s="101">
        <v>4.26</v>
      </c>
      <c r="E136" s="88" t="s">
        <v>51</v>
      </c>
      <c r="F136" s="102">
        <v>1.37E-2</v>
      </c>
      <c r="G136" s="88" t="s">
        <v>22</v>
      </c>
      <c r="H136" s="102">
        <v>1E-4</v>
      </c>
      <c r="I136" s="88" t="s">
        <v>22</v>
      </c>
      <c r="J136" s="102">
        <v>1.1599999999999999E-2</v>
      </c>
      <c r="K136" s="88" t="s">
        <v>22</v>
      </c>
      <c r="L136" s="102">
        <v>0</v>
      </c>
      <c r="M136" s="88" t="s">
        <v>22</v>
      </c>
      <c r="N136" s="91" t="s">
        <v>1</v>
      </c>
      <c r="O136" s="88" t="s">
        <v>1</v>
      </c>
    </row>
    <row r="137" spans="1:15" s="84" customFormat="1" ht="12.75" x14ac:dyDescent="0.2">
      <c r="A137" s="99" t="s">
        <v>49</v>
      </c>
      <c r="B137" s="270"/>
      <c r="C137" s="100" t="s">
        <v>23</v>
      </c>
      <c r="D137" s="103">
        <v>4.2699999999999996</v>
      </c>
      <c r="E137" s="107">
        <f>AVERAGE(D$18:D137)</f>
        <v>5.5856168080738442</v>
      </c>
      <c r="F137" s="102">
        <v>9.7000000000000003E-3</v>
      </c>
      <c r="G137" s="102">
        <f>AVERAGE(F$18:F137)</f>
        <v>0.27528351887730174</v>
      </c>
      <c r="H137" s="102">
        <v>1E-4</v>
      </c>
      <c r="I137" s="102">
        <f>AVERAGE(H$6:H137)</f>
        <v>4.1964990726571245E-3</v>
      </c>
      <c r="J137" s="102">
        <v>9.7999999999999997E-3</v>
      </c>
      <c r="K137" s="102">
        <f>AVERAGE(J$6:J137)</f>
        <v>0.10209089339105323</v>
      </c>
      <c r="L137" s="102">
        <v>0</v>
      </c>
      <c r="M137" s="102">
        <v>0</v>
      </c>
      <c r="N137" s="91" t="s">
        <v>1</v>
      </c>
      <c r="O137" s="91" t="s">
        <v>1</v>
      </c>
    </row>
    <row r="138" spans="1:15" s="84" customFormat="1" ht="12.75" x14ac:dyDescent="0.2">
      <c r="A138" s="99" t="s">
        <v>49</v>
      </c>
      <c r="B138" s="270"/>
      <c r="C138" s="100" t="s">
        <v>24</v>
      </c>
      <c r="D138" s="103">
        <v>4.0199999999999996</v>
      </c>
      <c r="E138" s="107">
        <f>AVERAGE(D$18:D138)</f>
        <v>5.5711203561472349</v>
      </c>
      <c r="F138" s="102">
        <v>1.2200000000000001E-2</v>
      </c>
      <c r="G138" s="102">
        <f>AVERAGE(F$18:F138)</f>
        <v>0.27284756036917862</v>
      </c>
      <c r="H138" s="102">
        <v>1E-4</v>
      </c>
      <c r="I138" s="102">
        <f>AVERAGE(H$6:H138)</f>
        <v>4.1623615803849821E-3</v>
      </c>
      <c r="J138" s="102">
        <v>9.5999999999999992E-3</v>
      </c>
      <c r="K138" s="102">
        <f>AVERAGE(J$6:J138)</f>
        <v>0.10132013594612779</v>
      </c>
      <c r="L138" s="102">
        <v>0</v>
      </c>
      <c r="M138" s="102">
        <v>0</v>
      </c>
      <c r="N138" s="91" t="s">
        <v>1</v>
      </c>
      <c r="O138" s="91" t="s">
        <v>1</v>
      </c>
    </row>
    <row r="139" spans="1:15" s="84" customFormat="1" ht="12.75" x14ac:dyDescent="0.2">
      <c r="A139" s="99" t="s">
        <v>49</v>
      </c>
      <c r="B139" s="270"/>
      <c r="C139" s="100" t="s">
        <v>25</v>
      </c>
      <c r="D139" s="103">
        <v>3.88</v>
      </c>
      <c r="E139" s="107">
        <f>AVERAGE(D$18:D139)</f>
        <v>5.555605490494508</v>
      </c>
      <c r="F139" s="102">
        <v>1.41E-2</v>
      </c>
      <c r="G139" s="102">
        <f>AVERAGE(F$18:F139)</f>
        <v>0.27047372954010357</v>
      </c>
      <c r="H139" s="102">
        <v>1E-4</v>
      </c>
      <c r="I139" s="102">
        <f>AVERAGE(H$6:H139)</f>
        <v>4.128788344183453E-3</v>
      </c>
      <c r="J139" s="102">
        <v>8.3000000000000001E-3</v>
      </c>
      <c r="K139" s="102">
        <f>AVERAGE(J$6:J139)</f>
        <v>0.10055137449202757</v>
      </c>
      <c r="L139" s="102">
        <v>0</v>
      </c>
      <c r="M139" s="102">
        <v>0</v>
      </c>
      <c r="N139" s="91" t="s">
        <v>1</v>
      </c>
      <c r="O139" s="91" t="s">
        <v>1</v>
      </c>
    </row>
    <row r="140" spans="1:15" s="84" customFormat="1" ht="12.75" x14ac:dyDescent="0.2">
      <c r="A140" s="99" t="s">
        <v>49</v>
      </c>
      <c r="B140" s="270"/>
      <c r="C140" s="100" t="s">
        <v>26</v>
      </c>
      <c r="D140" s="103">
        <v>4.0199999999999996</v>
      </c>
      <c r="E140" s="107">
        <f>AVERAGE(D$18:D140)</f>
        <v>5.541645440580921</v>
      </c>
      <c r="F140" s="102">
        <v>2.07E-2</v>
      </c>
      <c r="G140" s="102">
        <f>AVERAGE(F$18:F140)</f>
        <v>0.26820305927155719</v>
      </c>
      <c r="H140" s="102">
        <v>0</v>
      </c>
      <c r="I140" s="102">
        <f>AVERAGE(H$6:H140)</f>
        <v>4.0949458167721135E-3</v>
      </c>
      <c r="J140" s="102">
        <v>9.7999999999999997E-3</v>
      </c>
      <c r="K140" s="102">
        <f>AVERAGE(J$6:J140)</f>
        <v>9.980751076668308E-2</v>
      </c>
      <c r="L140" s="102">
        <v>0</v>
      </c>
      <c r="M140" s="102">
        <v>0</v>
      </c>
      <c r="N140" s="91" t="s">
        <v>1</v>
      </c>
      <c r="O140" s="91" t="s">
        <v>1</v>
      </c>
    </row>
    <row r="141" spans="1:15" s="84" customFormat="1" ht="12.75" x14ac:dyDescent="0.2">
      <c r="A141" s="99" t="s">
        <v>49</v>
      </c>
      <c r="B141" s="270"/>
      <c r="C141" s="100" t="s">
        <v>27</v>
      </c>
      <c r="D141" s="103">
        <v>3.86</v>
      </c>
      <c r="E141" s="107">
        <f>AVERAGE(D$18:D141)</f>
        <v>5.5264954816567684</v>
      </c>
      <c r="F141" s="102">
        <v>1.5800000000000002E-2</v>
      </c>
      <c r="G141" s="102">
        <f>AVERAGE(F$18:F141)</f>
        <v>0.26592915783667825</v>
      </c>
      <c r="H141" s="102">
        <v>1E-4</v>
      </c>
      <c r="I141" s="102">
        <f>AVERAGE(H$6:H141)</f>
        <v>4.0624665824894133E-3</v>
      </c>
      <c r="J141" s="102">
        <v>8.0999999999999996E-3</v>
      </c>
      <c r="K141" s="102">
        <f>AVERAGE(J$6:J141)</f>
        <v>9.9061921248254761E-2</v>
      </c>
      <c r="L141" s="102">
        <v>0</v>
      </c>
      <c r="M141" s="102">
        <v>0</v>
      </c>
      <c r="N141" s="91" t="s">
        <v>1</v>
      </c>
      <c r="O141" s="91" t="s">
        <v>1</v>
      </c>
    </row>
    <row r="142" spans="1:15" s="84" customFormat="1" ht="12.75" x14ac:dyDescent="0.2">
      <c r="A142" s="99" t="s">
        <v>49</v>
      </c>
      <c r="B142" s="270"/>
      <c r="C142" s="100" t="s">
        <v>28</v>
      </c>
      <c r="D142" s="103">
        <v>4.0199999999999996</v>
      </c>
      <c r="E142" s="107">
        <f>AVERAGE(D$18:D142)</f>
        <v>5.5130446291419757</v>
      </c>
      <c r="F142" s="102">
        <v>1.46E-2</v>
      </c>
      <c r="G142" s="102">
        <f>AVERAGE(F$18:F142)</f>
        <v>0.2636851474988508</v>
      </c>
      <c r="H142" s="102">
        <v>1E-4</v>
      </c>
      <c r="I142" s="102">
        <f>AVERAGE(H$6:H142)</f>
        <v>4.0305112068241755E-3</v>
      </c>
      <c r="J142" s="102">
        <v>9.2999999999999992E-3</v>
      </c>
      <c r="K142" s="102">
        <f>AVERAGE(J$6:J142)</f>
        <v>9.8338034786575296E-2</v>
      </c>
      <c r="L142" s="102">
        <v>0</v>
      </c>
      <c r="M142" s="102">
        <v>0</v>
      </c>
      <c r="N142" s="91" t="s">
        <v>1</v>
      </c>
      <c r="O142" s="91" t="s">
        <v>1</v>
      </c>
    </row>
    <row r="143" spans="1:15" s="84" customFormat="1" ht="12.75" x14ac:dyDescent="0.2">
      <c r="A143" s="99" t="s">
        <v>49</v>
      </c>
      <c r="B143" s="270"/>
      <c r="C143" s="100" t="s">
        <v>29</v>
      </c>
      <c r="D143" s="103">
        <v>3.78</v>
      </c>
      <c r="E143" s="107">
        <f>AVERAGE(D$18:D143)</f>
        <v>5.4977079510079756</v>
      </c>
      <c r="F143" s="102">
        <v>1.5599999999999999E-2</v>
      </c>
      <c r="G143" s="102">
        <f>AVERAGE(F$18:F143)</f>
        <v>0.26148970371567509</v>
      </c>
      <c r="H143" s="102">
        <v>1E-4</v>
      </c>
      <c r="I143" s="102">
        <f>AVERAGE(H$6:H143)</f>
        <v>3.9990671171695824E-3</v>
      </c>
      <c r="J143" s="102">
        <v>8.8000000000000005E-3</v>
      </c>
      <c r="K143" s="102">
        <f>AVERAGE(J$6:J143)</f>
        <v>9.7621730508282697E-2</v>
      </c>
      <c r="L143" s="102">
        <v>0</v>
      </c>
      <c r="M143" s="102">
        <v>0</v>
      </c>
      <c r="N143" s="91" t="s">
        <v>1</v>
      </c>
      <c r="O143" s="91" t="s">
        <v>1</v>
      </c>
    </row>
    <row r="144" spans="1:15" s="84" customFormat="1" ht="12.75" x14ac:dyDescent="0.2">
      <c r="A144" s="99" t="s">
        <v>49</v>
      </c>
      <c r="B144" s="270"/>
      <c r="C144" s="100" t="s">
        <v>30</v>
      </c>
      <c r="D144" s="103">
        <v>4.17</v>
      </c>
      <c r="E144" s="107">
        <f>AVERAGE(D$18:D144)</f>
        <v>5.4860613900342212</v>
      </c>
      <c r="F144" s="102">
        <v>1.8599999999999998E-2</v>
      </c>
      <c r="G144" s="102">
        <f>AVERAGE(F$18:F144)</f>
        <v>0.25935909227957271</v>
      </c>
      <c r="H144" s="102">
        <v>1E-4</v>
      </c>
      <c r="I144" s="102">
        <f>AVERAGE(H$6:H144)</f>
        <v>3.9681221400491885E-3</v>
      </c>
      <c r="J144" s="102">
        <v>7.3000000000000001E-3</v>
      </c>
      <c r="K144" s="102">
        <f>AVERAGE(J$6:J144)</f>
        <v>9.6904891377264588E-2</v>
      </c>
      <c r="L144" s="102">
        <v>0</v>
      </c>
      <c r="M144" s="102">
        <v>0</v>
      </c>
      <c r="N144" s="91" t="s">
        <v>1</v>
      </c>
      <c r="O144" s="91" t="s">
        <v>1</v>
      </c>
    </row>
    <row r="145" spans="1:15" s="84" customFormat="1" ht="12.75" x14ac:dyDescent="0.2">
      <c r="A145" s="99" t="s">
        <v>49</v>
      </c>
      <c r="B145" s="270"/>
      <c r="C145" s="100" t="s">
        <v>31</v>
      </c>
      <c r="D145" s="103">
        <v>4.3499999999999996</v>
      </c>
      <c r="E145" s="107">
        <f>AVERAGE(D$18:D145)</f>
        <v>5.4761825953382717</v>
      </c>
      <c r="F145" s="102">
        <v>1.4E-2</v>
      </c>
      <c r="G145" s="102">
        <f>AVERAGE(F$18:F145)</f>
        <v>0.25722553495540251</v>
      </c>
      <c r="H145" s="102">
        <v>1E-4</v>
      </c>
      <c r="I145" s="102">
        <f>AVERAGE(H$6:H145)</f>
        <v>3.9376644854031322E-3</v>
      </c>
      <c r="J145" s="102">
        <v>8.6999999999999994E-3</v>
      </c>
      <c r="K145" s="102">
        <f>AVERAGE(J$6:J145)</f>
        <v>9.621036467350659E-2</v>
      </c>
      <c r="L145" s="102">
        <v>0</v>
      </c>
      <c r="M145" s="102">
        <v>0</v>
      </c>
      <c r="N145" s="91" t="s">
        <v>1</v>
      </c>
      <c r="O145" s="91" t="s">
        <v>1</v>
      </c>
    </row>
    <row r="146" spans="1:15" s="84" customFormat="1" ht="12.75" x14ac:dyDescent="0.2">
      <c r="A146" s="99" t="s">
        <v>49</v>
      </c>
      <c r="B146" s="270"/>
      <c r="C146" s="100" t="s">
        <v>32</v>
      </c>
      <c r="D146" s="103">
        <v>4.41</v>
      </c>
      <c r="E146" s="107">
        <f>AVERAGE(D$18:D146)</f>
        <v>5.4669913660681138</v>
      </c>
      <c r="F146" s="102">
        <v>1.6400000000000001E-2</v>
      </c>
      <c r="G146" s="102">
        <f>AVERAGE(F$18:F146)</f>
        <v>0.25514945275751111</v>
      </c>
      <c r="H146" s="102">
        <v>1E-4</v>
      </c>
      <c r="I146" s="102">
        <f>AVERAGE(H$6:H146)</f>
        <v>3.9076827316109203E-3</v>
      </c>
      <c r="J146" s="102">
        <v>9.5999999999999992E-3</v>
      </c>
      <c r="K146" s="102">
        <f>AVERAGE(J$6:J146)</f>
        <v>9.5533721199494825E-2</v>
      </c>
      <c r="L146" s="102">
        <v>0</v>
      </c>
      <c r="M146" s="102">
        <v>0</v>
      </c>
      <c r="N146" s="91" t="s">
        <v>1</v>
      </c>
      <c r="O146" s="91" t="s">
        <v>1</v>
      </c>
    </row>
    <row r="147" spans="1:15" s="84" customFormat="1" ht="12.75" x14ac:dyDescent="0.2">
      <c r="A147" s="99" t="s">
        <v>49</v>
      </c>
      <c r="B147" s="270"/>
      <c r="C147" s="100" t="s">
        <v>33</v>
      </c>
      <c r="D147" s="103">
        <v>4.17</v>
      </c>
      <c r="E147" s="107">
        <f>AVERAGE(D$18:D147)</f>
        <v>5.455905969776933</v>
      </c>
      <c r="F147" s="102">
        <v>1.6899999999999998E-2</v>
      </c>
      <c r="G147" s="102">
        <f>AVERAGE(F$18:F147)</f>
        <v>0.25311313264847252</v>
      </c>
      <c r="H147" s="102">
        <v>1E-4</v>
      </c>
      <c r="I147" s="102">
        <f>AVERAGE(H$6:H147)</f>
        <v>3.8781658112108357E-3</v>
      </c>
      <c r="J147" s="102">
        <v>1.0699999999999999E-2</v>
      </c>
      <c r="K147" s="102">
        <f>AVERAGE(J$6:J147)</f>
        <v>9.4876095453762313E-2</v>
      </c>
      <c r="L147" s="102">
        <v>0</v>
      </c>
      <c r="M147" s="102">
        <v>0</v>
      </c>
      <c r="N147" s="91" t="s">
        <v>1</v>
      </c>
      <c r="O147" s="91" t="s">
        <v>1</v>
      </c>
    </row>
    <row r="148" spans="1:15" s="84" customFormat="1" ht="12.75" x14ac:dyDescent="0.2">
      <c r="A148" s="86"/>
      <c r="B148" s="86"/>
      <c r="C148" s="86"/>
      <c r="D148" s="86"/>
      <c r="E148" s="86"/>
      <c r="F148" s="86"/>
      <c r="G148" s="86"/>
      <c r="H148" s="86"/>
      <c r="I148" s="86"/>
      <c r="J148" s="86"/>
      <c r="K148" s="86"/>
      <c r="L148" s="86"/>
      <c r="M148" s="86"/>
      <c r="N148" s="86"/>
      <c r="O148" s="86"/>
    </row>
    <row r="149" spans="1:15" s="84" customFormat="1" ht="12.75" x14ac:dyDescent="0.2">
      <c r="A149" s="81" t="s">
        <v>54</v>
      </c>
      <c r="B149" s="269" t="s">
        <v>55</v>
      </c>
      <c r="C149" s="79" t="s">
        <v>20</v>
      </c>
      <c r="D149" s="81" t="s">
        <v>1</v>
      </c>
      <c r="E149" s="88"/>
      <c r="F149" s="81" t="s">
        <v>1</v>
      </c>
      <c r="G149" s="88"/>
      <c r="H149" s="81" t="s">
        <v>1</v>
      </c>
      <c r="I149" s="88"/>
      <c r="J149" s="81" t="s">
        <v>1</v>
      </c>
      <c r="K149" s="88"/>
      <c r="L149" s="81" t="s">
        <v>1</v>
      </c>
      <c r="M149" s="88"/>
      <c r="N149" s="91" t="s">
        <v>1</v>
      </c>
      <c r="O149" s="88" t="s">
        <v>1</v>
      </c>
    </row>
    <row r="150" spans="1:15" s="84" customFormat="1" ht="12.75" x14ac:dyDescent="0.2">
      <c r="A150" s="81" t="s">
        <v>54</v>
      </c>
      <c r="B150" s="269"/>
      <c r="C150" s="79" t="s">
        <v>23</v>
      </c>
      <c r="D150" s="81" t="s">
        <v>1</v>
      </c>
      <c r="E150" s="81" t="s">
        <v>1</v>
      </c>
      <c r="F150" s="81" t="s">
        <v>1</v>
      </c>
      <c r="G150" s="81" t="s">
        <v>1</v>
      </c>
      <c r="H150" s="81" t="s">
        <v>1</v>
      </c>
      <c r="I150" s="81" t="s">
        <v>1</v>
      </c>
      <c r="J150" s="81" t="s">
        <v>1</v>
      </c>
      <c r="K150" s="81" t="s">
        <v>1</v>
      </c>
      <c r="L150" s="81" t="s">
        <v>1</v>
      </c>
      <c r="M150" s="81" t="s">
        <v>1</v>
      </c>
      <c r="N150" s="91" t="s">
        <v>1</v>
      </c>
      <c r="O150" s="91" t="s">
        <v>1</v>
      </c>
    </row>
    <row r="151" spans="1:15" s="84" customFormat="1" ht="12.75" x14ac:dyDescent="0.2">
      <c r="A151" s="81" t="s">
        <v>54</v>
      </c>
      <c r="B151" s="269"/>
      <c r="C151" s="79" t="s">
        <v>24</v>
      </c>
      <c r="D151" s="81" t="s">
        <v>1</v>
      </c>
      <c r="E151" s="81" t="s">
        <v>1</v>
      </c>
      <c r="F151" s="81" t="s">
        <v>1</v>
      </c>
      <c r="G151" s="81" t="s">
        <v>1</v>
      </c>
      <c r="H151" s="81" t="s">
        <v>1</v>
      </c>
      <c r="I151" s="81" t="s">
        <v>1</v>
      </c>
      <c r="J151" s="81" t="s">
        <v>1</v>
      </c>
      <c r="K151" s="81" t="s">
        <v>1</v>
      </c>
      <c r="L151" s="81" t="s">
        <v>1</v>
      </c>
      <c r="M151" s="81" t="s">
        <v>1</v>
      </c>
      <c r="N151" s="91" t="s">
        <v>1</v>
      </c>
      <c r="O151" s="91" t="s">
        <v>1</v>
      </c>
    </row>
    <row r="152" spans="1:15" s="84" customFormat="1" ht="12.75" x14ac:dyDescent="0.2">
      <c r="A152" s="81" t="s">
        <v>54</v>
      </c>
      <c r="B152" s="269"/>
      <c r="C152" s="79" t="s">
        <v>25</v>
      </c>
      <c r="D152" s="81" t="s">
        <v>1</v>
      </c>
      <c r="E152" s="81" t="s">
        <v>1</v>
      </c>
      <c r="F152" s="81" t="s">
        <v>1</v>
      </c>
      <c r="G152" s="81" t="s">
        <v>1</v>
      </c>
      <c r="H152" s="81" t="s">
        <v>1</v>
      </c>
      <c r="I152" s="81" t="s">
        <v>1</v>
      </c>
      <c r="J152" s="81" t="s">
        <v>1</v>
      </c>
      <c r="K152" s="81" t="s">
        <v>1</v>
      </c>
      <c r="L152" s="81" t="s">
        <v>1</v>
      </c>
      <c r="M152" s="81" t="s">
        <v>1</v>
      </c>
      <c r="N152" s="91" t="s">
        <v>1</v>
      </c>
      <c r="O152" s="91" t="s">
        <v>1</v>
      </c>
    </row>
    <row r="153" spans="1:15" s="84" customFormat="1" ht="12.75" x14ac:dyDescent="0.2">
      <c r="A153" s="81" t="s">
        <v>54</v>
      </c>
      <c r="B153" s="269"/>
      <c r="C153" s="79" t="s">
        <v>26</v>
      </c>
      <c r="D153" s="81" t="s">
        <v>1</v>
      </c>
      <c r="E153" s="81" t="s">
        <v>1</v>
      </c>
      <c r="F153" s="81" t="s">
        <v>1</v>
      </c>
      <c r="G153" s="81" t="s">
        <v>1</v>
      </c>
      <c r="H153" s="81" t="s">
        <v>1</v>
      </c>
      <c r="I153" s="81" t="s">
        <v>1</v>
      </c>
      <c r="J153" s="81" t="s">
        <v>1</v>
      </c>
      <c r="K153" s="81" t="s">
        <v>1</v>
      </c>
      <c r="L153" s="81" t="s">
        <v>1</v>
      </c>
      <c r="M153" s="81" t="s">
        <v>1</v>
      </c>
      <c r="N153" s="91" t="s">
        <v>1</v>
      </c>
      <c r="O153" s="91" t="s">
        <v>1</v>
      </c>
    </row>
    <row r="154" spans="1:15" s="84" customFormat="1" ht="12.75" x14ac:dyDescent="0.2">
      <c r="A154" s="81" t="s">
        <v>54</v>
      </c>
      <c r="B154" s="269"/>
      <c r="C154" s="79" t="s">
        <v>27</v>
      </c>
      <c r="D154" s="81" t="s">
        <v>1</v>
      </c>
      <c r="E154" s="81" t="s">
        <v>1</v>
      </c>
      <c r="F154" s="81" t="s">
        <v>1</v>
      </c>
      <c r="G154" s="81" t="s">
        <v>1</v>
      </c>
      <c r="H154" s="81" t="s">
        <v>1</v>
      </c>
      <c r="I154" s="81" t="s">
        <v>1</v>
      </c>
      <c r="J154" s="81" t="s">
        <v>1</v>
      </c>
      <c r="K154" s="81" t="s">
        <v>1</v>
      </c>
      <c r="L154" s="81" t="s">
        <v>1</v>
      </c>
      <c r="M154" s="81" t="s">
        <v>1</v>
      </c>
      <c r="N154" s="91" t="s">
        <v>1</v>
      </c>
      <c r="O154" s="91" t="s">
        <v>1</v>
      </c>
    </row>
    <row r="155" spans="1:15" s="84" customFormat="1" ht="12.75" x14ac:dyDescent="0.2">
      <c r="A155" s="81" t="s">
        <v>54</v>
      </c>
      <c r="B155" s="269"/>
      <c r="C155" s="79" t="s">
        <v>28</v>
      </c>
      <c r="D155" s="81" t="s">
        <v>1</v>
      </c>
      <c r="E155" s="81" t="s">
        <v>1</v>
      </c>
      <c r="F155" s="81" t="s">
        <v>1</v>
      </c>
      <c r="G155" s="81" t="s">
        <v>1</v>
      </c>
      <c r="H155" s="81" t="s">
        <v>1</v>
      </c>
      <c r="I155" s="81" t="s">
        <v>1</v>
      </c>
      <c r="J155" s="81" t="s">
        <v>1</v>
      </c>
      <c r="K155" s="81" t="s">
        <v>1</v>
      </c>
      <c r="L155" s="81" t="s">
        <v>1</v>
      </c>
      <c r="M155" s="81" t="s">
        <v>1</v>
      </c>
      <c r="N155" s="91" t="s">
        <v>1</v>
      </c>
      <c r="O155" s="91" t="s">
        <v>1</v>
      </c>
    </row>
    <row r="156" spans="1:15" s="84" customFormat="1" ht="12.75" x14ac:dyDescent="0.2">
      <c r="A156" s="81" t="s">
        <v>54</v>
      </c>
      <c r="B156" s="269"/>
      <c r="C156" s="79" t="s">
        <v>29</v>
      </c>
      <c r="D156" s="81" t="s">
        <v>1</v>
      </c>
      <c r="E156" s="81" t="s">
        <v>1</v>
      </c>
      <c r="F156" s="81" t="s">
        <v>1</v>
      </c>
      <c r="G156" s="81" t="s">
        <v>1</v>
      </c>
      <c r="H156" s="81" t="s">
        <v>1</v>
      </c>
      <c r="I156" s="81" t="s">
        <v>1</v>
      </c>
      <c r="J156" s="81" t="s">
        <v>1</v>
      </c>
      <c r="K156" s="81" t="s">
        <v>1</v>
      </c>
      <c r="L156" s="81" t="s">
        <v>1</v>
      </c>
      <c r="M156" s="81" t="s">
        <v>1</v>
      </c>
      <c r="N156" s="91" t="s">
        <v>1</v>
      </c>
      <c r="O156" s="91" t="s">
        <v>1</v>
      </c>
    </row>
    <row r="157" spans="1:15" s="84" customFormat="1" ht="12.75" x14ac:dyDescent="0.2">
      <c r="A157" s="81" t="s">
        <v>54</v>
      </c>
      <c r="B157" s="269"/>
      <c r="C157" s="79" t="s">
        <v>30</v>
      </c>
      <c r="D157" s="81" t="s">
        <v>1</v>
      </c>
      <c r="E157" s="81" t="s">
        <v>1</v>
      </c>
      <c r="F157" s="81" t="s">
        <v>1</v>
      </c>
      <c r="G157" s="81" t="s">
        <v>1</v>
      </c>
      <c r="H157" s="81" t="s">
        <v>1</v>
      </c>
      <c r="I157" s="81" t="s">
        <v>1</v>
      </c>
      <c r="J157" s="81" t="s">
        <v>1</v>
      </c>
      <c r="K157" s="81" t="s">
        <v>1</v>
      </c>
      <c r="L157" s="81" t="s">
        <v>1</v>
      </c>
      <c r="M157" s="81" t="s">
        <v>1</v>
      </c>
      <c r="N157" s="91" t="s">
        <v>1</v>
      </c>
      <c r="O157" s="91" t="s">
        <v>1</v>
      </c>
    </row>
    <row r="158" spans="1:15" s="84" customFormat="1" ht="12.75" x14ac:dyDescent="0.2">
      <c r="A158" s="81" t="s">
        <v>54</v>
      </c>
      <c r="B158" s="269"/>
      <c r="C158" s="79" t="s">
        <v>31</v>
      </c>
      <c r="D158" s="81" t="s">
        <v>1</v>
      </c>
      <c r="E158" s="81" t="s">
        <v>1</v>
      </c>
      <c r="F158" s="81" t="s">
        <v>1</v>
      </c>
      <c r="G158" s="81" t="s">
        <v>1</v>
      </c>
      <c r="H158" s="81" t="s">
        <v>1</v>
      </c>
      <c r="I158" s="81" t="s">
        <v>1</v>
      </c>
      <c r="J158" s="81" t="s">
        <v>1</v>
      </c>
      <c r="K158" s="81" t="s">
        <v>1</v>
      </c>
      <c r="L158" s="81" t="s">
        <v>1</v>
      </c>
      <c r="M158" s="81" t="s">
        <v>1</v>
      </c>
      <c r="N158" s="91" t="s">
        <v>1</v>
      </c>
      <c r="O158" s="91" t="s">
        <v>1</v>
      </c>
    </row>
    <row r="159" spans="1:15" s="84" customFormat="1" ht="12.75" x14ac:dyDescent="0.2">
      <c r="A159" s="81" t="s">
        <v>54</v>
      </c>
      <c r="B159" s="269"/>
      <c r="C159" s="79" t="s">
        <v>32</v>
      </c>
      <c r="D159" s="81" t="s">
        <v>1</v>
      </c>
      <c r="E159" s="81" t="s">
        <v>1</v>
      </c>
      <c r="F159" s="81" t="s">
        <v>1</v>
      </c>
      <c r="G159" s="81" t="s">
        <v>1</v>
      </c>
      <c r="H159" s="81" t="s">
        <v>1</v>
      </c>
      <c r="I159" s="81" t="s">
        <v>1</v>
      </c>
      <c r="J159" s="81" t="s">
        <v>1</v>
      </c>
      <c r="K159" s="81" t="s">
        <v>1</v>
      </c>
      <c r="L159" s="81" t="s">
        <v>1</v>
      </c>
      <c r="M159" s="81" t="s">
        <v>1</v>
      </c>
      <c r="N159" s="91" t="s">
        <v>1</v>
      </c>
      <c r="O159" s="91" t="s">
        <v>1</v>
      </c>
    </row>
    <row r="160" spans="1:15" s="84" customFormat="1" ht="12.75" x14ac:dyDescent="0.2">
      <c r="A160" s="81" t="s">
        <v>54</v>
      </c>
      <c r="B160" s="269"/>
      <c r="C160" s="79" t="s">
        <v>33</v>
      </c>
      <c r="D160" s="81" t="s">
        <v>1</v>
      </c>
      <c r="E160" s="81" t="s">
        <v>1</v>
      </c>
      <c r="F160" s="81" t="s">
        <v>1</v>
      </c>
      <c r="G160" s="81" t="s">
        <v>1</v>
      </c>
      <c r="H160" s="81" t="s">
        <v>1</v>
      </c>
      <c r="I160" s="81" t="s">
        <v>1</v>
      </c>
      <c r="J160" s="81" t="s">
        <v>1</v>
      </c>
      <c r="K160" s="81" t="s">
        <v>1</v>
      </c>
      <c r="L160" s="81" t="s">
        <v>1</v>
      </c>
      <c r="M160" s="81" t="s">
        <v>1</v>
      </c>
      <c r="N160" s="91" t="s">
        <v>1</v>
      </c>
      <c r="O160" s="91" t="s">
        <v>1</v>
      </c>
    </row>
    <row r="161" spans="1:15" s="84" customFormat="1" ht="12.75" x14ac:dyDescent="0.2">
      <c r="A161" s="86"/>
      <c r="B161" s="86"/>
      <c r="C161" s="86"/>
      <c r="D161" s="86"/>
      <c r="E161" s="86"/>
      <c r="F161" s="86"/>
      <c r="G161" s="86"/>
      <c r="H161" s="86"/>
      <c r="I161" s="86"/>
      <c r="J161" s="86"/>
      <c r="K161" s="86"/>
      <c r="L161" s="86"/>
      <c r="M161" s="86"/>
      <c r="N161" s="86"/>
      <c r="O161" s="86"/>
    </row>
    <row r="162" spans="1:15" s="84" customFormat="1" ht="12.75" x14ac:dyDescent="0.2">
      <c r="A162" s="81" t="s">
        <v>56</v>
      </c>
      <c r="B162" s="269" t="s">
        <v>57</v>
      </c>
      <c r="C162" s="79" t="s">
        <v>20</v>
      </c>
      <c r="D162" s="81" t="s">
        <v>1</v>
      </c>
      <c r="E162" s="88"/>
      <c r="F162" s="81" t="s">
        <v>1</v>
      </c>
      <c r="G162" s="88"/>
      <c r="H162" s="81" t="s">
        <v>1</v>
      </c>
      <c r="I162" s="88"/>
      <c r="J162" s="81" t="s">
        <v>1</v>
      </c>
      <c r="K162" s="88"/>
      <c r="L162" s="81" t="s">
        <v>1</v>
      </c>
      <c r="M162" s="88"/>
      <c r="N162" s="91" t="s">
        <v>1</v>
      </c>
      <c r="O162" s="88" t="s">
        <v>1</v>
      </c>
    </row>
    <row r="163" spans="1:15" s="84" customFormat="1" ht="12.75" x14ac:dyDescent="0.2">
      <c r="A163" s="81" t="s">
        <v>56</v>
      </c>
      <c r="B163" s="269"/>
      <c r="C163" s="79" t="s">
        <v>23</v>
      </c>
      <c r="D163" s="81" t="s">
        <v>1</v>
      </c>
      <c r="E163" s="81" t="s">
        <v>1</v>
      </c>
      <c r="F163" s="81" t="s">
        <v>1</v>
      </c>
      <c r="G163" s="81" t="s">
        <v>1</v>
      </c>
      <c r="H163" s="81" t="s">
        <v>1</v>
      </c>
      <c r="I163" s="81" t="s">
        <v>1</v>
      </c>
      <c r="J163" s="81" t="s">
        <v>1</v>
      </c>
      <c r="K163" s="81" t="s">
        <v>1</v>
      </c>
      <c r="L163" s="81" t="s">
        <v>1</v>
      </c>
      <c r="M163" s="81" t="s">
        <v>1</v>
      </c>
      <c r="N163" s="91" t="s">
        <v>1</v>
      </c>
      <c r="O163" s="91" t="s">
        <v>1</v>
      </c>
    </row>
    <row r="164" spans="1:15" s="84" customFormat="1" ht="12.75" x14ac:dyDescent="0.2">
      <c r="A164" s="81" t="s">
        <v>56</v>
      </c>
      <c r="B164" s="269"/>
      <c r="C164" s="79" t="s">
        <v>24</v>
      </c>
      <c r="D164" s="81" t="s">
        <v>1</v>
      </c>
      <c r="E164" s="81" t="s">
        <v>1</v>
      </c>
      <c r="F164" s="81" t="s">
        <v>1</v>
      </c>
      <c r="G164" s="81" t="s">
        <v>1</v>
      </c>
      <c r="H164" s="81" t="s">
        <v>1</v>
      </c>
      <c r="I164" s="81" t="s">
        <v>1</v>
      </c>
      <c r="J164" s="81" t="s">
        <v>1</v>
      </c>
      <c r="K164" s="81" t="s">
        <v>1</v>
      </c>
      <c r="L164" s="81" t="s">
        <v>1</v>
      </c>
      <c r="M164" s="81" t="s">
        <v>1</v>
      </c>
      <c r="N164" s="91" t="s">
        <v>1</v>
      </c>
      <c r="O164" s="91" t="s">
        <v>1</v>
      </c>
    </row>
    <row r="165" spans="1:15" s="84" customFormat="1" ht="12.75" x14ac:dyDescent="0.2">
      <c r="A165" s="81" t="s">
        <v>56</v>
      </c>
      <c r="B165" s="269"/>
      <c r="C165" s="79" t="s">
        <v>25</v>
      </c>
      <c r="D165" s="81" t="s">
        <v>1</v>
      </c>
      <c r="E165" s="81" t="s">
        <v>1</v>
      </c>
      <c r="F165" s="81" t="s">
        <v>1</v>
      </c>
      <c r="G165" s="81" t="s">
        <v>1</v>
      </c>
      <c r="H165" s="81" t="s">
        <v>1</v>
      </c>
      <c r="I165" s="81" t="s">
        <v>1</v>
      </c>
      <c r="J165" s="81" t="s">
        <v>1</v>
      </c>
      <c r="K165" s="81" t="s">
        <v>1</v>
      </c>
      <c r="L165" s="81" t="s">
        <v>1</v>
      </c>
      <c r="M165" s="81" t="s">
        <v>1</v>
      </c>
      <c r="N165" s="91" t="s">
        <v>1</v>
      </c>
      <c r="O165" s="91" t="s">
        <v>1</v>
      </c>
    </row>
    <row r="166" spans="1:15" s="84" customFormat="1" ht="12.75" x14ac:dyDescent="0.2">
      <c r="A166" s="81" t="s">
        <v>56</v>
      </c>
      <c r="B166" s="269"/>
      <c r="C166" s="79" t="s">
        <v>26</v>
      </c>
      <c r="D166" s="81" t="s">
        <v>1</v>
      </c>
      <c r="E166" s="81" t="s">
        <v>1</v>
      </c>
      <c r="F166" s="81" t="s">
        <v>1</v>
      </c>
      <c r="G166" s="81" t="s">
        <v>1</v>
      </c>
      <c r="H166" s="81" t="s">
        <v>1</v>
      </c>
      <c r="I166" s="81" t="s">
        <v>1</v>
      </c>
      <c r="J166" s="81" t="s">
        <v>1</v>
      </c>
      <c r="K166" s="81" t="s">
        <v>1</v>
      </c>
      <c r="L166" s="81" t="s">
        <v>1</v>
      </c>
      <c r="M166" s="81" t="s">
        <v>1</v>
      </c>
      <c r="N166" s="91" t="s">
        <v>1</v>
      </c>
      <c r="O166" s="91" t="s">
        <v>1</v>
      </c>
    </row>
    <row r="167" spans="1:15" s="84" customFormat="1" ht="12.75" x14ac:dyDescent="0.2">
      <c r="A167" s="81" t="s">
        <v>56</v>
      </c>
      <c r="B167" s="269"/>
      <c r="C167" s="79" t="s">
        <v>27</v>
      </c>
      <c r="D167" s="81" t="s">
        <v>1</v>
      </c>
      <c r="E167" s="81" t="s">
        <v>1</v>
      </c>
      <c r="F167" s="81" t="s">
        <v>1</v>
      </c>
      <c r="G167" s="81" t="s">
        <v>1</v>
      </c>
      <c r="H167" s="81" t="s">
        <v>1</v>
      </c>
      <c r="I167" s="81" t="s">
        <v>1</v>
      </c>
      <c r="J167" s="81" t="s">
        <v>1</v>
      </c>
      <c r="K167" s="81" t="s">
        <v>1</v>
      </c>
      <c r="L167" s="81" t="s">
        <v>1</v>
      </c>
      <c r="M167" s="81" t="s">
        <v>1</v>
      </c>
      <c r="N167" s="91" t="s">
        <v>1</v>
      </c>
      <c r="O167" s="91" t="s">
        <v>1</v>
      </c>
    </row>
    <row r="168" spans="1:15" s="84" customFormat="1" ht="12.75" x14ac:dyDescent="0.2">
      <c r="A168" s="81" t="s">
        <v>56</v>
      </c>
      <c r="B168" s="269"/>
      <c r="C168" s="79" t="s">
        <v>28</v>
      </c>
      <c r="D168" s="81" t="s">
        <v>1</v>
      </c>
      <c r="E168" s="81" t="s">
        <v>1</v>
      </c>
      <c r="F168" s="81" t="s">
        <v>1</v>
      </c>
      <c r="G168" s="81" t="s">
        <v>1</v>
      </c>
      <c r="H168" s="81" t="s">
        <v>1</v>
      </c>
      <c r="I168" s="81" t="s">
        <v>1</v>
      </c>
      <c r="J168" s="81" t="s">
        <v>1</v>
      </c>
      <c r="K168" s="81" t="s">
        <v>1</v>
      </c>
      <c r="L168" s="81" t="s">
        <v>1</v>
      </c>
      <c r="M168" s="81" t="s">
        <v>1</v>
      </c>
      <c r="N168" s="91" t="s">
        <v>1</v>
      </c>
      <c r="O168" s="91" t="s">
        <v>1</v>
      </c>
    </row>
    <row r="169" spans="1:15" s="84" customFormat="1" ht="12.75" x14ac:dyDescent="0.2">
      <c r="A169" s="81" t="s">
        <v>56</v>
      </c>
      <c r="B169" s="269"/>
      <c r="C169" s="79" t="s">
        <v>29</v>
      </c>
      <c r="D169" s="81" t="s">
        <v>1</v>
      </c>
      <c r="E169" s="81" t="s">
        <v>1</v>
      </c>
      <c r="F169" s="81" t="s">
        <v>1</v>
      </c>
      <c r="G169" s="81" t="s">
        <v>1</v>
      </c>
      <c r="H169" s="81" t="s">
        <v>1</v>
      </c>
      <c r="I169" s="81" t="s">
        <v>1</v>
      </c>
      <c r="J169" s="81" t="s">
        <v>1</v>
      </c>
      <c r="K169" s="81" t="s">
        <v>1</v>
      </c>
      <c r="L169" s="81" t="s">
        <v>1</v>
      </c>
      <c r="M169" s="81" t="s">
        <v>1</v>
      </c>
      <c r="N169" s="91" t="s">
        <v>1</v>
      </c>
      <c r="O169" s="91" t="s">
        <v>1</v>
      </c>
    </row>
    <row r="170" spans="1:15" s="84" customFormat="1" ht="12.75" x14ac:dyDescent="0.2">
      <c r="A170" s="81" t="s">
        <v>56</v>
      </c>
      <c r="B170" s="269"/>
      <c r="C170" s="79" t="s">
        <v>30</v>
      </c>
      <c r="D170" s="81" t="s">
        <v>1</v>
      </c>
      <c r="E170" s="81" t="s">
        <v>1</v>
      </c>
      <c r="F170" s="81" t="s">
        <v>1</v>
      </c>
      <c r="G170" s="81" t="s">
        <v>1</v>
      </c>
      <c r="H170" s="81" t="s">
        <v>1</v>
      </c>
      <c r="I170" s="81" t="s">
        <v>1</v>
      </c>
      <c r="J170" s="81" t="s">
        <v>1</v>
      </c>
      <c r="K170" s="81" t="s">
        <v>1</v>
      </c>
      <c r="L170" s="81" t="s">
        <v>1</v>
      </c>
      <c r="M170" s="81" t="s">
        <v>1</v>
      </c>
      <c r="N170" s="91" t="s">
        <v>1</v>
      </c>
      <c r="O170" s="91" t="s">
        <v>1</v>
      </c>
    </row>
    <row r="171" spans="1:15" s="84" customFormat="1" ht="12.75" x14ac:dyDescent="0.2">
      <c r="A171" s="81" t="s">
        <v>56</v>
      </c>
      <c r="B171" s="269"/>
      <c r="C171" s="79" t="s">
        <v>31</v>
      </c>
      <c r="D171" s="81" t="s">
        <v>1</v>
      </c>
      <c r="E171" s="81" t="s">
        <v>1</v>
      </c>
      <c r="F171" s="81" t="s">
        <v>1</v>
      </c>
      <c r="G171" s="81" t="s">
        <v>1</v>
      </c>
      <c r="H171" s="81" t="s">
        <v>1</v>
      </c>
      <c r="I171" s="81" t="s">
        <v>1</v>
      </c>
      <c r="J171" s="81" t="s">
        <v>1</v>
      </c>
      <c r="K171" s="81" t="s">
        <v>1</v>
      </c>
      <c r="L171" s="81" t="s">
        <v>1</v>
      </c>
      <c r="M171" s="81" t="s">
        <v>1</v>
      </c>
      <c r="N171" s="91" t="s">
        <v>1</v>
      </c>
      <c r="O171" s="91" t="s">
        <v>1</v>
      </c>
    </row>
    <row r="172" spans="1:15" s="84" customFormat="1" ht="12.75" x14ac:dyDescent="0.2">
      <c r="A172" s="81" t="s">
        <v>56</v>
      </c>
      <c r="B172" s="269"/>
      <c r="C172" s="79" t="s">
        <v>32</v>
      </c>
      <c r="D172" s="81" t="s">
        <v>1</v>
      </c>
      <c r="E172" s="81" t="s">
        <v>1</v>
      </c>
      <c r="F172" s="81" t="s">
        <v>1</v>
      </c>
      <c r="G172" s="81" t="s">
        <v>1</v>
      </c>
      <c r="H172" s="81" t="s">
        <v>1</v>
      </c>
      <c r="I172" s="81" t="s">
        <v>1</v>
      </c>
      <c r="J172" s="81" t="s">
        <v>1</v>
      </c>
      <c r="K172" s="81" t="s">
        <v>1</v>
      </c>
      <c r="L172" s="81" t="s">
        <v>1</v>
      </c>
      <c r="M172" s="81" t="s">
        <v>1</v>
      </c>
      <c r="N172" s="91" t="s">
        <v>1</v>
      </c>
      <c r="O172" s="91" t="s">
        <v>1</v>
      </c>
    </row>
    <row r="173" spans="1:15" s="84" customFormat="1" ht="12.75" x14ac:dyDescent="0.2">
      <c r="A173" s="81" t="s">
        <v>56</v>
      </c>
      <c r="B173" s="269"/>
      <c r="C173" s="79" t="s">
        <v>33</v>
      </c>
      <c r="D173" s="81" t="s">
        <v>1</v>
      </c>
      <c r="E173" s="81" t="s">
        <v>1</v>
      </c>
      <c r="F173" s="81" t="s">
        <v>1</v>
      </c>
      <c r="G173" s="81" t="s">
        <v>1</v>
      </c>
      <c r="H173" s="81" t="s">
        <v>1</v>
      </c>
      <c r="I173" s="81" t="s">
        <v>1</v>
      </c>
      <c r="J173" s="81" t="s">
        <v>1</v>
      </c>
      <c r="K173" s="81" t="s">
        <v>1</v>
      </c>
      <c r="L173" s="81" t="s">
        <v>1</v>
      </c>
      <c r="M173" s="81" t="s">
        <v>1</v>
      </c>
      <c r="N173" s="91" t="s">
        <v>1</v>
      </c>
      <c r="O173" s="91" t="s">
        <v>1</v>
      </c>
    </row>
    <row r="174" spans="1:15" s="84" customFormat="1" ht="12.75" x14ac:dyDescent="0.2">
      <c r="A174" s="86"/>
      <c r="B174" s="86"/>
      <c r="C174" s="86"/>
      <c r="D174" s="86"/>
      <c r="E174" s="86"/>
      <c r="F174" s="86"/>
      <c r="G174" s="86"/>
      <c r="H174" s="86"/>
      <c r="I174" s="86"/>
      <c r="J174" s="86"/>
      <c r="K174" s="86"/>
      <c r="L174" s="86"/>
      <c r="M174" s="86"/>
      <c r="N174" s="86"/>
      <c r="O174" s="86"/>
    </row>
    <row r="175" spans="1:15" s="84" customFormat="1" ht="12.75" x14ac:dyDescent="0.2">
      <c r="A175" s="81" t="s">
        <v>56</v>
      </c>
      <c r="B175" s="269" t="s">
        <v>58</v>
      </c>
      <c r="C175" s="79" t="s">
        <v>20</v>
      </c>
      <c r="D175" s="81" t="s">
        <v>1</v>
      </c>
      <c r="E175" s="88"/>
      <c r="F175" s="81" t="s">
        <v>1</v>
      </c>
      <c r="G175" s="88"/>
      <c r="H175" s="81" t="s">
        <v>1</v>
      </c>
      <c r="I175" s="88"/>
      <c r="J175" s="81" t="s">
        <v>1</v>
      </c>
      <c r="K175" s="88"/>
      <c r="L175" s="81" t="s">
        <v>1</v>
      </c>
      <c r="M175" s="88"/>
      <c r="N175" s="91" t="s">
        <v>1</v>
      </c>
      <c r="O175" s="88" t="s">
        <v>1</v>
      </c>
    </row>
    <row r="176" spans="1:15" s="84" customFormat="1" ht="12.75" x14ac:dyDescent="0.2">
      <c r="A176" s="81" t="s">
        <v>56</v>
      </c>
      <c r="B176" s="269"/>
      <c r="C176" s="79" t="s">
        <v>23</v>
      </c>
      <c r="D176" s="81" t="s">
        <v>1</v>
      </c>
      <c r="E176" s="81" t="s">
        <v>1</v>
      </c>
      <c r="F176" s="81" t="s">
        <v>1</v>
      </c>
      <c r="G176" s="81" t="s">
        <v>1</v>
      </c>
      <c r="H176" s="81" t="s">
        <v>1</v>
      </c>
      <c r="I176" s="81" t="s">
        <v>1</v>
      </c>
      <c r="J176" s="81" t="s">
        <v>1</v>
      </c>
      <c r="K176" s="81" t="s">
        <v>1</v>
      </c>
      <c r="L176" s="81" t="s">
        <v>1</v>
      </c>
      <c r="M176" s="81" t="s">
        <v>1</v>
      </c>
      <c r="N176" s="91" t="s">
        <v>1</v>
      </c>
      <c r="O176" s="91" t="s">
        <v>1</v>
      </c>
    </row>
    <row r="177" spans="1:15" s="84" customFormat="1" ht="12.75" x14ac:dyDescent="0.2">
      <c r="A177" s="81" t="s">
        <v>56</v>
      </c>
      <c r="B177" s="269"/>
      <c r="C177" s="79" t="s">
        <v>24</v>
      </c>
      <c r="D177" s="81" t="s">
        <v>1</v>
      </c>
      <c r="E177" s="81" t="s">
        <v>1</v>
      </c>
      <c r="F177" s="81" t="s">
        <v>1</v>
      </c>
      <c r="G177" s="81" t="s">
        <v>1</v>
      </c>
      <c r="H177" s="81" t="s">
        <v>1</v>
      </c>
      <c r="I177" s="81" t="s">
        <v>1</v>
      </c>
      <c r="J177" s="81" t="s">
        <v>1</v>
      </c>
      <c r="K177" s="81" t="s">
        <v>1</v>
      </c>
      <c r="L177" s="81" t="s">
        <v>1</v>
      </c>
      <c r="M177" s="81" t="s">
        <v>1</v>
      </c>
      <c r="N177" s="91" t="s">
        <v>1</v>
      </c>
      <c r="O177" s="91" t="s">
        <v>1</v>
      </c>
    </row>
    <row r="178" spans="1:15" s="84" customFormat="1" ht="12.75" x14ac:dyDescent="0.2">
      <c r="A178" s="81" t="s">
        <v>56</v>
      </c>
      <c r="B178" s="269"/>
      <c r="C178" s="79" t="s">
        <v>25</v>
      </c>
      <c r="D178" s="81" t="s">
        <v>1</v>
      </c>
      <c r="E178" s="81" t="s">
        <v>1</v>
      </c>
      <c r="F178" s="81" t="s">
        <v>1</v>
      </c>
      <c r="G178" s="81" t="s">
        <v>1</v>
      </c>
      <c r="H178" s="81" t="s">
        <v>1</v>
      </c>
      <c r="I178" s="81" t="s">
        <v>1</v>
      </c>
      <c r="J178" s="81" t="s">
        <v>1</v>
      </c>
      <c r="K178" s="81" t="s">
        <v>1</v>
      </c>
      <c r="L178" s="81" t="s">
        <v>1</v>
      </c>
      <c r="M178" s="81" t="s">
        <v>1</v>
      </c>
      <c r="N178" s="91" t="s">
        <v>1</v>
      </c>
      <c r="O178" s="91" t="s">
        <v>1</v>
      </c>
    </row>
    <row r="179" spans="1:15" s="84" customFormat="1" ht="12.75" x14ac:dyDescent="0.2">
      <c r="A179" s="81" t="s">
        <v>56</v>
      </c>
      <c r="B179" s="269"/>
      <c r="C179" s="79" t="s">
        <v>26</v>
      </c>
      <c r="D179" s="81" t="s">
        <v>1</v>
      </c>
      <c r="E179" s="81" t="s">
        <v>1</v>
      </c>
      <c r="F179" s="81" t="s">
        <v>1</v>
      </c>
      <c r="G179" s="81" t="s">
        <v>1</v>
      </c>
      <c r="H179" s="81" t="s">
        <v>1</v>
      </c>
      <c r="I179" s="81" t="s">
        <v>1</v>
      </c>
      <c r="J179" s="81" t="s">
        <v>1</v>
      </c>
      <c r="K179" s="81" t="s">
        <v>1</v>
      </c>
      <c r="L179" s="81" t="s">
        <v>1</v>
      </c>
      <c r="M179" s="81" t="s">
        <v>1</v>
      </c>
      <c r="N179" s="91" t="s">
        <v>1</v>
      </c>
      <c r="O179" s="91" t="s">
        <v>1</v>
      </c>
    </row>
    <row r="180" spans="1:15" s="84" customFormat="1" ht="12.75" x14ac:dyDescent="0.2">
      <c r="A180" s="81" t="s">
        <v>56</v>
      </c>
      <c r="B180" s="269"/>
      <c r="C180" s="79" t="s">
        <v>27</v>
      </c>
      <c r="D180" s="81" t="s">
        <v>1</v>
      </c>
      <c r="E180" s="81" t="s">
        <v>1</v>
      </c>
      <c r="F180" s="81" t="s">
        <v>1</v>
      </c>
      <c r="G180" s="81" t="s">
        <v>1</v>
      </c>
      <c r="H180" s="81" t="s">
        <v>1</v>
      </c>
      <c r="I180" s="81" t="s">
        <v>1</v>
      </c>
      <c r="J180" s="81" t="s">
        <v>1</v>
      </c>
      <c r="K180" s="81" t="s">
        <v>1</v>
      </c>
      <c r="L180" s="81" t="s">
        <v>1</v>
      </c>
      <c r="M180" s="81" t="s">
        <v>1</v>
      </c>
      <c r="N180" s="91" t="s">
        <v>1</v>
      </c>
      <c r="O180" s="91" t="s">
        <v>1</v>
      </c>
    </row>
    <row r="181" spans="1:15" s="84" customFormat="1" ht="12.75" x14ac:dyDescent="0.2">
      <c r="A181" s="81" t="s">
        <v>56</v>
      </c>
      <c r="B181" s="269"/>
      <c r="C181" s="79" t="s">
        <v>28</v>
      </c>
      <c r="D181" s="81" t="s">
        <v>1</v>
      </c>
      <c r="E181" s="81" t="s">
        <v>1</v>
      </c>
      <c r="F181" s="81" t="s">
        <v>1</v>
      </c>
      <c r="G181" s="81" t="s">
        <v>1</v>
      </c>
      <c r="H181" s="81" t="s">
        <v>1</v>
      </c>
      <c r="I181" s="81" t="s">
        <v>1</v>
      </c>
      <c r="J181" s="81" t="s">
        <v>1</v>
      </c>
      <c r="K181" s="81" t="s">
        <v>1</v>
      </c>
      <c r="L181" s="81" t="s">
        <v>1</v>
      </c>
      <c r="M181" s="81" t="s">
        <v>1</v>
      </c>
      <c r="N181" s="91" t="s">
        <v>1</v>
      </c>
      <c r="O181" s="91" t="s">
        <v>1</v>
      </c>
    </row>
    <row r="182" spans="1:15" s="84" customFormat="1" ht="12.75" x14ac:dyDescent="0.2">
      <c r="A182" s="81" t="s">
        <v>56</v>
      </c>
      <c r="B182" s="269"/>
      <c r="C182" s="79" t="s">
        <v>29</v>
      </c>
      <c r="D182" s="81" t="s">
        <v>1</v>
      </c>
      <c r="E182" s="81" t="s">
        <v>1</v>
      </c>
      <c r="F182" s="81" t="s">
        <v>1</v>
      </c>
      <c r="G182" s="81" t="s">
        <v>1</v>
      </c>
      <c r="H182" s="81" t="s">
        <v>1</v>
      </c>
      <c r="I182" s="81" t="s">
        <v>1</v>
      </c>
      <c r="J182" s="81" t="s">
        <v>1</v>
      </c>
      <c r="K182" s="81" t="s">
        <v>1</v>
      </c>
      <c r="L182" s="81" t="s">
        <v>1</v>
      </c>
      <c r="M182" s="81" t="s">
        <v>1</v>
      </c>
      <c r="N182" s="91" t="s">
        <v>1</v>
      </c>
      <c r="O182" s="91" t="s">
        <v>1</v>
      </c>
    </row>
    <row r="183" spans="1:15" s="84" customFormat="1" ht="12.75" x14ac:dyDescent="0.2">
      <c r="A183" s="81" t="s">
        <v>56</v>
      </c>
      <c r="B183" s="269"/>
      <c r="C183" s="79" t="s">
        <v>30</v>
      </c>
      <c r="D183" s="81" t="s">
        <v>1</v>
      </c>
      <c r="E183" s="81" t="s">
        <v>1</v>
      </c>
      <c r="F183" s="81" t="s">
        <v>1</v>
      </c>
      <c r="G183" s="81" t="s">
        <v>1</v>
      </c>
      <c r="H183" s="81" t="s">
        <v>1</v>
      </c>
      <c r="I183" s="81" t="s">
        <v>1</v>
      </c>
      <c r="J183" s="81" t="s">
        <v>1</v>
      </c>
      <c r="K183" s="81" t="s">
        <v>1</v>
      </c>
      <c r="L183" s="81" t="s">
        <v>1</v>
      </c>
      <c r="M183" s="81" t="s">
        <v>1</v>
      </c>
      <c r="N183" s="91" t="s">
        <v>1</v>
      </c>
      <c r="O183" s="91" t="s">
        <v>1</v>
      </c>
    </row>
    <row r="184" spans="1:15" s="84" customFormat="1" ht="12.75" x14ac:dyDescent="0.2">
      <c r="A184" s="81" t="s">
        <v>56</v>
      </c>
      <c r="B184" s="269"/>
      <c r="C184" s="79" t="s">
        <v>31</v>
      </c>
      <c r="D184" s="81" t="s">
        <v>1</v>
      </c>
      <c r="E184" s="81" t="s">
        <v>1</v>
      </c>
      <c r="F184" s="81" t="s">
        <v>1</v>
      </c>
      <c r="G184" s="81" t="s">
        <v>1</v>
      </c>
      <c r="H184" s="81" t="s">
        <v>1</v>
      </c>
      <c r="I184" s="81" t="s">
        <v>1</v>
      </c>
      <c r="J184" s="81" t="s">
        <v>1</v>
      </c>
      <c r="K184" s="81" t="s">
        <v>1</v>
      </c>
      <c r="L184" s="81" t="s">
        <v>1</v>
      </c>
      <c r="M184" s="81" t="s">
        <v>1</v>
      </c>
      <c r="N184" s="91" t="s">
        <v>1</v>
      </c>
      <c r="O184" s="91" t="s">
        <v>1</v>
      </c>
    </row>
    <row r="185" spans="1:15" s="84" customFormat="1" ht="12.75" x14ac:dyDescent="0.2">
      <c r="A185" s="81" t="s">
        <v>56</v>
      </c>
      <c r="B185" s="269"/>
      <c r="C185" s="79" t="s">
        <v>32</v>
      </c>
      <c r="D185" s="81" t="s">
        <v>1</v>
      </c>
      <c r="E185" s="81" t="s">
        <v>1</v>
      </c>
      <c r="F185" s="81" t="s">
        <v>1</v>
      </c>
      <c r="G185" s="81" t="s">
        <v>1</v>
      </c>
      <c r="H185" s="81" t="s">
        <v>1</v>
      </c>
      <c r="I185" s="81" t="s">
        <v>1</v>
      </c>
      <c r="J185" s="81" t="s">
        <v>1</v>
      </c>
      <c r="K185" s="81" t="s">
        <v>1</v>
      </c>
      <c r="L185" s="81" t="s">
        <v>1</v>
      </c>
      <c r="M185" s="81" t="s">
        <v>1</v>
      </c>
      <c r="N185" s="91" t="s">
        <v>1</v>
      </c>
      <c r="O185" s="91" t="s">
        <v>1</v>
      </c>
    </row>
    <row r="186" spans="1:15" s="84" customFormat="1" ht="12.75" x14ac:dyDescent="0.2">
      <c r="A186" s="81" t="s">
        <v>56</v>
      </c>
      <c r="B186" s="269"/>
      <c r="C186" s="79" t="s">
        <v>33</v>
      </c>
      <c r="D186" s="81" t="s">
        <v>1</v>
      </c>
      <c r="E186" s="81" t="s">
        <v>1</v>
      </c>
      <c r="F186" s="81" t="s">
        <v>1</v>
      </c>
      <c r="G186" s="81" t="s">
        <v>1</v>
      </c>
      <c r="H186" s="81" t="s">
        <v>1</v>
      </c>
      <c r="I186" s="81" t="s">
        <v>1</v>
      </c>
      <c r="J186" s="81" t="s">
        <v>1</v>
      </c>
      <c r="K186" s="81" t="s">
        <v>1</v>
      </c>
      <c r="L186" s="81" t="s">
        <v>1</v>
      </c>
      <c r="M186" s="81" t="s">
        <v>1</v>
      </c>
      <c r="N186" s="91" t="s">
        <v>1</v>
      </c>
      <c r="O186" s="91" t="s">
        <v>1</v>
      </c>
    </row>
    <row r="187" spans="1:15" s="84" customFormat="1" ht="12.75" x14ac:dyDescent="0.2">
      <c r="A187" s="86"/>
      <c r="B187" s="86"/>
      <c r="C187" s="86"/>
      <c r="D187" s="86"/>
      <c r="E187" s="86"/>
      <c r="F187" s="86"/>
      <c r="G187" s="86"/>
      <c r="H187" s="86"/>
      <c r="I187" s="86"/>
      <c r="J187" s="86"/>
      <c r="K187" s="86"/>
      <c r="L187" s="86"/>
      <c r="M187" s="86"/>
      <c r="N187" s="86"/>
      <c r="O187" s="86"/>
    </row>
    <row r="188" spans="1:15" s="84" customFormat="1" ht="12.75" x14ac:dyDescent="0.2">
      <c r="A188" s="81" t="s">
        <v>59</v>
      </c>
      <c r="B188" s="269" t="s">
        <v>60</v>
      </c>
      <c r="C188" s="79" t="s">
        <v>20</v>
      </c>
      <c r="D188" s="81" t="s">
        <v>1</v>
      </c>
      <c r="E188" s="88"/>
      <c r="F188" s="81" t="s">
        <v>1</v>
      </c>
      <c r="G188" s="88"/>
      <c r="H188" s="81" t="s">
        <v>1</v>
      </c>
      <c r="I188" s="88"/>
      <c r="J188" s="81" t="s">
        <v>1</v>
      </c>
      <c r="K188" s="88"/>
      <c r="L188" s="81" t="s">
        <v>1</v>
      </c>
      <c r="M188" s="88"/>
      <c r="N188" s="81" t="s">
        <v>1</v>
      </c>
      <c r="O188" s="88"/>
    </row>
    <row r="189" spans="1:15" s="84" customFormat="1" ht="12.75" x14ac:dyDescent="0.2">
      <c r="A189" s="81" t="s">
        <v>59</v>
      </c>
      <c r="B189" s="269"/>
      <c r="C189" s="79" t="s">
        <v>23</v>
      </c>
      <c r="D189" s="81" t="s">
        <v>1</v>
      </c>
      <c r="E189" s="81" t="s">
        <v>1</v>
      </c>
      <c r="F189" s="81" t="s">
        <v>1</v>
      </c>
      <c r="G189" s="81" t="s">
        <v>1</v>
      </c>
      <c r="H189" s="81" t="s">
        <v>1</v>
      </c>
      <c r="I189" s="81" t="s">
        <v>1</v>
      </c>
      <c r="J189" s="81" t="s">
        <v>1</v>
      </c>
      <c r="K189" s="81" t="s">
        <v>1</v>
      </c>
      <c r="L189" s="81" t="s">
        <v>1</v>
      </c>
      <c r="M189" s="81" t="s">
        <v>1</v>
      </c>
      <c r="N189" s="81" t="s">
        <v>1</v>
      </c>
      <c r="O189" s="81" t="s">
        <v>1</v>
      </c>
    </row>
    <row r="190" spans="1:15" s="84" customFormat="1" ht="12.75" x14ac:dyDescent="0.2">
      <c r="A190" s="81" t="s">
        <v>59</v>
      </c>
      <c r="B190" s="269"/>
      <c r="C190" s="79" t="s">
        <v>24</v>
      </c>
      <c r="D190" s="81" t="s">
        <v>1</v>
      </c>
      <c r="E190" s="81" t="s">
        <v>1</v>
      </c>
      <c r="F190" s="81" t="s">
        <v>1</v>
      </c>
      <c r="G190" s="81" t="s">
        <v>1</v>
      </c>
      <c r="H190" s="81" t="s">
        <v>1</v>
      </c>
      <c r="I190" s="81" t="s">
        <v>1</v>
      </c>
      <c r="J190" s="81" t="s">
        <v>1</v>
      </c>
      <c r="K190" s="81" t="s">
        <v>1</v>
      </c>
      <c r="L190" s="81" t="s">
        <v>1</v>
      </c>
      <c r="M190" s="81" t="s">
        <v>1</v>
      </c>
      <c r="N190" s="81" t="s">
        <v>1</v>
      </c>
      <c r="O190" s="81" t="s">
        <v>1</v>
      </c>
    </row>
    <row r="191" spans="1:15" s="84" customFormat="1" ht="12.75" x14ac:dyDescent="0.2">
      <c r="A191" s="81" t="s">
        <v>59</v>
      </c>
      <c r="B191" s="269"/>
      <c r="C191" s="79" t="s">
        <v>25</v>
      </c>
      <c r="D191" s="81" t="s">
        <v>1</v>
      </c>
      <c r="E191" s="81" t="s">
        <v>1</v>
      </c>
      <c r="F191" s="81" t="s">
        <v>1</v>
      </c>
      <c r="G191" s="81" t="s">
        <v>1</v>
      </c>
      <c r="H191" s="81" t="s">
        <v>1</v>
      </c>
      <c r="I191" s="81" t="s">
        <v>1</v>
      </c>
      <c r="J191" s="81" t="s">
        <v>1</v>
      </c>
      <c r="K191" s="81" t="s">
        <v>1</v>
      </c>
      <c r="L191" s="81" t="s">
        <v>1</v>
      </c>
      <c r="M191" s="81" t="s">
        <v>1</v>
      </c>
      <c r="N191" s="81" t="s">
        <v>1</v>
      </c>
      <c r="O191" s="81" t="s">
        <v>1</v>
      </c>
    </row>
    <row r="192" spans="1:15" s="84" customFormat="1" ht="12.75" x14ac:dyDescent="0.2">
      <c r="A192" s="81" t="s">
        <v>59</v>
      </c>
      <c r="B192" s="269"/>
      <c r="C192" s="79" t="s">
        <v>26</v>
      </c>
      <c r="D192" s="81" t="s">
        <v>1</v>
      </c>
      <c r="E192" s="81" t="s">
        <v>1</v>
      </c>
      <c r="F192" s="81" t="s">
        <v>1</v>
      </c>
      <c r="G192" s="81" t="s">
        <v>1</v>
      </c>
      <c r="H192" s="81" t="s">
        <v>1</v>
      </c>
      <c r="I192" s="81" t="s">
        <v>1</v>
      </c>
      <c r="J192" s="81" t="s">
        <v>1</v>
      </c>
      <c r="K192" s="81" t="s">
        <v>1</v>
      </c>
      <c r="L192" s="81" t="s">
        <v>1</v>
      </c>
      <c r="M192" s="81" t="s">
        <v>1</v>
      </c>
      <c r="N192" s="81" t="s">
        <v>1</v>
      </c>
      <c r="O192" s="81" t="s">
        <v>1</v>
      </c>
    </row>
    <row r="193" spans="1:15" s="84" customFormat="1" ht="12.75" x14ac:dyDescent="0.2">
      <c r="A193" s="81" t="s">
        <v>59</v>
      </c>
      <c r="B193" s="269"/>
      <c r="C193" s="79" t="s">
        <v>27</v>
      </c>
      <c r="D193" s="81" t="s">
        <v>1</v>
      </c>
      <c r="E193" s="81" t="s">
        <v>1</v>
      </c>
      <c r="F193" s="81" t="s">
        <v>1</v>
      </c>
      <c r="G193" s="81" t="s">
        <v>1</v>
      </c>
      <c r="H193" s="81" t="s">
        <v>1</v>
      </c>
      <c r="I193" s="81" t="s">
        <v>1</v>
      </c>
      <c r="J193" s="81" t="s">
        <v>1</v>
      </c>
      <c r="K193" s="81" t="s">
        <v>1</v>
      </c>
      <c r="L193" s="81" t="s">
        <v>1</v>
      </c>
      <c r="M193" s="81" t="s">
        <v>1</v>
      </c>
      <c r="N193" s="81" t="s">
        <v>1</v>
      </c>
      <c r="O193" s="81" t="s">
        <v>1</v>
      </c>
    </row>
    <row r="194" spans="1:15" s="84" customFormat="1" ht="12.75" x14ac:dyDescent="0.2">
      <c r="A194" s="81" t="s">
        <v>59</v>
      </c>
      <c r="B194" s="269"/>
      <c r="C194" s="79" t="s">
        <v>28</v>
      </c>
      <c r="D194" s="81" t="s">
        <v>1</v>
      </c>
      <c r="E194" s="81" t="s">
        <v>1</v>
      </c>
      <c r="F194" s="81" t="s">
        <v>1</v>
      </c>
      <c r="G194" s="81" t="s">
        <v>1</v>
      </c>
      <c r="H194" s="81" t="s">
        <v>1</v>
      </c>
      <c r="I194" s="81" t="s">
        <v>1</v>
      </c>
      <c r="J194" s="81" t="s">
        <v>1</v>
      </c>
      <c r="K194" s="81" t="s">
        <v>1</v>
      </c>
      <c r="L194" s="81" t="s">
        <v>1</v>
      </c>
      <c r="M194" s="81" t="s">
        <v>1</v>
      </c>
      <c r="N194" s="81" t="s">
        <v>1</v>
      </c>
      <c r="O194" s="81" t="s">
        <v>1</v>
      </c>
    </row>
    <row r="195" spans="1:15" s="84" customFormat="1" ht="12.75" x14ac:dyDescent="0.2">
      <c r="A195" s="81" t="s">
        <v>59</v>
      </c>
      <c r="B195" s="269"/>
      <c r="C195" s="79" t="s">
        <v>29</v>
      </c>
      <c r="D195" s="81" t="s">
        <v>1</v>
      </c>
      <c r="E195" s="81" t="s">
        <v>1</v>
      </c>
      <c r="F195" s="81" t="s">
        <v>1</v>
      </c>
      <c r="G195" s="81" t="s">
        <v>1</v>
      </c>
      <c r="H195" s="81" t="s">
        <v>1</v>
      </c>
      <c r="I195" s="81" t="s">
        <v>1</v>
      </c>
      <c r="J195" s="81" t="s">
        <v>1</v>
      </c>
      <c r="K195" s="81" t="s">
        <v>1</v>
      </c>
      <c r="L195" s="81" t="s">
        <v>1</v>
      </c>
      <c r="M195" s="81" t="s">
        <v>1</v>
      </c>
      <c r="N195" s="81" t="s">
        <v>1</v>
      </c>
      <c r="O195" s="81" t="s">
        <v>1</v>
      </c>
    </row>
    <row r="196" spans="1:15" s="84" customFormat="1" ht="12.75" x14ac:dyDescent="0.2">
      <c r="A196" s="81" t="s">
        <v>59</v>
      </c>
      <c r="B196" s="269"/>
      <c r="C196" s="79" t="s">
        <v>30</v>
      </c>
      <c r="D196" s="81" t="s">
        <v>1</v>
      </c>
      <c r="E196" s="81" t="s">
        <v>1</v>
      </c>
      <c r="F196" s="81" t="s">
        <v>1</v>
      </c>
      <c r="G196" s="81" t="s">
        <v>1</v>
      </c>
      <c r="H196" s="81" t="s">
        <v>1</v>
      </c>
      <c r="I196" s="81" t="s">
        <v>1</v>
      </c>
      <c r="J196" s="81" t="s">
        <v>1</v>
      </c>
      <c r="K196" s="81" t="s">
        <v>1</v>
      </c>
      <c r="L196" s="81" t="s">
        <v>1</v>
      </c>
      <c r="M196" s="81" t="s">
        <v>1</v>
      </c>
      <c r="N196" s="81" t="s">
        <v>1</v>
      </c>
      <c r="O196" s="81" t="s">
        <v>1</v>
      </c>
    </row>
    <row r="197" spans="1:15" s="84" customFormat="1" ht="12.75" x14ac:dyDescent="0.2">
      <c r="A197" s="81" t="s">
        <v>59</v>
      </c>
      <c r="B197" s="269"/>
      <c r="C197" s="79" t="s">
        <v>31</v>
      </c>
      <c r="D197" s="81" t="s">
        <v>1</v>
      </c>
      <c r="E197" s="81" t="s">
        <v>1</v>
      </c>
      <c r="F197" s="81" t="s">
        <v>1</v>
      </c>
      <c r="G197" s="81" t="s">
        <v>1</v>
      </c>
      <c r="H197" s="81" t="s">
        <v>1</v>
      </c>
      <c r="I197" s="81" t="s">
        <v>1</v>
      </c>
      <c r="J197" s="81" t="s">
        <v>1</v>
      </c>
      <c r="K197" s="81" t="s">
        <v>1</v>
      </c>
      <c r="L197" s="81" t="s">
        <v>1</v>
      </c>
      <c r="M197" s="81" t="s">
        <v>1</v>
      </c>
      <c r="N197" s="81" t="s">
        <v>1</v>
      </c>
      <c r="O197" s="81" t="s">
        <v>1</v>
      </c>
    </row>
    <row r="198" spans="1:15" s="84" customFormat="1" ht="12.75" x14ac:dyDescent="0.2">
      <c r="A198" s="81" t="s">
        <v>59</v>
      </c>
      <c r="B198" s="269"/>
      <c r="C198" s="79" t="s">
        <v>32</v>
      </c>
      <c r="D198" s="81" t="s">
        <v>1</v>
      </c>
      <c r="E198" s="81" t="s">
        <v>1</v>
      </c>
      <c r="F198" s="81" t="s">
        <v>1</v>
      </c>
      <c r="G198" s="81" t="s">
        <v>1</v>
      </c>
      <c r="H198" s="81" t="s">
        <v>1</v>
      </c>
      <c r="I198" s="81" t="s">
        <v>1</v>
      </c>
      <c r="J198" s="81" t="s">
        <v>1</v>
      </c>
      <c r="K198" s="81" t="s">
        <v>1</v>
      </c>
      <c r="L198" s="81" t="s">
        <v>1</v>
      </c>
      <c r="M198" s="81" t="s">
        <v>1</v>
      </c>
      <c r="N198" s="81" t="s">
        <v>1</v>
      </c>
      <c r="O198" s="81" t="s">
        <v>1</v>
      </c>
    </row>
    <row r="199" spans="1:15" s="84" customFormat="1" ht="12.75" x14ac:dyDescent="0.2">
      <c r="A199" s="81" t="s">
        <v>59</v>
      </c>
      <c r="B199" s="269"/>
      <c r="C199" s="79" t="s">
        <v>33</v>
      </c>
      <c r="D199" s="81" t="s">
        <v>1</v>
      </c>
      <c r="E199" s="81" t="s">
        <v>1</v>
      </c>
      <c r="F199" s="81" t="s">
        <v>1</v>
      </c>
      <c r="G199" s="81" t="s">
        <v>1</v>
      </c>
      <c r="H199" s="81" t="s">
        <v>1</v>
      </c>
      <c r="I199" s="81" t="s">
        <v>1</v>
      </c>
      <c r="J199" s="81" t="s">
        <v>1</v>
      </c>
      <c r="K199" s="81" t="s">
        <v>1</v>
      </c>
      <c r="L199" s="81" t="s">
        <v>1</v>
      </c>
      <c r="M199" s="81" t="s">
        <v>1</v>
      </c>
      <c r="N199" s="81" t="s">
        <v>1</v>
      </c>
      <c r="O199" s="81" t="s">
        <v>1</v>
      </c>
    </row>
    <row r="200" spans="1:15" s="84" customFormat="1" ht="12.75" x14ac:dyDescent="0.2">
      <c r="A200" s="86"/>
      <c r="B200" s="86"/>
      <c r="C200" s="86"/>
      <c r="D200" s="86"/>
      <c r="E200" s="86"/>
      <c r="F200" s="86"/>
      <c r="G200" s="86"/>
      <c r="H200" s="86"/>
      <c r="I200" s="86"/>
      <c r="J200" s="86"/>
      <c r="K200" s="86"/>
      <c r="L200" s="86"/>
      <c r="M200" s="86"/>
      <c r="N200" s="86"/>
      <c r="O200" s="86"/>
    </row>
    <row r="201" spans="1:15" s="84" customFormat="1" ht="12.75" x14ac:dyDescent="0.2">
      <c r="A201" s="108" t="s">
        <v>3</v>
      </c>
      <c r="B201" s="269" t="s">
        <v>61</v>
      </c>
      <c r="C201" s="79" t="s">
        <v>20</v>
      </c>
      <c r="D201" s="81"/>
      <c r="E201" s="88"/>
      <c r="F201" s="81"/>
      <c r="G201" s="88"/>
      <c r="H201" s="81"/>
      <c r="I201" s="88"/>
      <c r="J201" s="81"/>
      <c r="K201" s="88"/>
      <c r="L201" s="81"/>
      <c r="M201" s="88"/>
      <c r="N201" s="78"/>
      <c r="O201" s="88"/>
    </row>
    <row r="202" spans="1:15" s="84" customFormat="1" ht="12.75" x14ac:dyDescent="0.2">
      <c r="A202" s="108" t="s">
        <v>3</v>
      </c>
      <c r="B202" s="269"/>
      <c r="C202" s="79" t="s">
        <v>23</v>
      </c>
      <c r="D202" s="81"/>
      <c r="E202" s="81"/>
      <c r="F202" s="81"/>
      <c r="G202" s="81"/>
      <c r="H202" s="81"/>
      <c r="I202" s="81"/>
      <c r="J202" s="81"/>
      <c r="K202" s="81"/>
      <c r="L202" s="81"/>
      <c r="M202" s="81"/>
      <c r="N202" s="78"/>
      <c r="O202" s="78"/>
    </row>
    <row r="203" spans="1:15" s="84" customFormat="1" ht="12.75" x14ac:dyDescent="0.2">
      <c r="A203" s="108" t="s">
        <v>3</v>
      </c>
      <c r="B203" s="269"/>
      <c r="C203" s="79" t="s">
        <v>24</v>
      </c>
      <c r="D203" s="81"/>
      <c r="E203" s="81"/>
      <c r="F203" s="81"/>
      <c r="G203" s="81"/>
      <c r="H203" s="81"/>
      <c r="I203" s="81"/>
      <c r="J203" s="81"/>
      <c r="K203" s="81"/>
      <c r="L203" s="81"/>
      <c r="M203" s="81"/>
      <c r="N203" s="78"/>
      <c r="O203" s="78"/>
    </row>
    <row r="204" spans="1:15" s="84" customFormat="1" ht="12.75" x14ac:dyDescent="0.2">
      <c r="A204" s="108" t="s">
        <v>3</v>
      </c>
      <c r="B204" s="269"/>
      <c r="C204" s="79" t="s">
        <v>25</v>
      </c>
      <c r="D204" s="81"/>
      <c r="E204" s="81"/>
      <c r="F204" s="81"/>
      <c r="G204" s="81"/>
      <c r="H204" s="81"/>
      <c r="I204" s="81"/>
      <c r="J204" s="81"/>
      <c r="K204" s="81"/>
      <c r="L204" s="81"/>
      <c r="M204" s="81"/>
      <c r="N204" s="78"/>
      <c r="O204" s="78"/>
    </row>
    <row r="205" spans="1:15" s="84" customFormat="1" ht="12.75" x14ac:dyDescent="0.2">
      <c r="A205" s="108" t="s">
        <v>3</v>
      </c>
      <c r="B205" s="269"/>
      <c r="C205" s="79" t="s">
        <v>26</v>
      </c>
      <c r="D205" s="81"/>
      <c r="E205" s="81"/>
      <c r="F205" s="81"/>
      <c r="G205" s="81"/>
      <c r="H205" s="81"/>
      <c r="I205" s="81"/>
      <c r="J205" s="81"/>
      <c r="K205" s="81"/>
      <c r="L205" s="81"/>
      <c r="M205" s="81"/>
      <c r="N205" s="78"/>
      <c r="O205" s="78"/>
    </row>
    <row r="206" spans="1:15" s="84" customFormat="1" ht="12.75" x14ac:dyDescent="0.2">
      <c r="A206" s="108" t="s">
        <v>3</v>
      </c>
      <c r="B206" s="269"/>
      <c r="C206" s="79" t="s">
        <v>27</v>
      </c>
      <c r="D206" s="81"/>
      <c r="E206" s="81"/>
      <c r="F206" s="81"/>
      <c r="G206" s="81"/>
      <c r="H206" s="81"/>
      <c r="I206" s="81"/>
      <c r="J206" s="81"/>
      <c r="K206" s="81"/>
      <c r="L206" s="81"/>
      <c r="M206" s="81"/>
      <c r="N206" s="78"/>
      <c r="O206" s="78"/>
    </row>
    <row r="207" spans="1:15" s="84" customFormat="1" ht="12.75" x14ac:dyDescent="0.2">
      <c r="A207" s="108" t="s">
        <v>3</v>
      </c>
      <c r="B207" s="269"/>
      <c r="C207" s="79" t="s">
        <v>28</v>
      </c>
      <c r="D207" s="81"/>
      <c r="E207" s="81"/>
      <c r="F207" s="81"/>
      <c r="G207" s="81"/>
      <c r="H207" s="81"/>
      <c r="I207" s="81"/>
      <c r="J207" s="81"/>
      <c r="K207" s="81"/>
      <c r="L207" s="81"/>
      <c r="M207" s="81"/>
      <c r="N207" s="78"/>
      <c r="O207" s="78"/>
    </row>
    <row r="208" spans="1:15" s="84" customFormat="1" ht="12.75" x14ac:dyDescent="0.2">
      <c r="A208" s="108" t="s">
        <v>3</v>
      </c>
      <c r="B208" s="269"/>
      <c r="C208" s="79" t="s">
        <v>29</v>
      </c>
      <c r="D208" s="81"/>
      <c r="E208" s="81"/>
      <c r="F208" s="81"/>
      <c r="G208" s="81"/>
      <c r="H208" s="81"/>
      <c r="I208" s="81"/>
      <c r="J208" s="81"/>
      <c r="K208" s="81"/>
      <c r="L208" s="81"/>
      <c r="M208" s="81"/>
      <c r="N208" s="78"/>
      <c r="O208" s="78"/>
    </row>
    <row r="209" spans="1:15" s="84" customFormat="1" ht="12.75" x14ac:dyDescent="0.2">
      <c r="A209" s="108" t="s">
        <v>3</v>
      </c>
      <c r="B209" s="269"/>
      <c r="C209" s="79" t="s">
        <v>30</v>
      </c>
      <c r="D209" s="81"/>
      <c r="E209" s="81"/>
      <c r="F209" s="81"/>
      <c r="G209" s="81"/>
      <c r="H209" s="81"/>
      <c r="I209" s="81"/>
      <c r="J209" s="81"/>
      <c r="K209" s="81"/>
      <c r="L209" s="81"/>
      <c r="M209" s="81"/>
      <c r="N209" s="78"/>
      <c r="O209" s="78"/>
    </row>
    <row r="210" spans="1:15" s="84" customFormat="1" ht="12.75" x14ac:dyDescent="0.2">
      <c r="A210" s="108" t="s">
        <v>3</v>
      </c>
      <c r="B210" s="269"/>
      <c r="C210" s="79" t="s">
        <v>31</v>
      </c>
      <c r="D210" s="81"/>
      <c r="E210" s="81"/>
      <c r="F210" s="81"/>
      <c r="G210" s="81"/>
      <c r="H210" s="81"/>
      <c r="I210" s="81"/>
      <c r="J210" s="81"/>
      <c r="K210" s="81"/>
      <c r="L210" s="81"/>
      <c r="M210" s="81"/>
      <c r="N210" s="78"/>
      <c r="O210" s="78"/>
    </row>
    <row r="211" spans="1:15" s="84" customFormat="1" ht="12.75" x14ac:dyDescent="0.2">
      <c r="A211" s="108" t="s">
        <v>3</v>
      </c>
      <c r="B211" s="269"/>
      <c r="C211" s="79" t="s">
        <v>32</v>
      </c>
      <c r="D211" s="81"/>
      <c r="E211" s="81"/>
      <c r="F211" s="81"/>
      <c r="G211" s="81"/>
      <c r="H211" s="81"/>
      <c r="I211" s="81"/>
      <c r="J211" s="81"/>
      <c r="K211" s="81"/>
      <c r="L211" s="81"/>
      <c r="M211" s="81"/>
      <c r="N211" s="78"/>
      <c r="O211" s="78"/>
    </row>
    <row r="212" spans="1:15" s="84" customFormat="1" ht="12.75" x14ac:dyDescent="0.2">
      <c r="A212" s="108" t="s">
        <v>3</v>
      </c>
      <c r="B212" s="269"/>
      <c r="C212" s="79" t="s">
        <v>33</v>
      </c>
      <c r="D212" s="81"/>
      <c r="E212" s="81"/>
      <c r="F212" s="81"/>
      <c r="G212" s="81"/>
      <c r="H212" s="81"/>
      <c r="I212" s="81"/>
      <c r="J212" s="81"/>
      <c r="K212" s="81"/>
      <c r="L212" s="81"/>
      <c r="M212" s="81"/>
      <c r="N212" s="78"/>
      <c r="O212" s="78"/>
    </row>
  </sheetData>
  <mergeCells count="28">
    <mergeCell ref="N3:O3"/>
    <mergeCell ref="D4:E4"/>
    <mergeCell ref="F4:G4"/>
    <mergeCell ref="H4:I4"/>
    <mergeCell ref="J4:K4"/>
    <mergeCell ref="N4:O4"/>
    <mergeCell ref="B45:B56"/>
    <mergeCell ref="A2:A5"/>
    <mergeCell ref="B2:G2"/>
    <mergeCell ref="B3:B5"/>
    <mergeCell ref="C3:C5"/>
    <mergeCell ref="D3:M3"/>
    <mergeCell ref="L4:M4"/>
    <mergeCell ref="B6:B17"/>
    <mergeCell ref="B19:B30"/>
    <mergeCell ref="B32:B43"/>
    <mergeCell ref="B201:B212"/>
    <mergeCell ref="B58:B69"/>
    <mergeCell ref="B71:B82"/>
    <mergeCell ref="B84:B95"/>
    <mergeCell ref="B97:B108"/>
    <mergeCell ref="B110:B121"/>
    <mergeCell ref="B123:B134"/>
    <mergeCell ref="B136:B147"/>
    <mergeCell ref="B149:B160"/>
    <mergeCell ref="B162:B173"/>
    <mergeCell ref="B175:B186"/>
    <mergeCell ref="B188:B19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E20C1A2AE36DF24BB69CD03F70E20798" ma:contentTypeVersion="37" ma:contentTypeDescription="Create a new document." ma:contentTypeScope="" ma:versionID="0686966876156e2745ef2ad8769a5c90">
  <xsd:schema xmlns:xsd="http://www.w3.org/2001/XMLSchema" xmlns:xs="http://www.w3.org/2001/XMLSchema" xmlns:p="http://schemas.microsoft.com/office/2006/metadata/properties" xmlns:ns1="http://schemas.microsoft.com/sharepoint/v3" xmlns:ns3="4ffa91fb-a0ff-4ac5-b2db-65c790d184a4" xmlns:ns4="http://schemas.microsoft.com/sharepoint.v3" xmlns:ns5="http://schemas.microsoft.com/sharepoint/v3/fields" xmlns:ns6="2c6b4a42-c993-4063-acea-34c90a700329" xmlns:ns7="3df7c09c-9b47-4953-a33c-0cca2b38b9da" targetNamespace="http://schemas.microsoft.com/office/2006/metadata/properties" ma:root="true" ma:fieldsID="fedc8c142ffdf45da589e6d6ade211d0" ns1:_="" ns3:_="" ns4:_="" ns5:_="" ns6:_="" ns7:_="">
    <xsd:import namespace="http://schemas.microsoft.com/sharepoint/v3"/>
    <xsd:import namespace="4ffa91fb-a0ff-4ac5-b2db-65c790d184a4"/>
    <xsd:import namespace="http://schemas.microsoft.com/sharepoint.v3"/>
    <xsd:import namespace="http://schemas.microsoft.com/sharepoint/v3/fields"/>
    <xsd:import namespace="2c6b4a42-c993-4063-acea-34c90a700329"/>
    <xsd:import namespace="3df7c09c-9b47-4953-a33c-0cca2b38b9da"/>
    <xsd:element name="properties">
      <xsd:complexType>
        <xsd:sequence>
          <xsd:element name="documentManagement">
            <xsd:complexType>
              <xsd:all>
                <xsd:element ref="ns3:Document_x0020_Creation_x0020_Date" minOccurs="0"/>
                <xsd:element ref="ns3:Creator" minOccurs="0"/>
                <xsd:element ref="ns3:EPA_x0020_Office" minOccurs="0"/>
                <xsd:element ref="ns3:Record" minOccurs="0"/>
                <xsd:element ref="ns4:CategoryDescription" minOccurs="0"/>
                <xsd:element ref="ns3:Identifier" minOccurs="0"/>
                <xsd:element ref="ns3:EPA_x0020_Contributor" minOccurs="0"/>
                <xsd:element ref="ns3:External_x0020_Contributor" minOccurs="0"/>
                <xsd:element ref="ns5:_Coverage" minOccurs="0"/>
                <xsd:element ref="ns3:EPA_x0020_Related_x0020_Documents" minOccurs="0"/>
                <xsd:element ref="ns5:_Source" minOccurs="0"/>
                <xsd:element ref="ns3:Rights" minOccurs="0"/>
                <xsd:element ref="ns1:Language" minOccurs="0"/>
                <xsd:element ref="ns3:j747ac98061d40f0aa7bd47e1db5675d" minOccurs="0"/>
                <xsd:element ref="ns3:TaxKeywordTaxHTField" minOccurs="0"/>
                <xsd:element ref="ns3:TaxCatchAllLabel" minOccurs="0"/>
                <xsd:element ref="ns3:TaxCatchAll" minOccurs="0"/>
                <xsd:element ref="ns6:MediaServiceMetadata" minOccurs="0"/>
                <xsd:element ref="ns6:MediaServiceFastMetadata" minOccurs="0"/>
                <xsd:element ref="ns7:SharedWithUsers" minOccurs="0"/>
                <xsd:element ref="ns7:SharedWithDetails" minOccurs="0"/>
                <xsd:element ref="ns7:SharingHintHash" minOccurs="0"/>
                <xsd:element ref="ns6:MediaServiceDateTaken" minOccurs="0"/>
                <xsd:element ref="ns6:MediaServiceAutoTags" minOccurs="0"/>
                <xsd:element ref="ns6:MediaServiceLocation" minOccurs="0"/>
                <xsd:element ref="ns6:MediaServiceOCR" minOccurs="0"/>
                <xsd:element ref="ns7:Records_x0020_Status" minOccurs="0"/>
                <xsd:element ref="ns7:Records_x0020_Date" minOccurs="0"/>
                <xsd:element ref="ns6:MediaServiceEventHashCode" minOccurs="0"/>
                <xsd:element ref="ns6:MediaServiceGenerationTime" minOccurs="0"/>
                <xsd:element ref="ns6:MediaServiceAutoKeyPoints" minOccurs="0"/>
                <xsd:element ref="ns6: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9dc6cdac-b98a-4645-9fbd-55fcaacff195}" ma:internalName="TaxCatchAllLabel" ma:readOnly="true" ma:showField="CatchAllDataLabel" ma:web="3df7c09c-9b47-4953-a33c-0cca2b38b9da">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9dc6cdac-b98a-4645-9fbd-55fcaacff195}" ma:internalName="TaxCatchAll" ma:showField="CatchAllData" ma:web="3df7c09c-9b47-4953-a33c-0cca2b38b9d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c6b4a42-c993-4063-acea-34c90a700329" elementFormDefault="qualified">
    <xsd:import namespace="http://schemas.microsoft.com/office/2006/documentManagement/types"/>
    <xsd:import namespace="http://schemas.microsoft.com/office/infopath/2007/PartnerControls"/>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ServiceAutoTags" ma:index="34" nillable="true" ma:displayName="MediaServiceAutoTags" ma:internalName="MediaServiceAutoTags" ma:readOnly="true">
      <xsd:simpleType>
        <xsd:restriction base="dms:Text"/>
      </xsd:simpleType>
    </xsd:element>
    <xsd:element name="MediaServiceLocation" ma:index="35" nillable="true" ma:displayName="MediaServiceLocation" ma:internalName="MediaServiceLocation" ma:readOnly="true">
      <xsd:simpleType>
        <xsd:restriction base="dms:Text"/>
      </xsd:simpleType>
    </xsd:element>
    <xsd:element name="MediaServiceOCR" ma:index="36" nillable="true" ma:displayName="MediaServiceOCR" ma:internalName="MediaServiceOCR" ma:readOnly="true">
      <xsd:simpleType>
        <xsd:restriction base="dms:Note">
          <xsd:maxLength value="255"/>
        </xsd:restriction>
      </xsd:simpleType>
    </xsd:element>
    <xsd:element name="MediaServiceEventHashCode" ma:index="39" nillable="true" ma:displayName="MediaServiceEventHashCode" ma:hidden="true" ma:internalName="MediaServiceEventHashCode" ma:readOnly="true">
      <xsd:simpleType>
        <xsd:restriction base="dms:Text"/>
      </xsd:simpleType>
    </xsd:element>
    <xsd:element name="MediaServiceGenerationTime" ma:index="40" nillable="true" ma:displayName="MediaServiceGenerationTime" ma:hidden="true" ma:internalName="MediaServiceGenerationTime"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f7c09c-9b47-4953-a33c-0cca2b38b9da"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element name="SharingHintHash" ma:index="32" nillable="true" ma:displayName="Sharing Hint Hash" ma:hidden="true" ma:internalName="SharingHintHash" ma:readOnly="true">
      <xsd:simpleType>
        <xsd:restriction base="dms:Text"/>
      </xsd:simpleType>
    </xsd:element>
    <xsd:element name="Records_x0020_Status" ma:index="37" nillable="true" ma:displayName="Records Status" ma:default="Pending" ma:internalName="Records_x0020_Status">
      <xsd:simpleType>
        <xsd:restriction base="dms:Text"/>
      </xsd:simpleType>
    </xsd:element>
    <xsd:element name="Records_x0020_Date" ma:index="38" nillable="true" ma:displayName="Records Date" ma:hidden="true" ma:internalName="Records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Records_x0020_Status xmlns="3df7c09c-9b47-4953-a33c-0cca2b38b9da">Pending</Records_x0020_Status>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2020-08-31T23:11:22+00:00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Records_x0020_Date xmlns="3df7c09c-9b47-4953-a33c-0cca2b38b9da"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C999E6-5605-474D-9CD4-40847A7365D5}">
  <ds:schemaRefs>
    <ds:schemaRef ds:uri="Microsoft.SharePoint.Taxonomy.ContentTypeSync"/>
  </ds:schemaRefs>
</ds:datastoreItem>
</file>

<file path=customXml/itemProps2.xml><?xml version="1.0" encoding="utf-8"?>
<ds:datastoreItem xmlns:ds="http://schemas.openxmlformats.org/officeDocument/2006/customXml" ds:itemID="{BE90DA97-85D9-42D5-B592-3CEC43A083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2c6b4a42-c993-4063-acea-34c90a700329"/>
    <ds:schemaRef ds:uri="3df7c09c-9b47-4953-a33c-0cca2b38b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F466FC-9E17-4BC3-B294-938C567D94FA}">
  <ds:schemaRefs>
    <ds:schemaRef ds:uri="4ffa91fb-a0ff-4ac5-b2db-65c790d184a4"/>
    <ds:schemaRef ds:uri="http://www.w3.org/XML/1998/namespace"/>
    <ds:schemaRef ds:uri="http://schemas.microsoft.com/sharepoint/v3/fields"/>
    <ds:schemaRef ds:uri="http://schemas.microsoft.com/office/infopath/2007/PartnerControls"/>
    <ds:schemaRef ds:uri="2c6b4a42-c993-4063-acea-34c90a700329"/>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http://purl.org/dc/terms/"/>
    <ds:schemaRef ds:uri="http://purl.org/dc/dcmitype/"/>
    <ds:schemaRef ds:uri="3df7c09c-9b47-4953-a33c-0cca2b38b9da"/>
    <ds:schemaRef ds:uri="http://schemas.microsoft.com/sharepoint.v3"/>
    <ds:schemaRef ds:uri="http://schemas.microsoft.com/sharepoint/v3"/>
  </ds:schemaRefs>
</ds:datastoreItem>
</file>

<file path=customXml/itemProps4.xml><?xml version="1.0" encoding="utf-8"?>
<ds:datastoreItem xmlns:ds="http://schemas.openxmlformats.org/officeDocument/2006/customXml" ds:itemID="{63ED1D2D-1300-49D1-B591-EAA9C12570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2022 % of limit</vt:lpstr>
      <vt:lpstr>2022 New Door Eqn</vt:lpstr>
      <vt:lpstr>2022 Original Door Eqn</vt:lpstr>
      <vt:lpstr>2016 New Door Eqn</vt:lpstr>
      <vt:lpstr>2016 Original Door Eqn</vt:lpstr>
      <vt:lpstr>2022 Part C. Q1</vt:lpstr>
      <vt:lpstr>2022 Part C. Q2</vt:lpstr>
      <vt:lpstr>2016 Part VI BL Q89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Raymond, Gabrielle</dc:creator>
  <cp:lastModifiedBy>Raymond, Gabrielle</cp:lastModifiedBy>
  <cp:lastPrinted>2020-12-08T11:48:42Z</cp:lastPrinted>
  <dcterms:created xsi:type="dcterms:W3CDTF">2020-06-04T13:49:56Z</dcterms:created>
  <dcterms:modified xsi:type="dcterms:W3CDTF">2023-08-03T19:02:46Z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0x010100E20C1A2AE36DF24BB69CD03F70E20798</vt:lpwstr>
  </property>
</Properties>
</file>