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moeller_michael_epa_gov/Documents/ATAG/Coke Ovens/Coke Ovens RTR Risk Report/Residual Risk Assessment/"/>
    </mc:Choice>
  </mc:AlternateContent>
  <xr:revisionPtr revIDLastSave="43" documentId="8_{E8572C2A-A14F-4F9D-9C24-49AEF69A5EB4}" xr6:coauthVersionLast="47" xr6:coauthVersionMax="47" xr10:uidLastSave="{25DFDFCD-8F86-4B59-BA2E-8FC73F3A5747}"/>
  <bookViews>
    <workbookView xWindow="-108" yWindow="-108" windowWidth="23256" windowHeight="12456" xr2:uid="{06AE5C7A-E81B-47C9-995B-588369CA9A54}"/>
  </bookViews>
  <sheets>
    <sheet name="Summary" sheetId="1" r:id="rId1"/>
    <sheet name="Emission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6" i="1" l="1"/>
  <c r="G65" i="1"/>
  <c r="G64" i="1"/>
  <c r="G63" i="1"/>
  <c r="G60" i="1"/>
  <c r="G59" i="1"/>
  <c r="G58" i="1"/>
  <c r="G57" i="1"/>
  <c r="G54" i="1"/>
  <c r="G53" i="1"/>
  <c r="G52" i="1"/>
  <c r="G51" i="1"/>
  <c r="G48" i="1"/>
  <c r="G47" i="1"/>
  <c r="G44" i="1"/>
  <c r="G43" i="1"/>
  <c r="G36" i="1"/>
  <c r="G35" i="1"/>
  <c r="G34" i="1"/>
  <c r="G33" i="1"/>
  <c r="G32" i="1"/>
  <c r="O33" i="1"/>
  <c r="O34" i="1"/>
  <c r="O35" i="1"/>
  <c r="O36" i="1"/>
  <c r="O32" i="1"/>
  <c r="S66" i="1" l="1"/>
  <c r="R66" i="1"/>
  <c r="Q66" i="1"/>
  <c r="S65" i="1"/>
  <c r="R65" i="1"/>
  <c r="Q65" i="1"/>
  <c r="S64" i="1"/>
  <c r="R64" i="1"/>
  <c r="Q64" i="1"/>
  <c r="S63" i="1"/>
  <c r="R63" i="1"/>
  <c r="Q63" i="1"/>
  <c r="S60" i="1"/>
  <c r="R60" i="1"/>
  <c r="Q60" i="1"/>
  <c r="S59" i="1"/>
  <c r="R59" i="1"/>
  <c r="Q59" i="1"/>
  <c r="S58" i="1"/>
  <c r="R58" i="1"/>
  <c r="Q58" i="1"/>
  <c r="S57" i="1"/>
  <c r="R57" i="1"/>
  <c r="Q57" i="1"/>
  <c r="S53" i="1"/>
  <c r="R53" i="1"/>
  <c r="Q53" i="1"/>
  <c r="S52" i="1"/>
  <c r="R52" i="1"/>
  <c r="Q52" i="1"/>
  <c r="S51" i="1"/>
  <c r="R51" i="1"/>
  <c r="Q51" i="1"/>
  <c r="S47" i="1"/>
  <c r="R47" i="1"/>
  <c r="Q47" i="1"/>
  <c r="L66" i="1"/>
  <c r="I66" i="1"/>
  <c r="K66" i="1" s="1"/>
  <c r="L65" i="1"/>
  <c r="I65" i="1"/>
  <c r="K65" i="1" s="1"/>
  <c r="L64" i="1"/>
  <c r="I64" i="1"/>
  <c r="K64" i="1" s="1"/>
  <c r="L63" i="1"/>
  <c r="I63" i="1"/>
  <c r="K63" i="1" s="1"/>
  <c r="L60" i="1"/>
  <c r="I60" i="1"/>
  <c r="K60" i="1" s="1"/>
  <c r="L59" i="1"/>
  <c r="I59" i="1"/>
  <c r="K59" i="1" s="1"/>
  <c r="L58" i="1"/>
  <c r="I58" i="1"/>
  <c r="K58" i="1" s="1"/>
  <c r="L57" i="1"/>
  <c r="I57" i="1"/>
  <c r="K57" i="1" s="1"/>
  <c r="L54" i="1"/>
  <c r="I54" i="1"/>
  <c r="K54" i="1" s="1"/>
  <c r="L53" i="1"/>
  <c r="I53" i="1"/>
  <c r="K53" i="1" s="1"/>
  <c r="L52" i="1"/>
  <c r="I52" i="1"/>
  <c r="K52" i="1" s="1"/>
  <c r="L51" i="1"/>
  <c r="I51" i="1"/>
  <c r="K51" i="1" s="1"/>
  <c r="L48" i="1"/>
  <c r="I48" i="1"/>
  <c r="K48" i="1" s="1"/>
  <c r="L47" i="1"/>
  <c r="I47" i="1"/>
  <c r="K47" i="1" s="1"/>
  <c r="S44" i="1"/>
  <c r="R44" i="1"/>
  <c r="Q44" i="1"/>
  <c r="L44" i="1"/>
  <c r="L43" i="1"/>
  <c r="I44" i="1"/>
  <c r="K44" i="1" s="1"/>
  <c r="I43" i="1"/>
  <c r="K43" i="1" s="1"/>
  <c r="O48" i="1"/>
  <c r="S48" i="1" s="1"/>
  <c r="N48" i="1"/>
  <c r="Q48" i="1" s="1"/>
  <c r="O54" i="1"/>
  <c r="S54" i="1" s="1"/>
  <c r="N54" i="1"/>
  <c r="R54" i="1" s="1"/>
  <c r="O43" i="1"/>
  <c r="S43" i="1" s="1"/>
  <c r="N43" i="1"/>
  <c r="R43" i="1" s="1"/>
  <c r="M66" i="1" l="1"/>
  <c r="M65" i="1"/>
  <c r="T65" i="1" s="1"/>
  <c r="M64" i="1"/>
  <c r="T64" i="1" s="1"/>
  <c r="M59" i="1"/>
  <c r="M51" i="1"/>
  <c r="T51" i="1" s="1"/>
  <c r="M47" i="1"/>
  <c r="T47" i="1" s="1"/>
  <c r="M44" i="1"/>
  <c r="T44" i="1" s="1"/>
  <c r="R48" i="1"/>
  <c r="Q54" i="1"/>
  <c r="T66" i="1"/>
  <c r="Q43" i="1"/>
  <c r="M60" i="1"/>
  <c r="T60" i="1" s="1"/>
  <c r="M58" i="1"/>
  <c r="T58" i="1" s="1"/>
  <c r="T59" i="1"/>
  <c r="M53" i="1"/>
  <c r="T53" i="1" s="1"/>
  <c r="M52" i="1"/>
  <c r="T52" i="1" s="1"/>
  <c r="M63" i="1"/>
  <c r="T63" i="1" s="1"/>
  <c r="M57" i="1"/>
  <c r="T57" i="1" s="1"/>
  <c r="M54" i="1"/>
  <c r="M48" i="1"/>
  <c r="M43" i="1"/>
  <c r="I32" i="1"/>
  <c r="K32" i="1" s="1"/>
  <c r="I36" i="1"/>
  <c r="K36" i="1" s="1"/>
  <c r="I35" i="1"/>
  <c r="K35" i="1" s="1"/>
  <c r="I34" i="1"/>
  <c r="K34" i="1" s="1"/>
  <c r="I33" i="1"/>
  <c r="K33" i="1" s="1"/>
  <c r="S32" i="1"/>
  <c r="L33" i="1"/>
  <c r="L34" i="1"/>
  <c r="L35" i="1"/>
  <c r="L36" i="1"/>
  <c r="L32" i="1"/>
  <c r="T54" i="1" l="1"/>
  <c r="T48" i="1"/>
  <c r="T43" i="1"/>
  <c r="M34" i="1"/>
  <c r="M33" i="1"/>
  <c r="R35" i="1"/>
  <c r="Q35" i="1"/>
  <c r="M35" i="1"/>
  <c r="M36" i="1"/>
  <c r="S35" i="1"/>
  <c r="M32" i="1"/>
  <c r="S36" i="1"/>
  <c r="S33" i="1"/>
  <c r="Q32" i="1"/>
  <c r="R32" i="1"/>
  <c r="S34" i="1"/>
  <c r="D59" i="2"/>
  <c r="D27" i="2"/>
  <c r="T35" i="1" l="1"/>
  <c r="R33" i="1"/>
  <c r="Q33" i="1"/>
  <c r="Q34" i="1"/>
  <c r="R34" i="1"/>
  <c r="Q36" i="1"/>
  <c r="R36" i="1"/>
  <c r="T32" i="1"/>
  <c r="S26" i="1"/>
  <c r="S29" i="1"/>
  <c r="S16" i="1"/>
  <c r="S6" i="1"/>
  <c r="S23" i="1"/>
  <c r="S19" i="1"/>
  <c r="S13" i="1"/>
  <c r="S22" i="1"/>
  <c r="S5" i="1"/>
  <c r="S10" i="1"/>
  <c r="S9" i="1"/>
  <c r="D40" i="2"/>
  <c r="D52" i="2"/>
  <c r="D53" i="2" s="1"/>
  <c r="T34" i="1" l="1"/>
  <c r="T33" i="1"/>
  <c r="T36" i="1"/>
  <c r="D20" i="2"/>
  <c r="D21" i="2" s="1"/>
  <c r="D19" i="2"/>
  <c r="D49" i="2"/>
  <c r="D50" i="2" s="1"/>
  <c r="D48" i="2"/>
  <c r="D14" i="2"/>
  <c r="D43" i="2"/>
  <c r="R13" i="1" l="1"/>
  <c r="R5" i="1"/>
  <c r="R26" i="1"/>
  <c r="R6" i="1"/>
  <c r="R29" i="1"/>
  <c r="R16" i="1"/>
  <c r="R23" i="1"/>
  <c r="R22" i="1"/>
  <c r="R19" i="1"/>
  <c r="R9" i="1"/>
  <c r="R10" i="1"/>
  <c r="D11" i="2"/>
  <c r="D9" i="2"/>
  <c r="D38" i="2"/>
  <c r="D41" i="2" s="1"/>
  <c r="D42" i="2" s="1"/>
  <c r="Q23" i="1" s="1"/>
  <c r="Q5" i="1" l="1"/>
  <c r="Q6" i="1"/>
  <c r="Q26" i="1"/>
  <c r="Q29" i="1"/>
  <c r="Q19" i="1"/>
  <c r="Q13" i="1"/>
  <c r="Q16" i="1"/>
  <c r="Q22" i="1"/>
  <c r="D12" i="2"/>
  <c r="D13" i="2" s="1"/>
  <c r="Q10" i="1" l="1"/>
  <c r="Q9" i="1"/>
  <c r="I29" i="1"/>
  <c r="K29" i="1" s="1"/>
  <c r="I26" i="1"/>
  <c r="I23" i="1"/>
  <c r="K23" i="1" s="1"/>
  <c r="I22" i="1"/>
  <c r="I19" i="1"/>
  <c r="I16" i="1"/>
  <c r="K16" i="1" s="1"/>
  <c r="I13" i="1"/>
  <c r="K13" i="1" s="1"/>
  <c r="I10" i="1"/>
  <c r="K10" i="1" s="1"/>
  <c r="I9" i="1"/>
  <c r="K9" i="1" s="1"/>
  <c r="I6" i="1"/>
  <c r="K6" i="1" s="1"/>
  <c r="I5" i="1"/>
  <c r="K5" i="1" s="1"/>
  <c r="G29" i="1"/>
  <c r="G26" i="1"/>
  <c r="L26" i="1" s="1"/>
  <c r="G23" i="1"/>
  <c r="G22" i="1"/>
  <c r="L22" i="1" s="1"/>
  <c r="G19" i="1"/>
  <c r="G16" i="1"/>
  <c r="L16" i="1" s="1"/>
  <c r="G13" i="1"/>
  <c r="L13" i="1" s="1"/>
  <c r="G10" i="1"/>
  <c r="L10" i="1" s="1"/>
  <c r="G9" i="1"/>
  <c r="L9" i="1" s="1"/>
  <c r="G6" i="1"/>
  <c r="L6" i="1" s="1"/>
  <c r="G5" i="1"/>
  <c r="L5" i="1" s="1"/>
  <c r="K19" i="1" l="1"/>
  <c r="L19" i="1"/>
  <c r="L29" i="1"/>
  <c r="M29" i="1" s="1"/>
  <c r="T29" i="1" s="1"/>
  <c r="L23" i="1"/>
  <c r="M23" i="1" s="1"/>
  <c r="T23" i="1" s="1"/>
  <c r="M9" i="1"/>
  <c r="T9" i="1" s="1"/>
  <c r="M10" i="1"/>
  <c r="T10" i="1" s="1"/>
  <c r="M16" i="1"/>
  <c r="T16" i="1" s="1"/>
  <c r="M13" i="1"/>
  <c r="T13" i="1" s="1"/>
  <c r="M6" i="1"/>
  <c r="T6" i="1" s="1"/>
  <c r="M5" i="1"/>
  <c r="T5" i="1" s="1"/>
  <c r="B26" i="1"/>
  <c r="M19" i="1" l="1"/>
  <c r="T19" i="1" s="1"/>
  <c r="K26" i="1"/>
  <c r="M26" i="1" s="1"/>
  <c r="T26" i="1" s="1"/>
  <c r="K22" i="1"/>
  <c r="M22" i="1" l="1"/>
  <c r="T22" i="1" s="1"/>
</calcChain>
</file>

<file path=xl/sharedStrings.xml><?xml version="1.0" encoding="utf-8"?>
<sst xmlns="http://schemas.openxmlformats.org/spreadsheetml/2006/main" count="173" uniqueCount="106">
  <si>
    <t xml:space="preserve">Width </t>
  </si>
  <si>
    <t>Length</t>
  </si>
  <si>
    <t xml:space="preserve">Height </t>
  </si>
  <si>
    <t>Battery</t>
  </si>
  <si>
    <t>Side</t>
  </si>
  <si>
    <t>Ambient</t>
  </si>
  <si>
    <t xml:space="preserve">Battery </t>
  </si>
  <si>
    <t>Side Surf.</t>
  </si>
  <si>
    <t>Battery Top</t>
  </si>
  <si>
    <t>Battery Side</t>
  </si>
  <si>
    <t>Top + Side</t>
  </si>
  <si>
    <t>Potential</t>
  </si>
  <si>
    <t xml:space="preserve">Potential </t>
  </si>
  <si>
    <t>Push</t>
  </si>
  <si>
    <t>F'</t>
  </si>
  <si>
    <t>Total F'</t>
  </si>
  <si>
    <t>(m)</t>
  </si>
  <si>
    <t>Velocity</t>
  </si>
  <si>
    <t>Width (m)</t>
  </si>
  <si>
    <t>Temp</t>
  </si>
  <si>
    <t xml:space="preserve">Temp </t>
  </si>
  <si>
    <t>Tons Coke/yr</t>
  </si>
  <si>
    <t>Tons Coal/yr</t>
  </si>
  <si>
    <t>Capture</t>
  </si>
  <si>
    <t>Hot Car</t>
  </si>
  <si>
    <t>Soaking</t>
  </si>
  <si>
    <t xml:space="preserve">with </t>
  </si>
  <si>
    <t>(m/s)</t>
  </si>
  <si>
    <t>(battery top)</t>
  </si>
  <si>
    <t>(K)</t>
  </si>
  <si>
    <t>(m4/s3)</t>
  </si>
  <si>
    <t>Emissions</t>
  </si>
  <si>
    <t>Batteries 3-4</t>
  </si>
  <si>
    <t>Battery 5</t>
  </si>
  <si>
    <t>Battery 1</t>
  </si>
  <si>
    <t>Batteries 5-6</t>
  </si>
  <si>
    <t>Batteries 1B-2</t>
  </si>
  <si>
    <t>Batteries 1-3</t>
  </si>
  <si>
    <t>Battery 8</t>
  </si>
  <si>
    <t>Battery 1-2</t>
  </si>
  <si>
    <t>Batteries 13-15</t>
  </si>
  <si>
    <t>Batteries 19-20</t>
  </si>
  <si>
    <t>Battery B</t>
  </si>
  <si>
    <t>Battery C</t>
  </si>
  <si>
    <r>
      <t>Note</t>
    </r>
    <r>
      <rPr>
        <sz val="11"/>
        <color theme="1"/>
        <rFont val="Calibri"/>
        <family val="2"/>
        <scheme val="minor"/>
      </rPr>
      <t xml:space="preserve">:  </t>
    </r>
  </si>
  <si>
    <t xml:space="preserve">(1)  Total F' values for USS Clairton based on estimates developed by the Allegheny County Health Department in support of a State Implementation Plan modeling study </t>
  </si>
  <si>
    <t>(Allegheny County Health Department Air Quality Program, Alternative Modeling Technical Support Document: BLP/AERMOD Hybrid Approach for Buoyant Fugitives in Complex Terrain (Jul. 27, 2018).</t>
  </si>
  <si>
    <t>A and B</t>
  </si>
  <si>
    <t>C</t>
  </si>
  <si>
    <t>A</t>
  </si>
  <si>
    <t>B and C</t>
  </si>
  <si>
    <t>2D and 2E</t>
  </si>
  <si>
    <t>3B</t>
  </si>
  <si>
    <t>3C</t>
  </si>
  <si>
    <t>3F and 3G</t>
  </si>
  <si>
    <t>B</t>
  </si>
  <si>
    <t>D</t>
  </si>
  <si>
    <t>ABC Coke 1998 Stack Test</t>
  </si>
  <si>
    <t>Pushing</t>
  </si>
  <si>
    <t>lb FPM/ton coal</t>
  </si>
  <si>
    <t>lb FPM/ton coke</t>
  </si>
  <si>
    <t>Avg Capture</t>
  </si>
  <si>
    <t>Baghouse Inlet Flow (acfm)</t>
  </si>
  <si>
    <t>Tons coke/push</t>
  </si>
  <si>
    <t>lb FPM/push</t>
  </si>
  <si>
    <t>min per push</t>
  </si>
  <si>
    <t>cu ft per push</t>
  </si>
  <si>
    <t>lb FPM/cu ft</t>
  </si>
  <si>
    <t>lb FPM/cu meters</t>
  </si>
  <si>
    <t>lb FPM/ton coke - corrected</t>
  </si>
  <si>
    <t>Emission factor corrected for capture efficiency</t>
  </si>
  <si>
    <t>Pushing temp</t>
  </si>
  <si>
    <t>Assume pushing temp = 1800 F = 1255 K per Clairton SIP modeling</t>
  </si>
  <si>
    <t>Hot car FPM10 lb/ton coke/sec</t>
  </si>
  <si>
    <t>Seconds travel per push</t>
  </si>
  <si>
    <t>Assume 60 sec travel per push</t>
  </si>
  <si>
    <t>Hot car FPM10 lb/ton coke</t>
  </si>
  <si>
    <t>lb FPM10/cu ft</t>
  </si>
  <si>
    <t>Assume density = 0.3E-6 x 10% opacity</t>
  </si>
  <si>
    <t>lb FPM10/cu meters</t>
  </si>
  <si>
    <t>Hot Car temp</t>
  </si>
  <si>
    <t>Assume hot car temp = 1650 F = 1172 K per Clairton SIP modeling</t>
  </si>
  <si>
    <t>Soaking FPM10/ton coal</t>
  </si>
  <si>
    <t>AP-42 Table 12.2-18</t>
  </si>
  <si>
    <t>Seconds per Soak</t>
  </si>
  <si>
    <t>Assume density = 0.3E-6 x 60% opacity</t>
  </si>
  <si>
    <t>Soaking temp</t>
  </si>
  <si>
    <t>Assume soaking temp = 1273 F = 963 K per Clairton SIP modeling</t>
  </si>
  <si>
    <t>Burns Harbor 1998 Stack Test</t>
  </si>
  <si>
    <t>Soaking lb FPM/ton coal</t>
  </si>
  <si>
    <t>01073BLU-Birmingham-AL</t>
  </si>
  <si>
    <t>01073ABC-Tarrant-AL</t>
  </si>
  <si>
    <t>26163EES-RiverRouge-MI</t>
  </si>
  <si>
    <t>42129AM-Monessen-PA</t>
  </si>
  <si>
    <t>39017AKS-Middletown-OH</t>
  </si>
  <si>
    <t>54009AKS-Follansbee-WV</t>
  </si>
  <si>
    <t>18127AM-BurnsHarbor-IN</t>
  </si>
  <si>
    <t>39155AM-Warren-OH</t>
  </si>
  <si>
    <r>
      <t>42003USS-Clairton-PA</t>
    </r>
    <r>
      <rPr>
        <b/>
        <vertAlign val="superscript"/>
        <sz val="11"/>
        <color theme="1"/>
        <rFont val="Calibri"/>
        <family val="2"/>
        <scheme val="minor"/>
      </rPr>
      <t>(1)</t>
    </r>
  </si>
  <si>
    <t>17119SC-GraniteCity-IL</t>
  </si>
  <si>
    <t>39017SC-Middletown-OH</t>
  </si>
  <si>
    <t>51027SC-Vansant-VA</t>
  </si>
  <si>
    <t>39145SC-FranklinFurnace-OH</t>
  </si>
  <si>
    <t>18089SC-EastChicago-IN</t>
  </si>
  <si>
    <t>Facility ID</t>
  </si>
  <si>
    <t>(Batteries)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</si>
</sst>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/>
    <xf numFmtId="0" fontId="2" fillId="0" borderId="0" xfId="0" applyNumberFormat="1" applyFont="1" applyBorder="1" applyAlignment="1">
      <alignment horizontal="left" wrapText="1"/>
    </xf>
    <xf numFmtId="0" fontId="0" fillId="0" borderId="0" xfId="0" applyAlignment="1">
      <alignment horizontal="center"/>
    </xf>
    <xf numFmtId="2" fontId="2" fillId="0" borderId="0" xfId="0" applyNumberFormat="1" applyFont="1" applyBorder="1" applyAlignment="1">
      <alignment horizontal="center" wrapText="1"/>
    </xf>
    <xf numFmtId="2" fontId="0" fillId="0" borderId="0" xfId="0" applyNumberFormat="1" applyAlignment="1">
      <alignment horizontal="center"/>
    </xf>
    <xf numFmtId="2" fontId="0" fillId="0" borderId="0" xfId="0" applyNumberFormat="1"/>
    <xf numFmtId="2" fontId="0" fillId="0" borderId="0" xfId="0" applyNumberFormat="1" applyFill="1" applyBorder="1" applyAlignment="1">
      <alignment horizontal="center"/>
    </xf>
    <xf numFmtId="2" fontId="0" fillId="0" borderId="0" xfId="0" applyNumberFormat="1" applyFill="1"/>
    <xf numFmtId="2" fontId="0" fillId="2" borderId="0" xfId="0" applyNumberForma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center" wrapText="1"/>
    </xf>
    <xf numFmtId="0" fontId="4" fillId="0" borderId="0" xfId="0" applyFont="1"/>
    <xf numFmtId="11" fontId="0" fillId="0" borderId="0" xfId="0" applyNumberFormat="1"/>
    <xf numFmtId="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5" fillId="0" borderId="0" xfId="0" applyFont="1"/>
    <xf numFmtId="165" fontId="0" fillId="0" borderId="0" xfId="0" applyNumberFormat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0" fillId="0" borderId="0" xfId="0" applyFont="1"/>
    <xf numFmtId="1" fontId="0" fillId="0" borderId="0" xfId="0" applyNumberFormat="1"/>
    <xf numFmtId="0" fontId="5" fillId="0" borderId="0" xfId="0" applyFont="1" applyAlignment="1">
      <alignment horizontal="center"/>
    </xf>
    <xf numFmtId="165" fontId="5" fillId="0" borderId="0" xfId="0" applyNumberFormat="1" applyFont="1"/>
    <xf numFmtId="0" fontId="0" fillId="0" borderId="0" xfId="0" applyFill="1" applyAlignment="1">
      <alignment horizontal="center"/>
    </xf>
    <xf numFmtId="0" fontId="0" fillId="0" borderId="0" xfId="0" applyFill="1"/>
    <xf numFmtId="3" fontId="0" fillId="0" borderId="0" xfId="0" applyNumberFormat="1" applyFill="1" applyAlignment="1">
      <alignment horizontal="center"/>
    </xf>
    <xf numFmtId="0" fontId="3" fillId="0" borderId="0" xfId="0" applyFont="1"/>
    <xf numFmtId="2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1" fontId="0" fillId="0" borderId="0" xfId="0" applyNumberFormat="1" applyFill="1"/>
    <xf numFmtId="165" fontId="0" fillId="0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CF5E8-FAFA-4DC4-9269-4A190A2713A1}">
  <sheetPr>
    <pageSetUpPr fitToPage="1"/>
  </sheetPr>
  <dimension ref="A1:W66"/>
  <sheetViews>
    <sheetView tabSelected="1" topLeftCell="B1" zoomScale="90" zoomScaleNormal="90" workbookViewId="0">
      <selection activeCell="W11" sqref="W11"/>
    </sheetView>
  </sheetViews>
  <sheetFormatPr defaultRowHeight="14.4" x14ac:dyDescent="0.3"/>
  <cols>
    <col min="1" max="1" width="36.6640625" customWidth="1"/>
    <col min="2" max="2" width="8" customWidth="1"/>
    <col min="3" max="3" width="7.88671875" customWidth="1"/>
    <col min="4" max="4" width="8.6640625" customWidth="1"/>
    <col min="6" max="6" width="8.5546875" customWidth="1"/>
    <col min="7" max="7" width="11.33203125" customWidth="1"/>
    <col min="9" max="9" width="9.33203125" customWidth="1"/>
    <col min="10" max="10" width="9.44140625" customWidth="1"/>
    <col min="11" max="12" width="10.6640625" customWidth="1"/>
    <col min="13" max="13" width="9.5546875" customWidth="1"/>
    <col min="14" max="15" width="13.109375" customWidth="1"/>
  </cols>
  <sheetData>
    <row r="1" spans="1:22" x14ac:dyDescent="0.3">
      <c r="A1" s="4" t="s">
        <v>104</v>
      </c>
      <c r="B1" s="1" t="s">
        <v>0</v>
      </c>
      <c r="C1" s="1" t="s">
        <v>1</v>
      </c>
      <c r="D1" s="4" t="s">
        <v>2</v>
      </c>
      <c r="E1" s="4" t="s">
        <v>3</v>
      </c>
      <c r="F1" s="4" t="s">
        <v>4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  <c r="M1" s="4" t="s">
        <v>10</v>
      </c>
      <c r="N1" s="4" t="s">
        <v>11</v>
      </c>
      <c r="O1" s="4" t="s">
        <v>12</v>
      </c>
      <c r="P1" s="4" t="s">
        <v>13</v>
      </c>
      <c r="Q1" s="4" t="s">
        <v>14</v>
      </c>
      <c r="R1" s="4" t="s">
        <v>14</v>
      </c>
      <c r="S1" s="4" t="s">
        <v>14</v>
      </c>
      <c r="T1" s="4" t="s">
        <v>15</v>
      </c>
      <c r="V1" s="21"/>
    </row>
    <row r="2" spans="1:22" x14ac:dyDescent="0.3">
      <c r="A2" s="4" t="s">
        <v>105</v>
      </c>
      <c r="B2" s="1" t="s">
        <v>16</v>
      </c>
      <c r="C2" s="1" t="s">
        <v>16</v>
      </c>
      <c r="D2" s="4" t="s">
        <v>16</v>
      </c>
      <c r="E2" s="4" t="s">
        <v>17</v>
      </c>
      <c r="F2" s="4" t="s">
        <v>17</v>
      </c>
      <c r="G2" s="4" t="s">
        <v>18</v>
      </c>
      <c r="H2" s="4" t="s">
        <v>19</v>
      </c>
      <c r="I2" s="4" t="s">
        <v>19</v>
      </c>
      <c r="J2" s="4" t="s">
        <v>20</v>
      </c>
      <c r="K2" s="4" t="s">
        <v>14</v>
      </c>
      <c r="L2" s="4" t="s">
        <v>14</v>
      </c>
      <c r="M2" s="4" t="s">
        <v>14</v>
      </c>
      <c r="N2" s="4" t="s">
        <v>21</v>
      </c>
      <c r="O2" s="4" t="s">
        <v>22</v>
      </c>
      <c r="P2" s="4" t="s">
        <v>23</v>
      </c>
      <c r="Q2" s="4" t="s">
        <v>13</v>
      </c>
      <c r="R2" s="4" t="s">
        <v>24</v>
      </c>
      <c r="S2" s="4" t="s">
        <v>25</v>
      </c>
      <c r="T2" s="4" t="s">
        <v>26</v>
      </c>
      <c r="V2" s="21"/>
    </row>
    <row r="3" spans="1:22" x14ac:dyDescent="0.3">
      <c r="B3" s="1"/>
      <c r="C3" s="1"/>
      <c r="D3" s="4"/>
      <c r="E3" s="4" t="s">
        <v>27</v>
      </c>
      <c r="F3" s="4" t="s">
        <v>27</v>
      </c>
      <c r="G3" s="4" t="s">
        <v>28</v>
      </c>
      <c r="H3" s="4" t="s">
        <v>29</v>
      </c>
      <c r="I3" s="4" t="s">
        <v>29</v>
      </c>
      <c r="J3" s="4" t="s">
        <v>29</v>
      </c>
      <c r="K3" s="4" t="s">
        <v>30</v>
      </c>
      <c r="L3" s="4" t="s">
        <v>30</v>
      </c>
      <c r="M3" s="4" t="s">
        <v>30</v>
      </c>
      <c r="T3" t="s">
        <v>31</v>
      </c>
      <c r="V3" s="21"/>
    </row>
    <row r="4" spans="1:22" x14ac:dyDescent="0.3">
      <c r="A4" s="26" t="s">
        <v>90</v>
      </c>
      <c r="B4" s="1"/>
      <c r="C4" s="1"/>
      <c r="V4" s="16"/>
    </row>
    <row r="5" spans="1:22" x14ac:dyDescent="0.3">
      <c r="A5" s="3" t="s">
        <v>32</v>
      </c>
      <c r="B5" s="8">
        <v>11.28</v>
      </c>
      <c r="C5" s="18">
        <v>75.951982857361685</v>
      </c>
      <c r="D5" s="6">
        <v>8.84</v>
      </c>
      <c r="E5" s="4">
        <v>0.96</v>
      </c>
      <c r="F5" s="4">
        <v>1.52</v>
      </c>
      <c r="G5" s="6">
        <f>0.0787*D5</f>
        <v>0.69570799999999999</v>
      </c>
      <c r="H5" s="4">
        <v>289.8</v>
      </c>
      <c r="I5" s="4">
        <f>H5+14.8</f>
        <v>304.60000000000002</v>
      </c>
      <c r="J5" s="4">
        <v>394.1</v>
      </c>
      <c r="K5" s="6">
        <f>9.81*B5*C5*E5*(I5-H5)/I5</f>
        <v>392.03087582222713</v>
      </c>
      <c r="L5" s="6">
        <f>2*9.81*C5*G5*F5*(J5-H5)/J5</f>
        <v>417.04851418264849</v>
      </c>
      <c r="M5" s="6">
        <f>K5+L5</f>
        <v>809.07939000487568</v>
      </c>
      <c r="N5" s="14">
        <v>319694</v>
      </c>
      <c r="O5" s="14">
        <v>424560</v>
      </c>
      <c r="P5" s="15">
        <v>0.9</v>
      </c>
      <c r="Q5" s="13">
        <f>9.81*(Emissions!D$43)*N5*(1-P5)*((Emissions!D$44-H5)/Emissions!D$44)/((8760)*(3600)*(Emissions!D$42))</f>
        <v>1.4696145139694685</v>
      </c>
      <c r="R5" s="13">
        <f>9.81*(Emissions!D$48)*N5*((Emissions!D$54-H5)/Emissions!D$54)/((8760)*(3600)*(Emissions!D$50))</f>
        <v>13.355137041853196</v>
      </c>
      <c r="S5" s="13">
        <f>9.81*(Emissions!D$56)*O5*((Emissions!D$60-H5)/Emissions!D$60)/((8760)*(3600)*(Emissions!D$59))</f>
        <v>2.1783403697442991</v>
      </c>
      <c r="T5" s="17">
        <f>M5+Q5+R5+S5</f>
        <v>826.08248193044255</v>
      </c>
      <c r="V5" s="22"/>
    </row>
    <row r="6" spans="1:22" x14ac:dyDescent="0.3">
      <c r="A6" s="3" t="s">
        <v>33</v>
      </c>
      <c r="B6" s="8">
        <v>11.28</v>
      </c>
      <c r="C6" s="18">
        <v>68.306604365800283</v>
      </c>
      <c r="D6" s="6">
        <v>8.84</v>
      </c>
      <c r="E6" s="4">
        <v>0.96</v>
      </c>
      <c r="F6" s="4">
        <v>1.52</v>
      </c>
      <c r="G6" s="6">
        <f>0.0787*D6</f>
        <v>0.69570799999999999</v>
      </c>
      <c r="H6" s="4">
        <v>289.8</v>
      </c>
      <c r="I6" s="4">
        <f>H6+14.8</f>
        <v>304.60000000000002</v>
      </c>
      <c r="J6" s="4">
        <v>394.1</v>
      </c>
      <c r="K6" s="6">
        <f>9.81*B6*C6*E6*(I6-H6)/I6</f>
        <v>352.56877999165431</v>
      </c>
      <c r="L6" s="6">
        <f>2*9.81*C6*G6*F6*(J6-H6)/J6</f>
        <v>375.06812578044355</v>
      </c>
      <c r="M6" s="6">
        <f>K6+L6</f>
        <v>727.63690577209786</v>
      </c>
      <c r="N6" s="14">
        <v>319694</v>
      </c>
      <c r="O6" s="14">
        <v>424560</v>
      </c>
      <c r="P6" s="15">
        <v>0.9</v>
      </c>
      <c r="Q6" s="13">
        <f>9.81*(Emissions!D$43)*N6*(1-P6)*((Emissions!D$44-H6)/Emissions!D$44)/((8760)*(3600)*(Emissions!D$42))</f>
        <v>1.4696145139694685</v>
      </c>
      <c r="R6" s="13">
        <f>9.81*(Emissions!D$48)*N6*((Emissions!D$54-H6)/Emissions!D$54)/((8760)*(3600)*(Emissions!D$50))</f>
        <v>13.355137041853196</v>
      </c>
      <c r="S6" s="13">
        <f>9.81*(Emissions!D$56)*O6*((Emissions!D$60-H6)/Emissions!D$60)/((8760)*(3600)*(Emissions!D$59))</f>
        <v>2.1783403697442991</v>
      </c>
      <c r="T6" s="17">
        <f>M6+Q6+R6+S6</f>
        <v>744.63999769766474</v>
      </c>
      <c r="V6" s="22"/>
    </row>
    <row r="7" spans="1:22" x14ac:dyDescent="0.3">
      <c r="B7" s="7"/>
      <c r="C7" s="7"/>
      <c r="D7" s="7"/>
      <c r="F7" s="4"/>
      <c r="N7" s="14"/>
      <c r="O7" s="14"/>
      <c r="P7" s="15"/>
      <c r="T7" s="17"/>
      <c r="V7" s="16"/>
    </row>
    <row r="8" spans="1:22" x14ac:dyDescent="0.3">
      <c r="A8" s="2" t="s">
        <v>91</v>
      </c>
      <c r="B8" s="7"/>
      <c r="C8" s="7"/>
      <c r="D8" s="7"/>
      <c r="F8" s="6"/>
      <c r="N8" s="14"/>
      <c r="O8" s="14"/>
      <c r="P8" s="15"/>
      <c r="T8" s="17"/>
      <c r="V8" s="16"/>
    </row>
    <row r="9" spans="1:22" x14ac:dyDescent="0.3">
      <c r="A9" s="3" t="s">
        <v>34</v>
      </c>
      <c r="B9" s="8">
        <v>15.04</v>
      </c>
      <c r="C9" s="18">
        <v>95.93</v>
      </c>
      <c r="D9" s="5">
        <v>10.52</v>
      </c>
      <c r="E9" s="4">
        <v>0.96</v>
      </c>
      <c r="F9" s="4">
        <v>1.52</v>
      </c>
      <c r="G9" s="6">
        <f t="shared" ref="G9:G10" si="0">0.0787*D9</f>
        <v>0.82792399999999999</v>
      </c>
      <c r="H9" s="4">
        <v>289.8</v>
      </c>
      <c r="I9" s="4">
        <f t="shared" ref="I9:I10" si="1">H9+14.8</f>
        <v>304.60000000000002</v>
      </c>
      <c r="J9" s="4">
        <v>394.1</v>
      </c>
      <c r="K9" s="6">
        <f>9.81*B9*C9*E9*(I9-H9)/I9</f>
        <v>660.1982024749052</v>
      </c>
      <c r="L9" s="6">
        <f t="shared" ref="L9:L10" si="2">2*9.81*C9*G9*F9*(J9-H9)/J9</f>
        <v>626.85252735132246</v>
      </c>
      <c r="M9" s="6">
        <f t="shared" ref="M9:M10" si="3">K9+L9</f>
        <v>1287.0507298262278</v>
      </c>
      <c r="N9" s="14">
        <v>670157</v>
      </c>
      <c r="O9" s="14">
        <v>768690</v>
      </c>
      <c r="P9" s="15">
        <v>0.95020000000000004</v>
      </c>
      <c r="Q9" s="13">
        <f>9.81*(Emissions!D$14)*N9*(1-P9)*((Emissions!D$15-H9)/Emissions!D$15)/((8760)*(3600)*(Emissions!D$13))</f>
        <v>2.1482136594406422</v>
      </c>
      <c r="R9" s="13">
        <f>9.81*(Emissions!D$19)*N9*((Emissions!D$22-H9)/Emissions!D$22)/((8760)*(3600)*(Emissions!D$21))</f>
        <v>27.995641377558581</v>
      </c>
      <c r="S9" s="13">
        <f>9.81*(Emissions!D$24)*O9*((Emissions!D$28-H9)/Emissions!D$28)/((8760)*(3600)*(Emissions!D$27))</f>
        <v>3.9440089947681014</v>
      </c>
      <c r="T9" s="17">
        <f>M9+Q9+R9+S9</f>
        <v>1321.1385938579951</v>
      </c>
      <c r="V9" s="22"/>
    </row>
    <row r="10" spans="1:22" x14ac:dyDescent="0.3">
      <c r="A10" s="3" t="s">
        <v>35</v>
      </c>
      <c r="B10" s="8">
        <v>13.56</v>
      </c>
      <c r="C10" s="18">
        <v>68.39</v>
      </c>
      <c r="D10" s="5">
        <v>9.4499999999999993</v>
      </c>
      <c r="E10" s="4">
        <v>0.96</v>
      </c>
      <c r="F10" s="4">
        <v>1.52</v>
      </c>
      <c r="G10" s="6">
        <f t="shared" si="0"/>
        <v>0.74371500000000001</v>
      </c>
      <c r="H10" s="4">
        <v>289.8</v>
      </c>
      <c r="I10" s="4">
        <f t="shared" si="1"/>
        <v>304.60000000000002</v>
      </c>
      <c r="J10" s="4">
        <v>394.1</v>
      </c>
      <c r="K10" s="6">
        <f>9.81*B10*C10*E10*(I10-H10)/I10</f>
        <v>424.35014027850337</v>
      </c>
      <c r="L10" s="6">
        <f t="shared" si="2"/>
        <v>401.43904346593922</v>
      </c>
      <c r="M10" s="6">
        <f t="shared" si="3"/>
        <v>825.78918374444265</v>
      </c>
      <c r="N10" s="14">
        <v>292121</v>
      </c>
      <c r="O10" s="14">
        <v>335070</v>
      </c>
      <c r="P10" s="15">
        <v>0.94969999999999999</v>
      </c>
      <c r="Q10" s="13">
        <f>9.81*(Emissions!D$14)*N10*(1-P10)*((Emissions!D$15-H10)/Emissions!D$15)/((8760)*(3600)*(Emissions!D$13))</f>
        <v>0.94580659155365165</v>
      </c>
      <c r="R10" s="13">
        <f>9.81*(Emissions!D$19)*N10*((Emissions!D$22-H10)/Emissions!D$22)/((8760)*(3600)*(Emissions!D$21))</f>
        <v>12.203281850154204</v>
      </c>
      <c r="S10" s="13">
        <f>9.81*(Emissions!D$24)*O10*((Emissions!D$28-H10)/Emissions!D$28)/((8760)*(3600)*(Emissions!D$27))</f>
        <v>1.719183407975839</v>
      </c>
      <c r="T10" s="17">
        <f>M10+Q10+R10+S10</f>
        <v>840.6574555941263</v>
      </c>
      <c r="V10" s="22"/>
    </row>
    <row r="11" spans="1:22" x14ac:dyDescent="0.3">
      <c r="B11" s="9"/>
      <c r="C11" s="9"/>
      <c r="D11" s="7"/>
      <c r="F11" s="6"/>
      <c r="N11" s="14"/>
      <c r="O11" s="14"/>
      <c r="P11" s="15"/>
      <c r="T11" s="17"/>
      <c r="V11" s="16"/>
    </row>
    <row r="12" spans="1:22" x14ac:dyDescent="0.3">
      <c r="A12" s="2" t="s">
        <v>92</v>
      </c>
      <c r="B12" s="9"/>
      <c r="C12" s="9"/>
      <c r="D12" s="7"/>
      <c r="E12" s="7"/>
      <c r="F12" s="4"/>
      <c r="N12" s="14"/>
      <c r="O12" s="14"/>
      <c r="P12" s="15"/>
      <c r="T12" s="17"/>
      <c r="V12" s="16"/>
    </row>
    <row r="13" spans="1:22" x14ac:dyDescent="0.3">
      <c r="A13" s="3" t="s">
        <v>3</v>
      </c>
      <c r="B13" s="8">
        <v>21</v>
      </c>
      <c r="C13" s="8">
        <v>102</v>
      </c>
      <c r="D13" s="6">
        <v>13.16</v>
      </c>
      <c r="E13" s="4">
        <v>0.96</v>
      </c>
      <c r="F13" s="4">
        <v>1.52</v>
      </c>
      <c r="G13" s="6">
        <f>0.0787*D13</f>
        <v>1.0356920000000001</v>
      </c>
      <c r="H13" s="4">
        <v>283.10000000000002</v>
      </c>
      <c r="I13" s="4">
        <f>H13+14.8</f>
        <v>297.90000000000003</v>
      </c>
      <c r="J13" s="4">
        <v>394.1</v>
      </c>
      <c r="K13" s="6">
        <f>9.81*B13*C13*E13*(I13-H13)/I13</f>
        <v>1002.1919709969793</v>
      </c>
      <c r="L13" s="6">
        <f>2*9.81*C13*G13*F13*(J13-H13)/J13</f>
        <v>887.33973230971242</v>
      </c>
      <c r="M13" s="6">
        <f>K13+L13</f>
        <v>1889.5317033066917</v>
      </c>
      <c r="N13" s="14">
        <v>1085000</v>
      </c>
      <c r="O13" s="14">
        <v>1533600</v>
      </c>
      <c r="P13" s="15">
        <v>0.95</v>
      </c>
      <c r="Q13" s="13">
        <f>9.81*(Emissions!D$43)*N13*(1-P13)*((Emissions!D$44-H13)/Emissions!D$44)/((8760)*(3600)*(Emissions!D$42))</f>
        <v>2.5111449383815021</v>
      </c>
      <c r="R13" s="13">
        <f>9.81*(Emissions!D$48)*N13*((Emissions!D$54-H13)/Emissions!D$54)/((8760)*(3600)*(Emissions!D$50))</f>
        <v>45.669816720409074</v>
      </c>
      <c r="S13" s="13">
        <f>9.81*(Emissions!D$56)*O13*((Emissions!D$60-H13)/Emissions!D$60)/((8760)*(3600)*(Emissions!D$59))</f>
        <v>7.9469822604886335</v>
      </c>
      <c r="T13" s="17">
        <f>M13+Q13+R13+S13</f>
        <v>1945.6596472259707</v>
      </c>
      <c r="V13" s="22"/>
    </row>
    <row r="14" spans="1:22" x14ac:dyDescent="0.3">
      <c r="B14" s="9"/>
      <c r="C14" s="9"/>
      <c r="D14" s="7"/>
      <c r="F14" s="4"/>
      <c r="N14" s="14"/>
      <c r="O14" s="14"/>
      <c r="P14" s="15"/>
      <c r="T14" s="17"/>
      <c r="V14" s="16"/>
    </row>
    <row r="15" spans="1:22" x14ac:dyDescent="0.3">
      <c r="A15" s="26" t="s">
        <v>93</v>
      </c>
      <c r="B15" s="9"/>
      <c r="C15" s="9"/>
      <c r="D15" s="7"/>
      <c r="F15" s="4"/>
      <c r="N15" s="14"/>
      <c r="O15" s="14"/>
      <c r="P15" s="15"/>
      <c r="T15" s="17"/>
      <c r="V15" s="16"/>
    </row>
    <row r="16" spans="1:22" ht="15" customHeight="1" x14ac:dyDescent="0.3">
      <c r="A16" s="3" t="s">
        <v>36</v>
      </c>
      <c r="B16" s="10">
        <v>13.11</v>
      </c>
      <c r="C16" s="10">
        <v>65.14</v>
      </c>
      <c r="D16" s="11">
        <v>8.5344999999999995</v>
      </c>
      <c r="E16" s="4">
        <v>0.96</v>
      </c>
      <c r="F16" s="4">
        <v>1.52</v>
      </c>
      <c r="G16" s="6">
        <f>0.0787*D16</f>
        <v>0.67166515000000004</v>
      </c>
      <c r="H16" s="4">
        <v>284.3</v>
      </c>
      <c r="I16" s="4">
        <f>H16+14.8</f>
        <v>299.10000000000002</v>
      </c>
      <c r="J16" s="4">
        <v>394.1</v>
      </c>
      <c r="K16" s="6">
        <f>9.81*B16*C16*E16*(I16-H16)/I16</f>
        <v>397.95685377797423</v>
      </c>
      <c r="L16" s="6">
        <f>2*9.81*C16*G16*F16*(J16-H16)/J16</f>
        <v>363.52900315275554</v>
      </c>
      <c r="M16" s="6">
        <f>K16+L16</f>
        <v>761.48585693072982</v>
      </c>
      <c r="N16" s="14">
        <v>368942</v>
      </c>
      <c r="O16" s="14">
        <v>527133</v>
      </c>
      <c r="P16" s="15">
        <v>0.9768</v>
      </c>
      <c r="Q16" s="13">
        <f>9.81*(Emissions!D$43)*N16*(1-P16)*((Emissions!D$44-H16)/Emissions!D$44)/((8760)*(3600)*(Emissions!D$42))</f>
        <v>0.39571432983406873</v>
      </c>
      <c r="R16" s="13">
        <f>9.81*(Emissions!D$48)*N16*((Emissions!D$54-H16)/Emissions!D$54)/((8760)*(3600)*(Emissions!D$50))</f>
        <v>15.508542157554388</v>
      </c>
      <c r="S16" s="13">
        <f>9.81*(Emissions!D$56)*O16*((Emissions!D$60-H16)/Emissions!D$60)/((8760)*(3600)*(Emissions!D$59))</f>
        <v>2.7267335690582311</v>
      </c>
      <c r="T16" s="17">
        <f>M16+Q16+R16+S16</f>
        <v>780.11684698717647</v>
      </c>
      <c r="V16" s="22"/>
    </row>
    <row r="17" spans="1:23" x14ac:dyDescent="0.3">
      <c r="B17" s="9"/>
      <c r="C17" s="9"/>
      <c r="D17" s="5"/>
      <c r="F17" s="4"/>
      <c r="N17" s="14"/>
      <c r="O17" s="14"/>
      <c r="P17" s="15"/>
      <c r="T17" s="17"/>
      <c r="V17" s="16"/>
    </row>
    <row r="18" spans="1:23" x14ac:dyDescent="0.3">
      <c r="A18" s="26" t="s">
        <v>94</v>
      </c>
      <c r="B18" s="9"/>
      <c r="C18" s="9"/>
      <c r="D18" s="7"/>
      <c r="F18" s="4"/>
      <c r="N18" s="14"/>
      <c r="O18" s="14"/>
      <c r="P18" s="15"/>
      <c r="T18" s="17"/>
      <c r="V18" s="16"/>
    </row>
    <row r="19" spans="1:23" ht="15" customHeight="1" x14ac:dyDescent="0.3">
      <c r="A19" s="3" t="s">
        <v>3</v>
      </c>
      <c r="B19" s="8">
        <v>15.04</v>
      </c>
      <c r="C19" s="8">
        <v>86.6</v>
      </c>
      <c r="D19" s="5">
        <v>9.4499999999999993</v>
      </c>
      <c r="E19" s="4">
        <v>0.96</v>
      </c>
      <c r="F19" s="4">
        <v>1.52</v>
      </c>
      <c r="G19" s="6">
        <f>0.0787*D19</f>
        <v>0.74371500000000001</v>
      </c>
      <c r="H19" s="4">
        <v>284.10000000000002</v>
      </c>
      <c r="I19" s="4">
        <f>H19+14.8</f>
        <v>298.90000000000003</v>
      </c>
      <c r="J19" s="4">
        <v>394.1</v>
      </c>
      <c r="K19" s="6">
        <f>9.81*B19*C19*E19*(I19-H19)/I19</f>
        <v>607.35382235771181</v>
      </c>
      <c r="L19" s="6">
        <f>2*9.81*C19*G19*F19*(J19-H19)/J19</f>
        <v>536.10921739055061</v>
      </c>
      <c r="M19" s="6">
        <f>K19+L19</f>
        <v>1143.4630397482624</v>
      </c>
      <c r="N19" s="14">
        <v>487500</v>
      </c>
      <c r="O19" s="14">
        <v>657008</v>
      </c>
      <c r="P19" s="15">
        <v>0.97299999999999998</v>
      </c>
      <c r="Q19" s="13">
        <f>9.81*(Emissions!D$43)*N19*(1-P19)*((Emissions!D$44-H19)/Emissions!D$44)/((8760)*(3600)*(Emissions!D$42))</f>
        <v>0.60864423883175223</v>
      </c>
      <c r="R19" s="13">
        <f>9.81*(Emissions!D$48)*N19*((Emissions!D$54-H19)/Emissions!D$54)/((8760)*(3600)*(Emissions!D$50))</f>
        <v>20.496765283831756</v>
      </c>
      <c r="S19" s="13">
        <f>9.81*(Emissions!D$56)*O19*((Emissions!D$60-H19)/Emissions!D$60)/((8760)*(3600)*(Emissions!D$59))</f>
        <v>3.3995481157302336</v>
      </c>
      <c r="T19" s="17">
        <f>M19+Q19+R19+S19</f>
        <v>1167.9679973866564</v>
      </c>
      <c r="V19" s="22"/>
    </row>
    <row r="20" spans="1:23" x14ac:dyDescent="0.3">
      <c r="B20" s="9"/>
      <c r="C20" s="9"/>
      <c r="D20" s="7"/>
      <c r="F20" s="4"/>
      <c r="N20" s="14"/>
      <c r="O20" s="14"/>
      <c r="P20" s="15"/>
      <c r="T20" s="17"/>
      <c r="V20" s="16"/>
    </row>
    <row r="21" spans="1:23" x14ac:dyDescent="0.3">
      <c r="A21" s="26" t="s">
        <v>95</v>
      </c>
      <c r="B21" s="9"/>
      <c r="C21" s="9"/>
      <c r="D21" s="7"/>
      <c r="F21" s="4"/>
      <c r="N21" s="14"/>
      <c r="O21" s="14"/>
      <c r="P21" s="15"/>
      <c r="T21" s="17"/>
      <c r="V21" s="16"/>
    </row>
    <row r="22" spans="1:23" x14ac:dyDescent="0.3">
      <c r="A22" s="3" t="s">
        <v>37</v>
      </c>
      <c r="B22" s="8">
        <v>13.7</v>
      </c>
      <c r="C22" s="8">
        <v>165</v>
      </c>
      <c r="D22" s="5">
        <v>9.4499999999999993</v>
      </c>
      <c r="E22" s="4">
        <v>0.96</v>
      </c>
      <c r="F22" s="4">
        <v>1.52</v>
      </c>
      <c r="G22" s="6">
        <f t="shared" ref="G22:G23" si="4">0.0787*D22</f>
        <v>0.74371500000000001</v>
      </c>
      <c r="H22" s="4">
        <v>285.8</v>
      </c>
      <c r="I22" s="4">
        <f t="shared" ref="I22:I23" si="5">H22+14.8</f>
        <v>300.60000000000002</v>
      </c>
      <c r="J22" s="4">
        <v>394.1</v>
      </c>
      <c r="K22" s="6">
        <f>9.81*B22*C22*E22*(I22-H22)/I22</f>
        <v>1048.1356455089826</v>
      </c>
      <c r="L22" s="6">
        <f t="shared" ref="L22:L23" si="6">2*9.81*C22*G22*F22*(J22-H22)/J22</f>
        <v>1005.6690804283483</v>
      </c>
      <c r="M22" s="6">
        <f t="shared" ref="M22:M23" si="7">K22+L22</f>
        <v>2053.8047259373307</v>
      </c>
      <c r="N22" s="14">
        <v>526400</v>
      </c>
      <c r="O22" s="14">
        <v>752000</v>
      </c>
      <c r="P22" s="15">
        <v>0.96630000000000005</v>
      </c>
      <c r="Q22" s="13">
        <f>9.81*(Emissions!D$43)*N22*(1-P22)*((1255-H22)/1255)/((8760)*(3600)*(Emissions!D$42))</f>
        <v>0.81878777883349552</v>
      </c>
      <c r="R22" s="13">
        <f>9.81*(Emissions!D$48)*N22*((Emissions!D$54-H22)/Emissions!D$54)/((8760)*(3600)*(Emissions!D$50))</f>
        <v>22.089929257956623</v>
      </c>
      <c r="S22" s="13">
        <f>9.81*(Emissions!D$56)*O22*((Emissions!D$60-H22)/Emissions!D$60)/((8760)*(3600)*(Emissions!D$59))</f>
        <v>3.8813148443824037</v>
      </c>
      <c r="T22" s="17">
        <f>M22+Q22+R22+S22</f>
        <v>2080.5947578185032</v>
      </c>
      <c r="V22" s="22"/>
    </row>
    <row r="23" spans="1:23" x14ac:dyDescent="0.3">
      <c r="A23" s="3" t="s">
        <v>38</v>
      </c>
      <c r="B23" s="8">
        <v>17</v>
      </c>
      <c r="C23" s="8">
        <v>102</v>
      </c>
      <c r="D23" s="5">
        <v>12.8</v>
      </c>
      <c r="E23" s="4">
        <v>0.96</v>
      </c>
      <c r="F23" s="4">
        <v>1.52</v>
      </c>
      <c r="G23" s="6">
        <f t="shared" si="4"/>
        <v>1.00736</v>
      </c>
      <c r="H23" s="4">
        <v>285.8</v>
      </c>
      <c r="I23" s="4">
        <f t="shared" si="5"/>
        <v>300.60000000000002</v>
      </c>
      <c r="J23" s="4">
        <v>394.1</v>
      </c>
      <c r="K23" s="6">
        <f>9.81*B23*C23*E23*(I23-H23)/I23</f>
        <v>804.01115209580894</v>
      </c>
      <c r="L23" s="6">
        <f t="shared" si="6"/>
        <v>842.07250370835425</v>
      </c>
      <c r="M23" s="6">
        <f t="shared" si="7"/>
        <v>1646.0836558041633</v>
      </c>
      <c r="N23" s="14">
        <v>935743</v>
      </c>
      <c r="O23" s="14">
        <v>1336776</v>
      </c>
      <c r="P23" s="15">
        <v>0.95179999999999998</v>
      </c>
      <c r="Q23" s="13">
        <f>9.81*(Emissions!D$43)*N23*(1-P23)*((1255-H23)/1255)/((8760)*(3600)*(Emissions!D$42))</f>
        <v>2.0817529824606456</v>
      </c>
      <c r="R23" s="13">
        <f>9.81*(Emissions!D$48)*N23*((Emissions!D$54-H23)/Emissions!D$54)/((8760)*(3600)*(Emissions!D$50))</f>
        <v>39.267660854156738</v>
      </c>
      <c r="S23" s="13">
        <f>9.81*(Emissions!D$56)*O23*((Emissions!D$60-H23)/Emissions!D$60)/((8760)*(3600)*(Emissions!D$59))</f>
        <v>6.8995326228911322</v>
      </c>
      <c r="T23" s="17">
        <f>M23+Q23+R23+S23</f>
        <v>1694.3326022636718</v>
      </c>
      <c r="V23" s="22"/>
    </row>
    <row r="24" spans="1:23" x14ac:dyDescent="0.3">
      <c r="B24" s="9"/>
      <c r="C24" s="9"/>
      <c r="D24" s="7"/>
      <c r="F24" s="4"/>
      <c r="N24" s="14"/>
      <c r="O24" s="14"/>
      <c r="P24" s="15"/>
      <c r="T24" s="17"/>
      <c r="V24" s="16"/>
    </row>
    <row r="25" spans="1:23" ht="21" customHeight="1" x14ac:dyDescent="0.3">
      <c r="A25" s="26" t="s">
        <v>96</v>
      </c>
      <c r="B25" s="9"/>
      <c r="C25" s="9"/>
      <c r="D25" s="7"/>
      <c r="F25" s="4"/>
      <c r="N25" s="14"/>
      <c r="O25" s="14"/>
      <c r="P25" s="15"/>
      <c r="T25" s="17"/>
      <c r="V25" s="16"/>
    </row>
    <row r="26" spans="1:23" x14ac:dyDescent="0.3">
      <c r="A26" s="3" t="s">
        <v>39</v>
      </c>
      <c r="B26" s="8">
        <f>CONVERT(50.5,"ft","m")</f>
        <v>15.3924</v>
      </c>
      <c r="C26" s="8">
        <v>196.28</v>
      </c>
      <c r="D26" s="5">
        <v>16.8</v>
      </c>
      <c r="E26" s="4">
        <v>0.96</v>
      </c>
      <c r="F26" s="4">
        <v>1.52</v>
      </c>
      <c r="G26" s="6">
        <f t="shared" ref="G26" si="8">0.0787*D26</f>
        <v>1.3221600000000002</v>
      </c>
      <c r="H26" s="4">
        <v>283.39999999999998</v>
      </c>
      <c r="I26" s="4">
        <f t="shared" ref="I26" si="9">H26+14.8</f>
        <v>298.2</v>
      </c>
      <c r="J26" s="4">
        <v>394.1</v>
      </c>
      <c r="K26" s="6">
        <f>9.81*B26*C26*E26*(I26-H26)/I26</f>
        <v>1412.1365918748857</v>
      </c>
      <c r="L26" s="6">
        <f t="shared" ref="L26" si="10">2*9.81*C26*G26*F26*(J26-H26)/J26</f>
        <v>2173.9214132770662</v>
      </c>
      <c r="M26" s="6">
        <f t="shared" ref="M26" si="11">K26+L26</f>
        <v>3586.0580051519519</v>
      </c>
      <c r="N26" s="14">
        <v>2091078</v>
      </c>
      <c r="O26" s="14">
        <v>2900968</v>
      </c>
      <c r="P26" s="15">
        <v>0.96199999999999997</v>
      </c>
      <c r="Q26" s="13">
        <f>9.81*(Emissions!D$43)*N26*(1-P26)*((Emissions!D$44-H26)/Emissions!D$44)/((8760)*(3600)*(Emissions!D$42))</f>
        <v>3.6769848752342758</v>
      </c>
      <c r="R26" s="13">
        <f>9.81*(Emissions!D$48)*N26*((Emissions!D$54-H26)/Emissions!D$54)/((8760)*(3600)*(Emissions!D$50))</f>
        <v>87.987944941028303</v>
      </c>
      <c r="S26" s="13">
        <f>9.81*(Emissions!D$56)*O26*((Emissions!D$60-H26)/Emissions!D$60)/((8760)*(3600)*(Emissions!D$59))</f>
        <v>15.025927812822392</v>
      </c>
      <c r="T26" s="17">
        <f>M26+Q26+R26+S26</f>
        <v>3692.7488627810367</v>
      </c>
      <c r="V26" s="22"/>
    </row>
    <row r="27" spans="1:23" x14ac:dyDescent="0.3">
      <c r="B27" s="7"/>
      <c r="C27" s="7"/>
      <c r="D27" s="7"/>
      <c r="F27" s="4"/>
      <c r="N27" s="14"/>
      <c r="O27" s="14"/>
      <c r="P27" s="15"/>
      <c r="T27" s="17"/>
      <c r="V27" s="16"/>
    </row>
    <row r="28" spans="1:23" x14ac:dyDescent="0.3">
      <c r="A28" s="26" t="s">
        <v>97</v>
      </c>
      <c r="B28" s="7"/>
      <c r="C28" s="7"/>
      <c r="D28" s="7"/>
      <c r="F28" s="4"/>
      <c r="N28" s="14"/>
      <c r="O28" s="14"/>
      <c r="P28" s="15"/>
      <c r="T28" s="17"/>
      <c r="V28" s="16"/>
    </row>
    <row r="29" spans="1:23" x14ac:dyDescent="0.3">
      <c r="A29" t="s">
        <v>3</v>
      </c>
      <c r="B29" s="6">
        <v>13.73</v>
      </c>
      <c r="C29" s="6">
        <v>95</v>
      </c>
      <c r="D29" s="6">
        <v>14.94</v>
      </c>
      <c r="E29" s="4">
        <v>0.96</v>
      </c>
      <c r="F29" s="4">
        <v>1.52</v>
      </c>
      <c r="G29" s="6">
        <f>0.0787*D29</f>
        <v>1.175778</v>
      </c>
      <c r="H29" s="4">
        <v>282.2</v>
      </c>
      <c r="I29" s="4">
        <f>H29+14.8</f>
        <v>297</v>
      </c>
      <c r="J29" s="4">
        <v>394.1</v>
      </c>
      <c r="K29" s="6">
        <f>9.81*B29*C29*E29*(I29-H29)/I29</f>
        <v>612.12434036363686</v>
      </c>
      <c r="L29" s="6">
        <f>2*9.81*C29*G29*F29*(J29-H29)/J29</f>
        <v>945.8345579397353</v>
      </c>
      <c r="M29" s="6">
        <f>K29+L29</f>
        <v>1557.9588983033723</v>
      </c>
      <c r="N29" s="14">
        <v>661205</v>
      </c>
      <c r="O29" s="14">
        <v>885124</v>
      </c>
      <c r="P29" s="15">
        <v>0.9516</v>
      </c>
      <c r="Q29" s="13">
        <f>9.81*(Emissions!D$43)*N29*(1-P29)*((Emissions!D$44-H29)/Emissions!D$44)/((8760)*(3600)*(Emissions!D$42))</f>
        <v>1.4827070446353707</v>
      </c>
      <c r="R29" s="13">
        <f>9.81*(Emissions!D$48)*N29*((Emissions!D$54-H29)/Emissions!D$54)/((8760)*(3600)*(Emissions!D$50))</f>
        <v>27.859616256050437</v>
      </c>
      <c r="S29" s="13">
        <f>9.81*(Emissions!D$56)*O29*((Emissions!D$60-H29)/Emissions!D$60)/((8760)*(3600)*(Emissions!D$59))</f>
        <v>4.5927108557344649</v>
      </c>
      <c r="T29" s="17">
        <f>M29+Q29+R29+S29</f>
        <v>1591.8939324597925</v>
      </c>
      <c r="V29" s="22"/>
    </row>
    <row r="30" spans="1:23" x14ac:dyDescent="0.3">
      <c r="B30" s="6"/>
      <c r="C30" s="6"/>
      <c r="D30" s="6"/>
      <c r="E30" s="4"/>
      <c r="F30" s="4"/>
      <c r="G30" s="6"/>
      <c r="H30" s="4"/>
      <c r="I30" s="4"/>
      <c r="J30" s="4"/>
      <c r="K30" s="6"/>
      <c r="L30" s="6"/>
      <c r="M30" s="6"/>
      <c r="N30" s="14"/>
      <c r="O30" s="14"/>
      <c r="P30" s="15"/>
      <c r="Q30" s="13"/>
      <c r="R30" s="13"/>
      <c r="S30" s="13"/>
      <c r="T30" s="17"/>
    </row>
    <row r="31" spans="1:23" ht="16.2" x14ac:dyDescent="0.3">
      <c r="A31" s="2" t="s">
        <v>98</v>
      </c>
      <c r="B31" s="6"/>
      <c r="C31" s="6"/>
      <c r="D31" s="6"/>
      <c r="E31" s="23"/>
      <c r="F31" s="4"/>
      <c r="G31" s="6"/>
      <c r="H31" s="4"/>
      <c r="I31" s="4"/>
      <c r="J31" s="4"/>
      <c r="K31" s="6"/>
      <c r="L31" s="6"/>
      <c r="M31" s="6"/>
      <c r="N31" s="14"/>
      <c r="O31" s="14"/>
      <c r="P31" s="15"/>
      <c r="Q31" s="13"/>
      <c r="R31" s="13"/>
      <c r="S31" s="13"/>
      <c r="T31" s="17"/>
      <c r="V31" s="16"/>
    </row>
    <row r="32" spans="1:23" s="24" customFormat="1" x14ac:dyDescent="0.3">
      <c r="A32" s="24" t="s">
        <v>37</v>
      </c>
      <c r="B32" s="27">
        <v>13.7</v>
      </c>
      <c r="C32" s="27">
        <v>287</v>
      </c>
      <c r="D32" s="27">
        <v>8.5</v>
      </c>
      <c r="E32" s="23">
        <v>0.96</v>
      </c>
      <c r="F32" s="23">
        <v>1.52</v>
      </c>
      <c r="G32" s="27">
        <f>0.0787*D32</f>
        <v>0.66895000000000004</v>
      </c>
      <c r="H32" s="23">
        <v>284.27</v>
      </c>
      <c r="I32" s="23">
        <f>H32+14.8</f>
        <v>299.07</v>
      </c>
      <c r="J32" s="23">
        <v>394.1</v>
      </c>
      <c r="K32" s="27">
        <f>9.81*B32*C32*E32*(I32-H32)/I32</f>
        <v>1832.4476186578404</v>
      </c>
      <c r="L32" s="27">
        <f>2*9.81*C32*G32*F32*(J32-H32)/J32</f>
        <v>1595.6318425270772</v>
      </c>
      <c r="M32" s="27">
        <f>K32+L32</f>
        <v>3428.0794611849178</v>
      </c>
      <c r="N32" s="25">
        <v>1205595</v>
      </c>
      <c r="O32" s="25">
        <f>N32*1.4</f>
        <v>1687833</v>
      </c>
      <c r="P32" s="28">
        <v>0.99029999999999996</v>
      </c>
      <c r="Q32" s="29">
        <f>9.81*(Emissions!D$43)*N32*(1-P32)*((Emissions!D$44-H32)/Emissions!D$44)/((8760)*(3600)*(Emissions!D$42))</f>
        <v>0.54065756477550897</v>
      </c>
      <c r="R32" s="29">
        <f>9.81*(Emissions!D$48)*N32*((Emissions!D$54-H32)/Emissions!D$54)/((8760)*(3600)*(Emissions!D$50))</f>
        <v>50.679111395365304</v>
      </c>
      <c r="S32" s="29">
        <f>9.81*(Emissions!D$56)*O32*((Emissions!D$60-H32)/Emissions!D$60)/((8760)*(3600)*(Emissions!D$59))</f>
        <v>8.7311446073440617</v>
      </c>
      <c r="T32" s="30">
        <f>M32+Q32+R32+S32</f>
        <v>3488.0303747524026</v>
      </c>
      <c r="V32" s="30"/>
      <c r="W32" s="23"/>
    </row>
    <row r="33" spans="1:23" s="24" customFormat="1" x14ac:dyDescent="0.3">
      <c r="A33" s="24" t="s">
        <v>40</v>
      </c>
      <c r="B33" s="27">
        <v>14</v>
      </c>
      <c r="C33" s="27">
        <v>273</v>
      </c>
      <c r="D33" s="27">
        <v>8.8000000000000007</v>
      </c>
      <c r="E33" s="23">
        <v>0.96</v>
      </c>
      <c r="F33" s="23">
        <v>1.52</v>
      </c>
      <c r="G33" s="27">
        <f>0.0787*D33</f>
        <v>0.69256000000000006</v>
      </c>
      <c r="H33" s="23">
        <v>284.27</v>
      </c>
      <c r="I33" s="23">
        <f>H33+14.8</f>
        <v>299.07</v>
      </c>
      <c r="J33" s="23">
        <v>394.1</v>
      </c>
      <c r="K33" s="27">
        <f t="shared" ref="K33:K36" si="12">9.81*B33*C33*E33*(I33-H33)/I33</f>
        <v>1781.2291254890172</v>
      </c>
      <c r="L33" s="27">
        <f t="shared" ref="L33:L36" si="13">2*9.81*C33*G33*F33*(J33-H33)/J33</f>
        <v>1571.3654185230785</v>
      </c>
      <c r="M33" s="27">
        <f t="shared" ref="M33:M36" si="14">K33+L33</f>
        <v>3352.5945440120959</v>
      </c>
      <c r="N33" s="25">
        <v>1270200</v>
      </c>
      <c r="O33" s="25">
        <f t="shared" ref="O33:O36" si="15">N33*1.4</f>
        <v>1778280</v>
      </c>
      <c r="P33" s="28">
        <v>0.99309999999999998</v>
      </c>
      <c r="Q33" s="29">
        <f>9.81*(Emissions!D$43)*N33*(1-P33)*((Emissions!D$44-H33)/Emissions!D$44)/((8760)*(3600)*(Emissions!D$42))</f>
        <v>0.40520081542207786</v>
      </c>
      <c r="R33" s="29">
        <f>9.81*(Emissions!D$48)*N33*((Emissions!D$54-H33)/Emissions!D$54)/((8760)*(3600)*(Emissions!D$50))</f>
        <v>53.394885757151464</v>
      </c>
      <c r="S33" s="29">
        <f>9.81*(Emissions!D$56)*O33*((Emissions!D$60-H33)/Emissions!D$60)/((8760)*(3600)*(Emissions!D$59))</f>
        <v>9.1990261076467856</v>
      </c>
      <c r="T33" s="30">
        <f t="shared" ref="T33:T36" si="16">M33+Q33+R33+S33</f>
        <v>3415.593656692316</v>
      </c>
      <c r="V33" s="30"/>
      <c r="W33" s="23"/>
    </row>
    <row r="34" spans="1:23" s="24" customFormat="1" x14ac:dyDescent="0.3">
      <c r="A34" s="24" t="s">
        <v>41</v>
      </c>
      <c r="B34" s="27">
        <v>14</v>
      </c>
      <c r="C34" s="27">
        <v>247</v>
      </c>
      <c r="D34" s="27">
        <v>10.5</v>
      </c>
      <c r="E34" s="23">
        <v>0.96</v>
      </c>
      <c r="F34" s="23">
        <v>1.52</v>
      </c>
      <c r="G34" s="27">
        <f>0.0787*D34</f>
        <v>0.82635000000000003</v>
      </c>
      <c r="H34" s="23">
        <v>284.27</v>
      </c>
      <c r="I34" s="23">
        <f>H34+14.8</f>
        <v>299.07</v>
      </c>
      <c r="J34" s="23">
        <v>394.1</v>
      </c>
      <c r="K34" s="27">
        <f t="shared" si="12"/>
        <v>1611.5882563948253</v>
      </c>
      <c r="L34" s="27">
        <f t="shared" si="13"/>
        <v>1696.3603949965052</v>
      </c>
      <c r="M34" s="27">
        <f t="shared" si="14"/>
        <v>3307.9486513913307</v>
      </c>
      <c r="N34" s="25">
        <v>1555630</v>
      </c>
      <c r="O34" s="25">
        <f t="shared" si="15"/>
        <v>2177882</v>
      </c>
      <c r="P34" s="28">
        <v>0.99680000000000002</v>
      </c>
      <c r="Q34" s="29">
        <f>9.81*(Emissions!D$43)*N34*(1-P34)*((Emissions!D$44-H34)/Emissions!D$44)/((8760)*(3600)*(Emissions!D$42))</f>
        <v>0.23014704318892301</v>
      </c>
      <c r="R34" s="29">
        <f>9.81*(Emissions!D$48)*N34*((Emissions!D$54-H34)/Emissions!D$54)/((8760)*(3600)*(Emissions!D$50))</f>
        <v>65.39339169453433</v>
      </c>
      <c r="S34" s="29">
        <f>9.81*(Emissions!D$56)*O34*((Emissions!D$60-H34)/Emissions!D$60)/((8760)*(3600)*(Emissions!D$59))</f>
        <v>11.266163583560518</v>
      </c>
      <c r="T34" s="30">
        <f t="shared" si="16"/>
        <v>3384.8383537126147</v>
      </c>
      <c r="V34" s="30"/>
      <c r="W34" s="23"/>
    </row>
    <row r="35" spans="1:23" s="24" customFormat="1" x14ac:dyDescent="0.3">
      <c r="A35" s="24" t="s">
        <v>42</v>
      </c>
      <c r="B35" s="27">
        <v>16.7</v>
      </c>
      <c r="C35" s="27">
        <v>106</v>
      </c>
      <c r="D35" s="27">
        <v>15.1</v>
      </c>
      <c r="E35" s="23">
        <v>0.96</v>
      </c>
      <c r="F35" s="23">
        <v>1.52</v>
      </c>
      <c r="G35" s="27">
        <f>0.0787*D35</f>
        <v>1.1883700000000001</v>
      </c>
      <c r="H35" s="23">
        <v>284.27</v>
      </c>
      <c r="I35" s="23">
        <f>H35+14.8</f>
        <v>299.07</v>
      </c>
      <c r="J35" s="23">
        <v>394.1</v>
      </c>
      <c r="K35" s="27">
        <f t="shared" si="12"/>
        <v>824.99523755642565</v>
      </c>
      <c r="L35" s="27">
        <f t="shared" si="13"/>
        <v>1046.9228641725106</v>
      </c>
      <c r="M35" s="27">
        <f t="shared" si="14"/>
        <v>1871.9181017289361</v>
      </c>
      <c r="N35" s="25">
        <v>1157050</v>
      </c>
      <c r="O35" s="25">
        <f t="shared" si="15"/>
        <v>1619870</v>
      </c>
      <c r="P35" s="28">
        <v>0.99960000000000004</v>
      </c>
      <c r="Q35" s="29">
        <f>9.81*(Emissions!D$43)*N35*(1-P35)*((Emissions!D$44-H35)/Emissions!D$44)/((8760)*(3600)*(Emissions!D$42))</f>
        <v>2.13974110426094E-2</v>
      </c>
      <c r="R35" s="29">
        <f>9.81*(Emissions!D$48)*N35*((Emissions!D$54-H35)/Emissions!D$54)/((8760)*(3600)*(Emissions!D$50))</f>
        <v>48.638444784531643</v>
      </c>
      <c r="S35" s="29">
        <f>9.81*(Emissions!D$56)*O35*((Emissions!D$60-H35)/Emissions!D$60)/((8760)*(3600)*(Emissions!D$59))</f>
        <v>8.3795726325403201</v>
      </c>
      <c r="T35" s="30">
        <f t="shared" si="16"/>
        <v>1928.9575165570509</v>
      </c>
      <c r="V35" s="30"/>
      <c r="W35" s="23"/>
    </row>
    <row r="36" spans="1:23" s="24" customFormat="1" x14ac:dyDescent="0.3">
      <c r="A36" s="24" t="s">
        <v>43</v>
      </c>
      <c r="B36" s="27">
        <v>16.7</v>
      </c>
      <c r="C36" s="27">
        <v>115</v>
      </c>
      <c r="D36" s="27">
        <v>15.1</v>
      </c>
      <c r="E36" s="23">
        <v>0.96</v>
      </c>
      <c r="F36" s="23">
        <v>1.52</v>
      </c>
      <c r="G36" s="27">
        <f>0.0787*D36</f>
        <v>1.1883700000000001</v>
      </c>
      <c r="H36" s="23">
        <v>284.27</v>
      </c>
      <c r="I36" s="23">
        <f>H36+14.8</f>
        <v>299.07</v>
      </c>
      <c r="J36" s="23">
        <v>394.1</v>
      </c>
      <c r="K36" s="27">
        <f t="shared" si="12"/>
        <v>895.04200300932951</v>
      </c>
      <c r="L36" s="27">
        <f t="shared" si="13"/>
        <v>1135.8125413192331</v>
      </c>
      <c r="M36" s="27">
        <f t="shared" si="14"/>
        <v>2030.8545443285625</v>
      </c>
      <c r="N36" s="25">
        <v>1107384</v>
      </c>
      <c r="O36" s="25">
        <f t="shared" si="15"/>
        <v>1550337.5999999999</v>
      </c>
      <c r="P36" s="28">
        <v>0.99980000000000002</v>
      </c>
      <c r="Q36" s="29">
        <f>9.81*(Emissions!D$43)*N36*(1-P36)*((Emissions!D$44-H36)/Emissions!D$44)/((8760)*(3600)*(Emissions!D$42))</f>
        <v>1.0239467019579521E-2</v>
      </c>
      <c r="R36" s="29">
        <f>9.81*(Emissions!D$48)*N36*((Emissions!D$54-H36)/Emissions!D$54)/((8760)*(3600)*(Emissions!D$50))</f>
        <v>46.550655148242335</v>
      </c>
      <c r="S36" s="29">
        <f>9.81*(Emissions!D$56)*O36*((Emissions!D$60-H36)/Emissions!D$60)/((8760)*(3600)*(Emissions!D$59))</f>
        <v>8.0198821659505022</v>
      </c>
      <c r="T36" s="30">
        <f t="shared" si="16"/>
        <v>2085.435321109775</v>
      </c>
      <c r="V36" s="30"/>
      <c r="W36" s="23"/>
    </row>
    <row r="37" spans="1:23" s="24" customFormat="1" x14ac:dyDescent="0.3">
      <c r="E37" s="23"/>
    </row>
    <row r="38" spans="1:23" x14ac:dyDescent="0.3">
      <c r="A38" s="12" t="s">
        <v>44</v>
      </c>
    </row>
    <row r="39" spans="1:23" x14ac:dyDescent="0.3">
      <c r="A39" s="19" t="s">
        <v>45</v>
      </c>
    </row>
    <row r="40" spans="1:23" x14ac:dyDescent="0.3">
      <c r="A40" s="19" t="s">
        <v>46</v>
      </c>
    </row>
    <row r="41" spans="1:23" x14ac:dyDescent="0.3">
      <c r="M41" s="24"/>
    </row>
    <row r="42" spans="1:23" x14ac:dyDescent="0.3">
      <c r="A42" s="26" t="s">
        <v>99</v>
      </c>
      <c r="M42" s="24"/>
    </row>
    <row r="43" spans="1:23" x14ac:dyDescent="0.3">
      <c r="A43" t="s">
        <v>47</v>
      </c>
      <c r="B43">
        <v>15.24</v>
      </c>
      <c r="C43">
        <v>371.85599999999999</v>
      </c>
      <c r="D43">
        <v>4.5720000000000001</v>
      </c>
      <c r="E43">
        <v>0.96</v>
      </c>
      <c r="F43">
        <v>1.52</v>
      </c>
      <c r="G43" s="6">
        <f>0.0787*D43</f>
        <v>0.35981640000000004</v>
      </c>
      <c r="H43">
        <v>287.89999999999998</v>
      </c>
      <c r="I43" s="4">
        <f>H43+14.8</f>
        <v>302.7</v>
      </c>
      <c r="J43">
        <v>394.1</v>
      </c>
      <c r="K43" s="6">
        <f>9.81*B43*C43*E43*(I43-H43)/I43</f>
        <v>2609.4518956994111</v>
      </c>
      <c r="L43" s="6">
        <f>2*9.81*C43*G43*F43*(J43-H43)/J43</f>
        <v>1075.2672545352771</v>
      </c>
      <c r="M43" s="6">
        <f>K43+L43</f>
        <v>3684.7191502346882</v>
      </c>
      <c r="N43">
        <f>261780*2</f>
        <v>523560</v>
      </c>
      <c r="O43">
        <f>365000*2</f>
        <v>730000</v>
      </c>
      <c r="P43">
        <v>0.95</v>
      </c>
      <c r="Q43" s="13">
        <f>9.81*(Emissions!D$43)*N43*(1-P43)*((Emissions!D$44-H43)/Emissions!D$44)/((8760)*(3600)*(Emissions!D$42))</f>
        <v>1.2057552027076481</v>
      </c>
      <c r="R43" s="13">
        <f>9.81*(Emissions!D$48)*N43*((Emissions!D$54-H43)/Emissions!D$54)/((8760)*(3600)*(Emissions!D$50))</f>
        <v>21.918690614320017</v>
      </c>
      <c r="S43" s="13">
        <f>9.81*(Emissions!D$56)*O43*((Emissions!D$60-H43)/Emissions!D$60)/((8760)*(3600)*(Emissions!D$59))</f>
        <v>3.7560749774016919</v>
      </c>
      <c r="T43" s="17">
        <f>M43+Q43+R43+S43</f>
        <v>3711.5996710291174</v>
      </c>
    </row>
    <row r="44" spans="1:23" x14ac:dyDescent="0.3">
      <c r="A44" t="s">
        <v>48</v>
      </c>
      <c r="B44">
        <v>15.24</v>
      </c>
      <c r="C44">
        <v>185.928</v>
      </c>
      <c r="D44">
        <v>4.5720000000000001</v>
      </c>
      <c r="E44">
        <v>0.96</v>
      </c>
      <c r="F44">
        <v>1.52</v>
      </c>
      <c r="G44" s="6">
        <f>0.0787*D44</f>
        <v>0.35981640000000004</v>
      </c>
      <c r="H44">
        <v>287.89999999999998</v>
      </c>
      <c r="I44" s="4">
        <f>H44+14.8</f>
        <v>302.7</v>
      </c>
      <c r="J44">
        <v>394.1</v>
      </c>
      <c r="K44" s="6">
        <f>9.81*B44*C44*E44*(I44-H44)/I44</f>
        <v>1304.7259478497056</v>
      </c>
      <c r="L44" s="6">
        <f>2*9.81*C44*G44*F44*(J44-H44)/J44</f>
        <v>537.63362726763853</v>
      </c>
      <c r="M44" s="6">
        <f>K44+L44</f>
        <v>1842.3595751173441</v>
      </c>
      <c r="N44">
        <v>261780</v>
      </c>
      <c r="O44">
        <v>365000</v>
      </c>
      <c r="P44">
        <v>0.95</v>
      </c>
      <c r="Q44" s="13">
        <f>9.81*(Emissions!D$43)*N44*(1-P44)*((Emissions!D$44-H44)/Emissions!D$44)/((8760)*(3600)*(Emissions!D$42))</f>
        <v>0.60287760135382407</v>
      </c>
      <c r="R44" s="13">
        <f>9.81*(Emissions!D$48)*N44*((Emissions!D$54-H44)/Emissions!D$54)/((8760)*(3600)*(Emissions!D$50))</f>
        <v>10.959345307160008</v>
      </c>
      <c r="S44" s="13">
        <f>9.81*(Emissions!D$56)*O44*((Emissions!D$60-H44)/Emissions!D$60)/((8760)*(3600)*(Emissions!D$59))</f>
        <v>1.878037488700846</v>
      </c>
      <c r="T44" s="17">
        <f>M44+Q44+R44+S44</f>
        <v>1855.7998355145587</v>
      </c>
    </row>
    <row r="46" spans="1:23" x14ac:dyDescent="0.3">
      <c r="A46" s="26" t="s">
        <v>100</v>
      </c>
    </row>
    <row r="47" spans="1:23" x14ac:dyDescent="0.3">
      <c r="A47" t="s">
        <v>49</v>
      </c>
      <c r="B47">
        <v>15.24</v>
      </c>
      <c r="C47">
        <v>187.452</v>
      </c>
      <c r="D47">
        <v>4.5720000000000001</v>
      </c>
      <c r="E47">
        <v>0.96</v>
      </c>
      <c r="F47">
        <v>1.52</v>
      </c>
      <c r="G47" s="6">
        <f t="shared" ref="G47:G48" si="17">0.0787*D47</f>
        <v>0.35981640000000004</v>
      </c>
      <c r="H47" s="4">
        <v>284.10000000000002</v>
      </c>
      <c r="I47" s="4">
        <f>H47+14.8</f>
        <v>298.90000000000003</v>
      </c>
      <c r="J47">
        <v>394.1</v>
      </c>
      <c r="K47" s="6">
        <f>9.81*B47*C47*E47*(I47-H47)/I47</f>
        <v>1332.1437336609924</v>
      </c>
      <c r="L47" s="6">
        <f>2*9.81*C47*G47*F47*(J47-H47)/J47</f>
        <v>561.435504996075</v>
      </c>
      <c r="M47" s="6">
        <f>K47+L47</f>
        <v>1893.5792386570674</v>
      </c>
      <c r="N47">
        <v>365000</v>
      </c>
      <c r="O47">
        <v>261780</v>
      </c>
      <c r="P47">
        <v>0.95</v>
      </c>
      <c r="Q47" s="13">
        <f>9.81*(Emissions!D$43)*N47*(1-P47)*((Emissions!D$44-H47)/Emissions!D$44)/((8760)*(3600)*(Emissions!D$42))</f>
        <v>0.84389419629093854</v>
      </c>
      <c r="R47" s="13">
        <f>9.81*(Emissions!D$48)*N47*((Emissions!D$54-H47)/Emissions!D$54)/((8760)*(3600)*(Emissions!D$50))</f>
        <v>15.346296058663775</v>
      </c>
      <c r="S47" s="13">
        <f>9.81*(Emissions!D$56)*O47*((Emissions!D$60-H47)/Emissions!D$60)/((8760)*(3600)*(Emissions!D$59))</f>
        <v>1.3545249155807244</v>
      </c>
      <c r="T47" s="17">
        <f t="shared" ref="T47:T48" si="18">M47+Q47+R47+S47</f>
        <v>1911.1239538276027</v>
      </c>
    </row>
    <row r="48" spans="1:23" x14ac:dyDescent="0.3">
      <c r="A48" t="s">
        <v>50</v>
      </c>
      <c r="B48">
        <v>15.24</v>
      </c>
      <c r="C48">
        <v>281.94</v>
      </c>
      <c r="D48">
        <v>4.5720000000000001</v>
      </c>
      <c r="E48">
        <v>0.96</v>
      </c>
      <c r="F48">
        <v>1.52</v>
      </c>
      <c r="G48" s="6">
        <f t="shared" si="17"/>
        <v>0.35981640000000004</v>
      </c>
      <c r="H48" s="4">
        <v>284.10000000000002</v>
      </c>
      <c r="I48" s="4">
        <f>H48+14.8</f>
        <v>298.90000000000003</v>
      </c>
      <c r="J48">
        <v>394.1</v>
      </c>
      <c r="K48" s="6">
        <f>9.81*B48*C48*E48*(I48-H48)/I48</f>
        <v>2003.6308189210051</v>
      </c>
      <c r="L48" s="6">
        <f>2*9.81*C48*G48*F48*(J48-H48)/J48</f>
        <v>844.43551564450297</v>
      </c>
      <c r="M48" s="6">
        <f>K48+L48</f>
        <v>2848.066334565508</v>
      </c>
      <c r="N48">
        <f>365000+182500</f>
        <v>547500</v>
      </c>
      <c r="O48">
        <f>261780+130890</f>
        <v>392670</v>
      </c>
      <c r="P48">
        <v>0.95</v>
      </c>
      <c r="Q48" s="13">
        <f>9.81*(Emissions!D$43)*N48*(1-P48)*((Emissions!D$44-H48)/Emissions!D$44)/((8760)*(3600)*(Emissions!D$42))</f>
        <v>1.2658412944364077</v>
      </c>
      <c r="R48" s="13">
        <f>9.81*(Emissions!D$48)*N48*((Emissions!D$54-H48)/Emissions!D$54)/((8760)*(3600)*(Emissions!D$50))</f>
        <v>23.019444087995662</v>
      </c>
      <c r="S48" s="13">
        <f>9.81*(Emissions!D$56)*O48*((Emissions!D$60-H48)/Emissions!D$60)/((8760)*(3600)*(Emissions!D$59))</f>
        <v>2.0317873733710865</v>
      </c>
      <c r="T48" s="17">
        <f t="shared" si="18"/>
        <v>2874.3834073213111</v>
      </c>
    </row>
    <row r="50" spans="1:20" x14ac:dyDescent="0.3">
      <c r="A50" s="26" t="s">
        <v>101</v>
      </c>
    </row>
    <row r="51" spans="1:20" x14ac:dyDescent="0.3">
      <c r="A51" t="s">
        <v>51</v>
      </c>
      <c r="B51">
        <v>15.24</v>
      </c>
      <c r="C51">
        <v>209.09299999999999</v>
      </c>
      <c r="D51">
        <v>4.5720000000000001</v>
      </c>
      <c r="E51">
        <v>0.96</v>
      </c>
      <c r="F51">
        <v>1.52</v>
      </c>
      <c r="G51" s="6">
        <f t="shared" ref="G51:G54" si="19">0.0787*D51</f>
        <v>0.35981640000000004</v>
      </c>
      <c r="H51">
        <v>293</v>
      </c>
      <c r="I51" s="4">
        <f t="shared" ref="I51:I54" si="20">H51+14.8</f>
        <v>307.8</v>
      </c>
      <c r="J51">
        <v>394.1</v>
      </c>
      <c r="K51" s="6">
        <f t="shared" ref="K51:K54" si="21">9.81*B51*C51*E51*(I51-H51)/I51</f>
        <v>1442.9716582804222</v>
      </c>
      <c r="L51" s="6">
        <f t="shared" ref="L51:L54" si="22">2*9.81*C51*G51*F51*(J51-H51)/J51</f>
        <v>575.58273643217228</v>
      </c>
      <c r="M51" s="6">
        <f t="shared" ref="M51:M54" si="23">K51+L51</f>
        <v>2018.5543947125943</v>
      </c>
      <c r="N51">
        <v>330056</v>
      </c>
      <c r="O51">
        <v>225000</v>
      </c>
      <c r="P51">
        <v>0.95</v>
      </c>
      <c r="Q51" s="13">
        <f>9.81*(Emissions!D$43)*N51*(1-P51)*((Emissions!D$44-H51)/Emissions!D$44)/((8760)*(3600)*(Emissions!D$42))</f>
        <v>0.75610987594663193</v>
      </c>
      <c r="R51" s="13">
        <f>9.81*(Emissions!D$48)*N51*((Emissions!D$54-H51)/Emissions!D$54)/((8760)*(3600)*(Emissions!D$50))</f>
        <v>13.737996665147257</v>
      </c>
      <c r="S51" s="13">
        <f>9.81*(Emissions!D$56)*O51*((Emissions!D$60-H51)/Emissions!D$60)/((8760)*(3600)*(Emissions!D$59))</f>
        <v>1.1489434291350977</v>
      </c>
      <c r="T51" s="17">
        <f t="shared" ref="T51:T54" si="24">M51+Q51+R51+S51</f>
        <v>2034.1974446828231</v>
      </c>
    </row>
    <row r="52" spans="1:20" x14ac:dyDescent="0.3">
      <c r="A52" t="s">
        <v>52</v>
      </c>
      <c r="B52">
        <v>15.24</v>
      </c>
      <c r="C52">
        <v>120.7008</v>
      </c>
      <c r="D52">
        <v>4.5720000000000001</v>
      </c>
      <c r="E52">
        <v>0.96</v>
      </c>
      <c r="F52">
        <v>1.52</v>
      </c>
      <c r="G52" s="6">
        <f t="shared" si="19"/>
        <v>0.35981640000000004</v>
      </c>
      <c r="H52">
        <v>293</v>
      </c>
      <c r="I52" s="4">
        <f t="shared" si="20"/>
        <v>307.8</v>
      </c>
      <c r="J52">
        <v>394.1</v>
      </c>
      <c r="K52" s="6">
        <f t="shared" si="21"/>
        <v>832.96826546930572</v>
      </c>
      <c r="L52" s="6">
        <f t="shared" si="22"/>
        <v>332.26027056645768</v>
      </c>
      <c r="M52" s="6">
        <f t="shared" si="23"/>
        <v>1165.2285360357635</v>
      </c>
      <c r="N52">
        <v>190699</v>
      </c>
      <c r="O52">
        <v>130000</v>
      </c>
      <c r="P52">
        <v>0.95</v>
      </c>
      <c r="Q52" s="13">
        <f>9.81*(Emissions!D$43)*N52*(1-P52)*((Emissions!D$44-H52)/Emissions!D$44)/((8760)*(3600)*(Emissions!D$42))</f>
        <v>0.43686343297242514</v>
      </c>
      <c r="R52" s="13">
        <f>9.81*(Emissions!D$48)*N52*((Emissions!D$54-H52)/Emissions!D$54)/((8760)*(3600)*(Emissions!D$50))</f>
        <v>7.9375082593466466</v>
      </c>
      <c r="S52" s="13">
        <f>9.81*(Emissions!D$56)*O52*((Emissions!D$60-H52)/Emissions!D$60)/((8760)*(3600)*(Emissions!D$59))</f>
        <v>0.66383398127805648</v>
      </c>
      <c r="T52" s="17">
        <f t="shared" si="24"/>
        <v>1174.2667417093605</v>
      </c>
    </row>
    <row r="53" spans="1:20" x14ac:dyDescent="0.3">
      <c r="A53" t="s">
        <v>53</v>
      </c>
      <c r="B53">
        <v>15.24</v>
      </c>
      <c r="C53">
        <v>166.72560000000001</v>
      </c>
      <c r="D53">
        <v>4.5720000000000001</v>
      </c>
      <c r="E53">
        <v>0.96</v>
      </c>
      <c r="F53">
        <v>1.52</v>
      </c>
      <c r="G53" s="6">
        <f t="shared" si="19"/>
        <v>0.35981640000000004</v>
      </c>
      <c r="H53">
        <v>293</v>
      </c>
      <c r="I53" s="4">
        <f t="shared" si="20"/>
        <v>307.8</v>
      </c>
      <c r="J53">
        <v>394.1</v>
      </c>
      <c r="K53" s="6">
        <f t="shared" si="21"/>
        <v>1150.5900030598746</v>
      </c>
      <c r="L53" s="6">
        <f t="shared" si="22"/>
        <v>458.95547474710207</v>
      </c>
      <c r="M53" s="6">
        <f t="shared" si="23"/>
        <v>1609.5454778069766</v>
      </c>
      <c r="N53">
        <v>264045</v>
      </c>
      <c r="O53">
        <v>18000</v>
      </c>
      <c r="P53">
        <v>0.95</v>
      </c>
      <c r="Q53" s="13">
        <f>9.81*(Emissions!D$43)*N53*(1-P53)*((Emissions!D$44-H53)/Emissions!D$44)/((8760)*(3600)*(Emissions!D$42))</f>
        <v>0.60488835892796511</v>
      </c>
      <c r="R53" s="13">
        <f>9.81*(Emissions!D$48)*N53*((Emissions!D$54-H53)/Emissions!D$54)/((8760)*(3600)*(Emissions!D$50))</f>
        <v>10.990405656763722</v>
      </c>
      <c r="S53" s="13">
        <f>9.81*(Emissions!D$56)*O53*((Emissions!D$60-H53)/Emissions!D$60)/((8760)*(3600)*(Emissions!D$59))</f>
        <v>9.1915474330807836E-2</v>
      </c>
      <c r="T53" s="17">
        <f t="shared" si="24"/>
        <v>1621.2326872969991</v>
      </c>
    </row>
    <row r="54" spans="1:20" x14ac:dyDescent="0.3">
      <c r="A54" t="s">
        <v>54</v>
      </c>
      <c r="B54">
        <v>15.24</v>
      </c>
      <c r="C54">
        <v>163.06800000000001</v>
      </c>
      <c r="D54">
        <v>4.5720000000000001</v>
      </c>
      <c r="E54">
        <v>0.96</v>
      </c>
      <c r="F54">
        <v>1.52</v>
      </c>
      <c r="G54" s="6">
        <f t="shared" si="19"/>
        <v>0.35981640000000004</v>
      </c>
      <c r="H54">
        <v>293</v>
      </c>
      <c r="I54" s="4">
        <f t="shared" si="20"/>
        <v>307.8</v>
      </c>
      <c r="J54">
        <v>394.1</v>
      </c>
      <c r="K54" s="6">
        <f t="shared" si="21"/>
        <v>1125.3485404698954</v>
      </c>
      <c r="L54" s="6">
        <f t="shared" si="22"/>
        <v>448.88698169963351</v>
      </c>
      <c r="M54" s="6">
        <f t="shared" si="23"/>
        <v>1574.2355221695288</v>
      </c>
      <c r="N54">
        <f>124688+132022</f>
        <v>256710</v>
      </c>
      <c r="O54">
        <f>85000+90000</f>
        <v>175000</v>
      </c>
      <c r="P54">
        <v>0.95</v>
      </c>
      <c r="Q54" s="13">
        <f>9.81*(Emissions!D$43)*N54*(1-P54)*((Emissions!D$44-H54)/Emissions!D$44)/((8760)*(3600)*(Emissions!D$42))</f>
        <v>0.58808494999109207</v>
      </c>
      <c r="R54" s="13">
        <f>9.81*(Emissions!D$48)*N54*((Emissions!D$54-H54)/Emissions!D$54)/((8760)*(3600)*(Emissions!D$50))</f>
        <v>10.68509926773018</v>
      </c>
      <c r="S54" s="13">
        <f>9.81*(Emissions!D$56)*O54*((Emissions!D$60-H54)/Emissions!D$60)/((8760)*(3600)*(Emissions!D$59))</f>
        <v>0.8936226671050761</v>
      </c>
      <c r="T54" s="17">
        <f t="shared" si="24"/>
        <v>1586.4023290543553</v>
      </c>
    </row>
    <row r="56" spans="1:20" x14ac:dyDescent="0.3">
      <c r="A56" s="26" t="s">
        <v>102</v>
      </c>
    </row>
    <row r="57" spans="1:20" x14ac:dyDescent="0.3">
      <c r="A57" t="s">
        <v>49</v>
      </c>
      <c r="B57">
        <v>15.24</v>
      </c>
      <c r="C57">
        <v>283.464</v>
      </c>
      <c r="D57">
        <v>4.5720000000000001</v>
      </c>
      <c r="E57">
        <v>0.96</v>
      </c>
      <c r="F57">
        <v>1.52</v>
      </c>
      <c r="G57" s="6">
        <f t="shared" ref="G57:G60" si="25">0.0787*D57</f>
        <v>0.35981640000000004</v>
      </c>
      <c r="H57">
        <v>287.2</v>
      </c>
      <c r="I57" s="4">
        <f t="shared" ref="I57:I60" si="26">H57+14.8</f>
        <v>302</v>
      </c>
      <c r="J57">
        <v>394.1</v>
      </c>
      <c r="K57" s="6">
        <f t="shared" ref="K57:K60" si="27">9.81*B57*C57*E57*(I57-H57)/I57</f>
        <v>1993.7830111015007</v>
      </c>
      <c r="L57" s="6">
        <f t="shared" ref="L57:L60" si="28">2*9.81*C57*G57*F57*(J57-H57)/J57</f>
        <v>825.07366740864472</v>
      </c>
      <c r="M57" s="6">
        <f t="shared" ref="M57:M60" si="29">K57+L57</f>
        <v>2818.8566785101457</v>
      </c>
      <c r="N57">
        <v>525600</v>
      </c>
      <c r="O57">
        <v>375783</v>
      </c>
      <c r="P57">
        <v>0.95</v>
      </c>
      <c r="Q57" s="13">
        <f>9.81*(Emissions!D$43)*N57*(1-P57)*((Emissions!D$44-H57)/Emissions!D$44)/((8760)*(3600)*(Emissions!D$42))</f>
        <v>1.2113291074350789</v>
      </c>
      <c r="R57" s="13">
        <f>9.81*(Emissions!D$48)*N57*((Emissions!D$54-H57)/Emissions!D$54)/((8760)*(3600)*(Emissions!D$50))</f>
        <v>22.021515735359472</v>
      </c>
      <c r="S57" s="13">
        <f>9.81*(Emissions!D$56)*O57*((Emissions!D$60-H57)/Emissions!D$60)/((8760)*(3600)*(Emissions!D$59))</f>
        <v>1.9355253696346577</v>
      </c>
      <c r="T57" s="17">
        <f t="shared" ref="T57:T60" si="30">M57+Q57+R57+S57</f>
        <v>2844.0250487225749</v>
      </c>
    </row>
    <row r="58" spans="1:20" x14ac:dyDescent="0.3">
      <c r="A58" t="s">
        <v>55</v>
      </c>
      <c r="B58">
        <v>15.24</v>
      </c>
      <c r="C58">
        <v>187.452</v>
      </c>
      <c r="D58">
        <v>4.5720000000000001</v>
      </c>
      <c r="E58">
        <v>0.96</v>
      </c>
      <c r="F58">
        <v>1.52</v>
      </c>
      <c r="G58" s="6">
        <f t="shared" si="25"/>
        <v>0.35981640000000004</v>
      </c>
      <c r="H58">
        <v>287.2</v>
      </c>
      <c r="I58" s="4">
        <f t="shared" si="26"/>
        <v>302</v>
      </c>
      <c r="J58">
        <v>394.1</v>
      </c>
      <c r="K58" s="6">
        <f t="shared" si="27"/>
        <v>1318.4694105671215</v>
      </c>
      <c r="L58" s="6">
        <f t="shared" si="28"/>
        <v>545.61323167345859</v>
      </c>
      <c r="M58" s="6">
        <f t="shared" si="29"/>
        <v>1864.0826422405801</v>
      </c>
      <c r="N58">
        <v>350400</v>
      </c>
      <c r="O58">
        <v>250522</v>
      </c>
      <c r="P58">
        <v>0.95</v>
      </c>
      <c r="Q58" s="13">
        <f>9.81*(Emissions!D$43)*N58*(1-P58)*((Emissions!D$44-H58)/Emissions!D$44)/((8760)*(3600)*(Emissions!D$42))</f>
        <v>0.80755273829005281</v>
      </c>
      <c r="R58" s="13">
        <f>9.81*(Emissions!D$48)*N58*((Emissions!D$54-H58)/Emissions!D$54)/((8760)*(3600)*(Emissions!D$50))</f>
        <v>14.681010490239647</v>
      </c>
      <c r="S58" s="13">
        <f>9.81*(Emissions!D$56)*O58*((Emissions!D$60-H58)/Emissions!D$60)/((8760)*(3600)*(Emissions!D$59))</f>
        <v>1.2903502464231051</v>
      </c>
      <c r="T58" s="17">
        <f t="shared" si="30"/>
        <v>1880.8615557155329</v>
      </c>
    </row>
    <row r="59" spans="1:20" x14ac:dyDescent="0.3">
      <c r="A59" t="s">
        <v>48</v>
      </c>
      <c r="B59">
        <v>15.24</v>
      </c>
      <c r="C59">
        <v>283.464</v>
      </c>
      <c r="D59">
        <v>4.5720000000000001</v>
      </c>
      <c r="E59">
        <v>0.96</v>
      </c>
      <c r="F59">
        <v>1.52</v>
      </c>
      <c r="G59" s="6">
        <f t="shared" si="25"/>
        <v>0.35981640000000004</v>
      </c>
      <c r="H59">
        <v>287.2</v>
      </c>
      <c r="I59" s="4">
        <f t="shared" si="26"/>
        <v>302</v>
      </c>
      <c r="J59">
        <v>394.1</v>
      </c>
      <c r="K59" s="6">
        <f t="shared" si="27"/>
        <v>1993.7830111015007</v>
      </c>
      <c r="L59" s="6">
        <f t="shared" si="28"/>
        <v>825.07366740864472</v>
      </c>
      <c r="M59" s="6">
        <f t="shared" si="29"/>
        <v>2818.8566785101457</v>
      </c>
      <c r="N59">
        <v>525600</v>
      </c>
      <c r="O59">
        <v>375783</v>
      </c>
      <c r="P59">
        <v>0.95</v>
      </c>
      <c r="Q59" s="13">
        <f>9.81*(Emissions!D$43)*N59*(1-P59)*((Emissions!D$44-H59)/Emissions!D$44)/((8760)*(3600)*(Emissions!D$42))</f>
        <v>1.2113291074350789</v>
      </c>
      <c r="R59" s="13">
        <f>9.81*(Emissions!D$48)*N59*((Emissions!D$54-H59)/Emissions!D$54)/((8760)*(3600)*(Emissions!D$50))</f>
        <v>22.021515735359472</v>
      </c>
      <c r="S59" s="13">
        <f>9.81*(Emissions!D$56)*O59*((Emissions!D$60-H59)/Emissions!D$60)/((8760)*(3600)*(Emissions!D$59))</f>
        <v>1.9355253696346577</v>
      </c>
      <c r="T59" s="17">
        <f t="shared" si="30"/>
        <v>2844.0250487225749</v>
      </c>
    </row>
    <row r="60" spans="1:20" x14ac:dyDescent="0.3">
      <c r="A60" t="s">
        <v>56</v>
      </c>
      <c r="B60">
        <v>15.24</v>
      </c>
      <c r="C60">
        <v>187.452</v>
      </c>
      <c r="D60">
        <v>4.5720000000000001</v>
      </c>
      <c r="E60">
        <v>0.96</v>
      </c>
      <c r="F60">
        <v>1.52</v>
      </c>
      <c r="G60" s="6">
        <f t="shared" si="25"/>
        <v>0.35981640000000004</v>
      </c>
      <c r="H60">
        <v>287.2</v>
      </c>
      <c r="I60" s="4">
        <f t="shared" si="26"/>
        <v>302</v>
      </c>
      <c r="J60">
        <v>394.1</v>
      </c>
      <c r="K60" s="6">
        <f t="shared" si="27"/>
        <v>1318.4694105671215</v>
      </c>
      <c r="L60" s="6">
        <f t="shared" si="28"/>
        <v>545.61323167345859</v>
      </c>
      <c r="M60" s="6">
        <f t="shared" si="29"/>
        <v>1864.0826422405801</v>
      </c>
      <c r="N60">
        <v>350400</v>
      </c>
      <c r="O60">
        <v>250522</v>
      </c>
      <c r="P60">
        <v>0.95</v>
      </c>
      <c r="Q60" s="13">
        <f>9.81*(Emissions!D$43)*N60*(1-P60)*((Emissions!D$44-H60)/Emissions!D$44)/((8760)*(3600)*(Emissions!D$42))</f>
        <v>0.80755273829005281</v>
      </c>
      <c r="R60" s="13">
        <f>9.81*(Emissions!D$48)*N60*((Emissions!D$54-H60)/Emissions!D$54)/((8760)*(3600)*(Emissions!D$50))</f>
        <v>14.681010490239647</v>
      </c>
      <c r="S60" s="13">
        <f>9.81*(Emissions!D$56)*O60*((Emissions!D$60-H60)/Emissions!D$60)/((8760)*(3600)*(Emissions!D$59))</f>
        <v>1.2903502464231051</v>
      </c>
      <c r="T60" s="17">
        <f t="shared" si="30"/>
        <v>1880.8615557155329</v>
      </c>
    </row>
    <row r="62" spans="1:20" x14ac:dyDescent="0.3">
      <c r="A62" s="26" t="s">
        <v>103</v>
      </c>
    </row>
    <row r="63" spans="1:20" x14ac:dyDescent="0.3">
      <c r="A63" t="s">
        <v>49</v>
      </c>
      <c r="B63">
        <v>15.24</v>
      </c>
      <c r="C63">
        <v>313.63920000000002</v>
      </c>
      <c r="D63">
        <v>4.5720000000000001</v>
      </c>
      <c r="E63">
        <v>0.96</v>
      </c>
      <c r="F63">
        <v>1.52</v>
      </c>
      <c r="G63" s="6">
        <f t="shared" ref="G63:G66" si="31">0.0787*D63</f>
        <v>0.35981640000000004</v>
      </c>
      <c r="H63">
        <v>284.3</v>
      </c>
      <c r="I63" s="4">
        <f t="shared" ref="I63:I66" si="32">H63+14.8</f>
        <v>299.10000000000002</v>
      </c>
      <c r="J63">
        <v>394.1</v>
      </c>
      <c r="K63" s="6">
        <f t="shared" ref="K63:K66" si="33">9.81*B63*C63*E63*(I63-H63)/I63</f>
        <v>2227.413498430346</v>
      </c>
      <c r="L63" s="6">
        <f t="shared" ref="L63:L66" si="34">2*9.81*C63*G63*F63*(J63-H63)/J63</f>
        <v>937.6694956922031</v>
      </c>
      <c r="M63" s="6">
        <f t="shared" ref="M63:M66" si="35">K63+L63</f>
        <v>3165.0829941225493</v>
      </c>
      <c r="N63">
        <v>548246</v>
      </c>
      <c r="O63">
        <v>325000</v>
      </c>
      <c r="P63">
        <v>0.95</v>
      </c>
      <c r="Q63" s="13">
        <f>9.81*(Emissions!D$43)*N63*(1-P63)*((Emissions!D$44-H63)/Emissions!D$44)/((8760)*(3600)*(Emissions!D$42))</f>
        <v>1.2673050660460852</v>
      </c>
      <c r="R63" s="13">
        <f>9.81*(Emissions!D$48)*N63*((Emissions!D$54-H63)/Emissions!D$54)/((8760)*(3600)*(Emissions!D$50))</f>
        <v>23.045617478385665</v>
      </c>
      <c r="S63" s="13">
        <f>9.81*(Emissions!D$56)*O63*((Emissions!D$60-H63)/Emissions!D$60)/((8760)*(3600)*(Emissions!D$59))</f>
        <v>1.6811476609203466</v>
      </c>
      <c r="T63" s="17">
        <f t="shared" ref="T63:T66" si="36">M63+Q63+R63+S63</f>
        <v>3191.0770643279016</v>
      </c>
    </row>
    <row r="64" spans="1:20" x14ac:dyDescent="0.3">
      <c r="A64" t="s">
        <v>55</v>
      </c>
      <c r="B64">
        <v>15.24</v>
      </c>
      <c r="C64">
        <v>313.63920000000002</v>
      </c>
      <c r="D64">
        <v>4.5720000000000001</v>
      </c>
      <c r="E64">
        <v>0.96</v>
      </c>
      <c r="F64">
        <v>1.52</v>
      </c>
      <c r="G64" s="6">
        <f t="shared" si="31"/>
        <v>0.35981640000000004</v>
      </c>
      <c r="H64">
        <v>284.3</v>
      </c>
      <c r="I64" s="4">
        <f t="shared" si="32"/>
        <v>299.10000000000002</v>
      </c>
      <c r="J64">
        <v>394.1</v>
      </c>
      <c r="K64" s="6">
        <f t="shared" si="33"/>
        <v>2227.413498430346</v>
      </c>
      <c r="L64" s="6">
        <f t="shared" si="34"/>
        <v>937.6694956922031</v>
      </c>
      <c r="M64" s="6">
        <f t="shared" si="35"/>
        <v>3165.0829941225493</v>
      </c>
      <c r="N64">
        <v>548246</v>
      </c>
      <c r="O64">
        <v>325000</v>
      </c>
      <c r="P64">
        <v>0.95</v>
      </c>
      <c r="Q64" s="13">
        <f>9.81*(Emissions!D$43)*N64*(1-P64)*((Emissions!D$44-H64)/Emissions!D$44)/((8760)*(3600)*(Emissions!D$42))</f>
        <v>1.2673050660460852</v>
      </c>
      <c r="R64" s="13">
        <f>9.81*(Emissions!D$48)*N64*((Emissions!D$54-H64)/Emissions!D$54)/((8760)*(3600)*(Emissions!D$50))</f>
        <v>23.045617478385665</v>
      </c>
      <c r="S64" s="13">
        <f>9.81*(Emissions!D$56)*O64*((Emissions!D$60-H64)/Emissions!D$60)/((8760)*(3600)*(Emissions!D$59))</f>
        <v>1.6811476609203466</v>
      </c>
      <c r="T64" s="17">
        <f t="shared" si="36"/>
        <v>3191.0770643279016</v>
      </c>
    </row>
    <row r="65" spans="1:20" x14ac:dyDescent="0.3">
      <c r="A65" t="s">
        <v>48</v>
      </c>
      <c r="B65">
        <v>15.24</v>
      </c>
      <c r="C65">
        <v>313.63920000000002</v>
      </c>
      <c r="D65">
        <v>4.5720000000000001</v>
      </c>
      <c r="E65">
        <v>0.96</v>
      </c>
      <c r="F65">
        <v>1.52</v>
      </c>
      <c r="G65" s="6">
        <f t="shared" si="31"/>
        <v>0.35981640000000004</v>
      </c>
      <c r="H65">
        <v>284.3</v>
      </c>
      <c r="I65" s="4">
        <f t="shared" si="32"/>
        <v>299.10000000000002</v>
      </c>
      <c r="J65">
        <v>394.1</v>
      </c>
      <c r="K65" s="6">
        <f t="shared" si="33"/>
        <v>2227.413498430346</v>
      </c>
      <c r="L65" s="6">
        <f t="shared" si="34"/>
        <v>937.6694956922031</v>
      </c>
      <c r="M65" s="6">
        <f t="shared" si="35"/>
        <v>3165.0829941225493</v>
      </c>
      <c r="N65">
        <v>548246</v>
      </c>
      <c r="O65">
        <v>325000</v>
      </c>
      <c r="P65">
        <v>0.95</v>
      </c>
      <c r="Q65" s="13">
        <f>9.81*(Emissions!D$43)*N65*(1-P65)*((Emissions!D$44-H65)/Emissions!D$44)/((8760)*(3600)*(Emissions!D$42))</f>
        <v>1.2673050660460852</v>
      </c>
      <c r="R65" s="13">
        <f>9.81*(Emissions!D$48)*N65*((Emissions!D$54-H65)/Emissions!D$54)/((8760)*(3600)*(Emissions!D$50))</f>
        <v>23.045617478385665</v>
      </c>
      <c r="S65" s="13">
        <f>9.81*(Emissions!D$56)*O65*((Emissions!D$60-H65)/Emissions!D$60)/((8760)*(3600)*(Emissions!D$59))</f>
        <v>1.6811476609203466</v>
      </c>
      <c r="T65" s="17">
        <f t="shared" si="36"/>
        <v>3191.0770643279016</v>
      </c>
    </row>
    <row r="66" spans="1:20" x14ac:dyDescent="0.3">
      <c r="A66" t="s">
        <v>56</v>
      </c>
      <c r="B66">
        <v>15.24</v>
      </c>
      <c r="C66">
        <v>313.63920000000002</v>
      </c>
      <c r="D66">
        <v>4.5720000000000001</v>
      </c>
      <c r="E66">
        <v>0.96</v>
      </c>
      <c r="F66">
        <v>1.52</v>
      </c>
      <c r="G66" s="6">
        <f t="shared" si="31"/>
        <v>0.35981640000000004</v>
      </c>
      <c r="H66">
        <v>284.3</v>
      </c>
      <c r="I66" s="4">
        <f t="shared" si="32"/>
        <v>299.10000000000002</v>
      </c>
      <c r="J66">
        <v>394.1</v>
      </c>
      <c r="K66" s="6">
        <f t="shared" si="33"/>
        <v>2227.413498430346</v>
      </c>
      <c r="L66" s="6">
        <f t="shared" si="34"/>
        <v>937.6694956922031</v>
      </c>
      <c r="M66" s="6">
        <f t="shared" si="35"/>
        <v>3165.0829941225493</v>
      </c>
      <c r="N66">
        <v>548246</v>
      </c>
      <c r="O66">
        <v>325000</v>
      </c>
      <c r="P66">
        <v>0.95</v>
      </c>
      <c r="Q66" s="13">
        <f>9.81*(Emissions!D$43)*N66*(1-P66)*((Emissions!D$44-H66)/Emissions!D$44)/((8760)*(3600)*(Emissions!D$42))</f>
        <v>1.2673050660460852</v>
      </c>
      <c r="R66" s="13">
        <f>9.81*(Emissions!D$48)*N66*((Emissions!D$54-H66)/Emissions!D$54)/((8760)*(3600)*(Emissions!D$50))</f>
        <v>23.045617478385665</v>
      </c>
      <c r="S66" s="13">
        <f>9.81*(Emissions!D$56)*O66*((Emissions!D$60-H66)/Emissions!D$60)/((8760)*(3600)*(Emissions!D$59))</f>
        <v>1.6811476609203466</v>
      </c>
      <c r="T66" s="17">
        <f t="shared" si="36"/>
        <v>3191.0770643279016</v>
      </c>
    </row>
  </sheetData>
  <pageMargins left="0.7" right="0.7" top="0.75" bottom="0.75" header="0.3" footer="0.3"/>
  <pageSetup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3B0A2-5C20-44AA-B550-F5627E122DFE}">
  <dimension ref="A1:E60"/>
  <sheetViews>
    <sheetView topLeftCell="A35" workbookViewId="0">
      <selection activeCell="D54" sqref="D54"/>
    </sheetView>
  </sheetViews>
  <sheetFormatPr defaultRowHeight="14.4" x14ac:dyDescent="0.3"/>
  <cols>
    <col min="3" max="3" width="10.88671875" customWidth="1"/>
    <col min="4" max="4" width="11.6640625" bestFit="1" customWidth="1"/>
  </cols>
  <sheetData>
    <row r="1" spans="1:5" x14ac:dyDescent="0.3">
      <c r="A1" s="12" t="s">
        <v>57</v>
      </c>
    </row>
    <row r="3" spans="1:5" x14ac:dyDescent="0.3">
      <c r="A3" s="2" t="s">
        <v>58</v>
      </c>
    </row>
    <row r="4" spans="1:5" x14ac:dyDescent="0.3">
      <c r="A4" t="s">
        <v>59</v>
      </c>
    </row>
    <row r="5" spans="1:5" x14ac:dyDescent="0.3">
      <c r="A5" t="s">
        <v>60</v>
      </c>
      <c r="D5">
        <v>1.46</v>
      </c>
    </row>
    <row r="6" spans="1:5" x14ac:dyDescent="0.3">
      <c r="A6" t="s">
        <v>61</v>
      </c>
      <c r="D6">
        <v>0.80200000000000005</v>
      </c>
    </row>
    <row r="7" spans="1:5" x14ac:dyDescent="0.3">
      <c r="A7" t="s">
        <v>62</v>
      </c>
      <c r="D7">
        <v>60953</v>
      </c>
    </row>
    <row r="8" spans="1:5" x14ac:dyDescent="0.3">
      <c r="A8" t="s">
        <v>63</v>
      </c>
      <c r="D8">
        <v>12</v>
      </c>
    </row>
    <row r="9" spans="1:5" x14ac:dyDescent="0.3">
      <c r="A9" t="s">
        <v>64</v>
      </c>
      <c r="D9" s="7">
        <f>D5*D8</f>
        <v>17.52</v>
      </c>
    </row>
    <row r="10" spans="1:5" x14ac:dyDescent="0.3">
      <c r="A10" t="s">
        <v>65</v>
      </c>
      <c r="D10">
        <v>1.5</v>
      </c>
    </row>
    <row r="11" spans="1:5" x14ac:dyDescent="0.3">
      <c r="A11" t="s">
        <v>66</v>
      </c>
      <c r="D11">
        <f>D7*D10</f>
        <v>91429.5</v>
      </c>
    </row>
    <row r="12" spans="1:5" x14ac:dyDescent="0.3">
      <c r="A12" t="s">
        <v>67</v>
      </c>
      <c r="D12" s="13">
        <f>D9/D11</f>
        <v>1.9162305382835955E-4</v>
      </c>
    </row>
    <row r="13" spans="1:5" x14ac:dyDescent="0.3">
      <c r="A13" t="s">
        <v>68</v>
      </c>
      <c r="D13" s="13">
        <f>D12*35.313</f>
        <v>6.7667848998408612E-3</v>
      </c>
    </row>
    <row r="14" spans="1:5" x14ac:dyDescent="0.3">
      <c r="A14" t="s">
        <v>69</v>
      </c>
      <c r="D14" s="7">
        <f>D5/D6</f>
        <v>1.8204488778054861</v>
      </c>
      <c r="E14" s="16" t="s">
        <v>70</v>
      </c>
    </row>
    <row r="15" spans="1:5" x14ac:dyDescent="0.3">
      <c r="A15" t="s">
        <v>71</v>
      </c>
      <c r="D15" s="20">
        <v>1255.3800000000001</v>
      </c>
      <c r="E15" s="16" t="s">
        <v>72</v>
      </c>
    </row>
    <row r="16" spans="1:5" x14ac:dyDescent="0.3">
      <c r="A16" s="2" t="s">
        <v>24</v>
      </c>
      <c r="D16" s="7"/>
      <c r="E16" s="16"/>
    </row>
    <row r="17" spans="1:5" x14ac:dyDescent="0.3">
      <c r="A17" t="s">
        <v>73</v>
      </c>
      <c r="D17">
        <v>3.1500000000000001E-4</v>
      </c>
    </row>
    <row r="18" spans="1:5" x14ac:dyDescent="0.3">
      <c r="A18" t="s">
        <v>74</v>
      </c>
      <c r="D18">
        <v>60</v>
      </c>
      <c r="E18" s="16" t="s">
        <v>75</v>
      </c>
    </row>
    <row r="19" spans="1:5" x14ac:dyDescent="0.3">
      <c r="A19" t="s">
        <v>76</v>
      </c>
      <c r="D19">
        <f>D17*D18</f>
        <v>1.89E-2</v>
      </c>
    </row>
    <row r="20" spans="1:5" x14ac:dyDescent="0.3">
      <c r="A20" t="s">
        <v>77</v>
      </c>
      <c r="D20">
        <f>0.0000003*10</f>
        <v>3.0000000000000001E-6</v>
      </c>
      <c r="E20" s="16" t="s">
        <v>78</v>
      </c>
    </row>
    <row r="21" spans="1:5" x14ac:dyDescent="0.3">
      <c r="A21" t="s">
        <v>79</v>
      </c>
      <c r="D21" s="13">
        <f>D20*35.313</f>
        <v>1.05939E-4</v>
      </c>
    </row>
    <row r="22" spans="1:5" x14ac:dyDescent="0.3">
      <c r="A22" t="s">
        <v>80</v>
      </c>
      <c r="D22" s="20">
        <v>1172.05</v>
      </c>
      <c r="E22" s="16" t="s">
        <v>81</v>
      </c>
    </row>
    <row r="23" spans="1:5" x14ac:dyDescent="0.3">
      <c r="A23" s="2" t="s">
        <v>25</v>
      </c>
      <c r="D23" s="13"/>
    </row>
    <row r="24" spans="1:5" x14ac:dyDescent="0.3">
      <c r="A24" s="19" t="s">
        <v>82</v>
      </c>
      <c r="D24" s="13">
        <v>1.4999999999999999E-2</v>
      </c>
      <c r="E24" s="16" t="s">
        <v>83</v>
      </c>
    </row>
    <row r="25" spans="1:5" x14ac:dyDescent="0.3">
      <c r="A25" s="19" t="s">
        <v>84</v>
      </c>
      <c r="D25">
        <v>60</v>
      </c>
    </row>
    <row r="26" spans="1:5" x14ac:dyDescent="0.3">
      <c r="A26" s="19" t="s">
        <v>77</v>
      </c>
      <c r="D26" s="13">
        <v>1.8E-5</v>
      </c>
      <c r="E26" s="16" t="s">
        <v>85</v>
      </c>
    </row>
    <row r="27" spans="1:5" x14ac:dyDescent="0.3">
      <c r="A27" s="19" t="s">
        <v>79</v>
      </c>
      <c r="D27" s="13">
        <f>D26*35.313</f>
        <v>6.3563400000000005E-4</v>
      </c>
    </row>
    <row r="28" spans="1:5" x14ac:dyDescent="0.3">
      <c r="A28" s="19" t="s">
        <v>86</v>
      </c>
      <c r="D28" s="20">
        <v>962.6</v>
      </c>
      <c r="E28" s="16" t="s">
        <v>87</v>
      </c>
    </row>
    <row r="29" spans="1:5" x14ac:dyDescent="0.3">
      <c r="A29" s="19"/>
    </row>
    <row r="30" spans="1:5" x14ac:dyDescent="0.3">
      <c r="A30" s="12" t="s">
        <v>88</v>
      </c>
    </row>
    <row r="31" spans="1:5" x14ac:dyDescent="0.3">
      <c r="A31" s="12"/>
    </row>
    <row r="32" spans="1:5" x14ac:dyDescent="0.3">
      <c r="A32" s="2" t="s">
        <v>58</v>
      </c>
    </row>
    <row r="33" spans="1:5" x14ac:dyDescent="0.3">
      <c r="A33" t="s">
        <v>59</v>
      </c>
    </row>
    <row r="34" spans="1:5" x14ac:dyDescent="0.3">
      <c r="A34" t="s">
        <v>60</v>
      </c>
      <c r="D34">
        <v>1.915</v>
      </c>
    </row>
    <row r="35" spans="1:5" x14ac:dyDescent="0.3">
      <c r="A35" t="s">
        <v>61</v>
      </c>
      <c r="D35">
        <v>0.85599999999999998</v>
      </c>
    </row>
    <row r="36" spans="1:5" x14ac:dyDescent="0.3">
      <c r="A36" t="s">
        <v>62</v>
      </c>
      <c r="D36">
        <v>77242</v>
      </c>
    </row>
    <row r="37" spans="1:5" x14ac:dyDescent="0.3">
      <c r="A37" t="s">
        <v>63</v>
      </c>
      <c r="D37">
        <v>19.95</v>
      </c>
    </row>
    <row r="38" spans="1:5" x14ac:dyDescent="0.3">
      <c r="A38" t="s">
        <v>64</v>
      </c>
      <c r="D38" s="7">
        <f>D34*D37</f>
        <v>38.204250000000002</v>
      </c>
    </row>
    <row r="39" spans="1:5" x14ac:dyDescent="0.3">
      <c r="A39" t="s">
        <v>65</v>
      </c>
      <c r="D39">
        <v>1.5</v>
      </c>
    </row>
    <row r="40" spans="1:5" x14ac:dyDescent="0.3">
      <c r="A40" t="s">
        <v>66</v>
      </c>
      <c r="D40">
        <f>D36*D39</f>
        <v>115863</v>
      </c>
    </row>
    <row r="41" spans="1:5" x14ac:dyDescent="0.3">
      <c r="A41" t="s">
        <v>67</v>
      </c>
      <c r="D41" s="13">
        <f>D38/D40</f>
        <v>3.2973641283239692E-4</v>
      </c>
    </row>
    <row r="42" spans="1:5" x14ac:dyDescent="0.3">
      <c r="A42" t="s">
        <v>68</v>
      </c>
      <c r="D42" s="13">
        <f>D41*35.313</f>
        <v>1.1643981946350433E-2</v>
      </c>
    </row>
    <row r="43" spans="1:5" x14ac:dyDescent="0.3">
      <c r="A43" t="s">
        <v>69</v>
      </c>
      <c r="D43" s="7">
        <f>D34/D35</f>
        <v>2.2371495327102804</v>
      </c>
      <c r="E43" s="16" t="s">
        <v>70</v>
      </c>
    </row>
    <row r="44" spans="1:5" x14ac:dyDescent="0.3">
      <c r="A44" t="s">
        <v>71</v>
      </c>
      <c r="D44" s="20">
        <v>1255.3800000000001</v>
      </c>
      <c r="E44" s="16" t="s">
        <v>72</v>
      </c>
    </row>
    <row r="45" spans="1:5" x14ac:dyDescent="0.3">
      <c r="A45" s="2" t="s">
        <v>24</v>
      </c>
      <c r="D45" s="7"/>
      <c r="E45" s="16"/>
    </row>
    <row r="46" spans="1:5" x14ac:dyDescent="0.3">
      <c r="A46" t="s">
        <v>73</v>
      </c>
      <c r="D46">
        <v>3.1500000000000001E-4</v>
      </c>
    </row>
    <row r="47" spans="1:5" x14ac:dyDescent="0.3">
      <c r="A47" t="s">
        <v>74</v>
      </c>
      <c r="D47">
        <v>60</v>
      </c>
      <c r="E47" s="16" t="s">
        <v>75</v>
      </c>
    </row>
    <row r="48" spans="1:5" x14ac:dyDescent="0.3">
      <c r="A48" t="s">
        <v>76</v>
      </c>
      <c r="D48">
        <f>D46*D47</f>
        <v>1.89E-2</v>
      </c>
    </row>
    <row r="49" spans="1:5" x14ac:dyDescent="0.3">
      <c r="A49" t="s">
        <v>77</v>
      </c>
      <c r="D49">
        <f>0.0000003*10</f>
        <v>3.0000000000000001E-6</v>
      </c>
      <c r="E49" s="16" t="s">
        <v>78</v>
      </c>
    </row>
    <row r="50" spans="1:5" x14ac:dyDescent="0.3">
      <c r="A50" t="s">
        <v>79</v>
      </c>
      <c r="D50" s="13">
        <f>D49*35.313</f>
        <v>1.05939E-4</v>
      </c>
    </row>
    <row r="51" spans="1:5" x14ac:dyDescent="0.3">
      <c r="A51" t="s">
        <v>89</v>
      </c>
      <c r="D51">
        <v>1.4999999999999999E-2</v>
      </c>
    </row>
    <row r="52" spans="1:5" x14ac:dyDescent="0.3">
      <c r="A52" t="s">
        <v>77</v>
      </c>
      <c r="D52">
        <f>0.0000003*10</f>
        <v>3.0000000000000001E-6</v>
      </c>
      <c r="E52" s="16" t="s">
        <v>78</v>
      </c>
    </row>
    <row r="53" spans="1:5" x14ac:dyDescent="0.3">
      <c r="A53" t="s">
        <v>79</v>
      </c>
      <c r="D53" s="13">
        <f>D52*35.313</f>
        <v>1.05939E-4</v>
      </c>
    </row>
    <row r="54" spans="1:5" x14ac:dyDescent="0.3">
      <c r="A54" t="s">
        <v>80</v>
      </c>
      <c r="D54" s="20">
        <v>1172.05</v>
      </c>
      <c r="E54" s="16" t="s">
        <v>81</v>
      </c>
    </row>
    <row r="55" spans="1:5" x14ac:dyDescent="0.3">
      <c r="A55" s="2" t="s">
        <v>25</v>
      </c>
      <c r="D55" s="13"/>
    </row>
    <row r="56" spans="1:5" x14ac:dyDescent="0.3">
      <c r="A56" s="19" t="s">
        <v>82</v>
      </c>
      <c r="D56" s="13">
        <v>1.4999999999999999E-2</v>
      </c>
      <c r="E56" s="16" t="s">
        <v>83</v>
      </c>
    </row>
    <row r="57" spans="1:5" x14ac:dyDescent="0.3">
      <c r="A57" s="19" t="s">
        <v>84</v>
      </c>
      <c r="D57">
        <v>60</v>
      </c>
    </row>
    <row r="58" spans="1:5" x14ac:dyDescent="0.3">
      <c r="A58" s="19" t="s">
        <v>77</v>
      </c>
      <c r="D58" s="13">
        <v>1.8E-5</v>
      </c>
      <c r="E58" s="16" t="s">
        <v>85</v>
      </c>
    </row>
    <row r="59" spans="1:5" x14ac:dyDescent="0.3">
      <c r="A59" s="19" t="s">
        <v>79</v>
      </c>
      <c r="D59" s="13">
        <f>D58*35.313</f>
        <v>6.3563400000000005E-4</v>
      </c>
    </row>
    <row r="60" spans="1:5" x14ac:dyDescent="0.3">
      <c r="A60" s="19" t="s">
        <v>86</v>
      </c>
      <c r="D60" s="20">
        <v>962.6</v>
      </c>
      <c r="E60" s="16" t="s">
        <v>87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65AB22488A3B4C9326573A5D42F802" ma:contentTypeVersion="14" ma:contentTypeDescription="Create a new document." ma:contentTypeScope="" ma:versionID="cdb41b2672586a71b72b757fbbb320ea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e61ac00b-0d4f-42a1-b880-88bbeab503f5" xmlns:ns6="3dcaa8dd-69bb-4434-9a41-0922d27df4fd" targetNamespace="http://schemas.microsoft.com/office/2006/metadata/properties" ma:root="true" ma:fieldsID="c61b991b36acd6aa739b2cb8bd8c711f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e61ac00b-0d4f-42a1-b880-88bbeab503f5"/>
    <xsd:import namespace="3dcaa8dd-69bb-4434-9a41-0922d27df4fd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MediaServiceDateTaken" minOccurs="0"/>
                <xsd:element ref="ns5:MediaServiceAutoTags" minOccurs="0"/>
                <xsd:element ref="ns5:MediaServiceGenerationTime" minOccurs="0"/>
                <xsd:element ref="ns5:MediaServiceEventHashCode" minOccurs="0"/>
                <xsd:element ref="ns5:MediaServiceOCR" minOccurs="0"/>
                <xsd:element ref="ns5:lcf76f155ced4ddcb4097134ff3c332f" minOccurs="0"/>
                <xsd:element ref="ns5:size" minOccurs="0"/>
                <xsd:element ref="ns5:MediaServiceObjectDetectorVersions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622a7e89-ca24-4bc0-890b-60db8b1ca879}" ma:internalName="TaxCatchAllLabel" ma:readOnly="true" ma:showField="CatchAllDataLabel" ma:web="3dcaa8dd-69bb-4434-9a41-0922d27df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622a7e89-ca24-4bc0-890b-60db8b1ca879}" ma:internalName="TaxCatchAll" ma:showField="CatchAllData" ma:web="3dcaa8dd-69bb-4434-9a41-0922d27df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ac00b-0d4f-42a1-b880-88bbeab503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3" nillable="true" ma:displayName="Tags" ma:internalName="MediaServiceAutoTags" ma:readOnly="true">
      <xsd:simpleType>
        <xsd:restriction base="dms:Text"/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38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size" ma:index="39" nillable="true" ma:displayName="size" ma:format="Dropdown" ma:internalName="size" ma:percentage="FALSE">
      <xsd:simpleType>
        <xsd:restriction base="dms:Number"/>
      </xsd:simpleType>
    </xsd:element>
    <xsd:element name="MediaServiceObjectDetectorVersions" ma:index="4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caa8dd-69bb-4434-9a41-0922d27df4fd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2020-12-21T23:45:56+00:00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size xmlns="e61ac00b-0d4f-42a1-b880-88bbeab503f5" xsi:nil="true"/>
    <lcf76f155ced4ddcb4097134ff3c332f xmlns="e61ac00b-0d4f-42a1-b880-88bbeab503f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8C519D91-EB3C-43E5-A4E8-ADCEA2ABD110}"/>
</file>

<file path=customXml/itemProps2.xml><?xml version="1.0" encoding="utf-8"?>
<ds:datastoreItem xmlns:ds="http://schemas.openxmlformats.org/officeDocument/2006/customXml" ds:itemID="{CF4631D1-08C4-4C37-9DD0-8F0B58795D60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http://schemas.microsoft.com/sharepoint/v3"/>
    <ds:schemaRef ds:uri="4ffa91fb-a0ff-4ac5-b2db-65c790d184a4"/>
    <ds:schemaRef ds:uri="http://schemas.microsoft.com/sharepoint.v3"/>
  </ds:schemaRefs>
</ds:datastoreItem>
</file>

<file path=customXml/itemProps3.xml><?xml version="1.0" encoding="utf-8"?>
<ds:datastoreItem xmlns:ds="http://schemas.openxmlformats.org/officeDocument/2006/customXml" ds:itemID="{58D00DBE-5B26-45B4-9685-D673988756D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6CB498E-4BCF-4EDF-9422-78485C1330A6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Emissions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Allen Dittenhoefer</dc:creator>
  <cp:keywords/>
  <dc:description/>
  <cp:lastModifiedBy>Moeller, Michael</cp:lastModifiedBy>
  <cp:revision/>
  <dcterms:created xsi:type="dcterms:W3CDTF">2020-06-08T00:39:39Z</dcterms:created>
  <dcterms:modified xsi:type="dcterms:W3CDTF">2023-08-01T20:58:07Z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0x0101005565AB22488A3B4C9326573A5D42F802</vt:lpwstr>
  </property>
  <property fmtid="{D5CDD505-2E9C-101B-9397-08002B2CF9AE}" pid="3" name="TaxKeyword">
    <vt:lpwstr/>
  </property>
  <property fmtid="{D5CDD505-2E9C-101B-9397-08002B2CF9AE}" pid="4" name="Document Type">
    <vt:lpwstr/>
  </property>
</Properties>
</file>