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8_{546CD539-B1DF-4C4A-9A8E-6A03C79C86D7}" xr6:coauthVersionLast="47" xr6:coauthVersionMax="47" xr10:uidLastSave="{00000000-0000-0000-0000-000000000000}"/>
  <bookViews>
    <workbookView xWindow="-120" yWindow="600" windowWidth="20640" windowHeight="10320" tabRatio="979" firstSheet="3" xr2:uid="{AAC398A2-E95D-4231-A920-55B8B1C73F3F}"/>
  </bookViews>
  <sheets>
    <sheet name="Overview" sheetId="26" r:id="rId1"/>
    <sheet name="Consolidated Budget" sheetId="30" r:id="rId2"/>
    <sheet name="Measure 1 Budget" sheetId="16" r:id="rId3"/>
    <sheet name="Measure 2 Budget" sheetId="27" r:id="rId4"/>
    <sheet name="Measure 3 Budget" sheetId="28" r:id="rId5"/>
    <sheet name="Measure 4 Budget" sheetId="29" r:id="rId6"/>
    <sheet name="Measure 5 Budget" sheetId="31" r:id="rId7"/>
    <sheet name="Sample Budget 1" sheetId="32" r:id="rId8"/>
    <sheet name="Sample Budget 2" sheetId="33" r:id="rId9"/>
    <sheet name="Sample Budget 3" sheetId="34" r:id="rId10"/>
  </sheets>
  <definedNames>
    <definedName name="_xlnm._FilterDatabase" localSheetId="1" hidden="1">'Consolidated Budget'!#REF!</definedName>
    <definedName name="_xlnm._FilterDatabase" localSheetId="2" hidden="1">'Measure 1 Budget'!#REF!</definedName>
    <definedName name="_xlnm._FilterDatabase" localSheetId="3" hidden="1">'Measure 2 Budget'!#REF!</definedName>
    <definedName name="_xlnm._FilterDatabase" localSheetId="4" hidden="1">'Measure 3 Budget'!#REF!</definedName>
    <definedName name="_xlnm._FilterDatabase" localSheetId="5" hidden="1">'Measure 4 Budget'!#REF!</definedName>
    <definedName name="_xlnm._FilterDatabase" localSheetId="6" hidden="1">'Measure 5 Budget'!#REF!</definedName>
    <definedName name="_xlnm._FilterDatabase" localSheetId="7" hidden="1">'Sample Budget 1'!#REF!</definedName>
    <definedName name="_xlnm._FilterDatabase" localSheetId="8" hidden="1">'Sample Budget 2'!#REF!</definedName>
    <definedName name="_xlnm._FilterDatabase" localSheetId="9" hidden="1">'Sample Budget 3'!#REF!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27" l="1"/>
  <c r="G13" i="27"/>
  <c r="F13" i="27"/>
  <c r="E13" i="27"/>
  <c r="D13" i="27"/>
  <c r="E10" i="27"/>
  <c r="F10" i="27" s="1"/>
  <c r="G10" i="27" s="1"/>
  <c r="H10" i="27" s="1"/>
  <c r="F9" i="27"/>
  <c r="G9" i="27" s="1"/>
  <c r="H9" i="27" s="1"/>
  <c r="E9" i="27"/>
  <c r="E8" i="27"/>
  <c r="F8" i="27" s="1"/>
  <c r="G8" i="27" s="1"/>
  <c r="H8" i="27" s="1"/>
  <c r="H27" i="27"/>
  <c r="G27" i="27"/>
  <c r="F27" i="27"/>
  <c r="E27" i="27"/>
  <c r="D27" i="27"/>
  <c r="H18" i="27"/>
  <c r="G18" i="27"/>
  <c r="F18" i="27"/>
  <c r="E18" i="27"/>
  <c r="D18" i="27"/>
  <c r="H19" i="27"/>
  <c r="G19" i="27"/>
  <c r="F19" i="27"/>
  <c r="E19" i="27"/>
  <c r="D19" i="27"/>
  <c r="D29" i="27"/>
  <c r="J36" i="27"/>
  <c r="H35" i="27"/>
  <c r="G35" i="27"/>
  <c r="F35" i="27"/>
  <c r="E35" i="27"/>
  <c r="E36" i="27" s="1"/>
  <c r="D35" i="27"/>
  <c r="D33" i="27"/>
  <c r="D36" i="27" s="1"/>
  <c r="H36" i="27"/>
  <c r="G36" i="27"/>
  <c r="F36" i="27"/>
  <c r="J33" i="27"/>
  <c r="D53" i="27"/>
  <c r="D52" i="27"/>
  <c r="D51" i="27"/>
  <c r="D50" i="27"/>
  <c r="D49" i="27"/>
  <c r="J49" i="27" s="1"/>
  <c r="D48" i="27"/>
  <c r="J48" i="27" s="1"/>
  <c r="D47" i="27"/>
  <c r="J47" i="27" s="1"/>
  <c r="D46" i="27"/>
  <c r="D45" i="27"/>
  <c r="J50" i="27"/>
  <c r="H26" i="16"/>
  <c r="G26" i="16"/>
  <c r="F26" i="16"/>
  <c r="D26" i="16"/>
  <c r="E26" i="16"/>
  <c r="D13" i="16"/>
  <c r="J33" i="16"/>
  <c r="D68" i="16"/>
  <c r="J68" i="16"/>
  <c r="J64" i="16"/>
  <c r="J63" i="16"/>
  <c r="J62" i="16"/>
  <c r="J61" i="16"/>
  <c r="J60" i="16"/>
  <c r="J59" i="16"/>
  <c r="J58" i="16"/>
  <c r="J57" i="16"/>
  <c r="J56" i="16"/>
  <c r="J55" i="16"/>
  <c r="J54" i="16"/>
  <c r="J53" i="16"/>
  <c r="J52" i="16"/>
  <c r="J51" i="16"/>
  <c r="J50" i="16"/>
  <c r="J49" i="16"/>
  <c r="J48" i="16"/>
  <c r="J47" i="16"/>
  <c r="J46" i="16"/>
  <c r="J45" i="16"/>
  <c r="J44" i="16"/>
  <c r="J43" i="16"/>
  <c r="D66" i="16"/>
  <c r="D65" i="16"/>
  <c r="D64" i="16"/>
  <c r="D63" i="16"/>
  <c r="D62" i="16"/>
  <c r="D61" i="16"/>
  <c r="D60" i="16"/>
  <c r="D59" i="16"/>
  <c r="D58" i="16"/>
  <c r="D57" i="16"/>
  <c r="D56" i="16"/>
  <c r="D55" i="16"/>
  <c r="D54" i="16"/>
  <c r="D53" i="16"/>
  <c r="D52" i="16"/>
  <c r="D51" i="16"/>
  <c r="D50" i="16"/>
  <c r="D49" i="16"/>
  <c r="D48" i="16"/>
  <c r="D47" i="16"/>
  <c r="D46" i="16"/>
  <c r="D45" i="16"/>
  <c r="D44" i="16"/>
  <c r="D43" i="16"/>
  <c r="D29" i="16"/>
  <c r="D28" i="16"/>
  <c r="H18" i="16"/>
  <c r="G18" i="16"/>
  <c r="F18" i="16"/>
  <c r="E18" i="16"/>
  <c r="D18" i="16"/>
  <c r="H10" i="16"/>
  <c r="G10" i="16"/>
  <c r="F10" i="16"/>
  <c r="E10" i="16"/>
  <c r="D10" i="16"/>
  <c r="H9" i="16"/>
  <c r="G9" i="16"/>
  <c r="F9" i="16"/>
  <c r="E9" i="16"/>
  <c r="D9" i="16"/>
  <c r="E8" i="16"/>
  <c r="F8" i="16" s="1"/>
  <c r="G8" i="16" s="1"/>
  <c r="H8" i="16" s="1"/>
  <c r="J18" i="31" l="1"/>
  <c r="J19" i="31"/>
  <c r="J18" i="29"/>
  <c r="J19" i="29"/>
  <c r="J18" i="28"/>
  <c r="J19" i="28"/>
  <c r="J38" i="27"/>
  <c r="J39" i="27"/>
  <c r="J40" i="27"/>
  <c r="J41" i="27"/>
  <c r="J18" i="27"/>
  <c r="J19" i="27"/>
  <c r="J10" i="16"/>
  <c r="J18" i="16"/>
  <c r="E54" i="34"/>
  <c r="J54" i="34" s="1"/>
  <c r="F54" i="34"/>
  <c r="F56" i="34" s="1"/>
  <c r="J56" i="34" s="1"/>
  <c r="G54" i="34"/>
  <c r="H54" i="34"/>
  <c r="D54" i="34"/>
  <c r="J8" i="16"/>
  <c r="J9" i="16"/>
  <c r="I58" i="34"/>
  <c r="H56" i="34"/>
  <c r="G56" i="34"/>
  <c r="E56" i="34"/>
  <c r="E58" i="34" s="1"/>
  <c r="D56" i="34"/>
  <c r="J55" i="34"/>
  <c r="H50" i="34"/>
  <c r="G50" i="34"/>
  <c r="G51" i="34" s="1"/>
  <c r="G58" i="34" s="1"/>
  <c r="F50" i="34"/>
  <c r="E50" i="34"/>
  <c r="D50" i="34"/>
  <c r="J49" i="34"/>
  <c r="J48" i="34"/>
  <c r="J47" i="34"/>
  <c r="J46" i="34"/>
  <c r="J45" i="34"/>
  <c r="J44" i="34"/>
  <c r="H42" i="34"/>
  <c r="G42" i="34"/>
  <c r="F42" i="34"/>
  <c r="E42" i="34"/>
  <c r="D42" i="34"/>
  <c r="J42" i="34" s="1"/>
  <c r="J41" i="34"/>
  <c r="J40" i="34"/>
  <c r="J39" i="34"/>
  <c r="J38" i="34"/>
  <c r="J37" i="34"/>
  <c r="H35" i="34"/>
  <c r="G35" i="34"/>
  <c r="F35" i="34"/>
  <c r="E35" i="34"/>
  <c r="D35" i="34"/>
  <c r="J35" i="34" s="1"/>
  <c r="J34" i="34"/>
  <c r="J33" i="34"/>
  <c r="H31" i="34"/>
  <c r="G31" i="34"/>
  <c r="F31" i="34"/>
  <c r="E31" i="34"/>
  <c r="D31" i="34"/>
  <c r="J31" i="34" s="1"/>
  <c r="J30" i="34"/>
  <c r="J29" i="34"/>
  <c r="H27" i="34"/>
  <c r="G27" i="34"/>
  <c r="F27" i="34"/>
  <c r="E27" i="34"/>
  <c r="D27" i="34"/>
  <c r="J27" i="34" s="1"/>
  <c r="J26" i="34"/>
  <c r="J25" i="34"/>
  <c r="J24" i="34"/>
  <c r="J23" i="34"/>
  <c r="J22" i="34"/>
  <c r="J21" i="34"/>
  <c r="J20" i="34"/>
  <c r="I16" i="34"/>
  <c r="J15" i="34"/>
  <c r="J14" i="34"/>
  <c r="H13" i="34"/>
  <c r="H16" i="34" s="1"/>
  <c r="E13" i="34"/>
  <c r="E16" i="34" s="1"/>
  <c r="E51" i="34" s="1"/>
  <c r="D13" i="34"/>
  <c r="J13" i="34" s="1"/>
  <c r="J16" i="34" s="1"/>
  <c r="I11" i="34"/>
  <c r="H11" i="34"/>
  <c r="G11" i="34"/>
  <c r="G13" i="34" s="1"/>
  <c r="G16" i="34" s="1"/>
  <c r="F11" i="34"/>
  <c r="F13" i="34" s="1"/>
  <c r="F16" i="34" s="1"/>
  <c r="E11" i="34"/>
  <c r="D11" i="34"/>
  <c r="J10" i="34"/>
  <c r="J9" i="34"/>
  <c r="J8" i="34"/>
  <c r="J11" i="34" s="1"/>
  <c r="I58" i="33"/>
  <c r="J56" i="33"/>
  <c r="H56" i="33"/>
  <c r="G56" i="33"/>
  <c r="F56" i="33"/>
  <c r="E56" i="33"/>
  <c r="D56" i="33"/>
  <c r="J55" i="33"/>
  <c r="J54" i="33"/>
  <c r="H50" i="33"/>
  <c r="G50" i="33"/>
  <c r="F50" i="33"/>
  <c r="E50" i="33"/>
  <c r="D50" i="33"/>
  <c r="J49" i="33"/>
  <c r="J48" i="33"/>
  <c r="J47" i="33"/>
  <c r="J46" i="33"/>
  <c r="J45" i="33"/>
  <c r="J44" i="33"/>
  <c r="H42" i="33"/>
  <c r="H51" i="33" s="1"/>
  <c r="G42" i="33"/>
  <c r="F42" i="33"/>
  <c r="E42" i="33"/>
  <c r="D42" i="33"/>
  <c r="J42" i="33" s="1"/>
  <c r="J41" i="33"/>
  <c r="H35" i="33"/>
  <c r="G35" i="33"/>
  <c r="F35" i="33"/>
  <c r="E35" i="33"/>
  <c r="D35" i="33"/>
  <c r="J35" i="33" s="1"/>
  <c r="J34" i="33"/>
  <c r="J33" i="33"/>
  <c r="H31" i="33"/>
  <c r="G31" i="33"/>
  <c r="F31" i="33"/>
  <c r="E31" i="33"/>
  <c r="D31" i="33"/>
  <c r="J31" i="33" s="1"/>
  <c r="J30" i="33"/>
  <c r="J29" i="33"/>
  <c r="H27" i="33"/>
  <c r="G27" i="33"/>
  <c r="F27" i="33"/>
  <c r="E27" i="33"/>
  <c r="D27" i="33"/>
  <c r="J27" i="33" s="1"/>
  <c r="J26" i="33"/>
  <c r="J25" i="33"/>
  <c r="J24" i="33"/>
  <c r="J23" i="33"/>
  <c r="J22" i="33"/>
  <c r="J21" i="33"/>
  <c r="J20" i="33"/>
  <c r="I16" i="33"/>
  <c r="H16" i="33"/>
  <c r="J15" i="33"/>
  <c r="J14" i="33"/>
  <c r="H13" i="33"/>
  <c r="I11" i="33"/>
  <c r="H11" i="33"/>
  <c r="G11" i="33"/>
  <c r="G13" i="33" s="1"/>
  <c r="G16" i="33" s="1"/>
  <c r="F11" i="33"/>
  <c r="F13" i="33" s="1"/>
  <c r="F16" i="33" s="1"/>
  <c r="E11" i="33"/>
  <c r="E13" i="33" s="1"/>
  <c r="E16" i="33" s="1"/>
  <c r="D11" i="33"/>
  <c r="D13" i="33" s="1"/>
  <c r="J10" i="33"/>
  <c r="J9" i="33"/>
  <c r="J8" i="33"/>
  <c r="J11" i="33" s="1"/>
  <c r="H51" i="32"/>
  <c r="G51" i="32"/>
  <c r="F51" i="32"/>
  <c r="E51" i="32"/>
  <c r="D51" i="32"/>
  <c r="J51" i="32" s="1"/>
  <c r="J50" i="32"/>
  <c r="J49" i="32"/>
  <c r="H45" i="32"/>
  <c r="G45" i="32"/>
  <c r="G46" i="32" s="1"/>
  <c r="G53" i="32" s="1"/>
  <c r="F45" i="32"/>
  <c r="E45" i="32"/>
  <c r="D45" i="32"/>
  <c r="J45" i="32" s="1"/>
  <c r="J44" i="32"/>
  <c r="J43" i="32"/>
  <c r="J42" i="32"/>
  <c r="H40" i="32"/>
  <c r="G40" i="32"/>
  <c r="F40" i="32"/>
  <c r="E40" i="32"/>
  <c r="D40" i="32"/>
  <c r="J40" i="32" s="1"/>
  <c r="J39" i="32"/>
  <c r="J38" i="32"/>
  <c r="J37" i="32"/>
  <c r="J36" i="32"/>
  <c r="H34" i="32"/>
  <c r="G34" i="32"/>
  <c r="F34" i="32"/>
  <c r="E34" i="32"/>
  <c r="D34" i="32"/>
  <c r="J33" i="32"/>
  <c r="J32" i="32"/>
  <c r="H30" i="32"/>
  <c r="G30" i="32"/>
  <c r="F30" i="32"/>
  <c r="E30" i="32"/>
  <c r="J30" i="32" s="1"/>
  <c r="D30" i="32"/>
  <c r="J29" i="32"/>
  <c r="J28" i="32"/>
  <c r="H26" i="32"/>
  <c r="H46" i="32" s="1"/>
  <c r="G26" i="32"/>
  <c r="F26" i="32"/>
  <c r="E26" i="32"/>
  <c r="J26" i="32" s="1"/>
  <c r="D26" i="32"/>
  <c r="J25" i="32"/>
  <c r="J24" i="32"/>
  <c r="J23" i="32"/>
  <c r="J22" i="32"/>
  <c r="J21" i="32"/>
  <c r="J20" i="32"/>
  <c r="J19" i="32"/>
  <c r="J15" i="32"/>
  <c r="J14" i="32"/>
  <c r="H13" i="32"/>
  <c r="H16" i="32" s="1"/>
  <c r="G13" i="32"/>
  <c r="G16" i="32" s="1"/>
  <c r="F13" i="32"/>
  <c r="F16" i="32" s="1"/>
  <c r="E13" i="32"/>
  <c r="E16" i="32" s="1"/>
  <c r="D13" i="32"/>
  <c r="D16" i="32" s="1"/>
  <c r="D46" i="32" s="1"/>
  <c r="H11" i="32"/>
  <c r="G11" i="32"/>
  <c r="F11" i="32"/>
  <c r="E11" i="32"/>
  <c r="D11" i="32"/>
  <c r="J9" i="32"/>
  <c r="J11" i="32" s="1"/>
  <c r="J8" i="32"/>
  <c r="E56" i="28"/>
  <c r="F56" i="28"/>
  <c r="J40" i="28"/>
  <c r="H16" i="28"/>
  <c r="J8" i="29"/>
  <c r="I57" i="31"/>
  <c r="J55" i="31"/>
  <c r="H55" i="31"/>
  <c r="G55" i="31"/>
  <c r="F55" i="31"/>
  <c r="E55" i="31"/>
  <c r="D55" i="31"/>
  <c r="J54" i="31"/>
  <c r="J53" i="31"/>
  <c r="H49" i="31"/>
  <c r="G49" i="31"/>
  <c r="F49" i="31"/>
  <c r="E49" i="31"/>
  <c r="D49" i="31"/>
  <c r="J48" i="31"/>
  <c r="J47" i="31"/>
  <c r="J46" i="31"/>
  <c r="J45" i="31"/>
  <c r="J44" i="31"/>
  <c r="J43" i="31"/>
  <c r="H41" i="31"/>
  <c r="G41" i="31"/>
  <c r="F41" i="31"/>
  <c r="E41" i="31"/>
  <c r="D41" i="31"/>
  <c r="J40" i="31"/>
  <c r="J39" i="31"/>
  <c r="J38" i="31"/>
  <c r="J37" i="31"/>
  <c r="H35" i="31"/>
  <c r="G35" i="31"/>
  <c r="F35" i="31"/>
  <c r="E35" i="31"/>
  <c r="D35" i="31"/>
  <c r="J35" i="31" s="1"/>
  <c r="J34" i="31"/>
  <c r="J33" i="31"/>
  <c r="H31" i="31"/>
  <c r="G31" i="31"/>
  <c r="F31" i="31"/>
  <c r="E31" i="31"/>
  <c r="D31" i="31"/>
  <c r="J31" i="31" s="1"/>
  <c r="J30" i="31"/>
  <c r="J29" i="31"/>
  <c r="H27" i="31"/>
  <c r="G27" i="31"/>
  <c r="F27" i="31"/>
  <c r="E27" i="31"/>
  <c r="D27" i="31"/>
  <c r="J27" i="31" s="1"/>
  <c r="J26" i="31"/>
  <c r="J25" i="31"/>
  <c r="J24" i="31"/>
  <c r="J23" i="31"/>
  <c r="J22" i="31"/>
  <c r="J21" i="31"/>
  <c r="J20" i="31"/>
  <c r="I16" i="31"/>
  <c r="H16" i="31"/>
  <c r="G16" i="31"/>
  <c r="F16" i="31"/>
  <c r="E16" i="31"/>
  <c r="D16" i="31"/>
  <c r="J15" i="31"/>
  <c r="J14" i="31"/>
  <c r="J13" i="31"/>
  <c r="I11" i="31"/>
  <c r="H11" i="31"/>
  <c r="G11" i="31"/>
  <c r="F11" i="31"/>
  <c r="E11" i="31"/>
  <c r="D11" i="31"/>
  <c r="J10" i="31"/>
  <c r="J9" i="31"/>
  <c r="J8" i="31"/>
  <c r="J11" i="31" s="1"/>
  <c r="I57" i="29"/>
  <c r="H55" i="29"/>
  <c r="G55" i="29"/>
  <c r="F55" i="29"/>
  <c r="E55" i="29"/>
  <c r="D55" i="29"/>
  <c r="J54" i="29"/>
  <c r="J53" i="29"/>
  <c r="H49" i="29"/>
  <c r="G49" i="29"/>
  <c r="F49" i="29"/>
  <c r="E49" i="29"/>
  <c r="D49" i="29"/>
  <c r="J48" i="29"/>
  <c r="J47" i="29"/>
  <c r="J46" i="29"/>
  <c r="J45" i="29"/>
  <c r="J44" i="29"/>
  <c r="J43" i="29"/>
  <c r="H41" i="29"/>
  <c r="G41" i="29"/>
  <c r="F41" i="29"/>
  <c r="E41" i="29"/>
  <c r="D41" i="29"/>
  <c r="J40" i="29"/>
  <c r="J39" i="29"/>
  <c r="J38" i="29"/>
  <c r="J37" i="29"/>
  <c r="H35" i="29"/>
  <c r="G35" i="29"/>
  <c r="F35" i="29"/>
  <c r="E35" i="29"/>
  <c r="D35" i="29"/>
  <c r="J35" i="29" s="1"/>
  <c r="J34" i="29"/>
  <c r="J33" i="29"/>
  <c r="H31" i="29"/>
  <c r="G31" i="29"/>
  <c r="F31" i="29"/>
  <c r="E31" i="29"/>
  <c r="D31" i="29"/>
  <c r="J31" i="29" s="1"/>
  <c r="J30" i="29"/>
  <c r="J29" i="29"/>
  <c r="H27" i="29"/>
  <c r="G27" i="29"/>
  <c r="F27" i="29"/>
  <c r="E27" i="29"/>
  <c r="D27" i="29"/>
  <c r="J26" i="29"/>
  <c r="J25" i="29"/>
  <c r="J24" i="29"/>
  <c r="J23" i="29"/>
  <c r="J22" i="29"/>
  <c r="J21" i="29"/>
  <c r="J20" i="29"/>
  <c r="I16" i="29"/>
  <c r="H16" i="29"/>
  <c r="G16" i="29"/>
  <c r="F16" i="29"/>
  <c r="E16" i="29"/>
  <c r="D16" i="29"/>
  <c r="J15" i="29"/>
  <c r="J14" i="29"/>
  <c r="J13" i="29"/>
  <c r="J16" i="29" s="1"/>
  <c r="I11" i="29"/>
  <c r="H11" i="29"/>
  <c r="G11" i="29"/>
  <c r="F11" i="29"/>
  <c r="E11" i="29"/>
  <c r="D11" i="29"/>
  <c r="J10" i="29"/>
  <c r="J9" i="29"/>
  <c r="J11" i="29"/>
  <c r="I58" i="28"/>
  <c r="H56" i="28"/>
  <c r="G56" i="28"/>
  <c r="D56" i="28"/>
  <c r="J55" i="28"/>
  <c r="H50" i="28"/>
  <c r="G50" i="28"/>
  <c r="F50" i="28"/>
  <c r="E50" i="28"/>
  <c r="D50" i="28"/>
  <c r="J49" i="28"/>
  <c r="J48" i="28"/>
  <c r="J47" i="28"/>
  <c r="J46" i="28"/>
  <c r="J45" i="28"/>
  <c r="J44" i="28"/>
  <c r="H42" i="28"/>
  <c r="G42" i="28"/>
  <c r="F42" i="28"/>
  <c r="E42" i="28"/>
  <c r="D42" i="28"/>
  <c r="J41" i="28"/>
  <c r="J39" i="28"/>
  <c r="J38" i="28"/>
  <c r="J37" i="28"/>
  <c r="H35" i="28"/>
  <c r="G35" i="28"/>
  <c r="F35" i="28"/>
  <c r="E35" i="28"/>
  <c r="D35" i="28"/>
  <c r="J34" i="28"/>
  <c r="J33" i="28"/>
  <c r="H31" i="28"/>
  <c r="G31" i="28"/>
  <c r="F31" i="28"/>
  <c r="E31" i="28"/>
  <c r="D31" i="28"/>
  <c r="J30" i="28"/>
  <c r="J29" i="28"/>
  <c r="H27" i="28"/>
  <c r="G27" i="28"/>
  <c r="F27" i="28"/>
  <c r="E27" i="28"/>
  <c r="D27" i="28"/>
  <c r="J26" i="28"/>
  <c r="J25" i="28"/>
  <c r="J24" i="28"/>
  <c r="J23" i="28"/>
  <c r="J22" i="28"/>
  <c r="J21" i="28"/>
  <c r="J20" i="28"/>
  <c r="I16" i="28"/>
  <c r="J15" i="28"/>
  <c r="J14" i="28"/>
  <c r="I11" i="28"/>
  <c r="H11" i="28"/>
  <c r="G11" i="28"/>
  <c r="G16" i="28" s="1"/>
  <c r="F11" i="28"/>
  <c r="F16" i="28" s="1"/>
  <c r="E11" i="28"/>
  <c r="E16" i="28" s="1"/>
  <c r="D11" i="28"/>
  <c r="D16" i="28" s="1"/>
  <c r="J10" i="28"/>
  <c r="J9" i="28"/>
  <c r="J8" i="28"/>
  <c r="I63" i="27"/>
  <c r="H61" i="27"/>
  <c r="G61" i="27"/>
  <c r="F61" i="27"/>
  <c r="E61" i="27"/>
  <c r="D61" i="27"/>
  <c r="J60" i="27"/>
  <c r="J59" i="27"/>
  <c r="H55" i="27"/>
  <c r="G55" i="27"/>
  <c r="F55" i="27"/>
  <c r="E55" i="27"/>
  <c r="D55" i="27"/>
  <c r="J54" i="27"/>
  <c r="J53" i="27"/>
  <c r="J52" i="27"/>
  <c r="J51" i="27"/>
  <c r="J46" i="27"/>
  <c r="J45" i="27"/>
  <c r="H43" i="27"/>
  <c r="G43" i="27"/>
  <c r="F43" i="27"/>
  <c r="E43" i="27"/>
  <c r="D43" i="27"/>
  <c r="J42" i="27"/>
  <c r="J35" i="27"/>
  <c r="J34" i="27"/>
  <c r="H31" i="27"/>
  <c r="G31" i="27"/>
  <c r="F31" i="27"/>
  <c r="E31" i="27"/>
  <c r="D31" i="27"/>
  <c r="J30" i="27"/>
  <c r="J29" i="27"/>
  <c r="J31" i="27" s="1"/>
  <c r="J26" i="27"/>
  <c r="J25" i="27"/>
  <c r="J24" i="27"/>
  <c r="J23" i="27"/>
  <c r="J22" i="27"/>
  <c r="J21" i="27"/>
  <c r="J20" i="27"/>
  <c r="I16" i="27"/>
  <c r="J15" i="27"/>
  <c r="J14" i="27"/>
  <c r="I11" i="27"/>
  <c r="H11" i="27"/>
  <c r="H16" i="27" s="1"/>
  <c r="G11" i="27"/>
  <c r="G16" i="27" s="1"/>
  <c r="F11" i="27"/>
  <c r="F16" i="27" s="1"/>
  <c r="E11" i="27"/>
  <c r="E16" i="27" s="1"/>
  <c r="D11" i="27"/>
  <c r="D16" i="27" s="1"/>
  <c r="J10" i="27"/>
  <c r="J9" i="27"/>
  <c r="J8" i="27"/>
  <c r="E74" i="16"/>
  <c r="F74" i="16"/>
  <c r="G74" i="16"/>
  <c r="H74" i="16"/>
  <c r="D74" i="16"/>
  <c r="J73" i="16"/>
  <c r="E68" i="16"/>
  <c r="F68" i="16"/>
  <c r="G68" i="16"/>
  <c r="H68" i="16"/>
  <c r="E41" i="16"/>
  <c r="F41" i="16"/>
  <c r="G41" i="16"/>
  <c r="H41" i="16"/>
  <c r="D41" i="16"/>
  <c r="J40" i="16"/>
  <c r="E35" i="16"/>
  <c r="J38" i="16" s="1"/>
  <c r="F35" i="16"/>
  <c r="G35" i="16"/>
  <c r="H35" i="16"/>
  <c r="D35" i="16"/>
  <c r="J32" i="16"/>
  <c r="J34" i="16"/>
  <c r="J37" i="16"/>
  <c r="J39" i="16"/>
  <c r="J65" i="16"/>
  <c r="J66" i="16"/>
  <c r="J67" i="16"/>
  <c r="E30" i="16"/>
  <c r="F30" i="16"/>
  <c r="G30" i="16"/>
  <c r="H30" i="16"/>
  <c r="D30" i="16"/>
  <c r="J29" i="16"/>
  <c r="J28" i="16"/>
  <c r="J20" i="16"/>
  <c r="J21" i="16"/>
  <c r="J22" i="16"/>
  <c r="J23" i="16"/>
  <c r="J24" i="16"/>
  <c r="J25" i="16"/>
  <c r="J19" i="16"/>
  <c r="E11" i="16"/>
  <c r="E13" i="16" s="1"/>
  <c r="E16" i="16" s="1"/>
  <c r="F11" i="16"/>
  <c r="F13" i="16" s="1"/>
  <c r="F16" i="16" s="1"/>
  <c r="G11" i="16"/>
  <c r="G13" i="16" s="1"/>
  <c r="G16" i="16" s="1"/>
  <c r="H11" i="16"/>
  <c r="H13" i="16" s="1"/>
  <c r="H16" i="16" s="1"/>
  <c r="D11" i="16"/>
  <c r="D16" i="16" s="1"/>
  <c r="J14" i="16"/>
  <c r="J15" i="16"/>
  <c r="J55" i="27" l="1"/>
  <c r="J43" i="27"/>
  <c r="J35" i="16"/>
  <c r="G10" i="30"/>
  <c r="E10" i="30"/>
  <c r="J41" i="16"/>
  <c r="J30" i="16"/>
  <c r="J26" i="16"/>
  <c r="D16" i="30"/>
  <c r="D69" i="16"/>
  <c r="J27" i="27"/>
  <c r="J11" i="27"/>
  <c r="E9" i="30"/>
  <c r="F9" i="30"/>
  <c r="H11" i="30"/>
  <c r="H51" i="34"/>
  <c r="H58" i="34" s="1"/>
  <c r="F51" i="34"/>
  <c r="F58" i="34" s="1"/>
  <c r="D16" i="34"/>
  <c r="D51" i="34" s="1"/>
  <c r="J50" i="34"/>
  <c r="D16" i="33"/>
  <c r="J13" i="33"/>
  <c r="J16" i="33" s="1"/>
  <c r="D51" i="33"/>
  <c r="E51" i="33"/>
  <c r="E58" i="33" s="1"/>
  <c r="F51" i="33"/>
  <c r="F58" i="33" s="1"/>
  <c r="G58" i="33"/>
  <c r="G51" i="33"/>
  <c r="H58" i="33"/>
  <c r="J50" i="33"/>
  <c r="F46" i="32"/>
  <c r="F53" i="32" s="1"/>
  <c r="E46" i="32"/>
  <c r="E53" i="32" s="1"/>
  <c r="D53" i="32"/>
  <c r="H53" i="32"/>
  <c r="J34" i="32"/>
  <c r="J13" i="32"/>
  <c r="J16" i="32" s="1"/>
  <c r="F11" i="30"/>
  <c r="F16" i="30"/>
  <c r="E11" i="30"/>
  <c r="F10" i="30"/>
  <c r="G16" i="30"/>
  <c r="E16" i="30"/>
  <c r="H16" i="30"/>
  <c r="H10" i="30"/>
  <c r="E7" i="30"/>
  <c r="F12" i="30"/>
  <c r="H12" i="30"/>
  <c r="D10" i="30"/>
  <c r="H56" i="27"/>
  <c r="H63" i="27" s="1"/>
  <c r="J13" i="27"/>
  <c r="J16" i="27" s="1"/>
  <c r="G56" i="27"/>
  <c r="G63" i="27" s="1"/>
  <c r="E8" i="30"/>
  <c r="D56" i="27"/>
  <c r="D63" i="27" s="1"/>
  <c r="J56" i="28"/>
  <c r="J54" i="28"/>
  <c r="H13" i="30"/>
  <c r="F13" i="30"/>
  <c r="G12" i="30"/>
  <c r="J42" i="28"/>
  <c r="J31" i="28"/>
  <c r="D12" i="30"/>
  <c r="E12" i="30"/>
  <c r="G11" i="30"/>
  <c r="J35" i="28"/>
  <c r="J27" i="28"/>
  <c r="H8" i="30"/>
  <c r="E51" i="28"/>
  <c r="E58" i="28" s="1"/>
  <c r="J13" i="28"/>
  <c r="J16" i="28" s="1"/>
  <c r="D51" i="28"/>
  <c r="D58" i="28" s="1"/>
  <c r="D8" i="30"/>
  <c r="G51" i="28"/>
  <c r="G58" i="28" s="1"/>
  <c r="F8" i="30"/>
  <c r="G8" i="30"/>
  <c r="H51" i="28"/>
  <c r="H58" i="28" s="1"/>
  <c r="G7" i="30"/>
  <c r="F51" i="28"/>
  <c r="F7" i="30"/>
  <c r="D7" i="30"/>
  <c r="J11" i="28"/>
  <c r="E13" i="30"/>
  <c r="G13" i="30"/>
  <c r="H9" i="30"/>
  <c r="G9" i="30"/>
  <c r="D13" i="30"/>
  <c r="H50" i="31"/>
  <c r="H57" i="31" s="1"/>
  <c r="J41" i="31"/>
  <c r="D9" i="30"/>
  <c r="J16" i="31"/>
  <c r="F50" i="31"/>
  <c r="F57" i="31" s="1"/>
  <c r="G50" i="31"/>
  <c r="G57" i="31" s="1"/>
  <c r="H7" i="30"/>
  <c r="D50" i="31"/>
  <c r="D57" i="31" s="1"/>
  <c r="E50" i="31"/>
  <c r="E57" i="31" s="1"/>
  <c r="J41" i="29"/>
  <c r="D11" i="30"/>
  <c r="J27" i="29"/>
  <c r="E50" i="29"/>
  <c r="E57" i="29" s="1"/>
  <c r="G50" i="29"/>
  <c r="G57" i="29" s="1"/>
  <c r="H50" i="29"/>
  <c r="H57" i="29" s="1"/>
  <c r="D50" i="29"/>
  <c r="D57" i="29" s="1"/>
  <c r="F50" i="29"/>
  <c r="F57" i="29" s="1"/>
  <c r="J49" i="31"/>
  <c r="E56" i="27"/>
  <c r="E63" i="27" s="1"/>
  <c r="F56" i="27"/>
  <c r="F63" i="27" s="1"/>
  <c r="H69" i="16"/>
  <c r="H76" i="16" s="1"/>
  <c r="J11" i="16"/>
  <c r="J13" i="16"/>
  <c r="J16" i="16" s="1"/>
  <c r="J55" i="29"/>
  <c r="J49" i="29"/>
  <c r="J50" i="28"/>
  <c r="J61" i="27"/>
  <c r="E69" i="16"/>
  <c r="E76" i="16" s="1"/>
  <c r="G69" i="16"/>
  <c r="G76" i="16" s="1"/>
  <c r="F69" i="16"/>
  <c r="F76" i="16" s="1"/>
  <c r="J16" i="30" l="1"/>
  <c r="J10" i="30"/>
  <c r="D76" i="16"/>
  <c r="J72" i="16"/>
  <c r="J74" i="16" s="1"/>
  <c r="J11" i="30"/>
  <c r="D58" i="34"/>
  <c r="J51" i="34"/>
  <c r="J58" i="34" s="1"/>
  <c r="J51" i="33"/>
  <c r="J58" i="33" s="1"/>
  <c r="D58" i="33"/>
  <c r="J46" i="32"/>
  <c r="J53" i="32" s="1"/>
  <c r="E14" i="30"/>
  <c r="E18" i="30" s="1"/>
  <c r="J12" i="30"/>
  <c r="F14" i="30"/>
  <c r="F18" i="30" s="1"/>
  <c r="J9" i="30"/>
  <c r="J8" i="30"/>
  <c r="J51" i="28"/>
  <c r="J58" i="28" s="1"/>
  <c r="D25" i="30" s="1"/>
  <c r="G14" i="30"/>
  <c r="G18" i="30" s="1"/>
  <c r="J7" i="30"/>
  <c r="F58" i="28"/>
  <c r="H14" i="30"/>
  <c r="H18" i="30" s="1"/>
  <c r="D14" i="30"/>
  <c r="J13" i="30"/>
  <c r="J50" i="31"/>
  <c r="J57" i="31" s="1"/>
  <c r="J50" i="29"/>
  <c r="J57" i="29" s="1"/>
  <c r="D26" i="30" s="1"/>
  <c r="J56" i="27"/>
  <c r="J63" i="27" s="1"/>
  <c r="D24" i="30" s="1"/>
  <c r="J69" i="16"/>
  <c r="J76" i="16" l="1"/>
  <c r="D23" i="30" s="1"/>
  <c r="D29" i="30" s="1"/>
  <c r="E24" i="30" s="1"/>
  <c r="J14" i="30"/>
  <c r="J18" i="30" s="1"/>
  <c r="D18" i="30"/>
  <c r="E25" i="30" l="1"/>
  <c r="E23" i="30"/>
  <c r="E26" i="30"/>
  <c r="E27" i="30"/>
  <c r="E29" i="30" l="1"/>
</calcChain>
</file>

<file path=xl/sharedStrings.xml><?xml version="1.0" encoding="utf-8"?>
<sst xmlns="http://schemas.openxmlformats.org/spreadsheetml/2006/main" count="554" uniqueCount="133">
  <si>
    <t>Consolidated Budget Table</t>
  </si>
  <si>
    <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t>
  </si>
  <si>
    <t>BUDGET BY YEAR</t>
  </si>
  <si>
    <t>COST-TYPE</t>
  </si>
  <si>
    <t>CATEGORY</t>
  </si>
  <si>
    <t>YEAR 1</t>
  </si>
  <si>
    <t>YEAR 2</t>
  </si>
  <si>
    <t>YEAR 3</t>
  </si>
  <si>
    <t>YEAR 4</t>
  </si>
  <si>
    <t>YEAR 5</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</si>
  <si>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</si>
  <si>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</si>
  <si>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</si>
  <si>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</si>
  <si>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</si>
  <si>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</si>
  <si>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</si>
  <si>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</si>
  <si>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TOTAL OTHER</t>
  </si>
  <si>
    <t>TOTAL DIRECT</t>
  </si>
  <si>
    <t/>
  </si>
  <si>
    <t xml:space="preserve"> TOTAL INDIRECT </t>
  </si>
  <si>
    <t xml:space="preserve"> TOTAL FUNDING </t>
  </si>
  <si>
    <t>BUDGET BY PROJECT</t>
  </si>
  <si>
    <t>Project Number</t>
  </si>
  <si>
    <t>Project Name</t>
  </si>
  <si>
    <t>Total Cost</t>
  </si>
  <si>
    <t>% of Total</t>
  </si>
  <si>
    <t>Transportation</t>
  </si>
  <si>
    <t>Buildings</t>
  </si>
  <si>
    <t>Electric Power</t>
  </si>
  <si>
    <t>Name 4</t>
  </si>
  <si>
    <t>Name 5</t>
  </si>
  <si>
    <t>Total</t>
  </si>
  <si>
    <t>Detailed Budget Table</t>
  </si>
  <si>
    <t xml:space="preserve">This Excel Workbook is provided to aid applicants in developing the required budget table(s) within the budget narrative.  </t>
  </si>
  <si>
    <t>Personnel</t>
  </si>
  <si>
    <t> </t>
  </si>
  <si>
    <t>Project Director up-to $120,000 per year, 100% full-time of salary, with a 2% cost of living increase beginning in Year 2 and continuing through Year 5.</t>
  </si>
  <si>
    <t xml:space="preserve">Grants Coordinator at $96,270 per year, 25%  of full-time salary, years 1-5. </t>
  </si>
  <si>
    <t>Grants Accountant at $83,000 per year, 50% of full-time salary, years 1-5.</t>
  </si>
  <si>
    <t xml:space="preserve"> Fringe Benefits </t>
  </si>
  <si>
    <t>ACCS rate of 33% x direct salary - fringe rate and covers payroll taxes,retirement contributions,  Workers' Compensation, and health insurance. Years 1 - 5 for Project Director (1 fulltime employee).</t>
  </si>
  <si>
    <t xml:space="preserve"> Travel </t>
  </si>
  <si>
    <t xml:space="preserve">Travel within state for the Project Director based on standard State per diem ($12.75 for trips of more than 6 but less than 12 hours, $34.00 for more than 12 hours but no overnight, and $85 for one night overnight trips).  
Years 1-5 allowance includes 48 trips of duration of 12 hours or less at a $12.75 daily per diem with at least 6 hours minimum, 24 trips of a duration of 12 hours or more with no overnight travel at a $34.00 daily per diem, and 12 one-night overnight trips at a $85.00 daily per diem. </t>
  </si>
  <si>
    <t>Travel out-of-state for Project Director based on projected costs from other grant funded out-of-state conference costs at $3,500 per year for Years 1-5.  Costs include average airfare, hotel, meals, parking, taxi, luggage fees, and mileage reimbursement.</t>
  </si>
  <si>
    <t xml:space="preserve"> Equipment </t>
  </si>
  <si>
    <t>Purchase 7 Hybrid Sedans ($35,000 each) for ACCS System Office to include 1 for Project Director to utilize as part of grant implementation activities and monitoring.</t>
  </si>
  <si>
    <t xml:space="preserve"> </t>
  </si>
  <si>
    <t>Purchase 7 Hybrid SUVs($45,000) for ACCS System Office as part of decommissioning of gas powered vechicles.</t>
  </si>
  <si>
    <t xml:space="preserve"> Supplies </t>
  </si>
  <si>
    <t xml:space="preserve">1 Laptop computer at $3,000 </t>
  </si>
  <si>
    <t xml:space="preserve">Office setup items to include wireless keyboard and mouse, monitors, docking station, printer and scanner at $1,500 per Project Director (1). </t>
  </si>
  <si>
    <t>General Office Supplies at $500 per year for Project Director.</t>
  </si>
  <si>
    <t xml:space="preserve"> Contractual </t>
  </si>
  <si>
    <t>OTHER</t>
  </si>
  <si>
    <t>Subaward to Bevill State Community College for the purchase of 8 electric vechicles and 4 Level 2 charging stations.</t>
  </si>
  <si>
    <t>Subaward to Bishop State Community College for the purchase of 8 electric vehicles and 6 Level 2 charging station.</t>
  </si>
  <si>
    <t>Subaward to Calhoun Community College for the purchase of 13 electric vehicles and 3 Level 3 charging stations.</t>
  </si>
  <si>
    <t>Subaward to Central Alabama Community College for the purchase of 13 electric vehicles and 5 Level 2 charging stations.</t>
  </si>
  <si>
    <t>Subaward to Coastal Alabama Community College for the purchase of 10 electric vechicles and 7 Level 2 and 3 Level 3 charging stations.</t>
  </si>
  <si>
    <t>Subaward to Chattahoochee Valley Community College for the purchase of 6 electric vehicles and 2 Level 2 and 1 Level 3 charging stations.</t>
  </si>
  <si>
    <t>Subaward to J. F. Drake State Community and Technical College for the purchase of 5 electric vechicles and 1 Level 2 and 2 Level 3 charging stations.</t>
  </si>
  <si>
    <t>Subaward to Enterprise State Community College for the purchase of 15 electric vechicles and 6 Level 2 charging stations.</t>
  </si>
  <si>
    <t>Subaward to Gadsden Sate Community College for the purchase of 3 electric vechicles.</t>
  </si>
  <si>
    <t>Subaward to Ingram State Technical College for the purchase of 6 electric vechicles.</t>
  </si>
  <si>
    <t>Subaward to Jefferson State Community College for the purchase of 8 electric vechicles and 3 Level 2 charging stations.</t>
  </si>
  <si>
    <t>Subaward to Lawson State Community College for the purchase of 10 electric vechicles and 4 Level 2 charging stations.</t>
  </si>
  <si>
    <t>Subaward to Lurleen B. Wallace Community College for the purchase of 9 electric vechicles and 4 Level 2 and 2 Level 3 charging stations.</t>
  </si>
  <si>
    <t xml:space="preserve">Subaward to Marion Military Institute for the purchase of 7 electric vehicles and 4 Level 2 and 3 Level 3 charging stations. </t>
  </si>
  <si>
    <t>Subaward to Northeast Alabama Community College for the purchase of 4 electric vechicles and 1 Level 2 charging station.</t>
  </si>
  <si>
    <t>Subaward to Northwest Shoals Community College for the purchase of 10 electric vechicles and 6 Level 2 charging stations.</t>
  </si>
  <si>
    <t>Subaward to Reid State Technical College for the purchase of 3 electric vechicles and 2 Level 3 charging station.</t>
  </si>
  <si>
    <t>Subaward to Shelton State Community College for the purchase of 17 electric vechicles and 2 Level 3 charging stations.</t>
  </si>
  <si>
    <t>Subaward to Snead State Community College for the purchase of 5 electric vechicles and 2 Level 2 charging stations.</t>
  </si>
  <si>
    <t>Subaward to Southern Union State Community College for the purchase of 4 electric vechicles and 3 Level 2 and 1 Level 3 charging stations.</t>
  </si>
  <si>
    <t>Subaward to Trenholm State Community College for the purchase of 9 electric vechicles and 3 Level 3 charging stations.</t>
  </si>
  <si>
    <t>Subaward to Wallace Community College Dothan for the purchase of 12 electric vechicles and 10 Level 2 and 1 Level 3 charging stations.</t>
  </si>
  <si>
    <t>Subaward to Wallace State Community College for the purchase of 7 electric vechicles and 2 Level 2 charging stations.</t>
  </si>
  <si>
    <t>Subaward to Wallace Community College Selma for the purchase of 8 electric vechicles and 3 Level 3 charging stations.</t>
  </si>
  <si>
    <t>Indirect Costs</t>
  </si>
  <si>
    <t>ACCS rate of 33% x direct salary - fringe rate and covers payroll taxes,retirement contributions,  Workers' Compensation, and health insurance. Years 1 - 5 for Project Directors (3).</t>
  </si>
  <si>
    <t xml:space="preserve">Travel within state for the Project Directors (3) based on standard State per diem ($12.75 for trips of more than 6 but less than 12 hours, $34.00 for more than 12 hours but no overnight, and $85 for one night overnight trips).  
Years 1-5 allowance includes 48 trips of duration of 12 hours or less at a $12.75 daily per diem with at least 6 hours minimum, 24 trips of a duration of 12 hours or more with no overnight travel at a $34.00 daily per diem, and 12 one-night overnight trips at a $85.00 daily per diem. </t>
  </si>
  <si>
    <t>Travel out-of-state for Project Directors (3) based on projected costs from other grant funded out-of-state conference costs at $3,500 per year for Years 1-5. Costs include averge airfare, hotel, meals, parking, taxi, luggage fees, and mileage reimbursement.</t>
  </si>
  <si>
    <t>Purchase Hybrid Vehicle ($35,000) for Project Directors (3) to utilize as part of grant implementation activities and monitoring.</t>
  </si>
  <si>
    <t>General Office Supplies at $500 per year per Project Director (3)</t>
  </si>
  <si>
    <t>Subaward to Bishop State Community College for energy-efficiency building renovations to include implementation of building energy codes and purchase and installation of certified energy efficient heating and cooling equipment, windows, lighting, meters, external doors, and other building products  (Costs include predesign, engineering, permitting, and construction costs.) (Costs estimates based on $310 per sq.ft. for mechanical renovations.)</t>
  </si>
  <si>
    <t>Subaward to Drake State Community &amp; Technical College for energy-efficiency building renovations to include implementation of building energy codes and purchase and installation of certified energy efficient heating and cooling equipment, windows, lighting, meters, external doors and other building products  (Costs include predesign, engineering, permitting, and construction costs.) (Costs estimates based on $310 per sq.ft. for mechanical renovations.)</t>
  </si>
  <si>
    <t>Subaward to Gadsden State Community College for energy-efficiency building renovations to include implementation of building energy codes and purchase and installation of certified energy efficient heating and cooling equipment, windows, lighting, meters, external doors, and other building products  (Costs include predesign, engineering, permitting, and construction costs.) (Costs estimates based on $310 per sq.ft. for mechanical renovations.)</t>
  </si>
  <si>
    <t>Subaward to Lawson State Community College for energy-efficiency building renovations to include implementation of building energy codes and purchase and installation of certified energy efficient heating and cooling equipment, windows, lighting, meters, external doors, and other building products  (Costs include predesign, engineering, permitting, and construction costs.) (Costs estimates based on $310 per sq.ft. for mechanical renovations.)</t>
  </si>
  <si>
    <t>Subaward to Wallace Community College Selma for energy-efficiency building renovations to include implementation of building energy codes and purchase and installation of certified energy efficient heating and cooling equipment, windows, lighting, external doors and other building products  (Costs include predesign, engineering, permitting, and construction costs.) (Costs estimates based on $310 per sq.ft. for mechanical renovations.)</t>
  </si>
  <si>
    <t>Subaward to Trenholm State Community College for energy-efficiency building renovations to include implementation of building energy codes and purchase and installation of certified energy efficient heating and cooling equipment, windows, lighting, meters, external doors, and other building products (Costs include predesign, engineering, permitting, and construction costs.) (Costs estimates based on $310 per sq.ft. for mechanical renovations.)</t>
  </si>
  <si>
    <t>Subaward to Chattahoochee Valley Community College for energy-efficiency building renovations to include implementation of building energy codes and purchase and installation of certified energy efficient heating and cooling equipment, windows, lighting, external doors, and other building products  (Costs include predesign, engineering, permitting, and construction costs.) (Costs estimates based on $310 per sq.ft. for mechanical renovations.)</t>
  </si>
  <si>
    <t>Subaward to Reid State Technical College for energy-efficiency building renovations to include implementation of building energy codes and purchase and installation of certified energy efficient heating and cooling equipment, windows, lighting, external doors, and other building products (Costs include predesign, engineering, permitting, and construction costs). (Costs estimates based on $310 per sq.ft. for mechanical renovations.)</t>
  </si>
  <si>
    <t>Subaward to Shelton State Community College for energy-efficiency building renovations to include implementation of building energy codes and purchase and installation of certified energy efficient windows, doors, lighting, external doors, and other building products (Costs include predesign, engineering, permitting, and construction costs.) (Costs estimates based on $105 per sq.ft. for lighting, windows, and external doors.)</t>
  </si>
  <si>
    <t>Subaward to Bevill State Community College to purchase and install a solar microgrid.(Costs include installation, maintenance/service contact, etc.)</t>
  </si>
  <si>
    <t>Subaward for energy related training scholarships for 100 participants in Years 4 and 5. (Costs include tuition, books, fees, and related training costs.)</t>
  </si>
  <si>
    <t>Subaward for 20 community services workshops conducted on Home Energy Efficiency and Community Energy Resiliance across the 6 HBCUs, PBIs, MSI and Bevill State Community in years 3 (10 workshops at $2,500 per workshop) and 5 (10 workshops at $2,500 per workshop)  of grant period. (Costs inlcude marketing, meals/refreshments for outreach.)</t>
  </si>
  <si>
    <t>Subaward for community awareness campaign across the 24 community colleges in years 3 ($1,500 per college) and 5 ($1,500 per college) of grant period. (Costs include marketing, community engagement, outreach and recruitment.)</t>
  </si>
  <si>
    <t>TOTAL CONTRACTUAL</t>
  </si>
  <si>
    <t>Other</t>
  </si>
  <si>
    <t xml:space="preserve">Project Manager @ $80,000/yr, .5 FTE, with salary increase </t>
  </si>
  <si>
    <t xml:space="preserve">Project Staff @ $60,000 .5 FTE each year with salary increase </t>
  </si>
  <si>
    <t>Full-time Employees @ 17% of salary</t>
  </si>
  <si>
    <t>Travel for conference and workshop presentations:</t>
  </si>
  <si>
    <t>Airfare - $400 roundtrip @ 1 roundtrip per year</t>
  </si>
  <si>
    <t>Luggage Fees - $25 per flight @ 2 flights per year</t>
  </si>
  <si>
    <t>Hotel - $150 per day @ 3 days per year</t>
  </si>
  <si>
    <t>Per Diem - $71 per day @ 3.5 days per year</t>
  </si>
  <si>
    <t>Taxi - $45 per year</t>
  </si>
  <si>
    <t>Parking - $20 per day @ 4 days per year</t>
  </si>
  <si>
    <t>Mileage for local travel (500 miles per year at $0.655/mi)</t>
  </si>
  <si>
    <t>2 Building Thermal Imagers @ $9,000 each</t>
  </si>
  <si>
    <t xml:space="preserve">1 Laptop Computer @ $2,500 each </t>
  </si>
  <si>
    <t>Contractor to perform 30 energy assessments per year at industrial facilities. Assumes 740 hours per assessment (pre-visit analysis, site visit, post-visit analysis, report with recommendations) @ $46/hr</t>
  </si>
  <si>
    <t>Contract for 10 small or medium-scale projects per year at industrial facilities (renewable energy, energy storage, energy efficiency, electrification, or energy planning). Assumes average cost $450,000/project</t>
  </si>
  <si>
    <t>Contract for 5 large-scale energy efficiency or decarbonization demonstration projects per year at industrial facilities (e.g., industrial heat pumps). Assumes average cost $3 million/project</t>
  </si>
  <si>
    <t>Participant Support Costs: Stipends for 2 Summer Interns</t>
  </si>
  <si>
    <t>Participant Support Costs: Industrial Retrofit Rebates, 50 facilities/yr @ $200,000 each</t>
  </si>
  <si>
    <t>Workforce development program:</t>
  </si>
  <si>
    <t>2 Laptop Computer @ $2,500 each</t>
  </si>
  <si>
    <t>Subaward for workforce ecosystem capacity building and coordination (e.g., partnerships, employer engagement, student recruitment, marketing)</t>
  </si>
  <si>
    <t>Subaward for pre-apprenticeship program for 300 students (including personnel and instructors; classroom instruction, hands-on training, curriculum, supplies, supportive services for students, and mentorship program)</t>
  </si>
  <si>
    <t>Subaward for registered apprenticeship program for 200 apprentices (including personnel and instructors; classroom instruction, on-the-job training, curriculum, supplies, employer incentives, supportive services for students). Note: apprenticeship wages paid by the employer in this example</t>
  </si>
  <si>
    <t>Project Manager @ $80,000/yr, .5 FTE, with salary increases</t>
  </si>
  <si>
    <t>Hotel - $200 per day @ 3 days per year</t>
  </si>
  <si>
    <t>Tribal Community Center Solar Project: 5 MW PV + 3 MW/12 MWh battery storage:</t>
  </si>
  <si>
    <t>Storage system</t>
  </si>
  <si>
    <t>PV module and inverter</t>
  </si>
  <si>
    <t>Installation labor</t>
  </si>
  <si>
    <t>PV operation &amp; maintenance/yr</t>
  </si>
  <si>
    <t>Participant Support Cost: Environmental Intern @ $4000/yr summer stipend</t>
  </si>
  <si>
    <t>Indirect Cost Rate: 40% of full time personnel and fringe benefits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</si>
</sst>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4" formatCode="_(&quot;$&quot;* #,##0.00_);_(&quot;$&quot;* \(#,##0.00\);_(&quot;$&quot;* &quot;-&quot;??_);_(@_)"/>
    <numFmt numFmtId="164" formatCode="_(&quot;$&quot;* #,##0_);_(&quot;$&quot;* \(#,##0\);_(&quot;$&quot;* &quot;-&quot;??_);_(@_)"/>
  </numFmts>
  <fonts count="21"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i/>
      <sz val="11"/>
      <color rgb="FF000000"/>
      <name val="Calibri"/>
      <family val="2"/>
      <scheme val="minor"/>
    </font>
    <font>
      <b/>
      <sz val="11"/>
      <color rgb="FF000000"/>
      <name val="Calibri"/>
      <family val="2"/>
    </font>
    <font>
      <sz val="11"/>
      <color rgb="FF000000"/>
      <name val="Calibri"/>
      <family val="2"/>
      <scheme val="minor"/>
    </font>
    <font>
      <sz val="11"/>
      <color rgb="FF000000"/>
      <name val="Calibri"/>
    </font>
    <font>
      <i/>
      <sz val="11"/>
      <color theme="0" tint="-0.34998626667073579"/>
      <name val="Calibri"/>
      <family val="2"/>
      <scheme val="minor"/>
    </font>
    <font>
      <b/>
      <sz val="11"/>
      <color rgb="FF000000"/>
      <name val="Calibri"/>
      <family val="2"/>
      <scheme val="minor"/>
    </font>
    <font>
      <b/>
      <i/>
      <sz val="11"/>
      <color theme="0" tint="-0.34998626667073579"/>
      <name val="Calibri"/>
      <family val="2"/>
      <scheme val="minor"/>
    </font>
    <font>
      <i/>
      <sz val="11"/>
      <color theme="5"/>
      <name val="Calibri"/>
      <family val="2"/>
      <scheme val="minor"/>
    </font>
    <font>
      <b/>
      <sz val="14"/>
      <color theme="0"/>
      <name val="Calibri"/>
      <family val="2"/>
      <scheme val="minor"/>
    </font>
    <font>
      <b/>
      <sz val="18"/>
      <color theme="1"/>
      <name val="Calibri"/>
      <family val="2"/>
      <scheme val="minor"/>
    </font>
    <font>
      <sz val="11"/>
      <color theme="0" tint="-0.34998626667073579"/>
      <name val="Calibri"/>
      <family val="2"/>
      <scheme val="minor"/>
    </font>
    <font>
      <sz val="11"/>
      <color theme="0" tint="-0.499984740745262"/>
      <name val="Calibri"/>
      <family val="2"/>
      <scheme val="minor"/>
    </font>
    <font>
      <i/>
      <sz val="11"/>
      <color theme="0" tint="-0.499984740745262"/>
      <name val="Calibri"/>
      <family val="2"/>
      <scheme val="minor"/>
    </font>
    <font>
      <i/>
      <sz val="11"/>
      <name val="Calibri"/>
      <family val="2"/>
      <scheme val="minor"/>
    </font>
    <font>
      <i/>
      <sz val="11"/>
      <color rgb="FFA6A6A6"/>
      <name val="Calibri"/>
      <family val="2"/>
      <scheme val="minor"/>
    </font>
    <font>
      <sz val="11"/>
      <color rgb="FFA6A6A6"/>
      <name val="Calibri"/>
      <family val="2"/>
      <scheme val="minor"/>
    </font>
  </fonts>
  <fills count="9">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style="thin">
        <color rgb="FFFFFF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thin">
        <color rgb="FFFFFFFF"/>
      </left>
      <right/>
      <top/>
      <bottom style="thin">
        <color rgb="FFFFFFFF"/>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indexed="64"/>
      </bottom>
      <diagonal/>
    </border>
    <border>
      <left style="medium">
        <color indexed="64"/>
      </left>
      <right style="thin">
        <color indexed="64"/>
      </right>
      <top/>
      <bottom style="medium">
        <color indexed="64"/>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83">
    <xf numFmtId="0" fontId="0" fillId="0" borderId="0" xfId="0"/>
    <xf numFmtId="0" fontId="2" fillId="0" borderId="0" xfId="0" applyFont="1"/>
    <xf numFmtId="164" fontId="0" fillId="0" borderId="0" xfId="1" applyNumberFormat="1" applyFont="1" applyBorder="1"/>
    <xf numFmtId="0" fontId="0" fillId="0" borderId="9" xfId="0" applyBorder="1"/>
    <xf numFmtId="0" fontId="0" fillId="0" borderId="10" xfId="0" applyBorder="1"/>
    <xf numFmtId="0" fontId="3" fillId="0" borderId="0" xfId="0" applyFont="1"/>
    <xf numFmtId="0" fontId="0" fillId="0" borderId="0" xfId="0" applyAlignment="1">
      <alignment vertical="top"/>
    </xf>
    <xf numFmtId="0" fontId="7" fillId="0" borderId="0" xfId="0" applyFont="1"/>
    <xf numFmtId="0" fontId="7" fillId="0" borderId="1" xfId="0" applyFont="1" applyBorder="1"/>
    <xf numFmtId="0" fontId="7" fillId="4" borderId="1" xfId="0" applyFont="1" applyFill="1" applyBorder="1" applyAlignment="1">
      <alignment wrapText="1"/>
    </xf>
    <xf numFmtId="0" fontId="7" fillId="0" borderId="1" xfId="0" applyFont="1" applyBorder="1" applyAlignment="1">
      <alignment wrapText="1"/>
    </xf>
    <xf numFmtId="6" fontId="7" fillId="0" borderId="1" xfId="0" applyNumberFormat="1" applyFont="1" applyBorder="1" applyAlignment="1">
      <alignment wrapText="1"/>
    </xf>
    <xf numFmtId="6" fontId="9" fillId="4" borderId="4" xfId="0" applyNumberFormat="1" applyFont="1" applyFill="1" applyBorder="1" applyAlignment="1">
      <alignment wrapText="1"/>
    </xf>
    <xf numFmtId="0" fontId="9" fillId="0" borderId="1" xfId="0" applyFont="1" applyBorder="1" applyAlignment="1">
      <alignment wrapText="1"/>
    </xf>
    <xf numFmtId="0" fontId="10" fillId="0" borderId="1" xfId="0" applyFont="1" applyBorder="1" applyAlignment="1">
      <alignment wrapText="1"/>
    </xf>
    <xf numFmtId="6" fontId="9" fillId="0" borderId="1" xfId="0" applyNumberFormat="1" applyFont="1" applyBorder="1" applyAlignment="1">
      <alignment wrapText="1"/>
    </xf>
    <xf numFmtId="6" fontId="9" fillId="4" borderId="1" xfId="0" applyNumberFormat="1" applyFont="1" applyFill="1" applyBorder="1" applyAlignment="1">
      <alignment wrapText="1"/>
    </xf>
    <xf numFmtId="0" fontId="2" fillId="0" borderId="1" xfId="0" applyFont="1" applyBorder="1"/>
    <xf numFmtId="0" fontId="0" fillId="0" borderId="1" xfId="0" applyBorder="1"/>
    <xf numFmtId="0" fontId="10" fillId="0" borderId="11" xfId="0" applyFont="1" applyBorder="1" applyAlignment="1">
      <alignment wrapText="1"/>
    </xf>
    <xf numFmtId="6" fontId="11" fillId="0" borderId="12" xfId="0" applyNumberFormat="1" applyFont="1" applyBorder="1" applyAlignment="1">
      <alignment wrapText="1"/>
    </xf>
    <xf numFmtId="0" fontId="12" fillId="0" borderId="0" xfId="0" applyFont="1"/>
    <xf numFmtId="0" fontId="2" fillId="0" borderId="2" xfId="0" applyFont="1" applyBorder="1" applyAlignment="1">
      <alignment vertical="top"/>
    </xf>
    <xf numFmtId="0" fontId="0" fillId="0" borderId="5" xfId="0" applyBorder="1" applyAlignment="1">
      <alignment vertical="top"/>
    </xf>
    <xf numFmtId="0" fontId="0" fillId="0" borderId="3" xfId="0" applyBorder="1" applyAlignment="1">
      <alignment vertical="top"/>
    </xf>
    <xf numFmtId="0" fontId="9" fillId="0" borderId="1" xfId="0" applyFont="1" applyBorder="1" applyAlignment="1">
      <alignment horizontal="left" wrapText="1" indent="2"/>
    </xf>
    <xf numFmtId="0" fontId="2" fillId="0" borderId="1" xfId="0" applyFont="1" applyBorder="1" applyAlignment="1">
      <alignment vertical="top"/>
    </xf>
    <xf numFmtId="0" fontId="7" fillId="0" borderId="1" xfId="0" applyFont="1" applyBorder="1" applyAlignment="1">
      <alignment horizontal="left" wrapText="1" indent="2"/>
    </xf>
    <xf numFmtId="0" fontId="5" fillId="0" borderId="1" xfId="0" applyFont="1" applyBorder="1" applyAlignment="1">
      <alignment wrapText="1"/>
    </xf>
    <xf numFmtId="0" fontId="9" fillId="0" borderId="1" xfId="0" applyFont="1" applyBorder="1" applyAlignment="1">
      <alignment horizontal="left" wrapText="1" indent="4"/>
    </xf>
    <xf numFmtId="0" fontId="14" fillId="0" borderId="0" xfId="0" applyFont="1"/>
    <xf numFmtId="0" fontId="8" fillId="0" borderId="16" xfId="0" applyFont="1" applyBorder="1" applyAlignment="1">
      <alignment vertical="top" wrapText="1"/>
    </xf>
    <xf numFmtId="0" fontId="0" fillId="0" borderId="17" xfId="0" applyBorder="1"/>
    <xf numFmtId="0" fontId="6" fillId="0" borderId="18" xfId="0" applyFont="1" applyBorder="1" applyAlignment="1">
      <alignment vertical="top" wrapText="1"/>
    </xf>
    <xf numFmtId="6" fontId="0" fillId="0" borderId="0" xfId="0" applyNumberFormat="1"/>
    <xf numFmtId="6" fontId="7" fillId="0" borderId="0" xfId="0" applyNumberFormat="1" applyFont="1"/>
    <xf numFmtId="0" fontId="13" fillId="5" borderId="8" xfId="0" applyFont="1" applyFill="1" applyBorder="1"/>
    <xf numFmtId="0" fontId="1" fillId="5" borderId="7" xfId="0" applyFont="1" applyFill="1" applyBorder="1" applyAlignment="1">
      <alignment wrapText="1"/>
    </xf>
    <xf numFmtId="0" fontId="1" fillId="5" borderId="6" xfId="0" applyFont="1" applyFill="1" applyBorder="1" applyAlignment="1">
      <alignment wrapText="1"/>
    </xf>
    <xf numFmtId="0" fontId="10" fillId="6" borderId="13" xfId="0" applyFont="1" applyFill="1" applyBorder="1" applyAlignment="1">
      <alignment wrapText="1"/>
    </xf>
    <xf numFmtId="0" fontId="10" fillId="6" borderId="14" xfId="0" applyFont="1" applyFill="1" applyBorder="1" applyAlignment="1">
      <alignment wrapText="1"/>
    </xf>
    <xf numFmtId="0" fontId="10" fillId="6" borderId="15" xfId="0" applyFont="1" applyFill="1" applyBorder="1" applyAlignment="1">
      <alignment wrapText="1"/>
    </xf>
    <xf numFmtId="0" fontId="10" fillId="6" borderId="7" xfId="0" applyFont="1" applyFill="1" applyBorder="1" applyAlignment="1">
      <alignment wrapText="1"/>
    </xf>
    <xf numFmtId="0" fontId="10" fillId="6" borderId="3" xfId="0" applyFont="1" applyFill="1" applyBorder="1"/>
    <xf numFmtId="6" fontId="15" fillId="0" borderId="1" xfId="0" applyNumberFormat="1" applyFont="1" applyBorder="1" applyAlignment="1">
      <alignment wrapText="1"/>
    </xf>
    <xf numFmtId="0" fontId="13" fillId="2" borderId="8" xfId="0" applyFont="1" applyFill="1" applyBorder="1"/>
    <xf numFmtId="0" fontId="1" fillId="2" borderId="7" xfId="0" applyFont="1" applyFill="1" applyBorder="1" applyAlignment="1">
      <alignment wrapText="1"/>
    </xf>
    <xf numFmtId="0" fontId="10" fillId="3" borderId="13" xfId="0" applyFont="1" applyFill="1" applyBorder="1" applyAlignment="1">
      <alignment wrapText="1"/>
    </xf>
    <xf numFmtId="0" fontId="10" fillId="3" borderId="14" xfId="0" applyFont="1" applyFill="1" applyBorder="1" applyAlignment="1">
      <alignment wrapText="1"/>
    </xf>
    <xf numFmtId="0" fontId="10" fillId="3" borderId="15" xfId="0" applyFont="1" applyFill="1" applyBorder="1" applyAlignment="1">
      <alignment wrapText="1"/>
    </xf>
    <xf numFmtId="0" fontId="10" fillId="3" borderId="7" xfId="0" applyFont="1" applyFill="1" applyBorder="1" applyAlignment="1">
      <alignment wrapText="1"/>
    </xf>
    <xf numFmtId="0" fontId="7" fillId="7" borderId="1" xfId="0" applyFont="1" applyFill="1" applyBorder="1" applyAlignment="1">
      <alignment wrapText="1"/>
    </xf>
    <xf numFmtId="6" fontId="9" fillId="7" borderId="1" xfId="0" applyNumberFormat="1" applyFont="1" applyFill="1" applyBorder="1" applyAlignment="1">
      <alignment wrapText="1"/>
    </xf>
    <xf numFmtId="0" fontId="7" fillId="8" borderId="0" xfId="0" applyFont="1" applyFill="1"/>
    <xf numFmtId="6" fontId="10" fillId="0" borderId="19" xfId="0" applyNumberFormat="1" applyFont="1" applyBorder="1" applyAlignment="1">
      <alignment wrapText="1"/>
    </xf>
    <xf numFmtId="0" fontId="10" fillId="0" borderId="0" xfId="0" applyFont="1"/>
    <xf numFmtId="0" fontId="10" fillId="3" borderId="20" xfId="0" applyFont="1" applyFill="1" applyBorder="1" applyAlignment="1">
      <alignment wrapText="1"/>
    </xf>
    <xf numFmtId="6" fontId="9" fillId="7" borderId="1" xfId="0" applyNumberFormat="1" applyFont="1" applyFill="1" applyBorder="1" applyAlignment="1">
      <alignment horizontal="left" vertical="top" wrapText="1"/>
    </xf>
    <xf numFmtId="6" fontId="9" fillId="7" borderId="8" xfId="0" applyNumberFormat="1" applyFont="1" applyFill="1" applyBorder="1" applyAlignment="1">
      <alignment wrapText="1"/>
    </xf>
    <xf numFmtId="6" fontId="7" fillId="4" borderId="1" xfId="0" applyNumberFormat="1" applyFont="1" applyFill="1" applyBorder="1" applyAlignment="1">
      <alignment wrapText="1"/>
    </xf>
    <xf numFmtId="6" fontId="16" fillId="0" borderId="1" xfId="0" applyNumberFormat="1" applyFont="1" applyBorder="1" applyAlignment="1">
      <alignment wrapText="1"/>
    </xf>
    <xf numFmtId="0" fontId="17" fillId="0" borderId="0" xfId="0" applyFont="1" applyAlignment="1">
      <alignment wrapText="1"/>
    </xf>
    <xf numFmtId="0" fontId="9" fillId="0" borderId="0" xfId="0" applyFont="1" applyAlignment="1">
      <alignment wrapText="1"/>
    </xf>
    <xf numFmtId="6" fontId="9" fillId="0" borderId="0" xfId="0" applyNumberFormat="1" applyFont="1" applyAlignment="1">
      <alignment vertical="top" wrapText="1"/>
    </xf>
    <xf numFmtId="0" fontId="0" fillId="0" borderId="0" xfId="0" applyAlignment="1">
      <alignment wrapText="1"/>
    </xf>
    <xf numFmtId="0" fontId="18" fillId="0" borderId="0" xfId="0" applyFont="1"/>
    <xf numFmtId="0" fontId="10" fillId="0" borderId="21" xfId="0" applyFont="1" applyBorder="1" applyAlignment="1">
      <alignment wrapText="1"/>
    </xf>
    <xf numFmtId="0" fontId="0" fillId="0" borderId="1" xfId="0" applyBorder="1" applyAlignment="1">
      <alignment vertical="top"/>
    </xf>
    <xf numFmtId="0" fontId="1" fillId="2" borderId="1" xfId="0" applyFont="1" applyFill="1" applyBorder="1" applyAlignment="1">
      <alignment wrapText="1"/>
    </xf>
    <xf numFmtId="0" fontId="10" fillId="3" borderId="1" xfId="0" applyFont="1" applyFill="1" applyBorder="1"/>
    <xf numFmtId="6" fontId="10" fillId="0" borderId="1" xfId="0" applyNumberFormat="1" applyFont="1" applyBorder="1" applyAlignment="1">
      <alignment wrapText="1"/>
    </xf>
    <xf numFmtId="0" fontId="2" fillId="0" borderId="2" xfId="0" applyFont="1" applyBorder="1" applyAlignment="1">
      <alignment vertical="top" wrapText="1"/>
    </xf>
    <xf numFmtId="0" fontId="19" fillId="0" borderId="1" xfId="0" applyFont="1" applyBorder="1" applyAlignment="1">
      <alignment horizontal="left" wrapText="1" indent="2"/>
    </xf>
    <xf numFmtId="6" fontId="19" fillId="0" borderId="1" xfId="0" applyNumberFormat="1" applyFont="1" applyBorder="1" applyAlignment="1">
      <alignment wrapText="1"/>
    </xf>
    <xf numFmtId="0" fontId="19" fillId="0" borderId="1" xfId="0" applyFont="1" applyBorder="1" applyAlignment="1">
      <alignment wrapText="1"/>
    </xf>
    <xf numFmtId="6" fontId="20" fillId="0" borderId="1" xfId="0" applyNumberFormat="1" applyFont="1" applyBorder="1" applyAlignment="1">
      <alignment wrapText="1"/>
    </xf>
    <xf numFmtId="0" fontId="20" fillId="0" borderId="1" xfId="0" applyFont="1" applyBorder="1" applyAlignment="1">
      <alignment wrapText="1"/>
    </xf>
    <xf numFmtId="0" fontId="9" fillId="0" borderId="1" xfId="0" applyFont="1" applyBorder="1" applyAlignment="1">
      <alignment horizontal="left" vertical="top" wrapText="1" indent="2"/>
    </xf>
    <xf numFmtId="0" fontId="9" fillId="0" borderId="1" xfId="0" applyFont="1" applyBorder="1" applyAlignment="1">
      <alignment horizontal="left" vertical="top" wrapText="1"/>
    </xf>
    <xf numFmtId="0" fontId="3" fillId="0" borderId="0" xfId="0" applyFont="1" applyAlignment="1">
      <alignment horizontal="left" wrapText="1"/>
    </xf>
    <xf numFmtId="9" fontId="9" fillId="7" borderId="1" xfId="2" applyFont="1" applyFill="1" applyBorder="1" applyAlignment="1">
      <alignment horizontal="center" wrapText="1"/>
    </xf>
    <xf numFmtId="0" fontId="1" fillId="2" borderId="1" xfId="0" applyFont="1" applyFill="1" applyBorder="1" applyAlignment="1">
      <alignment horizontal="center" wrapText="1"/>
    </xf>
    <xf numFmtId="0" fontId="10" fillId="3" borderId="1" xfId="0" applyFont="1" applyFill="1" applyBorder="1" applyAlignment="1">
      <alignment horizontal="center" wrapText="1"/>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28229</xdr:colOff>
      <xdr:row>0</xdr:row>
      <xdr:rowOff>83389</xdr:rowOff>
    </xdr:from>
    <xdr:to>
      <xdr:col>14</xdr:col>
      <xdr:colOff>95250</xdr:colOff>
      <xdr:row>10</xdr:row>
      <xdr:rowOff>169334</xdr:rowOff>
    </xdr:to>
    <xdr:sp macro="" textlink="">
      <xdr:nvSpPr>
        <xdr:cNvPr id="5" name="Rectangle 1">
          <a:extLst>
            <a:ext uri="{FF2B5EF4-FFF2-40B4-BE49-F238E27FC236}">
              <a16:creationId xmlns:a16="http://schemas.microsoft.com/office/drawing/2014/main" id="{FD1992C7-AA22-4941-9568-B6DA7EAA81E5}"/>
            </a:ext>
          </a:extLst>
        </xdr:cNvPr>
        <xdr:cNvSpPr/>
      </xdr:nvSpPr>
      <xdr:spPr>
        <a:xfrm>
          <a:off x="155229" y="83389"/>
          <a:ext cx="10523354" cy="132066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Introduction: </a:t>
          </a:r>
          <a:endParaRPr lang="en-US" sz="1800" b="0"/>
        </a:p>
        <a:p>
          <a:pPr algn="l"/>
          <a:r>
            <a:rPr lang="en-US" sz="1400" b="0"/>
            <a:t>This Excel Spreadsheet is provided </a:t>
          </a:r>
          <a:r>
            <a:rPr lang="en-US" sz="1400"/>
            <a:t>to aid Climate Pollution Reduction Grant</a:t>
          </a:r>
          <a:r>
            <a:rPr lang="en-US" sz="1400" baseline="0"/>
            <a:t> implementation grant </a:t>
          </a:r>
          <a:r>
            <a:rPr lang="en-US" sz="1400"/>
            <a:t>applicants in developing the required budget table(s) within the budget narrative.  </a:t>
          </a:r>
          <a:r>
            <a:rPr lang="en-US" sz="1400">
              <a:solidFill>
                <a:schemeClr val="lt1"/>
              </a:solidFill>
              <a:effectLst/>
              <a:latin typeface="+mn-lt"/>
              <a:ea typeface="+mn-ea"/>
              <a:cs typeface="+mn-cs"/>
            </a:rPr>
            <a:t>Applicants may submit a budget spreadsheet (no page limit) with their application.</a:t>
          </a:r>
          <a:endParaRPr lang="en-US" sz="1400"/>
        </a:p>
        <a:p>
          <a:pPr algn="l"/>
          <a:endParaRPr lang="en-US" sz="1400"/>
        </a:p>
        <a:p>
          <a:pPr algn="l"/>
          <a:r>
            <a:rPr lang="en-US" sz="1400"/>
            <a:t>The</a:t>
          </a:r>
          <a:r>
            <a:rPr lang="en-US" sz="1400" baseline="0"/>
            <a:t> individual worksheets are formatted for 1 page width of 8.5" x 11" landscape orientation.</a:t>
          </a:r>
          <a:endParaRPr lang="en-US" sz="1400" b="0"/>
        </a:p>
      </xdr:txBody>
    </xdr:sp>
    <xdr:clientData/>
  </xdr:twoCellAnchor>
  <xdr:twoCellAnchor>
    <xdr:from>
      <xdr:col>1</xdr:col>
      <xdr:colOff>41787</xdr:colOff>
      <xdr:row>9</xdr:row>
      <xdr:rowOff>174298</xdr:rowOff>
    </xdr:from>
    <xdr:to>
      <xdr:col>14</xdr:col>
      <xdr:colOff>86391</xdr:colOff>
      <xdr:row>40</xdr:row>
      <xdr:rowOff>142875</xdr:rowOff>
    </xdr:to>
    <xdr:sp macro="" textlink="">
      <xdr:nvSpPr>
        <xdr:cNvPr id="294" name="Rectangle 2">
          <a:extLst>
            <a:ext uri="{FF2B5EF4-FFF2-40B4-BE49-F238E27FC236}">
              <a16:creationId xmlns:a16="http://schemas.microsoft.com/office/drawing/2014/main" id="{C2E9A354-A79D-41A6-AB37-77B1C72CD66E}"/>
            </a:ext>
          </a:extLst>
        </xdr:cNvPr>
        <xdr:cNvSpPr/>
      </xdr:nvSpPr>
      <xdr:spPr>
        <a:xfrm>
          <a:off x="168787" y="1222048"/>
          <a:ext cx="10522104" cy="574707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Instructions:  </a:t>
          </a:r>
        </a:p>
        <a:p>
          <a:pPr algn="l"/>
          <a:r>
            <a:rPr lang="en-US" sz="1400" b="0" baseline="0"/>
            <a:t>The template contains 5 tabs (titled "Measure 1 Budget" through "Measure 5 Budget") where applicants can create budgets for up to 5 discrete GHG measures contained in their application. Applicants should leave excess tabs blank (ie, if an application is for a single GHG measure, only Tab 1 should contain any numerical entries.) The Consolidated Budget tab will automatically sum budget totals across all GHG measure Tabs.  If an application includes more than 5 GHG measures, users may add duplicate tabs, but will need to manually update the formulas contained on the Consolidated Budget tab.</a:t>
          </a:r>
        </a:p>
        <a:p>
          <a:pPr algn="l"/>
          <a:endParaRPr lang="en-US" sz="1400" b="1" baseline="0"/>
        </a:p>
        <a:p>
          <a:pPr algn="l"/>
          <a:r>
            <a:rPr lang="en-US" sz="1400" b="1" baseline="0"/>
            <a:t>Measure Tab Instructions:</a:t>
          </a:r>
        </a:p>
        <a:p>
          <a:pPr algn="l"/>
          <a:r>
            <a:rPr lang="en-US" sz="1400" b="0" baseline="0"/>
            <a:t>Below is a description of the steps an applicant should complete to finish each measure tab of the template. </a:t>
          </a:r>
        </a:p>
        <a:p>
          <a:pPr algn="l"/>
          <a:r>
            <a:rPr lang="en-US" sz="1400" b="0" baseline="0"/>
            <a:t>- </a:t>
          </a:r>
          <a:r>
            <a:rPr lang="en-US" sz="1400" b="1" baseline="0"/>
            <a:t>In column C,</a:t>
          </a:r>
          <a:r>
            <a:rPr lang="en-US" sz="1400" b="0" baseline="0"/>
            <a:t> provide itemized costs descriptions in each cost category. Insert or delete rows as needed.</a:t>
          </a:r>
        </a:p>
        <a:p>
          <a:pPr algn="l"/>
          <a:endParaRPr lang="en-US" sz="1400" b="0" baseline="0"/>
        </a:p>
        <a:p>
          <a:pPr algn="l"/>
          <a:r>
            <a:rPr lang="en-US" sz="1400" b="0" baseline="0"/>
            <a:t>- </a:t>
          </a:r>
          <a:r>
            <a:rPr lang="en-US" sz="1400" b="1" baseline="0"/>
            <a:t>In columns D through H,</a:t>
          </a:r>
          <a:r>
            <a:rPr lang="en-US" sz="1400" b="0" baseline="0"/>
            <a:t> fill in the cost for the line item per year - personnel, fringe benefits, travel, equipment, installation, or labor supplies, contractual costs, and other direct costs (i.e., subawards, participant support costs), and indirect costs for each applicable year. Subtotals will calculate automatically.</a:t>
          </a:r>
        </a:p>
        <a:p>
          <a:pPr algn="l"/>
          <a:endParaRPr lang="en-US" sz="1400" b="0" baseline="0"/>
        </a:p>
        <a:p>
          <a:pPr algn="l"/>
          <a:r>
            <a:rPr lang="en-US" sz="1400" b="0" baseline="0"/>
            <a:t>- </a:t>
          </a:r>
          <a:r>
            <a:rPr lang="en-US" sz="1400" b="1" baseline="0"/>
            <a:t>Column J </a:t>
          </a:r>
          <a:r>
            <a:rPr lang="en-US" sz="1400" b="0" baseline="0"/>
            <a:t>will automatically calculate the total cost for the line item for the entire measure, including subtotals for each budget category - personnel, fringe benefits, travel, equipment, installation, or labor supplies, contractual costs, and other direct costs (i.e., subawards, participant support costs), and indirect costs. </a:t>
          </a:r>
        </a:p>
        <a:p>
          <a:pPr algn="l"/>
          <a:endParaRPr lang="en-US" sz="1400" b="0" baseline="0"/>
        </a:p>
        <a:p>
          <a:pPr algn="l"/>
          <a:r>
            <a:rPr lang="en-US" sz="1400" b="0" baseline="0"/>
            <a:t>Please check all formulas and calculations before finalizing your budget tables.</a:t>
          </a:r>
        </a:p>
        <a:p>
          <a:pPr algn="l"/>
          <a:endParaRPr lang="en-US" sz="1400" b="0" baseline="0"/>
        </a:p>
        <a:p>
          <a:pPr algn="l"/>
          <a:r>
            <a:rPr lang="en-US" sz="1400" b="1" baseline="0"/>
            <a:t>Consolidated Budget Instructions:</a:t>
          </a:r>
        </a:p>
        <a:p>
          <a:pPr algn="l"/>
          <a:r>
            <a:rPr lang="en-US" sz="1400" b="0" baseline="0"/>
            <a: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a:t>
          </a: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5BF4F-A53F-426F-B2F9-1F2AFC00110F}">
  <dimension ref="D1:R28"/>
  <sheetViews>
    <sheetView showGridLines="0" tabSelected="1" zoomScale="90" zoomScaleNormal="90" workbookViewId="0">
      <selection activeCell="F58" sqref="F58"/>
    </sheetView>
  </sheetViews>
  <sheetFormatPr defaultRowHeight="15" x14ac:dyDescent="0.25"/>
  <cols>
    <col min="1" max="1" width="1.7109375" customWidth="1"/>
    <col min="5" max="5" width="13.42578125" bestFit="1" customWidth="1"/>
    <col min="6" max="6" width="14.42578125" bestFit="1" customWidth="1"/>
    <col min="7" max="9" width="14.42578125" customWidth="1"/>
    <col min="10" max="10" width="10.7109375" bestFit="1" customWidth="1"/>
    <col min="11" max="11" width="15.5703125" customWidth="1"/>
    <col min="18" max="18" width="37.5703125" customWidth="1"/>
  </cols>
  <sheetData>
    <row r="1" spans="4:11" ht="10.5" customHeight="1" x14ac:dyDescent="0.25"/>
    <row r="2" spans="4:11" x14ac:dyDescent="0.25">
      <c r="D2" s="3"/>
      <c r="E2" s="3"/>
      <c r="J2" s="33"/>
      <c r="K2" s="3"/>
    </row>
    <row r="3" spans="4:11" x14ac:dyDescent="0.25">
      <c r="D3" s="3"/>
      <c r="E3" s="3"/>
      <c r="J3" s="31"/>
      <c r="K3" s="32"/>
    </row>
    <row r="4" spans="4:11" x14ac:dyDescent="0.25">
      <c r="D4" s="4"/>
      <c r="E4" s="3"/>
    </row>
    <row r="9" spans="4:11" x14ac:dyDescent="0.25">
      <c r="J9" s="21"/>
    </row>
    <row r="17" spans="5:18" x14ac:dyDescent="0.25">
      <c r="E17" s="34"/>
      <c r="F17" s="34"/>
      <c r="G17" s="34"/>
      <c r="H17" s="34"/>
      <c r="I17" s="34"/>
    </row>
    <row r="18" spans="5:18" x14ac:dyDescent="0.25">
      <c r="E18" s="34"/>
      <c r="F18" s="34"/>
      <c r="G18" s="34"/>
      <c r="H18" s="34"/>
      <c r="I18" s="34"/>
    </row>
    <row r="27" spans="5:18" ht="23.25" x14ac:dyDescent="0.35">
      <c r="Q27" s="30"/>
    </row>
    <row r="28" spans="5:18" x14ac:dyDescent="0.25">
      <c r="Q28" s="63"/>
      <c r="R28" s="6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41A7F-3401-468B-A449-C5F7D60184DC}">
  <sheetPr>
    <tabColor theme="7" tint="0.59999389629810485"/>
  </sheetPr>
  <dimension ref="B2:AM73"/>
  <sheetViews>
    <sheetView showGridLines="0" zoomScale="85" zoomScaleNormal="85" workbookViewId="0">
      <pane xSplit="3" ySplit="6" topLeftCell="D7" activePane="bottomRight" state="frozen"/>
      <selection pane="topRight" activeCell="R20" sqref="R20:W20"/>
      <selection pane="bottomLeft" activeCell="R20" sqref="R20:W20"/>
      <selection pane="bottomRight" activeCell="R20" sqref="R20:W20"/>
    </sheetView>
  </sheetViews>
  <sheetFormatPr defaultColWidth="9.28515625" defaultRowHeight="15" x14ac:dyDescent="0.25"/>
  <cols>
    <col min="1" max="1" width="3.28515625" customWidth="1"/>
    <col min="2" max="2" width="12.28515625" customWidth="1"/>
    <col min="3" max="3" width="52.7109375" customWidth="1"/>
    <col min="4" max="4" width="12.7109375" style="6" customWidth="1"/>
    <col min="5" max="5" width="12.5703125" style="2" customWidth="1"/>
    <col min="6" max="7" width="12.42578125" customWidth="1"/>
    <col min="8" max="8" width="12.5703125" style="2" customWidth="1"/>
    <col min="9" max="9" width="0.7109375" style="7" customWidth="1"/>
    <col min="10" max="10" width="13.5703125" customWidth="1"/>
    <col min="11" max="11" width="10.28515625" customWidth="1"/>
  </cols>
  <sheetData>
    <row r="2" spans="2:39" ht="23.25" x14ac:dyDescent="0.35">
      <c r="B2" s="30" t="s">
        <v>34</v>
      </c>
    </row>
    <row r="3" spans="2:39" x14ac:dyDescent="0.25">
      <c r="B3" s="5"/>
    </row>
    <row r="4" spans="2:39" x14ac:dyDescent="0.25">
      <c r="B4" s="5"/>
    </row>
    <row r="5" spans="2:39" ht="18.75" x14ac:dyDescent="0.3">
      <c r="B5" s="36" t="s">
        <v>2</v>
      </c>
      <c r="C5" s="37"/>
      <c r="D5" s="37"/>
      <c r="E5" s="37"/>
      <c r="F5" s="37"/>
      <c r="G5" s="37"/>
      <c r="H5" s="37"/>
      <c r="I5" s="37"/>
      <c r="J5" s="38"/>
    </row>
    <row r="6" spans="2:39" x14ac:dyDescent="0.25">
      <c r="B6" s="39" t="s">
        <v>3</v>
      </c>
      <c r="C6" s="39" t="s">
        <v>4</v>
      </c>
      <c r="D6" s="39" t="s">
        <v>5</v>
      </c>
      <c r="E6" s="40" t="s">
        <v>6</v>
      </c>
      <c r="F6" s="40" t="s">
        <v>7</v>
      </c>
      <c r="G6" s="40" t="s">
        <v>8</v>
      </c>
      <c r="H6" s="41" t="s">
        <v>9</v>
      </c>
      <c r="I6" s="42"/>
      <c r="J6" s="43" t="s">
        <v>10</v>
      </c>
    </row>
    <row r="7" spans="2:39" s="5" customFormat="1" x14ac:dyDescent="0.25">
      <c r="B7" s="22" t="s">
        <v>11</v>
      </c>
      <c r="C7" s="26" t="s">
        <v>36</v>
      </c>
      <c r="D7" s="10" t="s">
        <v>37</v>
      </c>
      <c r="E7" s="10" t="s">
        <v>37</v>
      </c>
      <c r="F7" s="10" t="s">
        <v>37</v>
      </c>
      <c r="G7" s="10"/>
      <c r="H7" s="10" t="s">
        <v>37</v>
      </c>
      <c r="I7" s="7"/>
      <c r="J7" s="8" t="s">
        <v>37</v>
      </c>
      <c r="K7"/>
      <c r="L7"/>
      <c r="M7"/>
      <c r="N7"/>
      <c r="O7"/>
      <c r="P7"/>
      <c r="Q7"/>
      <c r="R7"/>
      <c r="S7"/>
      <c r="T7"/>
      <c r="U7"/>
      <c r="V7"/>
      <c r="W7"/>
      <c r="X7"/>
      <c r="Y7"/>
      <c r="Z7"/>
      <c r="AA7"/>
      <c r="AB7"/>
      <c r="AC7"/>
      <c r="AD7"/>
      <c r="AE7"/>
      <c r="AF7"/>
      <c r="AG7"/>
      <c r="AH7"/>
      <c r="AI7"/>
      <c r="AJ7"/>
      <c r="AK7"/>
      <c r="AL7"/>
      <c r="AM7"/>
    </row>
    <row r="8" spans="2:39" ht="30" x14ac:dyDescent="0.25">
      <c r="B8" s="23"/>
      <c r="C8" s="25" t="s">
        <v>124</v>
      </c>
      <c r="D8" s="15">
        <v>40000</v>
      </c>
      <c r="E8" s="15">
        <v>42500</v>
      </c>
      <c r="F8" s="15">
        <v>45000</v>
      </c>
      <c r="G8" s="15">
        <v>47500</v>
      </c>
      <c r="H8" s="15">
        <v>50000</v>
      </c>
      <c r="I8" s="35">
        <v>450000</v>
      </c>
      <c r="J8" s="15">
        <f>SUM(D8:H8)</f>
        <v>225000</v>
      </c>
    </row>
    <row r="9" spans="2:39" ht="30" x14ac:dyDescent="0.25">
      <c r="B9" s="23"/>
      <c r="C9" s="25" t="s">
        <v>102</v>
      </c>
      <c r="D9" s="15">
        <v>30000</v>
      </c>
      <c r="E9" s="15">
        <v>32500</v>
      </c>
      <c r="F9" s="15">
        <v>35000</v>
      </c>
      <c r="G9" s="15">
        <v>37500</v>
      </c>
      <c r="H9" s="15">
        <v>40000</v>
      </c>
      <c r="J9" s="15">
        <f>SUM(D9:H9)</f>
        <v>175000</v>
      </c>
    </row>
    <row r="10" spans="2:39" x14ac:dyDescent="0.25">
      <c r="B10" s="23"/>
      <c r="C10" s="27"/>
      <c r="D10" s="15"/>
      <c r="E10" s="11"/>
      <c r="F10" s="11"/>
      <c r="G10" s="11"/>
      <c r="H10" s="11"/>
      <c r="J10" s="15">
        <f>SUM(D10:H10)</f>
        <v>0</v>
      </c>
    </row>
    <row r="11" spans="2:39" x14ac:dyDescent="0.25">
      <c r="B11" s="23"/>
      <c r="C11" s="9" t="s">
        <v>12</v>
      </c>
      <c r="D11" s="16">
        <f>SUM(D8:D10)</f>
        <v>70000</v>
      </c>
      <c r="E11" s="16">
        <f t="shared" ref="E11:J11" si="0">SUM(E8:E10)</f>
        <v>75000</v>
      </c>
      <c r="F11" s="16">
        <f t="shared" si="0"/>
        <v>80000</v>
      </c>
      <c r="G11" s="16">
        <f t="shared" si="0"/>
        <v>85000</v>
      </c>
      <c r="H11" s="16">
        <f t="shared" si="0"/>
        <v>90000</v>
      </c>
      <c r="I11" s="7">
        <f t="shared" si="0"/>
        <v>450000</v>
      </c>
      <c r="J11" s="16">
        <f t="shared" si="0"/>
        <v>400000</v>
      </c>
    </row>
    <row r="12" spans="2:39" x14ac:dyDescent="0.25">
      <c r="B12" s="23"/>
      <c r="C12" s="14" t="s">
        <v>41</v>
      </c>
      <c r="D12" s="13" t="s">
        <v>37</v>
      </c>
      <c r="E12" s="10"/>
      <c r="F12" s="10"/>
      <c r="G12" s="10"/>
      <c r="H12" s="10"/>
      <c r="J12" s="8" t="s">
        <v>37</v>
      </c>
    </row>
    <row r="13" spans="2:39" x14ac:dyDescent="0.25">
      <c r="B13" s="23"/>
      <c r="C13" s="25" t="s">
        <v>103</v>
      </c>
      <c r="D13" s="15">
        <f>0.17*D11</f>
        <v>11900</v>
      </c>
      <c r="E13" s="15">
        <f t="shared" ref="E13:H13" si="1">0.17*E11</f>
        <v>12750.000000000002</v>
      </c>
      <c r="F13" s="15">
        <f t="shared" si="1"/>
        <v>13600.000000000002</v>
      </c>
      <c r="G13" s="15">
        <f t="shared" si="1"/>
        <v>14450.000000000002</v>
      </c>
      <c r="H13" s="15">
        <f t="shared" si="1"/>
        <v>15300.000000000002</v>
      </c>
      <c r="J13" s="15">
        <f>SUM(D13:H13)</f>
        <v>68000</v>
      </c>
    </row>
    <row r="14" spans="2:39" x14ac:dyDescent="0.25">
      <c r="B14" s="23"/>
      <c r="C14" s="25"/>
      <c r="D14" s="15"/>
      <c r="E14" s="15"/>
      <c r="F14" s="15"/>
      <c r="G14" s="15"/>
      <c r="H14" s="15"/>
      <c r="J14" s="15">
        <f t="shared" ref="J14:J15" si="2">SUM(D14:H14)</f>
        <v>0</v>
      </c>
    </row>
    <row r="15" spans="2:39" x14ac:dyDescent="0.25">
      <c r="B15" s="23"/>
      <c r="C15" s="10"/>
      <c r="D15" s="15"/>
      <c r="E15" s="11"/>
      <c r="F15" s="11"/>
      <c r="G15" s="11"/>
      <c r="H15" s="11"/>
      <c r="J15" s="15">
        <f t="shared" si="2"/>
        <v>0</v>
      </c>
    </row>
    <row r="16" spans="2:39" x14ac:dyDescent="0.25">
      <c r="B16" s="23"/>
      <c r="C16" s="9" t="s">
        <v>13</v>
      </c>
      <c r="D16" s="16">
        <f>SUM(D13:D15)</f>
        <v>11900</v>
      </c>
      <c r="E16" s="16">
        <f t="shared" ref="E16:J16" si="3">SUM(E13:E15)</f>
        <v>12750.000000000002</v>
      </c>
      <c r="F16" s="16">
        <f t="shared" si="3"/>
        <v>13600.000000000002</v>
      </c>
      <c r="G16" s="16">
        <f t="shared" si="3"/>
        <v>14450.000000000002</v>
      </c>
      <c r="H16" s="16">
        <f t="shared" si="3"/>
        <v>15300.000000000002</v>
      </c>
      <c r="I16" s="7">
        <f t="shared" si="3"/>
        <v>0</v>
      </c>
      <c r="J16" s="16">
        <f t="shared" si="3"/>
        <v>68000</v>
      </c>
    </row>
    <row r="17" spans="2:10" x14ac:dyDescent="0.25">
      <c r="B17" s="23"/>
      <c r="C17" s="14" t="s">
        <v>43</v>
      </c>
      <c r="D17" s="13" t="s">
        <v>37</v>
      </c>
      <c r="E17" s="10"/>
      <c r="F17" s="10"/>
      <c r="G17" s="10"/>
      <c r="H17" s="10"/>
      <c r="J17" s="8" t="s">
        <v>37</v>
      </c>
    </row>
    <row r="18" spans="2:10" x14ac:dyDescent="0.25">
      <c r="B18" s="23"/>
      <c r="C18" s="25" t="s">
        <v>119</v>
      </c>
      <c r="D18" s="13"/>
      <c r="E18" s="10"/>
      <c r="F18" s="10"/>
      <c r="G18" s="10"/>
      <c r="H18" s="10"/>
      <c r="J18" s="15" t="s">
        <v>37</v>
      </c>
    </row>
    <row r="19" spans="2:10" x14ac:dyDescent="0.25">
      <c r="B19" s="23"/>
      <c r="C19" s="29" t="s">
        <v>104</v>
      </c>
      <c r="D19" s="15" t="s">
        <v>48</v>
      </c>
      <c r="E19" s="11" t="s">
        <v>48</v>
      </c>
      <c r="F19" s="11" t="s">
        <v>48</v>
      </c>
      <c r="G19" s="11"/>
      <c r="H19" s="11"/>
      <c r="J19" s="15"/>
    </row>
    <row r="20" spans="2:10" x14ac:dyDescent="0.25">
      <c r="B20" s="23"/>
      <c r="C20" s="29" t="s">
        <v>105</v>
      </c>
      <c r="D20" s="15">
        <v>400</v>
      </c>
      <c r="E20" s="15">
        <v>400</v>
      </c>
      <c r="F20" s="15">
        <v>400</v>
      </c>
      <c r="G20" s="15">
        <v>400</v>
      </c>
      <c r="H20" s="15">
        <v>400</v>
      </c>
      <c r="I20" s="35">
        <v>2000</v>
      </c>
      <c r="J20" s="15">
        <f>SUM(D20:H20)</f>
        <v>2000</v>
      </c>
    </row>
    <row r="21" spans="2:10" x14ac:dyDescent="0.25">
      <c r="B21" s="23"/>
      <c r="C21" s="29" t="s">
        <v>106</v>
      </c>
      <c r="D21" s="15">
        <v>50</v>
      </c>
      <c r="E21" s="15">
        <v>50</v>
      </c>
      <c r="F21" s="15">
        <v>50</v>
      </c>
      <c r="G21" s="15">
        <v>50</v>
      </c>
      <c r="H21" s="15">
        <v>50</v>
      </c>
      <c r="I21" s="35">
        <v>250</v>
      </c>
      <c r="J21" s="15">
        <f t="shared" ref="J21:J26" si="4">SUM(D21:H21)</f>
        <v>250</v>
      </c>
    </row>
    <row r="22" spans="2:10" x14ac:dyDescent="0.25">
      <c r="B22" s="23"/>
      <c r="C22" s="25" t="s">
        <v>125</v>
      </c>
      <c r="D22" s="15">
        <v>600</v>
      </c>
      <c r="E22" s="15">
        <v>600</v>
      </c>
      <c r="F22" s="15">
        <v>600</v>
      </c>
      <c r="G22" s="15">
        <v>600</v>
      </c>
      <c r="H22" s="15">
        <v>600</v>
      </c>
      <c r="I22" s="35">
        <v>2250</v>
      </c>
      <c r="J22" s="15">
        <f t="shared" si="4"/>
        <v>3000</v>
      </c>
    </row>
    <row r="23" spans="2:10" x14ac:dyDescent="0.25">
      <c r="B23" s="23"/>
      <c r="C23" s="29" t="s">
        <v>108</v>
      </c>
      <c r="D23" s="15">
        <v>245</v>
      </c>
      <c r="E23" s="15">
        <v>245</v>
      </c>
      <c r="F23" s="15">
        <v>245</v>
      </c>
      <c r="G23" s="15">
        <v>245</v>
      </c>
      <c r="H23" s="15">
        <v>245</v>
      </c>
      <c r="I23" s="35">
        <v>1243</v>
      </c>
      <c r="J23" s="15">
        <f t="shared" si="4"/>
        <v>1225</v>
      </c>
    </row>
    <row r="24" spans="2:10" x14ac:dyDescent="0.25">
      <c r="B24" s="23"/>
      <c r="C24" s="29" t="s">
        <v>109</v>
      </c>
      <c r="D24" s="15">
        <v>45</v>
      </c>
      <c r="E24" s="15">
        <v>45</v>
      </c>
      <c r="F24" s="15">
        <v>45</v>
      </c>
      <c r="G24" s="15">
        <v>45</v>
      </c>
      <c r="H24" s="15">
        <v>45</v>
      </c>
      <c r="I24" s="35">
        <v>225</v>
      </c>
      <c r="J24" s="15">
        <f t="shared" si="4"/>
        <v>225</v>
      </c>
    </row>
    <row r="25" spans="2:10" x14ac:dyDescent="0.25">
      <c r="B25" s="23"/>
      <c r="C25" s="29" t="s">
        <v>110</v>
      </c>
      <c r="D25" s="15">
        <v>80</v>
      </c>
      <c r="E25" s="15">
        <v>80</v>
      </c>
      <c r="F25" s="15">
        <v>80</v>
      </c>
      <c r="G25" s="15">
        <v>80</v>
      </c>
      <c r="H25" s="15">
        <v>80</v>
      </c>
      <c r="I25" s="35">
        <v>400</v>
      </c>
      <c r="J25" s="15">
        <f t="shared" si="4"/>
        <v>400</v>
      </c>
    </row>
    <row r="26" spans="2:10" x14ac:dyDescent="0.25">
      <c r="B26" s="23"/>
      <c r="C26" s="25"/>
      <c r="D26" s="15"/>
      <c r="E26" s="15"/>
      <c r="F26" s="15"/>
      <c r="G26" s="15"/>
      <c r="H26" s="15"/>
      <c r="I26" s="35">
        <v>1638</v>
      </c>
      <c r="J26" s="15">
        <f t="shared" si="4"/>
        <v>0</v>
      </c>
    </row>
    <row r="27" spans="2:10" x14ac:dyDescent="0.25">
      <c r="B27" s="23"/>
      <c r="C27" s="9" t="s">
        <v>14</v>
      </c>
      <c r="D27" s="16">
        <f>SUM(D20:D26)</f>
        <v>1420</v>
      </c>
      <c r="E27" s="16">
        <f t="shared" ref="E27:H27" si="5">SUM(E20:E26)</f>
        <v>1420</v>
      </c>
      <c r="F27" s="16">
        <f t="shared" si="5"/>
        <v>1420</v>
      </c>
      <c r="G27" s="16">
        <f t="shared" si="5"/>
        <v>1420</v>
      </c>
      <c r="H27" s="16">
        <f t="shared" si="5"/>
        <v>1420</v>
      </c>
      <c r="J27" s="16">
        <f>SUM(D27:H27)</f>
        <v>7100</v>
      </c>
    </row>
    <row r="28" spans="2:10" x14ac:dyDescent="0.25">
      <c r="B28" s="23"/>
      <c r="C28" s="14" t="s">
        <v>46</v>
      </c>
      <c r="D28" s="15"/>
      <c r="E28" s="10"/>
      <c r="F28" s="10"/>
      <c r="G28" s="10"/>
      <c r="H28" s="10"/>
      <c r="J28" s="15" t="s">
        <v>20</v>
      </c>
    </row>
    <row r="29" spans="2:10" x14ac:dyDescent="0.25">
      <c r="B29" s="23"/>
      <c r="C29" s="25"/>
      <c r="D29" s="15"/>
      <c r="E29" s="10"/>
      <c r="F29" s="10"/>
      <c r="G29" s="10"/>
      <c r="H29" s="10"/>
      <c r="J29" s="15">
        <f>SUM(D29:H29)</f>
        <v>0</v>
      </c>
    </row>
    <row r="30" spans="2:10" x14ac:dyDescent="0.25">
      <c r="B30" s="23" t="s">
        <v>48</v>
      </c>
      <c r="C30" s="28" t="s">
        <v>48</v>
      </c>
      <c r="D30" s="13" t="s">
        <v>37</v>
      </c>
      <c r="E30" s="10"/>
      <c r="F30" s="10"/>
      <c r="G30" s="10"/>
      <c r="H30" s="10"/>
      <c r="J30" s="15">
        <f t="shared" ref="J30:J51" si="6">SUM(D30:H30)</f>
        <v>0</v>
      </c>
    </row>
    <row r="31" spans="2:10" x14ac:dyDescent="0.25">
      <c r="B31" s="23"/>
      <c r="C31" s="9" t="s">
        <v>15</v>
      </c>
      <c r="D31" s="12">
        <f>SUM(D29:D30)</f>
        <v>0</v>
      </c>
      <c r="E31" s="12">
        <f t="shared" ref="E31:H31" si="7">SUM(E29:E30)</f>
        <v>0</v>
      </c>
      <c r="F31" s="12">
        <f t="shared" si="7"/>
        <v>0</v>
      </c>
      <c r="G31" s="12">
        <f t="shared" si="7"/>
        <v>0</v>
      </c>
      <c r="H31" s="12">
        <f t="shared" si="7"/>
        <v>0</v>
      </c>
      <c r="J31" s="16">
        <f t="shared" si="6"/>
        <v>0</v>
      </c>
    </row>
    <row r="32" spans="2:10" x14ac:dyDescent="0.25">
      <c r="B32" s="23"/>
      <c r="C32" s="14" t="s">
        <v>50</v>
      </c>
      <c r="D32" s="13" t="s">
        <v>37</v>
      </c>
      <c r="E32" s="10"/>
      <c r="F32" s="10"/>
      <c r="G32" s="10"/>
      <c r="H32" s="10"/>
      <c r="J32" s="15"/>
    </row>
    <row r="33" spans="2:10" x14ac:dyDescent="0.25">
      <c r="B33" s="23"/>
      <c r="C33" s="25" t="s">
        <v>113</v>
      </c>
      <c r="D33" s="15">
        <v>2500</v>
      </c>
      <c r="E33" s="15">
        <v>0</v>
      </c>
      <c r="F33" s="15">
        <v>0</v>
      </c>
      <c r="G33" s="15">
        <v>0</v>
      </c>
      <c r="H33" s="15">
        <v>0</v>
      </c>
      <c r="I33" s="35">
        <v>5000</v>
      </c>
      <c r="J33" s="15">
        <f t="shared" si="6"/>
        <v>2500</v>
      </c>
    </row>
    <row r="34" spans="2:10" x14ac:dyDescent="0.25">
      <c r="B34" s="23"/>
      <c r="C34" s="25"/>
      <c r="D34" s="15"/>
      <c r="E34" s="11"/>
      <c r="F34" s="11"/>
      <c r="G34" s="11"/>
      <c r="H34" s="11"/>
      <c r="J34" s="15">
        <f t="shared" si="6"/>
        <v>0</v>
      </c>
    </row>
    <row r="35" spans="2:10" x14ac:dyDescent="0.25">
      <c r="B35" s="23"/>
      <c r="C35" s="9" t="s">
        <v>16</v>
      </c>
      <c r="D35" s="16">
        <f>SUM(D33:D34)</f>
        <v>2500</v>
      </c>
      <c r="E35" s="16">
        <f t="shared" ref="E35:H35" si="8">SUM(E33:E34)</f>
        <v>0</v>
      </c>
      <c r="F35" s="16">
        <f t="shared" si="8"/>
        <v>0</v>
      </c>
      <c r="G35" s="16">
        <f t="shared" si="8"/>
        <v>0</v>
      </c>
      <c r="H35" s="16">
        <f t="shared" si="8"/>
        <v>0</v>
      </c>
      <c r="J35" s="16">
        <f t="shared" si="6"/>
        <v>2500</v>
      </c>
    </row>
    <row r="36" spans="2:10" x14ac:dyDescent="0.25">
      <c r="B36" s="23"/>
      <c r="C36" s="14" t="s">
        <v>54</v>
      </c>
      <c r="D36" s="13" t="s">
        <v>37</v>
      </c>
      <c r="E36" s="10"/>
      <c r="F36" s="10"/>
      <c r="G36" s="10"/>
      <c r="H36" s="10"/>
      <c r="J36" s="15"/>
    </row>
    <row r="37" spans="2:10" ht="30" x14ac:dyDescent="0.25">
      <c r="B37" s="23"/>
      <c r="C37" s="61" t="s">
        <v>126</v>
      </c>
      <c r="D37" s="15"/>
      <c r="E37" s="15"/>
      <c r="F37" s="15"/>
      <c r="G37" s="15"/>
      <c r="H37" s="15"/>
      <c r="I37" s="35"/>
      <c r="J37" s="15">
        <f t="shared" si="6"/>
        <v>0</v>
      </c>
    </row>
    <row r="38" spans="2:10" x14ac:dyDescent="0.25">
      <c r="B38" s="23"/>
      <c r="C38" s="25" t="s">
        <v>127</v>
      </c>
      <c r="D38" s="15">
        <v>0</v>
      </c>
      <c r="E38" s="15">
        <v>6200000</v>
      </c>
      <c r="F38" s="15">
        <v>0</v>
      </c>
      <c r="G38" s="15">
        <v>0</v>
      </c>
      <c r="H38" s="15">
        <v>0</v>
      </c>
      <c r="I38" s="35">
        <v>22500000</v>
      </c>
      <c r="J38" s="15">
        <f t="shared" si="6"/>
        <v>6200000</v>
      </c>
    </row>
    <row r="39" spans="2:10" x14ac:dyDescent="0.25">
      <c r="B39" s="23"/>
      <c r="C39" s="25" t="s">
        <v>128</v>
      </c>
      <c r="D39" s="15">
        <v>0</v>
      </c>
      <c r="E39" s="15">
        <v>3142000</v>
      </c>
      <c r="F39" s="15">
        <v>0</v>
      </c>
      <c r="G39" s="15">
        <v>0</v>
      </c>
      <c r="H39" s="15">
        <v>0</v>
      </c>
      <c r="I39" s="35">
        <v>75000000</v>
      </c>
      <c r="J39" s="15">
        <f t="shared" si="6"/>
        <v>3142000</v>
      </c>
    </row>
    <row r="40" spans="2:10" x14ac:dyDescent="0.25">
      <c r="B40" s="23"/>
      <c r="C40" s="25" t="s">
        <v>129</v>
      </c>
      <c r="D40" s="15">
        <v>0</v>
      </c>
      <c r="E40" s="15">
        <v>850000</v>
      </c>
      <c r="F40" s="15">
        <v>0</v>
      </c>
      <c r="G40" s="15">
        <v>0</v>
      </c>
      <c r="H40" s="15">
        <v>0</v>
      </c>
      <c r="I40" s="35"/>
      <c r="J40" s="15">
        <f t="shared" si="6"/>
        <v>850000</v>
      </c>
    </row>
    <row r="41" spans="2:10" x14ac:dyDescent="0.25">
      <c r="B41" s="23"/>
      <c r="C41" s="25" t="s">
        <v>130</v>
      </c>
      <c r="D41" s="15">
        <v>0</v>
      </c>
      <c r="E41" s="15">
        <v>82100</v>
      </c>
      <c r="F41" s="15">
        <v>82100</v>
      </c>
      <c r="G41" s="15">
        <v>82100</v>
      </c>
      <c r="H41" s="15">
        <v>82100</v>
      </c>
      <c r="J41" s="15">
        <f t="shared" si="6"/>
        <v>328400</v>
      </c>
    </row>
    <row r="42" spans="2:10" x14ac:dyDescent="0.25">
      <c r="B42" s="23"/>
      <c r="C42" s="9" t="s">
        <v>17</v>
      </c>
      <c r="D42" s="16">
        <f>SUM(D37:D41)</f>
        <v>0</v>
      </c>
      <c r="E42" s="16">
        <f t="shared" ref="E42:H42" si="9">SUM(E37:E41)</f>
        <v>10274100</v>
      </c>
      <c r="F42" s="16">
        <f t="shared" si="9"/>
        <v>82100</v>
      </c>
      <c r="G42" s="16">
        <f t="shared" si="9"/>
        <v>82100</v>
      </c>
      <c r="H42" s="16">
        <f t="shared" si="9"/>
        <v>82100</v>
      </c>
      <c r="J42" s="16">
        <f t="shared" si="6"/>
        <v>10520400</v>
      </c>
    </row>
    <row r="43" spans="2:10" x14ac:dyDescent="0.25">
      <c r="B43" s="23"/>
      <c r="C43" s="14" t="s">
        <v>55</v>
      </c>
      <c r="D43" s="13" t="s">
        <v>37</v>
      </c>
      <c r="E43" s="10"/>
      <c r="F43" s="10"/>
      <c r="G43" s="10"/>
      <c r="H43" s="10"/>
      <c r="J43" s="15"/>
    </row>
    <row r="44" spans="2:10" ht="30" x14ac:dyDescent="0.25">
      <c r="B44" s="23"/>
      <c r="C44" s="25" t="s">
        <v>131</v>
      </c>
      <c r="D44" s="15">
        <v>4000</v>
      </c>
      <c r="E44" s="15">
        <v>4000</v>
      </c>
      <c r="F44" s="15">
        <v>4000</v>
      </c>
      <c r="G44" s="15">
        <v>4000</v>
      </c>
      <c r="H44" s="15">
        <v>4000</v>
      </c>
      <c r="I44" s="35">
        <v>375000</v>
      </c>
      <c r="J44" s="15">
        <f t="shared" si="6"/>
        <v>20000</v>
      </c>
    </row>
    <row r="45" spans="2:10" x14ac:dyDescent="0.25">
      <c r="B45" s="23"/>
      <c r="C45" s="25"/>
      <c r="D45" s="15"/>
      <c r="E45" s="15"/>
      <c r="F45" s="15"/>
      <c r="G45" s="15"/>
      <c r="H45" s="15"/>
      <c r="I45" s="35">
        <v>781250</v>
      </c>
      <c r="J45" s="15">
        <f t="shared" si="6"/>
        <v>0</v>
      </c>
    </row>
    <row r="46" spans="2:10" x14ac:dyDescent="0.25">
      <c r="B46" s="23"/>
      <c r="C46" s="25"/>
      <c r="D46" s="15"/>
      <c r="E46" s="15"/>
      <c r="F46" s="15"/>
      <c r="G46" s="15"/>
      <c r="H46" s="15"/>
      <c r="I46" s="35">
        <v>2083335</v>
      </c>
      <c r="J46" s="15">
        <f t="shared" si="6"/>
        <v>0</v>
      </c>
    </row>
    <row r="47" spans="2:10" x14ac:dyDescent="0.25">
      <c r="B47" s="23"/>
      <c r="C47" s="25"/>
      <c r="D47" s="15"/>
      <c r="E47" s="11"/>
      <c r="F47" s="11"/>
      <c r="G47" s="11"/>
      <c r="H47" s="11"/>
      <c r="J47" s="15">
        <f t="shared" si="6"/>
        <v>0</v>
      </c>
    </row>
    <row r="48" spans="2:10" x14ac:dyDescent="0.25">
      <c r="B48" s="23"/>
      <c r="C48" s="25"/>
      <c r="D48" s="15"/>
      <c r="E48" s="11"/>
      <c r="F48" s="11"/>
      <c r="G48" s="11"/>
      <c r="H48" s="11"/>
      <c r="J48" s="15">
        <f t="shared" si="6"/>
        <v>0</v>
      </c>
    </row>
    <row r="49" spans="2:10" x14ac:dyDescent="0.25">
      <c r="B49" s="23"/>
      <c r="C49" s="10"/>
      <c r="D49" s="15"/>
      <c r="E49" s="11"/>
      <c r="F49" s="11"/>
      <c r="G49" s="11"/>
      <c r="H49" s="11"/>
      <c r="J49" s="15">
        <f t="shared" si="6"/>
        <v>0</v>
      </c>
    </row>
    <row r="50" spans="2:10" x14ac:dyDescent="0.25">
      <c r="B50" s="24"/>
      <c r="C50" s="9" t="s">
        <v>18</v>
      </c>
      <c r="D50" s="16">
        <f>SUM(D44:D49)</f>
        <v>4000</v>
      </c>
      <c r="E50" s="16">
        <f t="shared" ref="E50:H50" si="10">SUM(E44:E49)</f>
        <v>4000</v>
      </c>
      <c r="F50" s="16">
        <f t="shared" si="10"/>
        <v>4000</v>
      </c>
      <c r="G50" s="16">
        <f t="shared" si="10"/>
        <v>4000</v>
      </c>
      <c r="H50" s="16">
        <f t="shared" si="10"/>
        <v>4000</v>
      </c>
      <c r="J50" s="16">
        <f t="shared" si="6"/>
        <v>20000</v>
      </c>
    </row>
    <row r="51" spans="2:10" x14ac:dyDescent="0.25">
      <c r="B51" s="24"/>
      <c r="C51" s="9" t="s">
        <v>19</v>
      </c>
      <c r="D51" s="16">
        <f>SUM(D50,D42,D35,D31,D27,D16,D11)</f>
        <v>89820</v>
      </c>
      <c r="E51" s="16">
        <f t="shared" ref="E51:H51" si="11">SUM(E50,E42,E35,E31,E27,E16,E11)</f>
        <v>10367270</v>
      </c>
      <c r="F51" s="16">
        <f t="shared" si="11"/>
        <v>181120</v>
      </c>
      <c r="G51" s="16">
        <f t="shared" si="11"/>
        <v>186970</v>
      </c>
      <c r="H51" s="16">
        <f t="shared" si="11"/>
        <v>192820</v>
      </c>
      <c r="J51" s="16">
        <f t="shared" si="6"/>
        <v>11018000</v>
      </c>
    </row>
    <row r="52" spans="2:10" x14ac:dyDescent="0.25">
      <c r="B52" s="6"/>
      <c r="D52"/>
      <c r="E52"/>
      <c r="H52"/>
      <c r="I52"/>
      <c r="J52" t="s">
        <v>20</v>
      </c>
    </row>
    <row r="53" spans="2:10" x14ac:dyDescent="0.25">
      <c r="B53" s="22" t="s">
        <v>80</v>
      </c>
      <c r="C53" s="17" t="s">
        <v>80</v>
      </c>
      <c r="D53" s="18"/>
      <c r="E53" s="18"/>
      <c r="F53" s="18"/>
      <c r="G53" s="18"/>
      <c r="H53" s="18"/>
      <c r="I53"/>
      <c r="J53" s="18" t="s">
        <v>20</v>
      </c>
    </row>
    <row r="54" spans="2:10" ht="30" x14ac:dyDescent="0.25">
      <c r="B54" s="23"/>
      <c r="C54" s="25" t="s">
        <v>132</v>
      </c>
      <c r="D54" s="15">
        <f>0.4*(D11+D16)</f>
        <v>32760</v>
      </c>
      <c r="E54" s="15">
        <f t="shared" ref="E54:H54" si="12">0.4*(E11+E16)</f>
        <v>35100</v>
      </c>
      <c r="F54" s="15">
        <f t="shared" si="12"/>
        <v>37440</v>
      </c>
      <c r="G54" s="15">
        <f t="shared" si="12"/>
        <v>39780</v>
      </c>
      <c r="H54" s="15">
        <f t="shared" si="12"/>
        <v>42120</v>
      </c>
      <c r="J54" s="15">
        <f>SUM(D54:H54)</f>
        <v>187200</v>
      </c>
    </row>
    <row r="55" spans="2:10" x14ac:dyDescent="0.25">
      <c r="B55" s="23"/>
      <c r="C55" s="25"/>
      <c r="D55" s="13"/>
      <c r="E55" s="10"/>
      <c r="F55" s="10"/>
      <c r="G55" s="10"/>
      <c r="H55" s="10"/>
      <c r="J55" s="15">
        <f t="shared" ref="J55:J56" si="13">SUM(D55:H55)</f>
        <v>0</v>
      </c>
    </row>
    <row r="56" spans="2:10" x14ac:dyDescent="0.25">
      <c r="B56" s="24"/>
      <c r="C56" s="9" t="s">
        <v>21</v>
      </c>
      <c r="D56" s="16">
        <f>SUM(D54:D55)</f>
        <v>32760</v>
      </c>
      <c r="E56" s="16">
        <f t="shared" ref="E56:H56" si="14">SUM(E54:E55)</f>
        <v>35100</v>
      </c>
      <c r="F56" s="16">
        <f t="shared" si="14"/>
        <v>37440</v>
      </c>
      <c r="G56" s="16">
        <f t="shared" si="14"/>
        <v>39780</v>
      </c>
      <c r="H56" s="16">
        <f t="shared" si="14"/>
        <v>42120</v>
      </c>
      <c r="J56" s="16">
        <f t="shared" si="13"/>
        <v>187200</v>
      </c>
    </row>
    <row r="57" spans="2:10" ht="15.75" thickBot="1" x14ac:dyDescent="0.3">
      <c r="B57" s="6"/>
      <c r="D57"/>
      <c r="E57"/>
      <c r="H57"/>
      <c r="I57"/>
      <c r="J57" t="s">
        <v>20</v>
      </c>
    </row>
    <row r="58" spans="2:10" s="1" customFormat="1" ht="30.75" thickBot="1" x14ac:dyDescent="0.3">
      <c r="B58" s="19" t="s">
        <v>22</v>
      </c>
      <c r="C58" s="19"/>
      <c r="D58" s="20">
        <f>SUM(D56,D51)</f>
        <v>122580</v>
      </c>
      <c r="E58" s="20">
        <f t="shared" ref="E58:J58" si="15">SUM(E56,E51)</f>
        <v>10402370</v>
      </c>
      <c r="F58" s="20">
        <f t="shared" si="15"/>
        <v>218560</v>
      </c>
      <c r="G58" s="20">
        <f t="shared" si="15"/>
        <v>226750</v>
      </c>
      <c r="H58" s="20">
        <f t="shared" si="15"/>
        <v>234940</v>
      </c>
      <c r="I58" s="7">
        <f>SUM(I56,I51)</f>
        <v>0</v>
      </c>
      <c r="J58" s="20">
        <f t="shared" si="15"/>
        <v>11205200</v>
      </c>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sheetData>
  <pageMargins left="0.7" right="0.7" top="0.75" bottom="0.75" header="0.3" footer="0.3"/>
  <pageSetup orientation="portrait" r:id="rId1"/>
  <ignoredErrors>
    <ignoredError sqref="J33 J38:J39 J44:J46 J20:J26 J8"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6326-4914-48E0-ADF2-3E1029E57328}">
  <sheetPr>
    <tabColor theme="9" tint="-0.249977111117893"/>
  </sheetPr>
  <dimension ref="B2:AM30"/>
  <sheetViews>
    <sheetView showGridLines="0" topLeftCell="A5" zoomScale="83" zoomScaleNormal="85" workbookViewId="0">
      <selection activeCell="C23" sqref="C23"/>
    </sheetView>
  </sheetViews>
  <sheetFormatPr defaultColWidth="9.28515625" defaultRowHeight="15" customHeight="1" x14ac:dyDescent="0.25"/>
  <cols>
    <col min="1" max="1" width="3.28515625" customWidth="1"/>
    <col min="2" max="2" width="12.28515625" customWidth="1"/>
    <col min="3" max="3" width="29.28515625" customWidth="1"/>
    <col min="4" max="4" width="16.28515625" style="6" customWidth="1"/>
    <col min="5" max="5" width="11.7109375" style="2" customWidth="1"/>
    <col min="6" max="6" width="12.28515625" customWidth="1"/>
    <col min="7" max="7" width="11.42578125" customWidth="1"/>
    <col min="8" max="8" width="12" style="2" customWidth="1"/>
    <col min="9" max="9" width="3.5703125" style="7" customWidth="1"/>
    <col min="10" max="10" width="19.5703125" customWidth="1"/>
    <col min="11" max="11" width="10.28515625" customWidth="1"/>
  </cols>
  <sheetData>
    <row r="2" spans="2:39" ht="23.25" x14ac:dyDescent="0.35">
      <c r="B2" s="30" t="s">
        <v>0</v>
      </c>
    </row>
    <row r="3" spans="2:39" ht="26.65" customHeight="1" x14ac:dyDescent="0.25">
      <c r="B3" s="79" t="s">
        <v>1</v>
      </c>
      <c r="C3" s="79"/>
      <c r="D3" s="79"/>
      <c r="E3" s="79"/>
      <c r="F3" s="79"/>
      <c r="G3" s="79"/>
      <c r="H3" s="79"/>
      <c r="I3" s="79"/>
      <c r="J3" s="79"/>
    </row>
    <row r="4" spans="2:39" ht="15" customHeight="1" x14ac:dyDescent="0.25">
      <c r="B4" s="5"/>
    </row>
    <row r="5" spans="2:39" ht="18.75" x14ac:dyDescent="0.3">
      <c r="B5" s="45" t="s">
        <v>2</v>
      </c>
      <c r="C5" s="46"/>
      <c r="D5" s="46"/>
      <c r="E5" s="46"/>
      <c r="F5" s="46"/>
      <c r="G5" s="46"/>
      <c r="H5" s="46"/>
      <c r="I5" s="46"/>
      <c r="J5" s="68"/>
    </row>
    <row r="6" spans="2:39" ht="17.100000000000001" customHeight="1" x14ac:dyDescent="0.25">
      <c r="B6" s="47" t="s">
        <v>3</v>
      </c>
      <c r="C6" s="47" t="s">
        <v>4</v>
      </c>
      <c r="D6" s="47" t="s">
        <v>5</v>
      </c>
      <c r="E6" s="48" t="s">
        <v>6</v>
      </c>
      <c r="F6" s="48" t="s">
        <v>7</v>
      </c>
      <c r="G6" s="48" t="s">
        <v>8</v>
      </c>
      <c r="H6" s="49" t="s">
        <v>9</v>
      </c>
      <c r="I6" s="50"/>
      <c r="J6" s="69" t="s">
        <v>10</v>
      </c>
    </row>
    <row r="7" spans="2:39" s="5" customFormat="1" x14ac:dyDescent="0.25">
      <c r="B7" s="22" t="s">
        <v>11</v>
      </c>
      <c r="C7" s="51" t="s">
        <v>12</v>
      </c>
      <c r="D7" s="52">
        <f>'Measure 1 Budget'!D11+'Measure 2 Budget'!D11+'Measure 3 Budget'!D11+'Measure 4 Budget'!D11+'Measure 5 Budget'!D11</f>
        <v>545680</v>
      </c>
      <c r="E7" s="52">
        <f>'Measure 1 Budget'!E11+'Measure 2 Budget'!E11+'Measure 3 Budget'!E11+'Measure 4 Budget'!E11+'Measure 5 Budget'!E11</f>
        <v>555280</v>
      </c>
      <c r="F7" s="52">
        <f>'Measure 1 Budget'!F11+'Measure 2 Budget'!F11+'Measure 3 Budget'!F11+'Measure 4 Budget'!F11+'Measure 5 Budget'!F11</f>
        <v>565072</v>
      </c>
      <c r="G7" s="52">
        <f>'Measure 1 Budget'!G11+'Measure 2 Budget'!G11+'Measure 3 Budget'!G11+'Measure 4 Budget'!G11+'Measure 5 Budget'!G11</f>
        <v>575059.84000000008</v>
      </c>
      <c r="H7" s="52">
        <f>'Measure 1 Budget'!H11+'Measure 2 Budget'!H11+'Measure 3 Budget'!H11+'Measure 4 Budget'!H11+'Measure 5 Budget'!H11</f>
        <v>585247.43680000002</v>
      </c>
      <c r="I7" s="53"/>
      <c r="J7" s="52">
        <f>SUM(D7:I7)</f>
        <v>2826339.2768000001</v>
      </c>
      <c r="K7"/>
      <c r="L7"/>
      <c r="M7"/>
      <c r="N7"/>
      <c r="O7"/>
      <c r="P7"/>
      <c r="Q7"/>
      <c r="R7"/>
      <c r="S7"/>
      <c r="T7"/>
      <c r="U7"/>
      <c r="V7"/>
      <c r="W7"/>
      <c r="X7"/>
      <c r="Y7"/>
      <c r="Z7"/>
      <c r="AA7"/>
      <c r="AB7"/>
      <c r="AC7"/>
      <c r="AD7"/>
      <c r="AE7"/>
      <c r="AF7"/>
      <c r="AG7"/>
      <c r="AH7"/>
      <c r="AI7"/>
      <c r="AJ7"/>
      <c r="AK7"/>
      <c r="AL7"/>
      <c r="AM7"/>
    </row>
    <row r="8" spans="2:39" x14ac:dyDescent="0.25">
      <c r="B8" s="23"/>
      <c r="C8" s="51" t="s">
        <v>13</v>
      </c>
      <c r="D8" s="52">
        <f>'Measure 1 Budget'!D16+'Measure 2 Budget'!D16+'Measure 3 Budget'!D16+'Measure 4 Budget'!D16+'Measure 5 Budget'!D16</f>
        <v>180074.4</v>
      </c>
      <c r="E8" s="52">
        <f>'Measure 1 Budget'!E16+'Measure 2 Budget'!E16+'Measure 3 Budget'!E16+'Measure 4 Budget'!E16</f>
        <v>183242.4</v>
      </c>
      <c r="F8" s="52">
        <f>'Measure 1 Budget'!F16+'Measure 2 Budget'!F16+'Measure 3 Budget'!F16+'Measure 4 Budget'!F16</f>
        <v>186473.76</v>
      </c>
      <c r="G8" s="52">
        <f>'Measure 1 Budget'!G16+'Measure 2 Budget'!G16+'Measure 3 Budget'!G16+'Measure 4 Budget'!G16</f>
        <v>189769.74720000004</v>
      </c>
      <c r="H8" s="52">
        <f>'Measure 1 Budget'!H16+'Measure 2 Budget'!H16+'Measure 3 Budget'!H16+'Measure 4 Budget'!H16</f>
        <v>193131.65414400003</v>
      </c>
      <c r="I8" s="53"/>
      <c r="J8" s="52">
        <f t="shared" ref="J8:J14" si="0">SUM(D8:I8)</f>
        <v>932691.96134400018</v>
      </c>
    </row>
    <row r="9" spans="2:39" x14ac:dyDescent="0.25">
      <c r="B9" s="23"/>
      <c r="C9" s="51" t="s">
        <v>14</v>
      </c>
      <c r="D9" s="52">
        <f>'Measure 1 Budget'!D26+'Measure 2 Budget'!D27+'Measure 3 Budget'!D27+'Measure 4 Budget'!D27+'Measure 5 Budget'!D27</f>
        <v>27872</v>
      </c>
      <c r="E9" s="52">
        <f>'Measure 1 Budget'!E26+'Measure 2 Budget'!E27+'Measure 3 Budget'!E27+'Measure 4 Budget'!E27</f>
        <v>27872</v>
      </c>
      <c r="F9" s="52">
        <f>'Measure 1 Budget'!F26+'Measure 2 Budget'!F27+'Measure 3 Budget'!F27+'Measure 4 Budget'!F27</f>
        <v>27872</v>
      </c>
      <c r="G9" s="52">
        <f>'Measure 1 Budget'!G26+'Measure 2 Budget'!G27+'Measure 3 Budget'!G27+'Measure 4 Budget'!G27</f>
        <v>27872</v>
      </c>
      <c r="H9" s="52">
        <f>'Measure 1 Budget'!H26+'Measure 2 Budget'!H27+'Measure 3 Budget'!H27+'Measure 4 Budget'!H27</f>
        <v>27872</v>
      </c>
      <c r="I9" s="53"/>
      <c r="J9" s="52">
        <f t="shared" si="0"/>
        <v>139360</v>
      </c>
    </row>
    <row r="10" spans="2:39" x14ac:dyDescent="0.25">
      <c r="B10" s="23"/>
      <c r="C10" s="51" t="s">
        <v>15</v>
      </c>
      <c r="D10" s="52">
        <f>'Measure 1 Budget'!D30+'Measure 2 Budget'!D31+'Measure 3 Budget'!D31+'Measure 4 Budget'!D31+'Measure 5 Budget'!D31</f>
        <v>665000</v>
      </c>
      <c r="E10" s="52">
        <f>'Measure 1 Budget'!E30+'Measure 2 Budget'!E31+'Measure 3 Budget'!E31+'Measure 4 Budget'!E31</f>
        <v>0</v>
      </c>
      <c r="F10" s="52">
        <f>'Measure 1 Budget'!F30+'Measure 2 Budget'!F31+'Measure 3 Budget'!F31+'Measure 4 Budget'!F31</f>
        <v>0</v>
      </c>
      <c r="G10" s="52">
        <f>'Measure 1 Budget'!G30+'Measure 2 Budget'!G31+'Measure 3 Budget'!G31+'Measure 4 Budget'!G31</f>
        <v>0</v>
      </c>
      <c r="H10" s="52">
        <f>'Measure 1 Budget'!H30+'Measure 2 Budget'!H31+'Measure 3 Budget'!H31+'Measure 4 Budget'!H31</f>
        <v>0</v>
      </c>
      <c r="I10" s="53"/>
      <c r="J10" s="52">
        <f t="shared" si="0"/>
        <v>665000</v>
      </c>
    </row>
    <row r="11" spans="2:39" x14ac:dyDescent="0.25">
      <c r="B11" s="23"/>
      <c r="C11" s="51" t="s">
        <v>16</v>
      </c>
      <c r="D11" s="52">
        <f>'Measure 1 Budget'!D35+'Measure 2 Budget'!D36+'Measure 3 Budget'!D35+'Measure 4 Budget'!D35+'Measure 5 Budget'!D35</f>
        <v>20000</v>
      </c>
      <c r="E11" s="52">
        <f>'Measure 1 Budget'!E35+'Measure 2 Budget'!E36+'Measure 3 Budget'!E35+'Measure 4 Budget'!E35</f>
        <v>2000</v>
      </c>
      <c r="F11" s="52">
        <f>'Measure 1 Budget'!F35+'Measure 2 Budget'!F36+'Measure 3 Budget'!F35+'Measure 4 Budget'!F35</f>
        <v>2000</v>
      </c>
      <c r="G11" s="52">
        <f>'Measure 1 Budget'!G35+'Measure 2 Budget'!G36+'Measure 3 Budget'!G35+'Measure 4 Budget'!G35</f>
        <v>2000</v>
      </c>
      <c r="H11" s="52">
        <f>'Measure 1 Budget'!H35+'Measure 2 Budget'!H36+'Measure 3 Budget'!H35+'Measure 4 Budget'!H35</f>
        <v>2000</v>
      </c>
      <c r="I11" s="53"/>
      <c r="J11" s="52">
        <f t="shared" si="0"/>
        <v>28000</v>
      </c>
    </row>
    <row r="12" spans="2:39" x14ac:dyDescent="0.25">
      <c r="B12" s="23"/>
      <c r="C12" s="51" t="s">
        <v>17</v>
      </c>
      <c r="D12" s="52">
        <f>'Measure 1 Budget'!D41+'Measure 2 Budget'!D43+'Measure 3 Budget'!D42+'Measure 4 Budget'!D41+'Measure 5 Budget'!D41</f>
        <v>0</v>
      </c>
      <c r="E12" s="52">
        <f>'Measure 1 Budget'!E41+'Measure 2 Budget'!E43+'Measure 3 Budget'!E42+'Measure 4 Budget'!E41</f>
        <v>0</v>
      </c>
      <c r="F12" s="52">
        <f>'Measure 1 Budget'!F41+'Measure 2 Budget'!F43+'Measure 3 Budget'!F42+'Measure 4 Budget'!F41</f>
        <v>0</v>
      </c>
      <c r="G12" s="52">
        <f>'Measure 1 Budget'!G41+'Measure 2 Budget'!G43+'Measure 3 Budget'!G42+'Measure 4 Budget'!G41</f>
        <v>0</v>
      </c>
      <c r="H12" s="52">
        <f>'Measure 1 Budget'!H41+'Measure 2 Budget'!H43+'Measure 3 Budget'!H42+'Measure 4 Budget'!H41</f>
        <v>0</v>
      </c>
      <c r="I12" s="53"/>
      <c r="J12" s="52">
        <f t="shared" si="0"/>
        <v>0</v>
      </c>
    </row>
    <row r="13" spans="2:39" x14ac:dyDescent="0.25">
      <c r="B13" s="23"/>
      <c r="C13" s="51" t="s">
        <v>18</v>
      </c>
      <c r="D13" s="52">
        <f>'Measure 1 Budget'!D68+'Measure 2 Budget'!D55+'Measure 3 Budget'!D50+'Measure 4 Budget'!D49+'Measure 5 Budget'!D49</f>
        <v>100060630</v>
      </c>
      <c r="E13" s="52">
        <f>'Measure 1 Budget'!E68+'Measure 2 Budget'!E55+'Measure 3 Budget'!E50+'Measure 4 Budget'!E49</f>
        <v>0</v>
      </c>
      <c r="F13" s="52">
        <f>'Measure 1 Budget'!F68+'Measure 2 Budget'!F55+'Measure 3 Budget'!F50+'Measure 4 Budget'!F49</f>
        <v>61000</v>
      </c>
      <c r="G13" s="52">
        <f>'Measure 1 Budget'!G68+'Measure 2 Budget'!G55+'Measure 3 Budget'!G50+'Measure 4 Budget'!G49</f>
        <v>120000</v>
      </c>
      <c r="H13" s="52">
        <f>'Measure 1 Budget'!H68+'Measure 2 Budget'!H55+'Measure 3 Budget'!H50+'Measure 4 Budget'!H49</f>
        <v>181000</v>
      </c>
      <c r="I13" s="53"/>
      <c r="J13" s="52">
        <f t="shared" si="0"/>
        <v>100422630</v>
      </c>
    </row>
    <row r="14" spans="2:39" x14ac:dyDescent="0.25">
      <c r="B14" s="24"/>
      <c r="C14" s="9" t="s">
        <v>19</v>
      </c>
      <c r="D14" s="16">
        <f>D13+D12+D11+D10+D9+D8+D7</f>
        <v>101499256.40000001</v>
      </c>
      <c r="E14" s="16">
        <f>E13+E12+E11+E10+E9+E8+E7</f>
        <v>768394.4</v>
      </c>
      <c r="F14" s="16">
        <f>F13+F12+F11+F10+F9+F8+F7</f>
        <v>842417.76</v>
      </c>
      <c r="G14" s="16">
        <f>G13+G12+G11+G10+G9+G8+G7</f>
        <v>914701.58720000018</v>
      </c>
      <c r="H14" s="16">
        <f>H13+H12+H11+H10+H9+H8+H7</f>
        <v>989251.09094400005</v>
      </c>
      <c r="J14" s="16">
        <f t="shared" si="0"/>
        <v>105014021.23814403</v>
      </c>
    </row>
    <row r="15" spans="2:39" x14ac:dyDescent="0.25">
      <c r="B15" s="67"/>
      <c r="D15"/>
      <c r="E15"/>
      <c r="H15"/>
      <c r="I15"/>
      <c r="J15" s="18" t="s">
        <v>20</v>
      </c>
    </row>
    <row r="16" spans="2:39" ht="20.100000000000001" customHeight="1" x14ac:dyDescent="0.25">
      <c r="B16" s="67"/>
      <c r="C16" s="9" t="s">
        <v>21</v>
      </c>
      <c r="D16" s="59">
        <f>'Measure 1 Budget'!D74+'Measure 2 Budget'!D61+'Measure 3 Budget'!D56+'Measure 4 Budget'!D55+'Measure 5 Budget'!D55</f>
        <v>0</v>
      </c>
      <c r="E16" s="59">
        <f>'Measure 1 Budget'!E74+'Measure 2 Budget'!E61+'Measure 3 Budget'!E56+'Measure 4 Budget'!E55</f>
        <v>0</v>
      </c>
      <c r="F16" s="59">
        <f>'Measure 1 Budget'!F74+'Measure 2 Budget'!F61+'Measure 3 Budget'!F56+'Measure 4 Budget'!F55</f>
        <v>0</v>
      </c>
      <c r="G16" s="59">
        <f>'Measure 1 Budget'!G74+'Measure 2 Budget'!G61+'Measure 3 Budget'!G56+'Measure 4 Budget'!G55</f>
        <v>0</v>
      </c>
      <c r="H16" s="59">
        <f>'Measure 1 Budget'!H74+'Measure 2 Budget'!H61+'Measure 3 Budget'!H56+'Measure 4 Budget'!H55</f>
        <v>0</v>
      </c>
      <c r="J16" s="9">
        <f>SUM(D16:H16)</f>
        <v>0</v>
      </c>
    </row>
    <row r="17" spans="2:10" ht="15.75" thickBot="1" x14ac:dyDescent="0.3">
      <c r="B17" s="67"/>
      <c r="D17"/>
      <c r="E17"/>
      <c r="H17"/>
      <c r="I17"/>
      <c r="J17" s="18" t="s">
        <v>20</v>
      </c>
    </row>
    <row r="18" spans="2:10" ht="31.15" customHeight="1" thickBot="1" x14ac:dyDescent="0.3">
      <c r="B18" s="66" t="s">
        <v>22</v>
      </c>
      <c r="C18" s="19"/>
      <c r="D18" s="54">
        <f>D14+D16</f>
        <v>101499256.40000001</v>
      </c>
      <c r="E18" s="54">
        <f>E14+E16</f>
        <v>768394.4</v>
      </c>
      <c r="F18" s="54">
        <f>F14+F16</f>
        <v>842417.76</v>
      </c>
      <c r="G18" s="54">
        <f>G14+G16</f>
        <v>914701.58720000018</v>
      </c>
      <c r="H18" s="54">
        <f>H14+H16</f>
        <v>989251.09094400005</v>
      </c>
      <c r="I18" s="55"/>
      <c r="J18" s="70">
        <f>J14+J16</f>
        <v>105014021.23814403</v>
      </c>
    </row>
    <row r="19" spans="2:10" s="1" customFormat="1" x14ac:dyDescent="0.25">
      <c r="B19" s="6"/>
      <c r="C19"/>
      <c r="D19" s="6"/>
      <c r="E19" s="2"/>
      <c r="F19"/>
      <c r="G19"/>
      <c r="H19" s="2"/>
      <c r="I19" s="7"/>
      <c r="J19"/>
    </row>
    <row r="20" spans="2:10" ht="15" customHeight="1" x14ac:dyDescent="0.25">
      <c r="B20" s="6"/>
    </row>
    <row r="21" spans="2:10" ht="15" customHeight="1" x14ac:dyDescent="0.3">
      <c r="B21" s="45" t="s">
        <v>23</v>
      </c>
      <c r="C21" s="46"/>
      <c r="D21" s="46"/>
      <c r="E21" s="81"/>
      <c r="F21" s="81"/>
      <c r="H21"/>
      <c r="I21"/>
    </row>
    <row r="22" spans="2:10" ht="29.1" customHeight="1" x14ac:dyDescent="0.25">
      <c r="B22" s="47" t="s">
        <v>24</v>
      </c>
      <c r="C22" s="47" t="s">
        <v>25</v>
      </c>
      <c r="D22" s="56" t="s">
        <v>26</v>
      </c>
      <c r="E22" s="82" t="s">
        <v>27</v>
      </c>
      <c r="F22" s="82"/>
      <c r="H22"/>
      <c r="I22"/>
    </row>
    <row r="23" spans="2:10" ht="15" customHeight="1" x14ac:dyDescent="0.25">
      <c r="B23" s="51">
        <v>1</v>
      </c>
      <c r="C23" s="57" t="s">
        <v>28</v>
      </c>
      <c r="D23" s="58">
        <f>'Measure 1 Budget'!J76</f>
        <v>15126176.809536001</v>
      </c>
      <c r="E23" s="80">
        <f>D23/D$29</f>
        <v>0.14403959234390079</v>
      </c>
      <c r="F23" s="80"/>
      <c r="H23"/>
      <c r="I23"/>
    </row>
    <row r="24" spans="2:10" ht="15" customHeight="1" x14ac:dyDescent="0.25">
      <c r="B24" s="51">
        <v>2</v>
      </c>
      <c r="C24" s="52" t="s">
        <v>29</v>
      </c>
      <c r="D24" s="58">
        <f>'Measure 2 Budget'!J63</f>
        <v>78566844.428608</v>
      </c>
      <c r="E24" s="80">
        <f t="shared" ref="E24:E27" si="1">D24/D$29</f>
        <v>0.74815575579606841</v>
      </c>
      <c r="F24" s="80"/>
      <c r="H24"/>
      <c r="I24"/>
    </row>
    <row r="25" spans="2:10" ht="15" customHeight="1" x14ac:dyDescent="0.25">
      <c r="B25" s="51">
        <v>3</v>
      </c>
      <c r="C25" s="52" t="s">
        <v>30</v>
      </c>
      <c r="D25" s="58">
        <f>'Measure 3 Budget'!J58</f>
        <v>11321000</v>
      </c>
      <c r="E25" s="80">
        <f t="shared" si="1"/>
        <v>0.10780465186003085</v>
      </c>
      <c r="F25" s="80"/>
      <c r="H25"/>
      <c r="I25"/>
    </row>
    <row r="26" spans="2:10" ht="15" customHeight="1" x14ac:dyDescent="0.25">
      <c r="B26" s="51">
        <v>4</v>
      </c>
      <c r="C26" s="52" t="s">
        <v>31</v>
      </c>
      <c r="D26" s="58">
        <f>'Measure 4 Budget'!J57</f>
        <v>0</v>
      </c>
      <c r="E26" s="80">
        <f t="shared" si="1"/>
        <v>0</v>
      </c>
      <c r="F26" s="80"/>
      <c r="H26"/>
      <c r="I26"/>
    </row>
    <row r="27" spans="2:10" ht="15" customHeight="1" x14ac:dyDescent="0.25">
      <c r="B27" s="51">
        <v>5</v>
      </c>
      <c r="C27" s="52" t="s">
        <v>32</v>
      </c>
      <c r="D27" s="58">
        <v>0</v>
      </c>
      <c r="E27" s="80">
        <f t="shared" si="1"/>
        <v>0</v>
      </c>
      <c r="F27" s="80"/>
      <c r="H27"/>
      <c r="I27"/>
    </row>
    <row r="28" spans="2:10" ht="15" customHeight="1" x14ac:dyDescent="0.25">
      <c r="B28" s="51"/>
      <c r="C28" s="52"/>
      <c r="D28" s="58"/>
      <c r="E28" s="80"/>
      <c r="F28" s="80"/>
      <c r="H28"/>
      <c r="I28"/>
    </row>
    <row r="29" spans="2:10" ht="15" customHeight="1" x14ac:dyDescent="0.25">
      <c r="B29" s="51" t="s">
        <v>33</v>
      </c>
      <c r="C29" s="52"/>
      <c r="D29" s="58">
        <f>SUM(D23:D28)</f>
        <v>105014021.238144</v>
      </c>
      <c r="E29" s="80">
        <f t="shared" ref="E29" si="2">SUM(E23:E28)</f>
        <v>1</v>
      </c>
      <c r="F29" s="80"/>
      <c r="H29"/>
      <c r="I29"/>
    </row>
    <row r="30" spans="2:10" ht="15" customHeight="1" x14ac:dyDescent="0.25">
      <c r="H30"/>
      <c r="I30"/>
    </row>
  </sheetData>
  <mergeCells count="10">
    <mergeCell ref="B3:J3"/>
    <mergeCell ref="E27:F27"/>
    <mergeCell ref="E28:F28"/>
    <mergeCell ref="E29:F29"/>
    <mergeCell ref="E21:F21"/>
    <mergeCell ref="E22:F22"/>
    <mergeCell ref="E23:F23"/>
    <mergeCell ref="E24:F24"/>
    <mergeCell ref="E25:F25"/>
    <mergeCell ref="E26:F26"/>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F061-994A-491E-9E6F-D4F79E80F3BF}">
  <sheetPr codeName="Sheet11">
    <tabColor theme="9" tint="0.39997558519241921"/>
    <pageSetUpPr fitToPage="1"/>
  </sheetPr>
  <dimension ref="B2:AM91"/>
  <sheetViews>
    <sheetView showGridLines="0" zoomScale="85" zoomScaleNormal="85" workbookViewId="0">
      <selection activeCell="D13" sqref="D13"/>
    </sheetView>
  </sheetViews>
  <sheetFormatPr defaultColWidth="9.28515625" defaultRowHeight="15" x14ac:dyDescent="0.25"/>
  <cols>
    <col min="1" max="1" width="3.28515625" customWidth="1"/>
    <col min="2" max="2" width="10.28515625" customWidth="1"/>
    <col min="3" max="3" width="35.42578125" customWidth="1"/>
    <col min="4" max="4" width="12.42578125" style="6" customWidth="1"/>
    <col min="5" max="5" width="12.5703125" style="2" customWidth="1"/>
    <col min="6" max="6" width="12.42578125" customWidth="1"/>
    <col min="7" max="7" width="13" customWidth="1"/>
    <col min="8" max="8" width="12.42578125" style="2" customWidth="1"/>
    <col min="9" max="9" width="1.7109375" style="7" customWidth="1"/>
    <col min="10" max="10" width="12.7109375" customWidth="1"/>
    <col min="11" max="11" width="10.28515625" customWidth="1"/>
  </cols>
  <sheetData>
    <row r="2" spans="2:39" ht="23.25" x14ac:dyDescent="0.35">
      <c r="B2" s="30" t="s">
        <v>34</v>
      </c>
    </row>
    <row r="3" spans="2:39" x14ac:dyDescent="0.25">
      <c r="B3" s="5" t="s">
        <v>35</v>
      </c>
    </row>
    <row r="4" spans="2:39" x14ac:dyDescent="0.25">
      <c r="B4" s="5"/>
    </row>
    <row r="5" spans="2:39" ht="18.75" x14ac:dyDescent="0.3">
      <c r="B5" s="36" t="s">
        <v>2</v>
      </c>
      <c r="C5" s="37"/>
      <c r="D5" s="37"/>
      <c r="E5" s="37"/>
      <c r="F5" s="37"/>
      <c r="G5" s="37"/>
      <c r="H5" s="37"/>
      <c r="I5" s="37"/>
      <c r="J5" s="38"/>
    </row>
    <row r="6" spans="2:39" ht="30" x14ac:dyDescent="0.25">
      <c r="B6" s="39" t="s">
        <v>3</v>
      </c>
      <c r="C6" s="39" t="s">
        <v>4</v>
      </c>
      <c r="D6" s="39" t="s">
        <v>5</v>
      </c>
      <c r="E6" s="40" t="s">
        <v>6</v>
      </c>
      <c r="F6" s="40" t="s">
        <v>7</v>
      </c>
      <c r="G6" s="40" t="s">
        <v>8</v>
      </c>
      <c r="H6" s="41" t="s">
        <v>9</v>
      </c>
      <c r="I6" s="42"/>
      <c r="J6" s="43" t="s">
        <v>10</v>
      </c>
    </row>
    <row r="7" spans="2:39" s="5" customFormat="1" ht="30" x14ac:dyDescent="0.25">
      <c r="B7" s="71" t="s">
        <v>11</v>
      </c>
      <c r="C7" s="26" t="s">
        <v>36</v>
      </c>
      <c r="D7" s="10" t="s">
        <v>37</v>
      </c>
      <c r="E7" s="10" t="s">
        <v>37</v>
      </c>
      <c r="F7" s="10" t="s">
        <v>37</v>
      </c>
      <c r="G7" s="10"/>
      <c r="H7" s="10" t="s">
        <v>37</v>
      </c>
      <c r="I7" s="7"/>
      <c r="J7" s="8" t="s">
        <v>37</v>
      </c>
      <c r="K7"/>
      <c r="L7"/>
      <c r="M7"/>
      <c r="N7"/>
      <c r="O7"/>
      <c r="P7"/>
      <c r="Q7"/>
      <c r="R7"/>
      <c r="S7"/>
      <c r="T7"/>
      <c r="U7"/>
      <c r="V7"/>
      <c r="W7"/>
      <c r="X7"/>
      <c r="Y7"/>
      <c r="Z7"/>
      <c r="AA7"/>
      <c r="AB7"/>
      <c r="AC7"/>
      <c r="AD7"/>
      <c r="AE7"/>
      <c r="AF7"/>
      <c r="AG7"/>
      <c r="AH7"/>
      <c r="AI7"/>
      <c r="AJ7"/>
      <c r="AK7"/>
      <c r="AL7"/>
      <c r="AM7"/>
    </row>
    <row r="8" spans="2:39" ht="75" x14ac:dyDescent="0.25">
      <c r="B8" s="23"/>
      <c r="C8" s="25" t="s">
        <v>38</v>
      </c>
      <c r="D8" s="15">
        <v>120000</v>
      </c>
      <c r="E8" s="15">
        <f>D8*1.02</f>
        <v>122400</v>
      </c>
      <c r="F8" s="15">
        <f>E8*1.02</f>
        <v>124848</v>
      </c>
      <c r="G8" s="15">
        <f>F8*1.02</f>
        <v>127344.96000000001</v>
      </c>
      <c r="H8" s="15">
        <f>G8*1.02</f>
        <v>129891.85920000001</v>
      </c>
      <c r="I8" s="35"/>
      <c r="J8" s="15">
        <f>SUM(D8:H8)</f>
        <v>624484.81920000003</v>
      </c>
    </row>
    <row r="9" spans="2:39" ht="45" x14ac:dyDescent="0.25">
      <c r="B9" s="23"/>
      <c r="C9" s="77" t="s">
        <v>39</v>
      </c>
      <c r="D9" s="15">
        <f>96720*0.25</f>
        <v>24180</v>
      </c>
      <c r="E9" s="15">
        <f t="shared" ref="E9:H9" si="0">96720*0.25</f>
        <v>24180</v>
      </c>
      <c r="F9" s="15">
        <f t="shared" si="0"/>
        <v>24180</v>
      </c>
      <c r="G9" s="15">
        <f t="shared" si="0"/>
        <v>24180</v>
      </c>
      <c r="H9" s="15">
        <f t="shared" si="0"/>
        <v>24180</v>
      </c>
      <c r="J9" s="15">
        <f>SUM(D9:H9)</f>
        <v>120900</v>
      </c>
    </row>
    <row r="10" spans="2:39" ht="45" x14ac:dyDescent="0.25">
      <c r="B10" s="23"/>
      <c r="C10" s="25" t="s">
        <v>40</v>
      </c>
      <c r="D10" s="15">
        <f>83000*0.5</f>
        <v>41500</v>
      </c>
      <c r="E10" s="15">
        <f t="shared" ref="E10:H10" si="1">83000*0.5</f>
        <v>41500</v>
      </c>
      <c r="F10" s="15">
        <f t="shared" si="1"/>
        <v>41500</v>
      </c>
      <c r="G10" s="15">
        <f t="shared" si="1"/>
        <v>41500</v>
      </c>
      <c r="H10" s="15">
        <f t="shared" si="1"/>
        <v>41500</v>
      </c>
      <c r="J10" s="15">
        <f>SUM(D10:H10)</f>
        <v>207500</v>
      </c>
    </row>
    <row r="11" spans="2:39" x14ac:dyDescent="0.25">
      <c r="B11" s="23"/>
      <c r="C11" s="9" t="s">
        <v>12</v>
      </c>
      <c r="D11" s="16">
        <f>SUM(D8:D10)</f>
        <v>185680</v>
      </c>
      <c r="E11" s="16">
        <f t="shared" ref="E11:J11" si="2">SUM(E8:E10)</f>
        <v>188080</v>
      </c>
      <c r="F11" s="16">
        <f t="shared" si="2"/>
        <v>190528</v>
      </c>
      <c r="G11" s="16">
        <f t="shared" si="2"/>
        <v>193024.96000000002</v>
      </c>
      <c r="H11" s="16">
        <f t="shared" si="2"/>
        <v>195571.85920000001</v>
      </c>
      <c r="J11" s="16">
        <f t="shared" si="2"/>
        <v>952884.81920000003</v>
      </c>
    </row>
    <row r="12" spans="2:39" x14ac:dyDescent="0.25">
      <c r="B12" s="23"/>
      <c r="C12" s="14" t="s">
        <v>41</v>
      </c>
      <c r="D12" s="13" t="s">
        <v>37</v>
      </c>
      <c r="E12" s="10"/>
      <c r="F12" s="10"/>
      <c r="G12" s="10"/>
      <c r="H12" s="10"/>
      <c r="J12" s="8" t="s">
        <v>37</v>
      </c>
    </row>
    <row r="13" spans="2:39" ht="105" x14ac:dyDescent="0.25">
      <c r="B13" s="23"/>
      <c r="C13" s="25" t="s">
        <v>42</v>
      </c>
      <c r="D13" s="15">
        <f>D11*0.33</f>
        <v>61274.400000000001</v>
      </c>
      <c r="E13" s="15">
        <f t="shared" ref="E13:H13" si="3">E11*0.33</f>
        <v>62066.400000000001</v>
      </c>
      <c r="F13" s="15">
        <f t="shared" si="3"/>
        <v>62874.240000000005</v>
      </c>
      <c r="G13" s="15">
        <f t="shared" si="3"/>
        <v>63698.236800000013</v>
      </c>
      <c r="H13" s="15">
        <f t="shared" si="3"/>
        <v>64538.713536000003</v>
      </c>
      <c r="J13" s="15">
        <f>SUM(D13:H13)</f>
        <v>314451.99033600005</v>
      </c>
    </row>
    <row r="14" spans="2:39" x14ac:dyDescent="0.25">
      <c r="B14" s="23"/>
      <c r="C14" s="25"/>
      <c r="D14" s="15"/>
      <c r="E14" s="15"/>
      <c r="F14" s="15"/>
      <c r="G14" s="15"/>
      <c r="H14" s="15"/>
      <c r="J14" s="15">
        <f t="shared" ref="J14:J15" si="4">SUM(D14:H14)</f>
        <v>0</v>
      </c>
    </row>
    <row r="15" spans="2:39" x14ac:dyDescent="0.25">
      <c r="B15" s="23"/>
      <c r="C15" s="10"/>
      <c r="D15" s="15"/>
      <c r="E15" s="11"/>
      <c r="F15" s="11"/>
      <c r="G15" s="11"/>
      <c r="H15" s="11"/>
      <c r="J15" s="15">
        <f t="shared" si="4"/>
        <v>0</v>
      </c>
    </row>
    <row r="16" spans="2:39" x14ac:dyDescent="0.25">
      <c r="B16" s="23"/>
      <c r="C16" s="9" t="s">
        <v>13</v>
      </c>
      <c r="D16" s="16">
        <f>SUM(D13:D15)</f>
        <v>61274.400000000001</v>
      </c>
      <c r="E16" s="16">
        <f t="shared" ref="E16:J16" si="5">SUM(E13:E15)</f>
        <v>62066.400000000001</v>
      </c>
      <c r="F16" s="16">
        <f t="shared" si="5"/>
        <v>62874.240000000005</v>
      </c>
      <c r="G16" s="16">
        <f t="shared" si="5"/>
        <v>63698.236800000013</v>
      </c>
      <c r="H16" s="16">
        <f t="shared" si="5"/>
        <v>64538.713536000003</v>
      </c>
      <c r="J16" s="16">
        <f t="shared" si="5"/>
        <v>314451.99033600005</v>
      </c>
    </row>
    <row r="17" spans="2:10" x14ac:dyDescent="0.25">
      <c r="B17" s="23"/>
      <c r="C17" s="14" t="s">
        <v>43</v>
      </c>
      <c r="D17" s="13" t="s">
        <v>37</v>
      </c>
      <c r="E17" s="10"/>
      <c r="F17" s="10"/>
      <c r="G17" s="10"/>
      <c r="H17" s="10"/>
      <c r="J17" s="8" t="s">
        <v>37</v>
      </c>
    </row>
    <row r="18" spans="2:10" ht="270" x14ac:dyDescent="0.25">
      <c r="B18" s="23"/>
      <c r="C18" s="29" t="s">
        <v>44</v>
      </c>
      <c r="D18" s="15">
        <f>(48*12.75)+(24*34)+(12*(85*2))</f>
        <v>3468</v>
      </c>
      <c r="E18" s="15">
        <f>(48*12.75)+(24*34)+(12*(85*2))</f>
        <v>3468</v>
      </c>
      <c r="F18" s="15">
        <f>(48*12.75)+(24*34)+(12*(85*2))</f>
        <v>3468</v>
      </c>
      <c r="G18" s="15">
        <f>(48*12.75)+(24*34)+(12*(85*2))</f>
        <v>3468</v>
      </c>
      <c r="H18" s="15">
        <f>(48*12.75)+(24*34)+(12*(85*2))</f>
        <v>3468</v>
      </c>
      <c r="J18" s="15">
        <f>SUM(D18:H18)</f>
        <v>17340</v>
      </c>
    </row>
    <row r="19" spans="2:10" ht="135" x14ac:dyDescent="0.25">
      <c r="B19" s="23"/>
      <c r="C19" s="29" t="s">
        <v>45</v>
      </c>
      <c r="D19" s="15">
        <v>3500</v>
      </c>
      <c r="E19" s="15">
        <v>3500</v>
      </c>
      <c r="F19" s="15">
        <v>3500</v>
      </c>
      <c r="G19" s="15">
        <v>3500</v>
      </c>
      <c r="H19" s="15">
        <v>3500</v>
      </c>
      <c r="I19" s="35"/>
      <c r="J19" s="15">
        <f>SUM(D19:H19)</f>
        <v>17500</v>
      </c>
    </row>
    <row r="20" spans="2:10" x14ac:dyDescent="0.25">
      <c r="B20" s="23"/>
      <c r="C20" s="29"/>
      <c r="D20" s="15"/>
      <c r="E20" s="15"/>
      <c r="F20" s="15"/>
      <c r="G20" s="15"/>
      <c r="H20" s="15"/>
      <c r="I20" s="35"/>
      <c r="J20" s="15">
        <f t="shared" ref="J20:J25" si="6">SUM(D20:H20)</f>
        <v>0</v>
      </c>
    </row>
    <row r="21" spans="2:10" x14ac:dyDescent="0.25">
      <c r="B21" s="23"/>
      <c r="C21" s="25"/>
      <c r="D21" s="15"/>
      <c r="E21" s="15"/>
      <c r="F21" s="15"/>
      <c r="G21" s="15"/>
      <c r="H21" s="15"/>
      <c r="I21" s="35"/>
      <c r="J21" s="15">
        <f t="shared" si="6"/>
        <v>0</v>
      </c>
    </row>
    <row r="22" spans="2:10" x14ac:dyDescent="0.25">
      <c r="B22" s="23"/>
      <c r="C22" s="29"/>
      <c r="D22" s="15"/>
      <c r="E22" s="15"/>
      <c r="F22" s="15"/>
      <c r="G22" s="15"/>
      <c r="H22" s="15"/>
      <c r="I22" s="35"/>
      <c r="J22" s="15">
        <f t="shared" si="6"/>
        <v>0</v>
      </c>
    </row>
    <row r="23" spans="2:10" x14ac:dyDescent="0.25">
      <c r="B23" s="23"/>
      <c r="C23" s="29"/>
      <c r="D23" s="15"/>
      <c r="E23" s="15"/>
      <c r="F23" s="15"/>
      <c r="G23" s="15"/>
      <c r="H23" s="15"/>
      <c r="I23" s="35"/>
      <c r="J23" s="15">
        <f t="shared" si="6"/>
        <v>0</v>
      </c>
    </row>
    <row r="24" spans="2:10" x14ac:dyDescent="0.25">
      <c r="B24" s="23"/>
      <c r="C24" s="29"/>
      <c r="D24" s="15"/>
      <c r="E24" s="15"/>
      <c r="F24" s="15"/>
      <c r="G24" s="15"/>
      <c r="H24" s="15"/>
      <c r="I24" s="35"/>
      <c r="J24" s="15">
        <f t="shared" si="6"/>
        <v>0</v>
      </c>
    </row>
    <row r="25" spans="2:10" x14ac:dyDescent="0.25">
      <c r="B25" s="23"/>
      <c r="C25" s="25"/>
      <c r="D25" s="15"/>
      <c r="E25" s="15"/>
      <c r="F25" s="15"/>
      <c r="G25" s="15"/>
      <c r="H25" s="15"/>
      <c r="I25" s="35"/>
      <c r="J25" s="15">
        <f t="shared" si="6"/>
        <v>0</v>
      </c>
    </row>
    <row r="26" spans="2:10" x14ac:dyDescent="0.25">
      <c r="B26" s="23"/>
      <c r="C26" s="9" t="s">
        <v>14</v>
      </c>
      <c r="D26" s="16">
        <f>SUM(D18:D25)</f>
        <v>6968</v>
      </c>
      <c r="E26" s="16">
        <f>SUM(E18:E25)</f>
        <v>6968</v>
      </c>
      <c r="F26" s="16">
        <f>SUM(F18:F25)</f>
        <v>6968</v>
      </c>
      <c r="G26" s="16">
        <f>SUM(G18:G25)</f>
        <v>6968</v>
      </c>
      <c r="H26" s="16">
        <f>SUM(H18:H25)</f>
        <v>6968</v>
      </c>
      <c r="J26" s="16">
        <f>SUM(J18:J25)</f>
        <v>34840</v>
      </c>
    </row>
    <row r="27" spans="2:10" x14ac:dyDescent="0.25">
      <c r="B27" s="23"/>
      <c r="C27" s="14" t="s">
        <v>46</v>
      </c>
      <c r="D27" s="15"/>
      <c r="E27" s="10"/>
      <c r="F27" s="10"/>
      <c r="G27" s="10"/>
      <c r="H27" s="10"/>
      <c r="J27" s="15" t="s">
        <v>20</v>
      </c>
    </row>
    <row r="28" spans="2:10" ht="75" x14ac:dyDescent="0.25">
      <c r="B28" s="23"/>
      <c r="C28" s="78" t="s">
        <v>47</v>
      </c>
      <c r="D28" s="15">
        <f>35000*7</f>
        <v>245000</v>
      </c>
      <c r="E28" s="10"/>
      <c r="F28" s="10"/>
      <c r="G28" s="10"/>
      <c r="H28" s="10"/>
      <c r="J28" s="15">
        <f>SUM(D28:H28)</f>
        <v>245000</v>
      </c>
    </row>
    <row r="29" spans="2:10" ht="60" x14ac:dyDescent="0.25">
      <c r="B29" s="23" t="s">
        <v>48</v>
      </c>
      <c r="C29" s="78" t="s">
        <v>49</v>
      </c>
      <c r="D29" s="15">
        <f>7*45000</f>
        <v>315000</v>
      </c>
      <c r="E29" s="10"/>
      <c r="F29" s="10"/>
      <c r="G29" s="10"/>
      <c r="H29" s="10"/>
      <c r="J29" s="15">
        <f t="shared" ref="J29:J69" si="7">SUM(D29:H29)</f>
        <v>315000</v>
      </c>
    </row>
    <row r="30" spans="2:10" x14ac:dyDescent="0.25">
      <c r="B30" s="23"/>
      <c r="C30" s="9" t="s">
        <v>15</v>
      </c>
      <c r="D30" s="12">
        <f>SUM(D28:D29)</f>
        <v>560000</v>
      </c>
      <c r="E30" s="12">
        <f t="shared" ref="E30:H30" si="8">SUM(E28:E29)</f>
        <v>0</v>
      </c>
      <c r="F30" s="12">
        <f t="shared" si="8"/>
        <v>0</v>
      </c>
      <c r="G30" s="12">
        <f t="shared" si="8"/>
        <v>0</v>
      </c>
      <c r="H30" s="12">
        <f t="shared" si="8"/>
        <v>0</v>
      </c>
      <c r="J30" s="16">
        <f>SUM(J28:J29)</f>
        <v>560000</v>
      </c>
    </row>
    <row r="31" spans="2:10" x14ac:dyDescent="0.25">
      <c r="B31" s="23"/>
      <c r="C31" s="14" t="s">
        <v>50</v>
      </c>
      <c r="D31" s="13" t="s">
        <v>37</v>
      </c>
      <c r="E31" s="10"/>
      <c r="F31" s="10"/>
      <c r="G31" s="10"/>
      <c r="H31" s="10"/>
      <c r="J31" s="15"/>
    </row>
    <row r="32" spans="2:10" x14ac:dyDescent="0.25">
      <c r="B32" s="23"/>
      <c r="C32" s="25" t="s">
        <v>51</v>
      </c>
      <c r="D32" s="15">
        <v>3000</v>
      </c>
      <c r="E32" s="15"/>
      <c r="F32" s="15"/>
      <c r="G32" s="15"/>
      <c r="H32" s="15"/>
      <c r="I32" s="35"/>
      <c r="J32" s="15">
        <f t="shared" si="7"/>
        <v>3000</v>
      </c>
    </row>
    <row r="33" spans="2:10" ht="75" x14ac:dyDescent="0.25">
      <c r="B33" s="23"/>
      <c r="C33" s="25" t="s">
        <v>52</v>
      </c>
      <c r="D33" s="15">
        <v>1500</v>
      </c>
      <c r="E33" s="15"/>
      <c r="F33" s="15"/>
      <c r="G33" s="15"/>
      <c r="H33" s="15"/>
      <c r="I33" s="35"/>
      <c r="J33" s="15">
        <f t="shared" si="7"/>
        <v>1500</v>
      </c>
    </row>
    <row r="34" spans="2:10" ht="30" x14ac:dyDescent="0.25">
      <c r="B34" s="23"/>
      <c r="C34" s="25" t="s">
        <v>53</v>
      </c>
      <c r="D34" s="15">
        <v>500</v>
      </c>
      <c r="E34" s="15">
        <v>500</v>
      </c>
      <c r="F34" s="15">
        <v>500</v>
      </c>
      <c r="G34" s="15">
        <v>500</v>
      </c>
      <c r="H34" s="15">
        <v>500</v>
      </c>
      <c r="J34" s="15">
        <f t="shared" si="7"/>
        <v>2500</v>
      </c>
    </row>
    <row r="35" spans="2:10" x14ac:dyDescent="0.25">
      <c r="B35" s="23"/>
      <c r="C35" s="9" t="s">
        <v>16</v>
      </c>
      <c r="D35" s="16">
        <f>SUM(D32:D34)</f>
        <v>5000</v>
      </c>
      <c r="E35" s="16">
        <f>SUM(E32:E34)</f>
        <v>500</v>
      </c>
      <c r="F35" s="16">
        <f>SUM(F32:F34)</f>
        <v>500</v>
      </c>
      <c r="G35" s="16">
        <f t="shared" ref="G35:H35" si="9">SUM(G32:G34)</f>
        <v>500</v>
      </c>
      <c r="H35" s="16">
        <f t="shared" si="9"/>
        <v>500</v>
      </c>
      <c r="J35" s="16">
        <f>SUM(J32:J34)</f>
        <v>7000</v>
      </c>
    </row>
    <row r="36" spans="2:10" x14ac:dyDescent="0.25">
      <c r="B36" s="23"/>
      <c r="C36" s="14" t="s">
        <v>54</v>
      </c>
      <c r="D36" s="13" t="s">
        <v>37</v>
      </c>
      <c r="E36" s="10"/>
      <c r="F36" s="10"/>
      <c r="G36" s="10"/>
      <c r="H36" s="10"/>
      <c r="J36" s="15"/>
    </row>
    <row r="37" spans="2:10" x14ac:dyDescent="0.25">
      <c r="B37" s="23"/>
      <c r="C37" s="25"/>
      <c r="D37" s="15"/>
      <c r="E37" s="15"/>
      <c r="F37" s="15"/>
      <c r="G37" s="15"/>
      <c r="H37" s="15"/>
      <c r="I37" s="35"/>
      <c r="J37" s="15">
        <f t="shared" si="7"/>
        <v>0</v>
      </c>
    </row>
    <row r="38" spans="2:10" x14ac:dyDescent="0.25">
      <c r="B38" s="23"/>
      <c r="C38" s="25"/>
      <c r="D38" s="15"/>
      <c r="E38" s="15"/>
      <c r="F38" s="15"/>
      <c r="G38" s="15"/>
      <c r="H38" s="15"/>
      <c r="I38" s="35"/>
      <c r="J38" s="15">
        <f t="shared" si="7"/>
        <v>0</v>
      </c>
    </row>
    <row r="39" spans="2:10" x14ac:dyDescent="0.25">
      <c r="B39" s="23"/>
      <c r="C39" s="25"/>
      <c r="D39" s="15"/>
      <c r="E39" s="15"/>
      <c r="F39" s="15"/>
      <c r="G39" s="15"/>
      <c r="H39" s="15"/>
      <c r="I39" s="35"/>
      <c r="J39" s="15">
        <f t="shared" si="7"/>
        <v>0</v>
      </c>
    </row>
    <row r="40" spans="2:10" x14ac:dyDescent="0.25">
      <c r="B40" s="23"/>
      <c r="C40" s="25"/>
      <c r="D40" s="15"/>
      <c r="E40" s="11"/>
      <c r="F40" s="11"/>
      <c r="G40" s="11"/>
      <c r="H40" s="11"/>
      <c r="J40" s="15">
        <f t="shared" si="7"/>
        <v>0</v>
      </c>
    </row>
    <row r="41" spans="2:10" x14ac:dyDescent="0.25">
      <c r="B41" s="23"/>
      <c r="C41" s="9" t="s">
        <v>17</v>
      </c>
      <c r="D41" s="16">
        <f>SUM(D37:D40)</f>
        <v>0</v>
      </c>
      <c r="E41" s="16">
        <f t="shared" ref="E41:H41" si="10">SUM(E37:E40)</f>
        <v>0</v>
      </c>
      <c r="F41" s="16">
        <f t="shared" si="10"/>
        <v>0</v>
      </c>
      <c r="G41" s="16">
        <f t="shared" si="10"/>
        <v>0</v>
      </c>
      <c r="H41" s="16">
        <f t="shared" si="10"/>
        <v>0</v>
      </c>
      <c r="J41" s="16">
        <f>SUM(J37:J40)</f>
        <v>0</v>
      </c>
    </row>
    <row r="42" spans="2:10" x14ac:dyDescent="0.25">
      <c r="B42" s="23"/>
      <c r="C42" s="14" t="s">
        <v>55</v>
      </c>
      <c r="D42" s="13" t="s">
        <v>37</v>
      </c>
      <c r="E42" s="10"/>
      <c r="F42" s="10"/>
      <c r="G42" s="10"/>
      <c r="H42" s="10"/>
      <c r="J42" s="15"/>
    </row>
    <row r="43" spans="2:10" ht="60" x14ac:dyDescent="0.25">
      <c r="B43" s="23"/>
      <c r="C43" s="25" t="s">
        <v>56</v>
      </c>
      <c r="D43" s="15">
        <f>440000+((4*5000)*1.1)</f>
        <v>462000</v>
      </c>
      <c r="E43" s="10"/>
      <c r="F43" s="10"/>
      <c r="G43" s="10"/>
      <c r="H43" s="10"/>
      <c r="J43" s="15">
        <f t="shared" si="7"/>
        <v>462000</v>
      </c>
    </row>
    <row r="44" spans="2:10" ht="60" x14ac:dyDescent="0.25">
      <c r="B44" s="23"/>
      <c r="C44" s="25" t="s">
        <v>57</v>
      </c>
      <c r="D44" s="15">
        <f>400000+((6*5000)*1.1)</f>
        <v>433000</v>
      </c>
      <c r="E44" s="10"/>
      <c r="F44" s="10"/>
      <c r="G44" s="10"/>
      <c r="H44" s="10"/>
      <c r="J44" s="15">
        <f t="shared" si="7"/>
        <v>433000</v>
      </c>
    </row>
    <row r="45" spans="2:10" ht="60" x14ac:dyDescent="0.25">
      <c r="B45" s="23"/>
      <c r="C45" s="25" t="s">
        <v>58</v>
      </c>
      <c r="D45" s="15">
        <f>675000+((3*75000)*1.1)</f>
        <v>922500</v>
      </c>
      <c r="E45" s="10"/>
      <c r="F45" s="10"/>
      <c r="G45" s="10"/>
      <c r="H45" s="10"/>
      <c r="J45" s="15">
        <f t="shared" si="7"/>
        <v>922500</v>
      </c>
    </row>
    <row r="46" spans="2:10" ht="60" x14ac:dyDescent="0.25">
      <c r="B46" s="23"/>
      <c r="C46" s="25" t="s">
        <v>59</v>
      </c>
      <c r="D46" s="15">
        <f>725000+((5*5000)*1.1)</f>
        <v>752500</v>
      </c>
      <c r="E46" s="10"/>
      <c r="F46" s="10"/>
      <c r="G46" s="10"/>
      <c r="H46" s="10"/>
      <c r="J46" s="15">
        <f t="shared" si="7"/>
        <v>752500</v>
      </c>
    </row>
    <row r="47" spans="2:10" ht="75" x14ac:dyDescent="0.25">
      <c r="B47" s="23"/>
      <c r="C47" s="25" t="s">
        <v>60</v>
      </c>
      <c r="D47" s="15">
        <f>500000+((7*5000)*1.1)+((3*75000)*1.1)</f>
        <v>786000</v>
      </c>
      <c r="E47" s="10"/>
      <c r="F47" s="10"/>
      <c r="G47" s="10"/>
      <c r="H47" s="10"/>
      <c r="J47" s="15">
        <f t="shared" si="7"/>
        <v>786000</v>
      </c>
    </row>
    <row r="48" spans="2:10" ht="75" x14ac:dyDescent="0.25">
      <c r="B48" s="23"/>
      <c r="C48" s="25" t="s">
        <v>61</v>
      </c>
      <c r="D48" s="15">
        <f>340000+((2*5000)*1.1)+((1*75000)*1.1)</f>
        <v>433500</v>
      </c>
      <c r="E48" s="10"/>
      <c r="F48" s="10"/>
      <c r="G48" s="10"/>
      <c r="H48" s="10"/>
      <c r="J48" s="15">
        <f t="shared" si="7"/>
        <v>433500</v>
      </c>
    </row>
    <row r="49" spans="2:10" ht="75" x14ac:dyDescent="0.25">
      <c r="B49" s="23"/>
      <c r="C49" s="25" t="s">
        <v>62</v>
      </c>
      <c r="D49" s="15">
        <f>235000+((1*5000)*1.1)+((2*75000)*1.1)</f>
        <v>405500</v>
      </c>
      <c r="E49" s="10"/>
      <c r="F49" s="10"/>
      <c r="G49" s="10"/>
      <c r="H49" s="10"/>
      <c r="J49" s="15">
        <f t="shared" si="7"/>
        <v>405500</v>
      </c>
    </row>
    <row r="50" spans="2:10" ht="60" x14ac:dyDescent="0.25">
      <c r="B50" s="23"/>
      <c r="C50" s="25" t="s">
        <v>63</v>
      </c>
      <c r="D50" s="15">
        <f>865000+((6*5000)*1.1)</f>
        <v>898000</v>
      </c>
      <c r="E50" s="10"/>
      <c r="F50" s="10"/>
      <c r="G50" s="10"/>
      <c r="H50" s="10"/>
      <c r="J50" s="15">
        <f t="shared" si="7"/>
        <v>898000</v>
      </c>
    </row>
    <row r="51" spans="2:10" ht="45" x14ac:dyDescent="0.25">
      <c r="B51" s="23"/>
      <c r="C51" s="25" t="s">
        <v>64</v>
      </c>
      <c r="D51" s="15">
        <f>105000</f>
        <v>105000</v>
      </c>
      <c r="E51" s="10"/>
      <c r="F51" s="10"/>
      <c r="G51" s="10"/>
      <c r="H51" s="10"/>
      <c r="J51" s="15">
        <f t="shared" si="7"/>
        <v>105000</v>
      </c>
    </row>
    <row r="52" spans="2:10" ht="45" x14ac:dyDescent="0.25">
      <c r="B52" s="23"/>
      <c r="C52" s="25" t="s">
        <v>65</v>
      </c>
      <c r="D52" s="15">
        <f>210000</f>
        <v>210000</v>
      </c>
      <c r="E52" s="10"/>
      <c r="F52" s="10"/>
      <c r="G52" s="10"/>
      <c r="H52" s="10"/>
      <c r="J52" s="15">
        <f t="shared" si="7"/>
        <v>210000</v>
      </c>
    </row>
    <row r="53" spans="2:10" ht="60" x14ac:dyDescent="0.25">
      <c r="B53" s="23"/>
      <c r="C53" s="25" t="s">
        <v>66</v>
      </c>
      <c r="D53" s="15">
        <f>390000+((3*5000)*1.1)</f>
        <v>406500</v>
      </c>
      <c r="E53" s="10"/>
      <c r="F53" s="10"/>
      <c r="G53" s="10"/>
      <c r="H53" s="10"/>
      <c r="J53" s="15">
        <f t="shared" si="7"/>
        <v>406500</v>
      </c>
    </row>
    <row r="54" spans="2:10" ht="60" x14ac:dyDescent="0.25">
      <c r="B54" s="23"/>
      <c r="C54" s="25" t="s">
        <v>67</v>
      </c>
      <c r="D54" s="15">
        <f>550000+((4*5000)*1.1)</f>
        <v>572000</v>
      </c>
      <c r="E54" s="10"/>
      <c r="F54" s="10"/>
      <c r="G54" s="10"/>
      <c r="H54" s="10"/>
      <c r="J54" s="15">
        <f t="shared" si="7"/>
        <v>572000</v>
      </c>
    </row>
    <row r="55" spans="2:10" ht="75" x14ac:dyDescent="0.25">
      <c r="B55" s="23"/>
      <c r="C55" s="25" t="s">
        <v>68</v>
      </c>
      <c r="D55" s="15">
        <f>505000+((4*5000)*1.1)+((2*75000)*1.1)</f>
        <v>692000</v>
      </c>
      <c r="E55" s="10"/>
      <c r="F55" s="10"/>
      <c r="G55" s="10"/>
      <c r="H55" s="10"/>
      <c r="J55" s="15">
        <f t="shared" si="7"/>
        <v>692000</v>
      </c>
    </row>
    <row r="56" spans="2:10" ht="60" x14ac:dyDescent="0.25">
      <c r="B56" s="23"/>
      <c r="C56" s="25" t="s">
        <v>69</v>
      </c>
      <c r="D56" s="15">
        <f>435000+((4*5000)*1.1)+((3*75000)*1.1)</f>
        <v>704500</v>
      </c>
      <c r="E56" s="10"/>
      <c r="F56" s="10"/>
      <c r="G56" s="10"/>
      <c r="H56" s="10"/>
      <c r="J56" s="15">
        <f t="shared" si="7"/>
        <v>704500</v>
      </c>
    </row>
    <row r="57" spans="2:10" ht="60" x14ac:dyDescent="0.25">
      <c r="B57" s="23"/>
      <c r="C57" s="25" t="s">
        <v>70</v>
      </c>
      <c r="D57" s="15">
        <f>230000+((1*75000)*1.1)</f>
        <v>312500</v>
      </c>
      <c r="E57" s="10"/>
      <c r="F57" s="10"/>
      <c r="G57" s="10"/>
      <c r="H57" s="10"/>
      <c r="J57" s="15">
        <f t="shared" si="7"/>
        <v>312500</v>
      </c>
    </row>
    <row r="58" spans="2:10" ht="60" x14ac:dyDescent="0.25">
      <c r="B58" s="23"/>
      <c r="C58" s="25" t="s">
        <v>71</v>
      </c>
      <c r="D58" s="15">
        <f>440000+((6*5000)*1.1)</f>
        <v>473000</v>
      </c>
      <c r="E58" s="10"/>
      <c r="F58" s="10"/>
      <c r="G58" s="10"/>
      <c r="H58" s="10"/>
      <c r="J58" s="15">
        <f t="shared" si="7"/>
        <v>473000</v>
      </c>
    </row>
    <row r="59" spans="2:10" ht="60" x14ac:dyDescent="0.25">
      <c r="B59" s="23"/>
      <c r="C59" s="25" t="s">
        <v>72</v>
      </c>
      <c r="D59" s="15">
        <f>155000+((2*75000)*1.1)</f>
        <v>320000</v>
      </c>
      <c r="E59" s="10"/>
      <c r="F59" s="10"/>
      <c r="G59" s="10"/>
      <c r="H59" s="10"/>
      <c r="J59" s="15">
        <f t="shared" si="7"/>
        <v>320000</v>
      </c>
    </row>
    <row r="60" spans="2:10" ht="60" x14ac:dyDescent="0.25">
      <c r="B60" s="23"/>
      <c r="C60" s="25" t="s">
        <v>73</v>
      </c>
      <c r="D60" s="15">
        <f>1075000+((2*75000)*1.1)</f>
        <v>1240000</v>
      </c>
      <c r="E60" s="10"/>
      <c r="F60" s="10"/>
      <c r="G60" s="10"/>
      <c r="H60" s="10"/>
      <c r="J60" s="15">
        <f t="shared" si="7"/>
        <v>1240000</v>
      </c>
    </row>
    <row r="61" spans="2:10" ht="60" x14ac:dyDescent="0.25">
      <c r="B61" s="23"/>
      <c r="C61" s="25" t="s">
        <v>74</v>
      </c>
      <c r="D61" s="15">
        <f>265000+((2*5000)*1.1)</f>
        <v>276000</v>
      </c>
      <c r="E61" s="10"/>
      <c r="F61" s="10"/>
      <c r="G61" s="10"/>
      <c r="H61" s="10"/>
      <c r="J61" s="15">
        <f t="shared" si="7"/>
        <v>276000</v>
      </c>
    </row>
    <row r="62" spans="2:10" ht="75" x14ac:dyDescent="0.25">
      <c r="B62" s="23"/>
      <c r="C62" s="25" t="s">
        <v>75</v>
      </c>
      <c r="D62" s="15">
        <f>180000+((3*5000)*1.1)+((1*75000)*1.1)</f>
        <v>279000</v>
      </c>
      <c r="E62" s="10"/>
      <c r="F62" s="10"/>
      <c r="G62" s="10"/>
      <c r="H62" s="10"/>
      <c r="J62" s="15">
        <f t="shared" si="7"/>
        <v>279000</v>
      </c>
    </row>
    <row r="63" spans="2:10" ht="60" x14ac:dyDescent="0.25">
      <c r="B63" s="23"/>
      <c r="C63" s="25" t="s">
        <v>76</v>
      </c>
      <c r="D63" s="15">
        <f>455000+((3*75000)*1.1)</f>
        <v>702500</v>
      </c>
      <c r="E63" s="10"/>
      <c r="F63" s="10"/>
      <c r="G63" s="10"/>
      <c r="H63" s="10"/>
      <c r="J63" s="15">
        <f t="shared" si="7"/>
        <v>702500</v>
      </c>
    </row>
    <row r="64" spans="2:10" ht="60" x14ac:dyDescent="0.25">
      <c r="B64" s="23"/>
      <c r="C64" s="25" t="s">
        <v>77</v>
      </c>
      <c r="D64" s="15">
        <f>600000+((10*5000)*1.1)+((1*75000)*1.1)</f>
        <v>737500</v>
      </c>
      <c r="E64" s="10"/>
      <c r="F64" s="10"/>
      <c r="G64" s="10"/>
      <c r="H64" s="10"/>
      <c r="J64" s="15">
        <f t="shared" si="7"/>
        <v>737500</v>
      </c>
    </row>
    <row r="65" spans="2:10" ht="60" x14ac:dyDescent="0.25">
      <c r="B65" s="23"/>
      <c r="C65" s="25" t="s">
        <v>78</v>
      </c>
      <c r="D65" s="15">
        <f>450000+((2*5000)*1.1)</f>
        <v>461000</v>
      </c>
      <c r="E65" s="44"/>
      <c r="F65" s="44"/>
      <c r="G65" s="44"/>
      <c r="H65" s="44"/>
      <c r="J65" s="15">
        <f t="shared" si="7"/>
        <v>461000</v>
      </c>
    </row>
    <row r="66" spans="2:10" ht="60" x14ac:dyDescent="0.25">
      <c r="B66" s="23"/>
      <c r="C66" s="25" t="s">
        <v>79</v>
      </c>
      <c r="D66" s="15">
        <f>425000+((3*75000)*1.1)</f>
        <v>672500</v>
      </c>
      <c r="E66" s="60"/>
      <c r="F66" s="60"/>
      <c r="G66" s="60"/>
      <c r="H66" s="60"/>
      <c r="J66" s="15">
        <f t="shared" si="7"/>
        <v>672500</v>
      </c>
    </row>
    <row r="67" spans="2:10" x14ac:dyDescent="0.25">
      <c r="B67" s="23"/>
      <c r="C67" s="10"/>
      <c r="D67" s="15"/>
      <c r="E67" s="11"/>
      <c r="F67" s="11"/>
      <c r="G67" s="11"/>
      <c r="H67" s="11"/>
      <c r="J67" s="15">
        <f t="shared" si="7"/>
        <v>0</v>
      </c>
    </row>
    <row r="68" spans="2:10" x14ac:dyDescent="0.25">
      <c r="B68" s="24"/>
      <c r="C68" s="9" t="s">
        <v>18</v>
      </c>
      <c r="D68" s="16">
        <f>SUM(D43:D67)</f>
        <v>13257000</v>
      </c>
      <c r="E68" s="16">
        <f>SUM(E65:E67)</f>
        <v>0</v>
      </c>
      <c r="F68" s="16">
        <f>SUM(F65:F67)</f>
        <v>0</v>
      </c>
      <c r="G68" s="16">
        <f>SUM(G65:G67)</f>
        <v>0</v>
      </c>
      <c r="H68" s="16">
        <f>SUM(H65:H67)</f>
        <v>0</v>
      </c>
      <c r="J68" s="16">
        <f>SUM(J43:J67)</f>
        <v>13257000</v>
      </c>
    </row>
    <row r="69" spans="2:10" x14ac:dyDescent="0.25">
      <c r="B69" s="24"/>
      <c r="C69" s="9" t="s">
        <v>19</v>
      </c>
      <c r="D69" s="16">
        <f>SUM(D68,D41,D35,D30,D26,D16,D11)</f>
        <v>14075922.4</v>
      </c>
      <c r="E69" s="16">
        <f>SUM(E68,E41,E35,E30,E26,E16,E11)</f>
        <v>257614.4</v>
      </c>
      <c r="F69" s="16">
        <f>SUM(F68,F41,F35,F30,F26,F16,F11)</f>
        <v>260870.24</v>
      </c>
      <c r="G69" s="16">
        <f>SUM(G68,G41,G35,G30,G26,G16,G11)</f>
        <v>264191.19680000003</v>
      </c>
      <c r="H69" s="16">
        <f>SUM(H68,H41,H35,H30,H26,H16,H11)</f>
        <v>267578.572736</v>
      </c>
      <c r="J69" s="16">
        <f t="shared" si="7"/>
        <v>15126176.809536001</v>
      </c>
    </row>
    <row r="70" spans="2:10" x14ac:dyDescent="0.25">
      <c r="B70" s="6"/>
      <c r="D70"/>
      <c r="E70"/>
      <c r="H70"/>
      <c r="I70"/>
      <c r="J70" t="s">
        <v>20</v>
      </c>
    </row>
    <row r="71" spans="2:10" ht="30" x14ac:dyDescent="0.25">
      <c r="B71" s="71" t="s">
        <v>80</v>
      </c>
      <c r="C71" s="17" t="s">
        <v>80</v>
      </c>
      <c r="D71" s="18"/>
      <c r="E71" s="18"/>
      <c r="F71" s="18"/>
      <c r="G71" s="18"/>
      <c r="H71" s="18"/>
      <c r="I71"/>
      <c r="J71" s="18" t="s">
        <v>20</v>
      </c>
    </row>
    <row r="72" spans="2:10" x14ac:dyDescent="0.25">
      <c r="B72" s="23"/>
      <c r="C72" s="25"/>
      <c r="D72" s="13"/>
      <c r="E72" s="10"/>
      <c r="F72" s="10"/>
      <c r="G72" s="10"/>
      <c r="H72" s="10"/>
      <c r="J72" s="15">
        <f>SUM(D72:H72)</f>
        <v>0</v>
      </c>
    </row>
    <row r="73" spans="2:10" x14ac:dyDescent="0.25">
      <c r="B73" s="23"/>
      <c r="C73" s="25"/>
      <c r="D73" s="13"/>
      <c r="E73" s="10"/>
      <c r="F73" s="10"/>
      <c r="G73" s="10"/>
      <c r="H73" s="10"/>
      <c r="J73" s="15">
        <f t="shared" ref="J73" si="11">SUM(D73:H73)</f>
        <v>0</v>
      </c>
    </row>
    <row r="74" spans="2:10" x14ac:dyDescent="0.25">
      <c r="B74" s="24"/>
      <c r="C74" s="9" t="s">
        <v>21</v>
      </c>
      <c r="D74" s="16">
        <f>SUM(D72:D73)</f>
        <v>0</v>
      </c>
      <c r="E74" s="16">
        <f t="shared" ref="E74:H74" si="12">SUM(E72:E73)</f>
        <v>0</v>
      </c>
      <c r="F74" s="16">
        <f t="shared" si="12"/>
        <v>0</v>
      </c>
      <c r="G74" s="16">
        <f t="shared" si="12"/>
        <v>0</v>
      </c>
      <c r="H74" s="16">
        <f t="shared" si="12"/>
        <v>0</v>
      </c>
      <c r="J74" s="16">
        <f>SUM(J72:J73)</f>
        <v>0</v>
      </c>
    </row>
    <row r="75" spans="2:10" ht="15.75" thickBot="1" x14ac:dyDescent="0.3">
      <c r="B75" s="6"/>
      <c r="D75"/>
      <c r="E75"/>
      <c r="H75"/>
      <c r="I75"/>
      <c r="J75" t="s">
        <v>20</v>
      </c>
    </row>
    <row r="76" spans="2:10" s="1" customFormat="1" ht="30.75" thickBot="1" x14ac:dyDescent="0.3">
      <c r="B76" s="19" t="s">
        <v>22</v>
      </c>
      <c r="C76" s="19"/>
      <c r="D76" s="20">
        <f>SUM(D74,D69)</f>
        <v>14075922.4</v>
      </c>
      <c r="E76" s="20">
        <f t="shared" ref="E76:J76" si="13">SUM(E74,E69)</f>
        <v>257614.4</v>
      </c>
      <c r="F76" s="20">
        <f t="shared" si="13"/>
        <v>260870.24</v>
      </c>
      <c r="G76" s="20">
        <f t="shared" si="13"/>
        <v>264191.19680000003</v>
      </c>
      <c r="H76" s="20">
        <f t="shared" si="13"/>
        <v>267578.572736</v>
      </c>
      <c r="I76" s="7"/>
      <c r="J76" s="20">
        <f t="shared" si="13"/>
        <v>15126176.809536001</v>
      </c>
    </row>
    <row r="77" spans="2:10" x14ac:dyDescent="0.25">
      <c r="B77" s="6"/>
    </row>
    <row r="78" spans="2:10" x14ac:dyDescent="0.25">
      <c r="B78" s="6"/>
    </row>
    <row r="79" spans="2:10" x14ac:dyDescent="0.25">
      <c r="B79" s="6"/>
    </row>
    <row r="80" spans="2:10" x14ac:dyDescent="0.25">
      <c r="B80" s="6"/>
    </row>
    <row r="81" spans="2:2" x14ac:dyDescent="0.25">
      <c r="B81" s="6"/>
    </row>
    <row r="82" spans="2:2" x14ac:dyDescent="0.25">
      <c r="B82" s="6"/>
    </row>
    <row r="83" spans="2:2" x14ac:dyDescent="0.25">
      <c r="B83" s="6"/>
    </row>
    <row r="84" spans="2:2" x14ac:dyDescent="0.25">
      <c r="B84" s="6"/>
    </row>
    <row r="85" spans="2:2" x14ac:dyDescent="0.25">
      <c r="B85" s="6"/>
    </row>
    <row r="86" spans="2:2" x14ac:dyDescent="0.25">
      <c r="B86" s="6"/>
    </row>
    <row r="87" spans="2:2" x14ac:dyDescent="0.25">
      <c r="B87" s="6"/>
    </row>
    <row r="88" spans="2:2" x14ac:dyDescent="0.25">
      <c r="B88" s="6"/>
    </row>
    <row r="89" spans="2:2" x14ac:dyDescent="0.25">
      <c r="B89" s="6"/>
    </row>
    <row r="90" spans="2:2" x14ac:dyDescent="0.25">
      <c r="B90" s="6"/>
    </row>
    <row r="91" spans="2:2" x14ac:dyDescent="0.25">
      <c r="B91" s="6"/>
    </row>
  </sheetData>
  <pageMargins left="0.7" right="0.7" top="0.75" bottom="0.75" header="0.3" footer="0.3"/>
  <pageSetup scale="97" fitToHeight="0" orientation="landscape" r:id="rId1"/>
  <ignoredErrors>
    <ignoredError sqref="J19:J25 J32 J37:J39 J8"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590D-4C23-44B0-B6B9-2EA12DF57FEF}">
  <sheetPr>
    <tabColor theme="9" tint="0.39997558519241921"/>
    <pageSetUpPr fitToPage="1"/>
  </sheetPr>
  <dimension ref="B2:AM78"/>
  <sheetViews>
    <sheetView showGridLines="0" zoomScale="85" zoomScaleNormal="85" workbookViewId="0">
      <pane xSplit="3" ySplit="6" topLeftCell="D51" activePane="bottomRight" state="frozen"/>
      <selection pane="topRight" activeCell="R20" sqref="R20:W20"/>
      <selection pane="bottomLeft" activeCell="R20" sqref="R20:W20"/>
      <selection pane="bottomRight" activeCell="E13" sqref="E13:H13"/>
    </sheetView>
  </sheetViews>
  <sheetFormatPr defaultColWidth="9.28515625" defaultRowHeight="15" x14ac:dyDescent="0.25"/>
  <cols>
    <col min="1" max="1" width="3.28515625" customWidth="1"/>
    <col min="2" max="2" width="9.7109375" customWidth="1"/>
    <col min="3" max="3" width="44.42578125" customWidth="1"/>
    <col min="4" max="4" width="12.7109375" style="6" customWidth="1"/>
    <col min="5" max="5" width="12.42578125" style="2" customWidth="1"/>
    <col min="6" max="7" width="12.7109375" customWidth="1"/>
    <col min="8" max="8" width="13.42578125" style="2" customWidth="1"/>
    <col min="9" max="9" width="0.7109375" style="7" customWidth="1"/>
    <col min="10" max="10" width="14.42578125" customWidth="1"/>
    <col min="11" max="11" width="10.28515625" customWidth="1"/>
  </cols>
  <sheetData>
    <row r="2" spans="2:39" ht="23.25" x14ac:dyDescent="0.35">
      <c r="B2" s="30" t="s">
        <v>34</v>
      </c>
    </row>
    <row r="3" spans="2:39" x14ac:dyDescent="0.25">
      <c r="B3" s="5" t="s">
        <v>35</v>
      </c>
    </row>
    <row r="4" spans="2:39" x14ac:dyDescent="0.25">
      <c r="B4" s="5"/>
    </row>
    <row r="5" spans="2:39" ht="18.75" x14ac:dyDescent="0.3">
      <c r="B5" s="36" t="s">
        <v>2</v>
      </c>
      <c r="C5" s="37"/>
      <c r="D5" s="37"/>
      <c r="E5" s="37"/>
      <c r="F5" s="37"/>
      <c r="G5" s="37"/>
      <c r="H5" s="37"/>
      <c r="I5" s="37"/>
      <c r="J5" s="38"/>
    </row>
    <row r="6" spans="2:39" ht="30" x14ac:dyDescent="0.25">
      <c r="B6" s="39" t="s">
        <v>3</v>
      </c>
      <c r="C6" s="39" t="s">
        <v>4</v>
      </c>
      <c r="D6" s="39" t="s">
        <v>5</v>
      </c>
      <c r="E6" s="40" t="s">
        <v>6</v>
      </c>
      <c r="F6" s="40" t="s">
        <v>7</v>
      </c>
      <c r="G6" s="40" t="s">
        <v>8</v>
      </c>
      <c r="H6" s="41" t="s">
        <v>9</v>
      </c>
      <c r="I6" s="42"/>
      <c r="J6" s="43" t="s">
        <v>10</v>
      </c>
    </row>
    <row r="7" spans="2:39" s="5" customFormat="1" x14ac:dyDescent="0.25">
      <c r="B7" s="22" t="s">
        <v>11</v>
      </c>
      <c r="C7" s="26" t="s">
        <v>36</v>
      </c>
      <c r="D7" s="10" t="s">
        <v>37</v>
      </c>
      <c r="E7" s="10" t="s">
        <v>37</v>
      </c>
      <c r="F7" s="10" t="s">
        <v>37</v>
      </c>
      <c r="G7" s="10"/>
      <c r="H7" s="10" t="s">
        <v>37</v>
      </c>
      <c r="I7" s="7"/>
      <c r="J7" s="8" t="s">
        <v>37</v>
      </c>
      <c r="K7"/>
      <c r="L7"/>
      <c r="M7"/>
      <c r="N7"/>
      <c r="O7"/>
      <c r="P7"/>
      <c r="Q7"/>
      <c r="R7"/>
      <c r="S7"/>
      <c r="T7"/>
      <c r="U7"/>
      <c r="V7"/>
      <c r="W7"/>
      <c r="X7"/>
      <c r="Y7"/>
      <c r="Z7"/>
      <c r="AA7"/>
      <c r="AB7"/>
      <c r="AC7"/>
      <c r="AD7"/>
      <c r="AE7"/>
      <c r="AF7"/>
      <c r="AG7"/>
      <c r="AH7"/>
      <c r="AI7"/>
      <c r="AJ7"/>
      <c r="AK7"/>
      <c r="AL7"/>
      <c r="AM7"/>
    </row>
    <row r="8" spans="2:39" ht="60" x14ac:dyDescent="0.25">
      <c r="B8" s="23"/>
      <c r="C8" s="72" t="s">
        <v>38</v>
      </c>
      <c r="D8" s="15">
        <v>120000</v>
      </c>
      <c r="E8" s="15">
        <f t="shared" ref="E8:H10" si="0">D8*1.02</f>
        <v>122400</v>
      </c>
      <c r="F8" s="15">
        <f t="shared" si="0"/>
        <v>124848</v>
      </c>
      <c r="G8" s="15">
        <f t="shared" si="0"/>
        <v>127344.96000000001</v>
      </c>
      <c r="H8" s="15">
        <f t="shared" si="0"/>
        <v>129891.85920000001</v>
      </c>
      <c r="I8" s="35">
        <v>450000</v>
      </c>
      <c r="J8" s="15">
        <f>SUM(D8:H8)</f>
        <v>624484.81920000003</v>
      </c>
    </row>
    <row r="9" spans="2:39" ht="60" x14ac:dyDescent="0.25">
      <c r="B9" s="23"/>
      <c r="C9" s="72" t="s">
        <v>38</v>
      </c>
      <c r="D9" s="15">
        <v>120000</v>
      </c>
      <c r="E9" s="15">
        <f t="shared" si="0"/>
        <v>122400</v>
      </c>
      <c r="F9" s="15">
        <f t="shared" si="0"/>
        <v>124848</v>
      </c>
      <c r="G9" s="15">
        <f t="shared" si="0"/>
        <v>127344.96000000001</v>
      </c>
      <c r="H9" s="15">
        <f t="shared" si="0"/>
        <v>129891.85920000001</v>
      </c>
      <c r="J9" s="15">
        <f>SUM(D9:H9)</f>
        <v>624484.81920000003</v>
      </c>
    </row>
    <row r="10" spans="2:39" ht="60" x14ac:dyDescent="0.25">
      <c r="B10" s="23"/>
      <c r="C10" s="72" t="s">
        <v>38</v>
      </c>
      <c r="D10" s="15">
        <v>120000</v>
      </c>
      <c r="E10" s="15">
        <f t="shared" si="0"/>
        <v>122400</v>
      </c>
      <c r="F10" s="15">
        <f t="shared" si="0"/>
        <v>124848</v>
      </c>
      <c r="G10" s="15">
        <f t="shared" si="0"/>
        <v>127344.96000000001</v>
      </c>
      <c r="H10" s="15">
        <f t="shared" si="0"/>
        <v>129891.85920000001</v>
      </c>
      <c r="J10" s="15">
        <f>SUM(D10:H10)</f>
        <v>624484.81920000003</v>
      </c>
    </row>
    <row r="11" spans="2:39" x14ac:dyDescent="0.25">
      <c r="B11" s="23"/>
      <c r="C11" s="9" t="s">
        <v>12</v>
      </c>
      <c r="D11" s="16">
        <f>SUM(D8:D10)</f>
        <v>360000</v>
      </c>
      <c r="E11" s="16">
        <f t="shared" ref="E11:J11" si="1">SUM(E8:E10)</f>
        <v>367200</v>
      </c>
      <c r="F11" s="16">
        <f t="shared" si="1"/>
        <v>374544</v>
      </c>
      <c r="G11" s="16">
        <f t="shared" si="1"/>
        <v>382034.88</v>
      </c>
      <c r="H11" s="16">
        <f t="shared" si="1"/>
        <v>389675.57760000002</v>
      </c>
      <c r="I11" s="7">
        <f t="shared" si="1"/>
        <v>450000</v>
      </c>
      <c r="J11" s="16">
        <f t="shared" si="1"/>
        <v>1873454.4576000001</v>
      </c>
    </row>
    <row r="12" spans="2:39" x14ac:dyDescent="0.25">
      <c r="B12" s="23"/>
      <c r="C12" s="14" t="s">
        <v>41</v>
      </c>
      <c r="D12" s="13" t="s">
        <v>37</v>
      </c>
      <c r="E12" s="10"/>
      <c r="F12" s="10"/>
      <c r="G12" s="10"/>
      <c r="H12" s="10"/>
      <c r="J12" s="8" t="s">
        <v>37</v>
      </c>
    </row>
    <row r="13" spans="2:39" ht="76.150000000000006" customHeight="1" x14ac:dyDescent="0.25">
      <c r="B13" s="23"/>
      <c r="C13" s="72" t="s">
        <v>81</v>
      </c>
      <c r="D13" s="73">
        <f>D11*0.33</f>
        <v>118800</v>
      </c>
      <c r="E13" s="73">
        <f t="shared" ref="E13:H13" si="2">E11*0.33</f>
        <v>121176</v>
      </c>
      <c r="F13" s="73">
        <f t="shared" si="2"/>
        <v>123599.52</v>
      </c>
      <c r="G13" s="73">
        <f t="shared" si="2"/>
        <v>126071.51040000001</v>
      </c>
      <c r="H13" s="73">
        <f t="shared" si="2"/>
        <v>128592.94060800002</v>
      </c>
      <c r="J13" s="15">
        <f>SUM(D13:H13)</f>
        <v>618239.97100800008</v>
      </c>
    </row>
    <row r="14" spans="2:39" x14ac:dyDescent="0.25">
      <c r="B14" s="23"/>
      <c r="C14" s="25"/>
      <c r="D14" s="15"/>
      <c r="E14" s="15"/>
      <c r="F14" s="15"/>
      <c r="G14" s="15"/>
      <c r="H14" s="15"/>
      <c r="J14" s="15">
        <f t="shared" ref="J14:J15" si="3">SUM(D14:H14)</f>
        <v>0</v>
      </c>
    </row>
    <row r="15" spans="2:39" x14ac:dyDescent="0.25">
      <c r="B15" s="23"/>
      <c r="C15" s="10"/>
      <c r="D15" s="15"/>
      <c r="E15" s="11"/>
      <c r="F15" s="11"/>
      <c r="G15" s="11"/>
      <c r="H15" s="11"/>
      <c r="J15" s="15">
        <f t="shared" si="3"/>
        <v>0</v>
      </c>
    </row>
    <row r="16" spans="2:39" x14ac:dyDescent="0.25">
      <c r="B16" s="23"/>
      <c r="C16" s="9" t="s">
        <v>13</v>
      </c>
      <c r="D16" s="16">
        <f>SUM(D13:D15)</f>
        <v>118800</v>
      </c>
      <c r="E16" s="16">
        <f t="shared" ref="E16:J16" si="4">SUM(E13:E15)</f>
        <v>121176</v>
      </c>
      <c r="F16" s="16">
        <f t="shared" si="4"/>
        <v>123599.52</v>
      </c>
      <c r="G16" s="16">
        <f t="shared" si="4"/>
        <v>126071.51040000001</v>
      </c>
      <c r="H16" s="16">
        <f t="shared" si="4"/>
        <v>128592.94060800002</v>
      </c>
      <c r="I16" s="7">
        <f t="shared" si="4"/>
        <v>0</v>
      </c>
      <c r="J16" s="16">
        <f t="shared" si="4"/>
        <v>618239.97100800008</v>
      </c>
    </row>
    <row r="17" spans="2:10" x14ac:dyDescent="0.25">
      <c r="B17" s="23"/>
      <c r="C17" s="14" t="s">
        <v>43</v>
      </c>
      <c r="D17" s="13" t="s">
        <v>37</v>
      </c>
      <c r="E17" s="10"/>
      <c r="F17" s="10"/>
      <c r="G17" s="10"/>
      <c r="H17" s="10"/>
      <c r="J17" s="8" t="s">
        <v>37</v>
      </c>
    </row>
    <row r="18" spans="2:10" ht="210" x14ac:dyDescent="0.25">
      <c r="B18" s="23"/>
      <c r="C18" s="29" t="s">
        <v>82</v>
      </c>
      <c r="D18" s="15">
        <f>((48*12.75)+(24*34)+(12*(85*2)))+((48*12.75)+(24*34)+(12*(85*2)))+((48*12.75)+(24*34)+(12*(85*2)))</f>
        <v>10404</v>
      </c>
      <c r="E18" s="15">
        <f t="shared" ref="E18:H18" si="5">((48*12.75)+(24*34)+(12*(85*2)))+((48*12.75)+(24*34)+(12*(85*2)))+((48*12.75)+(24*34)+(12*(85*2)))</f>
        <v>10404</v>
      </c>
      <c r="F18" s="15">
        <f t="shared" si="5"/>
        <v>10404</v>
      </c>
      <c r="G18" s="15">
        <f t="shared" si="5"/>
        <v>10404</v>
      </c>
      <c r="H18" s="15">
        <f t="shared" si="5"/>
        <v>10404</v>
      </c>
      <c r="J18" s="15">
        <f>SUM(D18:H18)</f>
        <v>52020</v>
      </c>
    </row>
    <row r="19" spans="2:10" ht="105" x14ac:dyDescent="0.25">
      <c r="B19" s="23"/>
      <c r="C19" s="29" t="s">
        <v>83</v>
      </c>
      <c r="D19" s="15">
        <f>3500*3</f>
        <v>10500</v>
      </c>
      <c r="E19" s="15">
        <f t="shared" ref="E19:H19" si="6">3500*3</f>
        <v>10500</v>
      </c>
      <c r="F19" s="15">
        <f t="shared" si="6"/>
        <v>10500</v>
      </c>
      <c r="G19" s="15">
        <f t="shared" si="6"/>
        <v>10500</v>
      </c>
      <c r="H19" s="15">
        <f t="shared" si="6"/>
        <v>10500</v>
      </c>
      <c r="J19" s="15">
        <f>SUM(D19:H19)</f>
        <v>52500</v>
      </c>
    </row>
    <row r="20" spans="2:10" x14ac:dyDescent="0.25">
      <c r="B20" s="23"/>
      <c r="C20" s="29"/>
      <c r="D20" s="15"/>
      <c r="E20" s="15"/>
      <c r="F20" s="15"/>
      <c r="G20" s="15"/>
      <c r="H20" s="15"/>
      <c r="I20" s="35">
        <v>2000</v>
      </c>
      <c r="J20" s="15">
        <f>SUM(D20:H20)</f>
        <v>0</v>
      </c>
    </row>
    <row r="21" spans="2:10" x14ac:dyDescent="0.25">
      <c r="B21" s="23"/>
      <c r="C21" s="29"/>
      <c r="D21" s="15"/>
      <c r="E21" s="15"/>
      <c r="F21" s="15"/>
      <c r="G21" s="15"/>
      <c r="H21" s="15"/>
      <c r="I21" s="35">
        <v>250</v>
      </c>
      <c r="J21" s="15">
        <f t="shared" ref="J21:J26" si="7">SUM(D21:H21)</f>
        <v>0</v>
      </c>
    </row>
    <row r="22" spans="2:10" x14ac:dyDescent="0.25">
      <c r="B22" s="23"/>
      <c r="C22" s="25"/>
      <c r="D22" s="15"/>
      <c r="E22" s="15"/>
      <c r="F22" s="15"/>
      <c r="G22" s="15"/>
      <c r="H22" s="15"/>
      <c r="I22" s="35">
        <v>2250</v>
      </c>
      <c r="J22" s="15">
        <f t="shared" si="7"/>
        <v>0</v>
      </c>
    </row>
    <row r="23" spans="2:10" x14ac:dyDescent="0.25">
      <c r="B23" s="23"/>
      <c r="C23" s="29"/>
      <c r="D23" s="15"/>
      <c r="E23" s="15"/>
      <c r="F23" s="15"/>
      <c r="G23" s="15"/>
      <c r="H23" s="15"/>
      <c r="I23" s="35">
        <v>1243</v>
      </c>
      <c r="J23" s="15">
        <f t="shared" si="7"/>
        <v>0</v>
      </c>
    </row>
    <row r="24" spans="2:10" x14ac:dyDescent="0.25">
      <c r="B24" s="23"/>
      <c r="C24" s="29"/>
      <c r="D24" s="15"/>
      <c r="E24" s="15"/>
      <c r="F24" s="15"/>
      <c r="G24" s="15"/>
      <c r="H24" s="15"/>
      <c r="I24" s="35">
        <v>225</v>
      </c>
      <c r="J24" s="15">
        <f t="shared" si="7"/>
        <v>0</v>
      </c>
    </row>
    <row r="25" spans="2:10" x14ac:dyDescent="0.25">
      <c r="B25" s="23"/>
      <c r="C25" s="29"/>
      <c r="D25" s="15"/>
      <c r="E25" s="15"/>
      <c r="F25" s="15"/>
      <c r="G25" s="15"/>
      <c r="H25" s="15"/>
      <c r="I25" s="35">
        <v>400</v>
      </c>
      <c r="J25" s="15">
        <f t="shared" si="7"/>
        <v>0</v>
      </c>
    </row>
    <row r="26" spans="2:10" x14ac:dyDescent="0.25">
      <c r="B26" s="23"/>
      <c r="C26" s="25"/>
      <c r="D26" s="15"/>
      <c r="E26" s="15"/>
      <c r="F26" s="15"/>
      <c r="G26" s="15"/>
      <c r="H26" s="15"/>
      <c r="I26" s="35">
        <v>1638</v>
      </c>
      <c r="J26" s="15">
        <f t="shared" si="7"/>
        <v>0</v>
      </c>
    </row>
    <row r="27" spans="2:10" x14ac:dyDescent="0.25">
      <c r="B27" s="23"/>
      <c r="C27" s="9" t="s">
        <v>14</v>
      </c>
      <c r="D27" s="16">
        <f>SUM(D18:D26)</f>
        <v>20904</v>
      </c>
      <c r="E27" s="16">
        <f>SUM(E18:E26)</f>
        <v>20904</v>
      </c>
      <c r="F27" s="16">
        <f>SUM(F18:F26)</f>
        <v>20904</v>
      </c>
      <c r="G27" s="16">
        <f>SUM(G18:G26)</f>
        <v>20904</v>
      </c>
      <c r="H27" s="16">
        <f>SUM(H18:H26)</f>
        <v>20904</v>
      </c>
      <c r="J27" s="16">
        <f>SUM(J18:J26)</f>
        <v>104520</v>
      </c>
    </row>
    <row r="28" spans="2:10" x14ac:dyDescent="0.25">
      <c r="B28" s="23"/>
      <c r="C28" s="14" t="s">
        <v>46</v>
      </c>
      <c r="D28" s="15"/>
      <c r="E28" s="10"/>
      <c r="F28" s="10"/>
      <c r="G28" s="10"/>
      <c r="H28" s="10"/>
      <c r="J28" s="15" t="s">
        <v>20</v>
      </c>
    </row>
    <row r="29" spans="2:10" ht="45" x14ac:dyDescent="0.25">
      <c r="B29" s="23"/>
      <c r="C29" s="25" t="s">
        <v>84</v>
      </c>
      <c r="D29" s="15">
        <f>35000*3</f>
        <v>105000</v>
      </c>
      <c r="E29" s="10"/>
      <c r="F29" s="10"/>
      <c r="G29" s="10"/>
      <c r="H29" s="10"/>
      <c r="J29" s="15">
        <f>SUM(D29:H29)</f>
        <v>105000</v>
      </c>
    </row>
    <row r="30" spans="2:10" x14ac:dyDescent="0.25">
      <c r="B30" s="23" t="s">
        <v>48</v>
      </c>
      <c r="C30" s="28" t="s">
        <v>48</v>
      </c>
      <c r="D30" s="13" t="s">
        <v>37</v>
      </c>
      <c r="E30" s="10"/>
      <c r="F30" s="10"/>
      <c r="G30" s="10"/>
      <c r="H30" s="10"/>
      <c r="J30" s="15">
        <f t="shared" ref="J30:J56" si="8">SUM(D30:H30)</f>
        <v>0</v>
      </c>
    </row>
    <row r="31" spans="2:10" x14ac:dyDescent="0.25">
      <c r="B31" s="23"/>
      <c r="C31" s="9" t="s">
        <v>15</v>
      </c>
      <c r="D31" s="12">
        <f>SUM(D29:D30)</f>
        <v>105000</v>
      </c>
      <c r="E31" s="12">
        <f t="shared" ref="E31:H31" si="9">SUM(E29:E30)</f>
        <v>0</v>
      </c>
      <c r="F31" s="12">
        <f t="shared" si="9"/>
        <v>0</v>
      </c>
      <c r="G31" s="12">
        <f t="shared" si="9"/>
        <v>0</v>
      </c>
      <c r="H31" s="12">
        <f t="shared" si="9"/>
        <v>0</v>
      </c>
      <c r="J31" s="16">
        <f>SUM(J29:J30)</f>
        <v>105000</v>
      </c>
    </row>
    <row r="32" spans="2:10" x14ac:dyDescent="0.25">
      <c r="B32" s="23"/>
      <c r="C32" s="14" t="s">
        <v>50</v>
      </c>
      <c r="D32" s="13" t="s">
        <v>37</v>
      </c>
      <c r="E32" s="10"/>
      <c r="F32" s="10"/>
      <c r="G32" s="10"/>
      <c r="H32" s="10"/>
      <c r="J32" s="15"/>
    </row>
    <row r="33" spans="2:10" x14ac:dyDescent="0.25">
      <c r="B33" s="23"/>
      <c r="C33" s="25" t="s">
        <v>51</v>
      </c>
      <c r="D33" s="15">
        <f>3000*3</f>
        <v>9000</v>
      </c>
      <c r="E33" s="15"/>
      <c r="F33" s="15"/>
      <c r="G33" s="15"/>
      <c r="H33" s="15"/>
      <c r="J33" s="15">
        <f t="shared" si="8"/>
        <v>9000</v>
      </c>
    </row>
    <row r="34" spans="2:10" ht="60" x14ac:dyDescent="0.25">
      <c r="B34" s="23"/>
      <c r="C34" s="25" t="s">
        <v>52</v>
      </c>
      <c r="D34" s="15">
        <v>4500</v>
      </c>
      <c r="E34" s="15"/>
      <c r="F34" s="15"/>
      <c r="G34" s="15"/>
      <c r="H34" s="15"/>
      <c r="I34" s="35">
        <v>5000</v>
      </c>
      <c r="J34" s="15">
        <f t="shared" si="8"/>
        <v>4500</v>
      </c>
    </row>
    <row r="35" spans="2:10" ht="30" x14ac:dyDescent="0.25">
      <c r="B35" s="23"/>
      <c r="C35" s="25" t="s">
        <v>85</v>
      </c>
      <c r="D35" s="15">
        <f>500*3</f>
        <v>1500</v>
      </c>
      <c r="E35" s="15">
        <f t="shared" ref="E35:H35" si="10">500*3</f>
        <v>1500</v>
      </c>
      <c r="F35" s="15">
        <f t="shared" si="10"/>
        <v>1500</v>
      </c>
      <c r="G35" s="15">
        <f t="shared" si="10"/>
        <v>1500</v>
      </c>
      <c r="H35" s="15">
        <f t="shared" si="10"/>
        <v>1500</v>
      </c>
      <c r="J35" s="15">
        <f t="shared" si="8"/>
        <v>7500</v>
      </c>
    </row>
    <row r="36" spans="2:10" x14ac:dyDescent="0.25">
      <c r="B36" s="23"/>
      <c r="C36" s="9" t="s">
        <v>16</v>
      </c>
      <c r="D36" s="16">
        <f>SUM(D33:D35)</f>
        <v>15000</v>
      </c>
      <c r="E36" s="16">
        <f t="shared" ref="E36:H36" si="11">SUM(E33:E35)</f>
        <v>1500</v>
      </c>
      <c r="F36" s="16">
        <f t="shared" si="11"/>
        <v>1500</v>
      </c>
      <c r="G36" s="16">
        <f t="shared" si="11"/>
        <v>1500</v>
      </c>
      <c r="H36" s="16">
        <f t="shared" si="11"/>
        <v>1500</v>
      </c>
      <c r="J36" s="16">
        <f>SUM(J33:J35)</f>
        <v>21000</v>
      </c>
    </row>
    <row r="37" spans="2:10" x14ac:dyDescent="0.25">
      <c r="B37" s="23"/>
      <c r="C37" s="14" t="s">
        <v>54</v>
      </c>
      <c r="D37" s="13" t="s">
        <v>37</v>
      </c>
      <c r="E37" s="10"/>
      <c r="F37" s="10"/>
      <c r="G37" s="10"/>
      <c r="H37" s="10"/>
      <c r="J37" s="15"/>
    </row>
    <row r="38" spans="2:10" x14ac:dyDescent="0.25">
      <c r="B38" s="23"/>
      <c r="C38" s="13"/>
      <c r="D38" s="15"/>
      <c r="E38" s="15"/>
      <c r="F38" s="15"/>
      <c r="G38" s="15"/>
      <c r="H38" s="15"/>
      <c r="I38" s="35"/>
      <c r="J38" s="15">
        <f t="shared" si="8"/>
        <v>0</v>
      </c>
    </row>
    <row r="39" spans="2:10" x14ac:dyDescent="0.25">
      <c r="B39" s="23"/>
      <c r="C39" s="13"/>
      <c r="D39" s="15"/>
      <c r="E39" s="15"/>
      <c r="F39" s="15"/>
      <c r="G39" s="15"/>
      <c r="H39" s="15"/>
      <c r="I39" s="35"/>
      <c r="J39" s="15">
        <f t="shared" si="8"/>
        <v>0</v>
      </c>
    </row>
    <row r="40" spans="2:10" x14ac:dyDescent="0.25">
      <c r="B40" s="23"/>
      <c r="C40" s="13"/>
      <c r="D40" s="15"/>
      <c r="E40" s="15"/>
      <c r="F40" s="15"/>
      <c r="G40" s="15"/>
      <c r="H40" s="15"/>
      <c r="I40" s="35"/>
      <c r="J40" s="15">
        <f t="shared" si="8"/>
        <v>0</v>
      </c>
    </row>
    <row r="41" spans="2:10" x14ac:dyDescent="0.25">
      <c r="B41" s="23"/>
      <c r="C41" s="62"/>
      <c r="D41" s="15"/>
      <c r="E41" s="15"/>
      <c r="F41" s="15"/>
      <c r="G41" s="15"/>
      <c r="H41" s="15"/>
      <c r="I41" s="35"/>
      <c r="J41" s="15">
        <f t="shared" si="8"/>
        <v>0</v>
      </c>
    </row>
    <row r="42" spans="2:10" x14ac:dyDescent="0.25">
      <c r="B42" s="23"/>
      <c r="C42" s="25"/>
      <c r="D42" s="15"/>
      <c r="E42" s="11"/>
      <c r="F42" s="11"/>
      <c r="G42" s="11"/>
      <c r="H42" s="11"/>
      <c r="J42" s="15">
        <f t="shared" si="8"/>
        <v>0</v>
      </c>
    </row>
    <row r="43" spans="2:10" x14ac:dyDescent="0.25">
      <c r="B43" s="23"/>
      <c r="C43" s="9" t="s">
        <v>17</v>
      </c>
      <c r="D43" s="16">
        <f>SUM(D38:D42)</f>
        <v>0</v>
      </c>
      <c r="E43" s="16">
        <f t="shared" ref="E43:H43" si="12">SUM(E38:E42)</f>
        <v>0</v>
      </c>
      <c r="F43" s="16">
        <f t="shared" si="12"/>
        <v>0</v>
      </c>
      <c r="G43" s="16">
        <f t="shared" si="12"/>
        <v>0</v>
      </c>
      <c r="H43" s="16">
        <f t="shared" si="12"/>
        <v>0</v>
      </c>
      <c r="J43" s="16">
        <f>SUM(J38:J42)</f>
        <v>0</v>
      </c>
    </row>
    <row r="44" spans="2:10" x14ac:dyDescent="0.25">
      <c r="B44" s="23"/>
      <c r="C44" s="14" t="s">
        <v>55</v>
      </c>
      <c r="D44" s="13" t="s">
        <v>37</v>
      </c>
      <c r="E44" s="10"/>
      <c r="F44" s="10"/>
      <c r="G44" s="10"/>
      <c r="H44" s="10"/>
      <c r="J44" s="15"/>
    </row>
    <row r="45" spans="2:10" ht="165" x14ac:dyDescent="0.25">
      <c r="B45" s="23"/>
      <c r="C45" s="25" t="s">
        <v>86</v>
      </c>
      <c r="D45" s="44">
        <f>13771440+225000+175000+200000</f>
        <v>14371440</v>
      </c>
      <c r="E45" s="15"/>
      <c r="F45" s="15"/>
      <c r="G45" s="15"/>
      <c r="H45" s="15"/>
      <c r="I45" s="35">
        <v>375000</v>
      </c>
      <c r="J45" s="15">
        <f t="shared" si="8"/>
        <v>14371440</v>
      </c>
    </row>
    <row r="46" spans="2:10" ht="180" x14ac:dyDescent="0.25">
      <c r="B46" s="23"/>
      <c r="C46" s="25" t="s">
        <v>87</v>
      </c>
      <c r="D46" s="44">
        <f>1515280+2579200+225000</f>
        <v>4319480</v>
      </c>
      <c r="E46" s="15"/>
      <c r="F46" s="15"/>
      <c r="G46" s="15"/>
      <c r="H46" s="15"/>
      <c r="I46" s="35">
        <v>781250</v>
      </c>
      <c r="J46" s="15">
        <f t="shared" si="8"/>
        <v>4319480</v>
      </c>
    </row>
    <row r="47" spans="2:10" ht="165" x14ac:dyDescent="0.25">
      <c r="B47" s="23"/>
      <c r="C47" s="25" t="s">
        <v>88</v>
      </c>
      <c r="D47" s="44">
        <f>8039850+1310990+200000</f>
        <v>9550840</v>
      </c>
      <c r="E47" s="15"/>
      <c r="F47" s="15"/>
      <c r="G47" s="15"/>
      <c r="H47" s="15"/>
      <c r="I47" s="35"/>
      <c r="J47" s="15">
        <f t="shared" si="8"/>
        <v>9550840</v>
      </c>
    </row>
    <row r="48" spans="2:10" ht="165" x14ac:dyDescent="0.25">
      <c r="B48" s="23"/>
      <c r="C48" s="25" t="s">
        <v>89</v>
      </c>
      <c r="D48" s="44">
        <f>6851000+5134220+500000+250000</f>
        <v>12735220</v>
      </c>
      <c r="E48" s="15"/>
      <c r="F48" s="15"/>
      <c r="G48" s="15"/>
      <c r="H48" s="15"/>
      <c r="I48" s="35"/>
      <c r="J48" s="15">
        <f t="shared" si="8"/>
        <v>12735220</v>
      </c>
    </row>
    <row r="49" spans="2:10" ht="165" x14ac:dyDescent="0.25">
      <c r="B49" s="23"/>
      <c r="C49" s="25" t="s">
        <v>90</v>
      </c>
      <c r="D49" s="44">
        <f>6058640+6163110</f>
        <v>12221750</v>
      </c>
      <c r="E49" s="15"/>
      <c r="F49" s="15"/>
      <c r="G49" s="15"/>
      <c r="H49" s="15"/>
      <c r="I49" s="35"/>
      <c r="J49" s="15">
        <f t="shared" si="8"/>
        <v>12221750</v>
      </c>
    </row>
    <row r="50" spans="2:10" ht="165" x14ac:dyDescent="0.25">
      <c r="B50" s="23"/>
      <c r="C50" s="25" t="s">
        <v>91</v>
      </c>
      <c r="D50" s="44">
        <f>8370000+375000+300000</f>
        <v>9045000</v>
      </c>
      <c r="E50" s="15"/>
      <c r="F50" s="15"/>
      <c r="G50" s="15"/>
      <c r="H50" s="15"/>
      <c r="I50" s="35"/>
      <c r="J50" s="15">
        <f t="shared" si="8"/>
        <v>9045000</v>
      </c>
    </row>
    <row r="51" spans="2:10" ht="165" x14ac:dyDescent="0.25">
      <c r="B51" s="23"/>
      <c r="C51" s="25" t="s">
        <v>92</v>
      </c>
      <c r="D51" s="44">
        <f>6020510</f>
        <v>6020510</v>
      </c>
      <c r="E51" s="15"/>
      <c r="F51" s="15"/>
      <c r="G51" s="15"/>
      <c r="H51" s="15"/>
      <c r="I51" s="35">
        <v>2083335</v>
      </c>
      <c r="J51" s="15">
        <f t="shared" si="8"/>
        <v>6020510</v>
      </c>
    </row>
    <row r="52" spans="2:10" ht="165" x14ac:dyDescent="0.25">
      <c r="B52" s="23"/>
      <c r="C52" s="25" t="s">
        <v>93</v>
      </c>
      <c r="D52" s="44">
        <f>3642190</f>
        <v>3642190</v>
      </c>
      <c r="E52" s="11"/>
      <c r="F52" s="11"/>
      <c r="G52" s="11"/>
      <c r="H52" s="11"/>
      <c r="J52" s="15">
        <f t="shared" si="8"/>
        <v>3642190</v>
      </c>
    </row>
    <row r="53" spans="2:10" ht="165" x14ac:dyDescent="0.25">
      <c r="B53" s="23"/>
      <c r="C53" s="25" t="s">
        <v>94</v>
      </c>
      <c r="D53" s="44">
        <f>1459605+1123290+1180305+175000</f>
        <v>3938200</v>
      </c>
      <c r="E53" s="11"/>
      <c r="F53" s="11"/>
      <c r="G53" s="11"/>
      <c r="H53" s="11"/>
      <c r="J53" s="15">
        <f t="shared" si="8"/>
        <v>3938200</v>
      </c>
    </row>
    <row r="54" spans="2:10" x14ac:dyDescent="0.25">
      <c r="B54" s="23"/>
      <c r="C54" s="10"/>
      <c r="D54" s="15"/>
      <c r="E54" s="11"/>
      <c r="F54" s="11"/>
      <c r="G54" s="11"/>
      <c r="H54" s="11"/>
      <c r="J54" s="15">
        <f t="shared" si="8"/>
        <v>0</v>
      </c>
    </row>
    <row r="55" spans="2:10" x14ac:dyDescent="0.25">
      <c r="B55" s="24"/>
      <c r="C55" s="9" t="s">
        <v>18</v>
      </c>
      <c r="D55" s="16">
        <f>SUM(D45:D54)</f>
        <v>75844630</v>
      </c>
      <c r="E55" s="16">
        <f t="shared" ref="E55:H55" si="13">SUM(E45:E54)</f>
        <v>0</v>
      </c>
      <c r="F55" s="16">
        <f t="shared" si="13"/>
        <v>0</v>
      </c>
      <c r="G55" s="16">
        <f t="shared" si="13"/>
        <v>0</v>
      </c>
      <c r="H55" s="16">
        <f t="shared" si="13"/>
        <v>0</v>
      </c>
      <c r="J55" s="16">
        <f>SUM(J45:J54)</f>
        <v>75844630</v>
      </c>
    </row>
    <row r="56" spans="2:10" x14ac:dyDescent="0.25">
      <c r="B56" s="24"/>
      <c r="C56" s="9" t="s">
        <v>19</v>
      </c>
      <c r="D56" s="16">
        <f>SUM(D55,D43,D36,D31,D27,D16,D11)</f>
        <v>76464334</v>
      </c>
      <c r="E56" s="16">
        <f t="shared" ref="E56:H56" si="14">SUM(E55,E43,E36,E31,E27,E16,E11)</f>
        <v>510780</v>
      </c>
      <c r="F56" s="16">
        <f t="shared" si="14"/>
        <v>520547.52</v>
      </c>
      <c r="G56" s="16">
        <f t="shared" si="14"/>
        <v>530510.39040000003</v>
      </c>
      <c r="H56" s="16">
        <f t="shared" si="14"/>
        <v>540672.51820800011</v>
      </c>
      <c r="J56" s="16">
        <f t="shared" si="8"/>
        <v>78566844.428608</v>
      </c>
    </row>
    <row r="57" spans="2:10" x14ac:dyDescent="0.25">
      <c r="B57" s="6"/>
      <c r="D57"/>
      <c r="E57"/>
      <c r="H57"/>
      <c r="I57"/>
      <c r="J57" t="s">
        <v>20</v>
      </c>
    </row>
    <row r="58" spans="2:10" x14ac:dyDescent="0.25">
      <c r="B58" s="22" t="s">
        <v>80</v>
      </c>
      <c r="C58" s="17" t="s">
        <v>80</v>
      </c>
      <c r="D58" s="18"/>
      <c r="E58" s="18"/>
      <c r="F58" s="18"/>
      <c r="G58" s="18"/>
      <c r="H58" s="18"/>
      <c r="I58"/>
      <c r="J58" s="18" t="s">
        <v>20</v>
      </c>
    </row>
    <row r="59" spans="2:10" x14ac:dyDescent="0.25">
      <c r="B59" s="23"/>
      <c r="C59" s="25"/>
      <c r="D59" s="13"/>
      <c r="E59" s="10"/>
      <c r="F59" s="10"/>
      <c r="G59" s="10"/>
      <c r="H59" s="10"/>
      <c r="J59" s="15">
        <f>SUM(D59:H59)</f>
        <v>0</v>
      </c>
    </row>
    <row r="60" spans="2:10" x14ac:dyDescent="0.25">
      <c r="B60" s="23"/>
      <c r="C60" s="25"/>
      <c r="D60" s="13"/>
      <c r="E60" s="10"/>
      <c r="F60" s="10"/>
      <c r="G60" s="10"/>
      <c r="H60" s="10"/>
      <c r="J60" s="15">
        <f t="shared" ref="J60:J61" si="15">SUM(D60:H60)</f>
        <v>0</v>
      </c>
    </row>
    <row r="61" spans="2:10" x14ac:dyDescent="0.25">
      <c r="B61" s="24"/>
      <c r="C61" s="9" t="s">
        <v>21</v>
      </c>
      <c r="D61" s="16">
        <f>SUM(D59:D60)</f>
        <v>0</v>
      </c>
      <c r="E61" s="16">
        <f t="shared" ref="E61:H61" si="16">SUM(E59:E60)</f>
        <v>0</v>
      </c>
      <c r="F61" s="16">
        <f t="shared" si="16"/>
        <v>0</v>
      </c>
      <c r="G61" s="16">
        <f t="shared" si="16"/>
        <v>0</v>
      </c>
      <c r="H61" s="16">
        <f t="shared" si="16"/>
        <v>0</v>
      </c>
      <c r="J61" s="16">
        <f t="shared" si="15"/>
        <v>0</v>
      </c>
    </row>
    <row r="62" spans="2:10" ht="15.75" thickBot="1" x14ac:dyDescent="0.3">
      <c r="B62" s="6"/>
      <c r="D62"/>
      <c r="E62"/>
      <c r="H62"/>
      <c r="I62"/>
      <c r="J62" t="s">
        <v>20</v>
      </c>
    </row>
    <row r="63" spans="2:10" s="1" customFormat="1" ht="30.75" thickBot="1" x14ac:dyDescent="0.3">
      <c r="B63" s="19" t="s">
        <v>22</v>
      </c>
      <c r="C63" s="19"/>
      <c r="D63" s="20">
        <f>SUM(D61,D56)</f>
        <v>76464334</v>
      </c>
      <c r="E63" s="20">
        <f t="shared" ref="E63:J63" si="17">SUM(E61,E56)</f>
        <v>510780</v>
      </c>
      <c r="F63" s="20">
        <f t="shared" si="17"/>
        <v>520547.52</v>
      </c>
      <c r="G63" s="20">
        <f t="shared" si="17"/>
        <v>530510.39040000003</v>
      </c>
      <c r="H63" s="20">
        <f t="shared" si="17"/>
        <v>540672.51820800011</v>
      </c>
      <c r="I63" s="7">
        <f>SUM(I61,I56)</f>
        <v>0</v>
      </c>
      <c r="J63" s="20">
        <f t="shared" si="17"/>
        <v>78566844.428608</v>
      </c>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row r="74" spans="2:2" x14ac:dyDescent="0.25">
      <c r="B74" s="6"/>
    </row>
    <row r="75" spans="2:2" x14ac:dyDescent="0.25">
      <c r="B75" s="6"/>
    </row>
    <row r="76" spans="2:2" x14ac:dyDescent="0.25">
      <c r="B76" s="6"/>
    </row>
    <row r="77" spans="2:2" x14ac:dyDescent="0.25">
      <c r="B77" s="6"/>
    </row>
    <row r="78" spans="2:2" x14ac:dyDescent="0.25">
      <c r="B78" s="6"/>
    </row>
  </sheetData>
  <pageMargins left="0.7" right="0.7" top="0.75" bottom="0.75" header="0.3" footer="0.3"/>
  <pageSetup scale="89" fitToHeight="0" orientation="landscape" r:id="rId1"/>
  <ignoredErrors>
    <ignoredError sqref="J8 J20:J26 J34 J51 J45:J46"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2F6B-0E17-4DEC-91FE-233D04B5BDA4}">
  <sheetPr>
    <tabColor theme="9" tint="0.39997558519241921"/>
    <pageSetUpPr fitToPage="1"/>
  </sheetPr>
  <dimension ref="B2:AM73"/>
  <sheetViews>
    <sheetView showGridLines="0" zoomScale="85" zoomScaleNormal="85" workbookViewId="0">
      <pane xSplit="3" ySplit="6" topLeftCell="D44" activePane="bottomRight" state="frozen"/>
      <selection pane="topRight" activeCell="R20" sqref="R20:W20"/>
      <selection pane="bottomLeft" activeCell="R20" sqref="R20:W20"/>
      <selection pane="bottomRight" activeCell="C44" sqref="C44:H47"/>
    </sheetView>
  </sheetViews>
  <sheetFormatPr defaultColWidth="9.28515625" defaultRowHeight="15" x14ac:dyDescent="0.25"/>
  <cols>
    <col min="1" max="1" width="3.28515625" customWidth="1"/>
    <col min="2" max="2" width="10.7109375" customWidth="1"/>
    <col min="3" max="3" width="45.5703125" customWidth="1"/>
    <col min="4" max="4" width="12.7109375" style="6" customWidth="1"/>
    <col min="5" max="5" width="12.5703125" style="2" customWidth="1"/>
    <col min="6" max="7" width="12.42578125" customWidth="1"/>
    <col min="8" max="8" width="12.5703125" style="2" customWidth="1"/>
    <col min="9" max="9" width="0.7109375" style="7" customWidth="1"/>
    <col min="10" max="10" width="13.5703125" customWidth="1"/>
    <col min="11" max="11" width="10.28515625" customWidth="1"/>
  </cols>
  <sheetData>
    <row r="2" spans="2:39" ht="23.25" x14ac:dyDescent="0.35">
      <c r="B2" s="30" t="s">
        <v>34</v>
      </c>
    </row>
    <row r="3" spans="2:39" x14ac:dyDescent="0.25">
      <c r="B3" s="65" t="s">
        <v>35</v>
      </c>
    </row>
    <row r="4" spans="2:39" x14ac:dyDescent="0.25">
      <c r="B4" s="5"/>
    </row>
    <row r="5" spans="2:39" ht="18.75" x14ac:dyDescent="0.3">
      <c r="B5" s="36" t="s">
        <v>2</v>
      </c>
      <c r="C5" s="37"/>
      <c r="D5" s="37"/>
      <c r="E5" s="37"/>
      <c r="F5" s="37"/>
      <c r="G5" s="37"/>
      <c r="H5" s="37"/>
      <c r="I5" s="37"/>
      <c r="J5" s="38"/>
    </row>
    <row r="6" spans="2:39" x14ac:dyDescent="0.25">
      <c r="B6" s="39" t="s">
        <v>3</v>
      </c>
      <c r="C6" s="39" t="s">
        <v>4</v>
      </c>
      <c r="D6" s="39" t="s">
        <v>5</v>
      </c>
      <c r="E6" s="40" t="s">
        <v>6</v>
      </c>
      <c r="F6" s="40" t="s">
        <v>7</v>
      </c>
      <c r="G6" s="40" t="s">
        <v>8</v>
      </c>
      <c r="H6" s="41" t="s">
        <v>9</v>
      </c>
      <c r="I6" s="42"/>
      <c r="J6" s="43" t="s">
        <v>10</v>
      </c>
    </row>
    <row r="7" spans="2:39" s="5" customFormat="1" x14ac:dyDescent="0.25">
      <c r="B7" s="22" t="s">
        <v>11</v>
      </c>
      <c r="C7" s="26" t="s">
        <v>36</v>
      </c>
      <c r="D7" s="10" t="s">
        <v>37</v>
      </c>
      <c r="E7" s="10" t="s">
        <v>37</v>
      </c>
      <c r="F7" s="10" t="s">
        <v>37</v>
      </c>
      <c r="G7" s="10"/>
      <c r="H7" s="10" t="s">
        <v>37</v>
      </c>
      <c r="I7" s="7"/>
      <c r="J7" s="8" t="s">
        <v>37</v>
      </c>
      <c r="K7"/>
      <c r="L7"/>
      <c r="M7"/>
      <c r="N7"/>
      <c r="O7"/>
      <c r="P7"/>
      <c r="Q7"/>
      <c r="R7"/>
      <c r="S7"/>
      <c r="T7"/>
      <c r="U7"/>
      <c r="V7"/>
      <c r="W7"/>
      <c r="X7"/>
      <c r="Y7"/>
      <c r="Z7"/>
      <c r="AA7"/>
      <c r="AB7"/>
      <c r="AC7"/>
      <c r="AD7"/>
      <c r="AE7"/>
      <c r="AF7"/>
      <c r="AG7"/>
      <c r="AH7"/>
      <c r="AI7"/>
      <c r="AJ7"/>
      <c r="AK7"/>
      <c r="AL7"/>
      <c r="AM7"/>
    </row>
    <row r="8" spans="2:39" x14ac:dyDescent="0.25">
      <c r="B8" s="23"/>
      <c r="C8" s="25"/>
      <c r="D8" s="15"/>
      <c r="E8" s="15"/>
      <c r="F8" s="15"/>
      <c r="G8" s="15"/>
      <c r="H8" s="15"/>
      <c r="I8" s="35">
        <v>450000</v>
      </c>
      <c r="J8" s="15">
        <f>SUM(D8:H8)</f>
        <v>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x14ac:dyDescent="0.25">
      <c r="B12" s="23"/>
      <c r="C12" s="14" t="s">
        <v>41</v>
      </c>
      <c r="D12" s="13" t="s">
        <v>37</v>
      </c>
      <c r="E12" s="10"/>
      <c r="F12" s="10"/>
      <c r="G12" s="10"/>
      <c r="H12" s="10"/>
      <c r="J12" s="8" t="s">
        <v>37</v>
      </c>
    </row>
    <row r="13" spans="2:39" x14ac:dyDescent="0.25">
      <c r="B13" s="23"/>
      <c r="C13" s="25"/>
      <c r="D13" s="15"/>
      <c r="E13" s="15"/>
      <c r="F13" s="15"/>
      <c r="G13" s="15"/>
      <c r="H13" s="15"/>
      <c r="J13" s="15">
        <f>SUM(D13:H13)</f>
        <v>0</v>
      </c>
    </row>
    <row r="14" spans="2:39" x14ac:dyDescent="0.25">
      <c r="B14" s="23"/>
      <c r="C14" s="25"/>
      <c r="D14" s="15"/>
      <c r="E14" s="15"/>
      <c r="F14" s="15"/>
      <c r="G14" s="15"/>
      <c r="H14" s="15"/>
      <c r="J14" s="15">
        <f t="shared" ref="J14:J15" si="1">SUM(D14:H14)</f>
        <v>0</v>
      </c>
    </row>
    <row r="15" spans="2:39" x14ac:dyDescent="0.25">
      <c r="B15" s="23"/>
      <c r="C15" s="10"/>
      <c r="D15" s="15"/>
      <c r="E15" s="11"/>
      <c r="F15" s="11"/>
      <c r="G15" s="11"/>
      <c r="H15" s="11"/>
      <c r="J15" s="15">
        <f t="shared" si="1"/>
        <v>0</v>
      </c>
    </row>
    <row r="16" spans="2:39" x14ac:dyDescent="0.25">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x14ac:dyDescent="0.25">
      <c r="B17" s="23"/>
      <c r="C17" s="14" t="s">
        <v>43</v>
      </c>
      <c r="D17" s="13" t="s">
        <v>37</v>
      </c>
      <c r="E17" s="10"/>
      <c r="F17" s="10"/>
      <c r="G17" s="10"/>
      <c r="H17" s="10"/>
      <c r="J17" s="8" t="s">
        <v>37</v>
      </c>
    </row>
    <row r="18" spans="2:10" x14ac:dyDescent="0.25">
      <c r="B18" s="23"/>
      <c r="C18" s="25"/>
      <c r="D18" s="13"/>
      <c r="E18" s="10"/>
      <c r="F18" s="10"/>
      <c r="G18" s="10"/>
      <c r="H18" s="10"/>
      <c r="J18" s="15">
        <f t="shared" ref="J18:J19" si="3">SUM(D18:H18)</f>
        <v>0</v>
      </c>
    </row>
    <row r="19" spans="2:10" x14ac:dyDescent="0.25">
      <c r="B19" s="23"/>
      <c r="C19" s="29"/>
      <c r="D19" s="15"/>
      <c r="E19" s="11"/>
      <c r="F19" s="11"/>
      <c r="G19" s="11"/>
      <c r="H19" s="11"/>
      <c r="J19" s="15">
        <f t="shared" si="3"/>
        <v>0</v>
      </c>
    </row>
    <row r="20" spans="2:10" x14ac:dyDescent="0.25">
      <c r="B20" s="23"/>
      <c r="C20" s="29"/>
      <c r="D20" s="15"/>
      <c r="E20" s="15"/>
      <c r="F20" s="15"/>
      <c r="G20" s="15"/>
      <c r="H20" s="15"/>
      <c r="I20" s="35">
        <v>2000</v>
      </c>
      <c r="J20" s="15">
        <f>SUM(D20:H20)</f>
        <v>0</v>
      </c>
    </row>
    <row r="21" spans="2:10" x14ac:dyDescent="0.25">
      <c r="B21" s="23"/>
      <c r="C21" s="29"/>
      <c r="D21" s="15"/>
      <c r="E21" s="15"/>
      <c r="F21" s="15"/>
      <c r="G21" s="15"/>
      <c r="H21" s="15"/>
      <c r="I21" s="35">
        <v>250</v>
      </c>
      <c r="J21" s="15">
        <f t="shared" ref="J21:J26" si="4">SUM(D21:H21)</f>
        <v>0</v>
      </c>
    </row>
    <row r="22" spans="2:10" x14ac:dyDescent="0.25">
      <c r="B22" s="23"/>
      <c r="C22" s="25"/>
      <c r="D22" s="15"/>
      <c r="E22" s="15"/>
      <c r="F22" s="15"/>
      <c r="G22" s="15"/>
      <c r="H22" s="15"/>
      <c r="I22" s="35">
        <v>2250</v>
      </c>
      <c r="J22" s="15">
        <f t="shared" si="4"/>
        <v>0</v>
      </c>
    </row>
    <row r="23" spans="2:10" x14ac:dyDescent="0.25">
      <c r="B23" s="23"/>
      <c r="C23" s="29"/>
      <c r="D23" s="15"/>
      <c r="E23" s="15"/>
      <c r="F23" s="15"/>
      <c r="G23" s="15"/>
      <c r="H23" s="15"/>
      <c r="I23" s="35">
        <v>1243</v>
      </c>
      <c r="J23" s="15">
        <f t="shared" si="4"/>
        <v>0</v>
      </c>
    </row>
    <row r="24" spans="2:10" x14ac:dyDescent="0.25">
      <c r="B24" s="23"/>
      <c r="C24" s="29"/>
      <c r="D24" s="15"/>
      <c r="E24" s="15"/>
      <c r="F24" s="15"/>
      <c r="G24" s="15"/>
      <c r="H24" s="15"/>
      <c r="I24" s="35">
        <v>225</v>
      </c>
      <c r="J24" s="15">
        <f t="shared" si="4"/>
        <v>0</v>
      </c>
    </row>
    <row r="25" spans="2:10" x14ac:dyDescent="0.25">
      <c r="B25" s="23"/>
      <c r="C25" s="29"/>
      <c r="D25" s="15"/>
      <c r="E25" s="15"/>
      <c r="F25" s="15"/>
      <c r="G25" s="15"/>
      <c r="H25" s="15"/>
      <c r="I25" s="35">
        <v>400</v>
      </c>
      <c r="J25" s="15">
        <f t="shared" si="4"/>
        <v>0</v>
      </c>
    </row>
    <row r="26" spans="2:10" x14ac:dyDescent="0.25">
      <c r="B26" s="23"/>
      <c r="C26" s="25"/>
      <c r="D26" s="15"/>
      <c r="E26" s="15"/>
      <c r="F26" s="15"/>
      <c r="G26" s="15"/>
      <c r="H26" s="15"/>
      <c r="I26" s="35">
        <v>1638</v>
      </c>
      <c r="J26" s="15">
        <f t="shared" si="4"/>
        <v>0</v>
      </c>
    </row>
    <row r="27" spans="2:10" x14ac:dyDescent="0.25">
      <c r="B27" s="23"/>
      <c r="C27" s="9" t="s">
        <v>14</v>
      </c>
      <c r="D27" s="16">
        <f>SUM(D20:D26)</f>
        <v>0</v>
      </c>
      <c r="E27" s="16">
        <f t="shared" ref="E27:H27" si="5">SUM(E20:E26)</f>
        <v>0</v>
      </c>
      <c r="F27" s="16">
        <f t="shared" si="5"/>
        <v>0</v>
      </c>
      <c r="G27" s="16">
        <f t="shared" si="5"/>
        <v>0</v>
      </c>
      <c r="H27" s="16">
        <f t="shared" si="5"/>
        <v>0</v>
      </c>
      <c r="J27" s="16">
        <f>SUM(D27:H27)</f>
        <v>0</v>
      </c>
    </row>
    <row r="28" spans="2:10" x14ac:dyDescent="0.25">
      <c r="B28" s="23"/>
      <c r="C28" s="14" t="s">
        <v>46</v>
      </c>
      <c r="D28" s="15"/>
      <c r="E28" s="10"/>
      <c r="F28" s="10"/>
      <c r="G28" s="10"/>
      <c r="H28" s="10"/>
      <c r="J28" s="15" t="s">
        <v>20</v>
      </c>
    </row>
    <row r="29" spans="2:10" x14ac:dyDescent="0.25">
      <c r="B29" s="23"/>
      <c r="C29" s="25"/>
      <c r="D29" s="15"/>
      <c r="E29" s="10"/>
      <c r="F29" s="10"/>
      <c r="G29" s="10"/>
      <c r="H29" s="10"/>
      <c r="J29" s="15">
        <f>SUM(D29:H29)</f>
        <v>0</v>
      </c>
    </row>
    <row r="30" spans="2:10" x14ac:dyDescent="0.25">
      <c r="B30" s="23" t="s">
        <v>48</v>
      </c>
      <c r="C30" s="28" t="s">
        <v>48</v>
      </c>
      <c r="D30" s="13" t="s">
        <v>37</v>
      </c>
      <c r="E30" s="10"/>
      <c r="F30" s="10"/>
      <c r="G30" s="10"/>
      <c r="H30" s="10"/>
      <c r="J30" s="15">
        <f t="shared" ref="J30:J51" si="6">SUM(D30:H30)</f>
        <v>0</v>
      </c>
    </row>
    <row r="31" spans="2:10" x14ac:dyDescent="0.25">
      <c r="B31" s="23"/>
      <c r="C31" s="9" t="s">
        <v>15</v>
      </c>
      <c r="D31" s="12">
        <f>SUM(D29:D30)</f>
        <v>0</v>
      </c>
      <c r="E31" s="12">
        <f t="shared" ref="E31:H31" si="7">SUM(E29:E30)</f>
        <v>0</v>
      </c>
      <c r="F31" s="12">
        <f t="shared" si="7"/>
        <v>0</v>
      </c>
      <c r="G31" s="12">
        <f t="shared" si="7"/>
        <v>0</v>
      </c>
      <c r="H31" s="12">
        <f t="shared" si="7"/>
        <v>0</v>
      </c>
      <c r="J31" s="16">
        <f t="shared" si="6"/>
        <v>0</v>
      </c>
    </row>
    <row r="32" spans="2:10" x14ac:dyDescent="0.25">
      <c r="B32" s="23"/>
      <c r="C32" s="14" t="s">
        <v>50</v>
      </c>
      <c r="D32" s="13" t="s">
        <v>37</v>
      </c>
      <c r="E32" s="10"/>
      <c r="F32" s="10"/>
      <c r="G32" s="10"/>
      <c r="H32" s="10"/>
      <c r="J32" s="15"/>
    </row>
    <row r="33" spans="2:10" x14ac:dyDescent="0.25">
      <c r="B33" s="23"/>
      <c r="C33" s="25"/>
      <c r="D33" s="15"/>
      <c r="E33" s="15"/>
      <c r="F33" s="15"/>
      <c r="G33" s="15"/>
      <c r="H33" s="15"/>
      <c r="I33" s="35">
        <v>5000</v>
      </c>
      <c r="J33" s="15">
        <f t="shared" si="6"/>
        <v>0</v>
      </c>
    </row>
    <row r="34" spans="2:10" x14ac:dyDescent="0.25">
      <c r="B34" s="23"/>
      <c r="C34" s="25"/>
      <c r="D34" s="15"/>
      <c r="E34" s="11"/>
      <c r="F34" s="11"/>
      <c r="G34" s="11"/>
      <c r="H34" s="11"/>
      <c r="J34" s="15">
        <f t="shared" si="6"/>
        <v>0</v>
      </c>
    </row>
    <row r="35" spans="2:10" x14ac:dyDescent="0.25">
      <c r="B35" s="23"/>
      <c r="C35" s="9" t="s">
        <v>16</v>
      </c>
      <c r="D35" s="16">
        <f>SUM(D33:D34)</f>
        <v>0</v>
      </c>
      <c r="E35" s="16">
        <f t="shared" ref="E35:H35" si="8">SUM(E33:E34)</f>
        <v>0</v>
      </c>
      <c r="F35" s="16">
        <f t="shared" si="8"/>
        <v>0</v>
      </c>
      <c r="G35" s="16">
        <f t="shared" si="8"/>
        <v>0</v>
      </c>
      <c r="H35" s="16">
        <f t="shared" si="8"/>
        <v>0</v>
      </c>
      <c r="J35" s="16">
        <f t="shared" si="6"/>
        <v>0</v>
      </c>
    </row>
    <row r="36" spans="2:10" x14ac:dyDescent="0.25">
      <c r="B36" s="23"/>
      <c r="C36" s="14" t="s">
        <v>54</v>
      </c>
      <c r="D36" s="13" t="s">
        <v>37</v>
      </c>
      <c r="E36" s="10"/>
      <c r="F36" s="10"/>
      <c r="G36" s="10"/>
      <c r="H36" s="10"/>
      <c r="J36" s="15"/>
    </row>
    <row r="37" spans="2:10" x14ac:dyDescent="0.25">
      <c r="B37" s="23"/>
      <c r="C37" s="61"/>
      <c r="D37" s="15"/>
      <c r="E37" s="15"/>
      <c r="F37" s="15"/>
      <c r="G37" s="15"/>
      <c r="H37" s="15"/>
      <c r="I37" s="35"/>
      <c r="J37" s="15">
        <f t="shared" si="6"/>
        <v>0</v>
      </c>
    </row>
    <row r="38" spans="2:10" x14ac:dyDescent="0.25">
      <c r="B38" s="23"/>
      <c r="C38" s="25"/>
      <c r="D38" s="15"/>
      <c r="E38" s="15"/>
      <c r="F38" s="15"/>
      <c r="G38" s="15"/>
      <c r="H38" s="15"/>
      <c r="I38" s="35">
        <v>22500000</v>
      </c>
      <c r="J38" s="15">
        <f t="shared" si="6"/>
        <v>0</v>
      </c>
    </row>
    <row r="39" spans="2:10" x14ac:dyDescent="0.25">
      <c r="B39" s="23"/>
      <c r="C39" s="25"/>
      <c r="D39" s="15"/>
      <c r="E39" s="15"/>
      <c r="F39" s="15"/>
      <c r="G39" s="15"/>
      <c r="H39" s="15"/>
      <c r="I39" s="35">
        <v>75000000</v>
      </c>
      <c r="J39" s="15">
        <f t="shared" si="6"/>
        <v>0</v>
      </c>
    </row>
    <row r="40" spans="2:10" x14ac:dyDescent="0.25">
      <c r="B40" s="23"/>
      <c r="C40" s="25"/>
      <c r="D40" s="15"/>
      <c r="E40" s="15"/>
      <c r="F40" s="15"/>
      <c r="G40" s="15"/>
      <c r="H40" s="15"/>
      <c r="I40" s="35"/>
      <c r="J40" s="15">
        <f t="shared" si="6"/>
        <v>0</v>
      </c>
    </row>
    <row r="41" spans="2:10" x14ac:dyDescent="0.25">
      <c r="B41" s="23"/>
      <c r="C41" s="25"/>
      <c r="D41" s="15"/>
      <c r="E41" s="15"/>
      <c r="F41" s="15"/>
      <c r="G41" s="15"/>
      <c r="H41" s="15"/>
      <c r="J41" s="15">
        <f t="shared" si="6"/>
        <v>0</v>
      </c>
    </row>
    <row r="42" spans="2:10" x14ac:dyDescent="0.25">
      <c r="B42" s="23"/>
      <c r="C42" s="9" t="s">
        <v>17</v>
      </c>
      <c r="D42" s="16">
        <f>SUM(D37:D41)</f>
        <v>0</v>
      </c>
      <c r="E42" s="16">
        <f t="shared" ref="E42:H42" si="9">SUM(E37:E41)</f>
        <v>0</v>
      </c>
      <c r="F42" s="16">
        <f t="shared" si="9"/>
        <v>0</v>
      </c>
      <c r="G42" s="16">
        <f t="shared" si="9"/>
        <v>0</v>
      </c>
      <c r="H42" s="16">
        <f t="shared" si="9"/>
        <v>0</v>
      </c>
      <c r="J42" s="16">
        <f t="shared" si="6"/>
        <v>0</v>
      </c>
    </row>
    <row r="43" spans="2:10" x14ac:dyDescent="0.25">
      <c r="B43" s="23"/>
      <c r="C43" s="14" t="s">
        <v>55</v>
      </c>
      <c r="D43" s="13" t="s">
        <v>37</v>
      </c>
      <c r="E43" s="10"/>
      <c r="F43" s="10"/>
      <c r="G43" s="10"/>
      <c r="H43" s="10"/>
      <c r="J43" s="15"/>
    </row>
    <row r="44" spans="2:10" ht="60" x14ac:dyDescent="0.25">
      <c r="B44" s="23"/>
      <c r="C44" s="72" t="s">
        <v>95</v>
      </c>
      <c r="D44" s="73">
        <v>10959000</v>
      </c>
      <c r="E44" s="74"/>
      <c r="F44" s="74"/>
      <c r="G44" s="74"/>
      <c r="H44" s="74"/>
      <c r="I44" s="35">
        <v>375000</v>
      </c>
      <c r="J44" s="15">
        <f t="shared" si="6"/>
        <v>10959000</v>
      </c>
    </row>
    <row r="45" spans="2:10" ht="60" x14ac:dyDescent="0.25">
      <c r="B45" s="23"/>
      <c r="C45" s="72" t="s">
        <v>96</v>
      </c>
      <c r="D45" s="74"/>
      <c r="E45" s="74"/>
      <c r="F45" s="74"/>
      <c r="G45" s="73">
        <v>120000</v>
      </c>
      <c r="H45" s="73">
        <v>120000</v>
      </c>
      <c r="I45" s="35">
        <v>781250</v>
      </c>
      <c r="J45" s="15">
        <f t="shared" si="6"/>
        <v>240000</v>
      </c>
    </row>
    <row r="46" spans="2:10" ht="120" x14ac:dyDescent="0.25">
      <c r="B46" s="23"/>
      <c r="C46" s="72" t="s">
        <v>97</v>
      </c>
      <c r="D46" s="74"/>
      <c r="E46" s="74"/>
      <c r="F46" s="73">
        <v>25000</v>
      </c>
      <c r="G46" s="74"/>
      <c r="H46" s="73">
        <v>25000</v>
      </c>
      <c r="I46" s="35">
        <v>2083335</v>
      </c>
      <c r="J46" s="15">
        <f t="shared" si="6"/>
        <v>50000</v>
      </c>
    </row>
    <row r="47" spans="2:10" ht="90" x14ac:dyDescent="0.25">
      <c r="B47" s="23"/>
      <c r="C47" s="72" t="s">
        <v>98</v>
      </c>
      <c r="D47" s="74"/>
      <c r="E47" s="10"/>
      <c r="F47" s="75">
        <v>36000</v>
      </c>
      <c r="G47" s="76"/>
      <c r="H47" s="75">
        <v>36000</v>
      </c>
      <c r="J47" s="15">
        <f t="shared" si="6"/>
        <v>72000</v>
      </c>
    </row>
    <row r="48" spans="2:10" x14ac:dyDescent="0.25">
      <c r="B48" s="23"/>
      <c r="C48" s="25"/>
      <c r="D48" s="15"/>
      <c r="E48" s="11"/>
      <c r="F48" s="11"/>
      <c r="G48" s="11"/>
      <c r="H48" s="11"/>
      <c r="J48" s="15">
        <f t="shared" si="6"/>
        <v>0</v>
      </c>
    </row>
    <row r="49" spans="2:10" x14ac:dyDescent="0.25">
      <c r="B49" s="23"/>
      <c r="C49" s="10"/>
      <c r="D49" s="15"/>
      <c r="E49" s="11"/>
      <c r="F49" s="11"/>
      <c r="G49" s="11"/>
      <c r="H49" s="11"/>
      <c r="J49" s="15">
        <f t="shared" si="6"/>
        <v>0</v>
      </c>
    </row>
    <row r="50" spans="2:10" x14ac:dyDescent="0.25">
      <c r="B50" s="24"/>
      <c r="C50" s="9" t="s">
        <v>18</v>
      </c>
      <c r="D50" s="16">
        <f>SUM(D44:D49)</f>
        <v>10959000</v>
      </c>
      <c r="E50" s="16">
        <f t="shared" ref="E50:H50" si="10">SUM(E44:E49)</f>
        <v>0</v>
      </c>
      <c r="F50" s="16">
        <f t="shared" si="10"/>
        <v>61000</v>
      </c>
      <c r="G50" s="16">
        <f t="shared" si="10"/>
        <v>120000</v>
      </c>
      <c r="H50" s="16">
        <f t="shared" si="10"/>
        <v>181000</v>
      </c>
      <c r="J50" s="16">
        <f t="shared" si="6"/>
        <v>11321000</v>
      </c>
    </row>
    <row r="51" spans="2:10" x14ac:dyDescent="0.25">
      <c r="B51" s="24"/>
      <c r="C51" s="9" t="s">
        <v>19</v>
      </c>
      <c r="D51" s="16">
        <f>SUM(D50,D42,D35,D31,D27,D16,D11)</f>
        <v>10959000</v>
      </c>
      <c r="E51" s="16">
        <f t="shared" ref="E51:H51" si="11">SUM(E50,E42,E35,E31,E27,E16,E11)</f>
        <v>0</v>
      </c>
      <c r="F51" s="16">
        <f t="shared" si="11"/>
        <v>61000</v>
      </c>
      <c r="G51" s="16">
        <f t="shared" si="11"/>
        <v>120000</v>
      </c>
      <c r="H51" s="16">
        <f t="shared" si="11"/>
        <v>181000</v>
      </c>
      <c r="J51" s="16">
        <f t="shared" si="6"/>
        <v>11321000</v>
      </c>
    </row>
    <row r="52" spans="2:10" x14ac:dyDescent="0.25">
      <c r="B52" s="6"/>
      <c r="D52"/>
      <c r="E52"/>
      <c r="H52"/>
      <c r="I52"/>
      <c r="J52" t="s">
        <v>20</v>
      </c>
    </row>
    <row r="53" spans="2:10" ht="30" x14ac:dyDescent="0.25">
      <c r="B53" s="71" t="s">
        <v>80</v>
      </c>
      <c r="C53" s="17" t="s">
        <v>80</v>
      </c>
      <c r="D53" s="18"/>
      <c r="E53" s="18"/>
      <c r="F53" s="18"/>
      <c r="G53" s="18"/>
      <c r="H53" s="18"/>
      <c r="I53"/>
      <c r="J53" s="18" t="s">
        <v>20</v>
      </c>
    </row>
    <row r="54" spans="2:10" x14ac:dyDescent="0.25">
      <c r="B54" s="23"/>
      <c r="C54" s="25"/>
      <c r="D54" s="13"/>
      <c r="E54" s="10"/>
      <c r="F54" s="10"/>
      <c r="G54" s="10"/>
      <c r="H54" s="10"/>
      <c r="J54" s="15">
        <f>SUM(D54:H54)</f>
        <v>0</v>
      </c>
    </row>
    <row r="55" spans="2:10" x14ac:dyDescent="0.25">
      <c r="B55" s="23"/>
      <c r="C55" s="25"/>
      <c r="D55" s="13"/>
      <c r="E55" s="10"/>
      <c r="F55" s="10"/>
      <c r="G55" s="10"/>
      <c r="H55" s="10"/>
      <c r="J55" s="15">
        <f t="shared" ref="J55:J56" si="12">SUM(D55:H55)</f>
        <v>0</v>
      </c>
    </row>
    <row r="56" spans="2:10" x14ac:dyDescent="0.25">
      <c r="B56" s="24"/>
      <c r="C56" s="9" t="s">
        <v>21</v>
      </c>
      <c r="D56" s="16">
        <f>SUM(D54:D55)</f>
        <v>0</v>
      </c>
      <c r="E56" s="16">
        <f t="shared" ref="E56:H56" si="13">SUM(E54:E55)</f>
        <v>0</v>
      </c>
      <c r="F56" s="16">
        <f t="shared" si="13"/>
        <v>0</v>
      </c>
      <c r="G56" s="16">
        <f t="shared" si="13"/>
        <v>0</v>
      </c>
      <c r="H56" s="16">
        <f t="shared" si="13"/>
        <v>0</v>
      </c>
      <c r="J56" s="16">
        <f t="shared" si="12"/>
        <v>0</v>
      </c>
    </row>
    <row r="57" spans="2:10" ht="15.75" thickBot="1" x14ac:dyDescent="0.3">
      <c r="B57" s="6"/>
      <c r="D57"/>
      <c r="E57"/>
      <c r="H57"/>
      <c r="I57"/>
      <c r="J57" t="s">
        <v>20</v>
      </c>
    </row>
    <row r="58" spans="2:10" s="1" customFormat="1" ht="30.75" thickBot="1" x14ac:dyDescent="0.3">
      <c r="B58" s="19" t="s">
        <v>22</v>
      </c>
      <c r="C58" s="19"/>
      <c r="D58" s="20">
        <f>SUM(D56,D51)</f>
        <v>10959000</v>
      </c>
      <c r="E58" s="20">
        <f t="shared" ref="E58:J58" si="14">SUM(E56,E51)</f>
        <v>0</v>
      </c>
      <c r="F58" s="20">
        <f t="shared" si="14"/>
        <v>61000</v>
      </c>
      <c r="G58" s="20">
        <f t="shared" si="14"/>
        <v>120000</v>
      </c>
      <c r="H58" s="20">
        <f t="shared" si="14"/>
        <v>181000</v>
      </c>
      <c r="I58" s="7">
        <f>SUM(I56,I51)</f>
        <v>0</v>
      </c>
      <c r="J58" s="20">
        <f t="shared" si="14"/>
        <v>11321000</v>
      </c>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sheetData>
  <pageMargins left="0.7" right="0.7" top="0.75" bottom="0.75" header="0.3" footer="0.3"/>
  <pageSetup scale="89" fitToHeight="0" orientation="landscape" r:id="rId1"/>
  <ignoredErrors>
    <ignoredError sqref="J44:J46 J38:J39 J33 J20:J26 J8"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34C37-1548-4AC3-B53B-961AC359D6B3}">
  <sheetPr>
    <tabColor theme="9" tint="0.39997558519241921"/>
    <pageSetUpPr fitToPage="1"/>
  </sheetPr>
  <dimension ref="B2:AM72"/>
  <sheetViews>
    <sheetView showGridLines="0" zoomScale="85" zoomScaleNormal="85" workbookViewId="0">
      <pane xSplit="3" ySplit="6" topLeftCell="D7" activePane="bottomRight" state="frozen"/>
      <selection pane="topRight" activeCell="R20" sqref="R20:W20"/>
      <selection pane="bottomLeft" activeCell="R20" sqref="R20:W20"/>
      <selection pane="bottomRight" activeCell="R20" sqref="R20:W20"/>
    </sheetView>
  </sheetViews>
  <sheetFormatPr defaultColWidth="9.28515625" defaultRowHeight="15" x14ac:dyDescent="0.25"/>
  <cols>
    <col min="1" max="1" width="3.28515625" customWidth="1"/>
    <col min="2" max="2" width="10" customWidth="1"/>
    <col min="3" max="3" width="46.7109375" customWidth="1"/>
    <col min="4" max="4" width="12.7109375" style="6" customWidth="1"/>
    <col min="5" max="5" width="12.42578125" style="2" customWidth="1"/>
    <col min="6" max="6" width="12.7109375" customWidth="1"/>
    <col min="7" max="7" width="12.42578125" customWidth="1"/>
    <col min="8" max="8" width="12.7109375" style="2" customWidth="1"/>
    <col min="9" max="9" width="0.7109375" style="7" customWidth="1"/>
    <col min="10" max="10" width="12.7109375" bestFit="1" customWidth="1"/>
    <col min="11" max="11" width="10.28515625" customWidth="1"/>
  </cols>
  <sheetData>
    <row r="2" spans="2:39" ht="23.25" x14ac:dyDescent="0.35">
      <c r="B2" s="30" t="s">
        <v>34</v>
      </c>
    </row>
    <row r="3" spans="2:39" x14ac:dyDescent="0.25">
      <c r="B3" s="65" t="s">
        <v>35</v>
      </c>
    </row>
    <row r="4" spans="2:39" x14ac:dyDescent="0.25">
      <c r="B4" s="5"/>
    </row>
    <row r="5" spans="2:39" ht="18.75" x14ac:dyDescent="0.3">
      <c r="B5" s="36" t="s">
        <v>2</v>
      </c>
      <c r="C5" s="37"/>
      <c r="D5" s="37"/>
      <c r="E5" s="37"/>
      <c r="F5" s="37"/>
      <c r="G5" s="37"/>
      <c r="H5" s="37"/>
      <c r="I5" s="37"/>
      <c r="J5" s="38"/>
    </row>
    <row r="6" spans="2:39" ht="30" x14ac:dyDescent="0.25">
      <c r="B6" s="39" t="s">
        <v>3</v>
      </c>
      <c r="C6" s="39" t="s">
        <v>4</v>
      </c>
      <c r="D6" s="39" t="s">
        <v>5</v>
      </c>
      <c r="E6" s="40" t="s">
        <v>6</v>
      </c>
      <c r="F6" s="40" t="s">
        <v>7</v>
      </c>
      <c r="G6" s="40" t="s">
        <v>8</v>
      </c>
      <c r="H6" s="41" t="s">
        <v>9</v>
      </c>
      <c r="I6" s="42"/>
      <c r="J6" s="43" t="s">
        <v>10</v>
      </c>
    </row>
    <row r="7" spans="2:39" s="5" customFormat="1" x14ac:dyDescent="0.25">
      <c r="B7" s="22" t="s">
        <v>11</v>
      </c>
      <c r="C7" s="26" t="s">
        <v>36</v>
      </c>
      <c r="D7" s="10" t="s">
        <v>37</v>
      </c>
      <c r="E7" s="10" t="s">
        <v>37</v>
      </c>
      <c r="F7" s="10" t="s">
        <v>37</v>
      </c>
      <c r="G7" s="10"/>
      <c r="H7" s="10" t="s">
        <v>37</v>
      </c>
      <c r="I7" s="7"/>
      <c r="J7" s="8" t="s">
        <v>37</v>
      </c>
      <c r="K7"/>
      <c r="L7"/>
      <c r="M7"/>
      <c r="N7"/>
      <c r="O7"/>
      <c r="P7"/>
      <c r="Q7"/>
      <c r="R7"/>
      <c r="S7"/>
      <c r="T7"/>
      <c r="U7"/>
      <c r="V7"/>
      <c r="W7"/>
      <c r="X7"/>
      <c r="Y7"/>
      <c r="Z7"/>
      <c r="AA7"/>
      <c r="AB7"/>
      <c r="AC7"/>
      <c r="AD7"/>
      <c r="AE7"/>
      <c r="AF7"/>
      <c r="AG7"/>
      <c r="AH7"/>
      <c r="AI7"/>
      <c r="AJ7"/>
      <c r="AK7"/>
      <c r="AL7"/>
      <c r="AM7"/>
    </row>
    <row r="8" spans="2:39" x14ac:dyDescent="0.25">
      <c r="B8" s="23"/>
      <c r="C8" s="25"/>
      <c r="D8" s="15"/>
      <c r="E8" s="15"/>
      <c r="F8" s="15"/>
      <c r="G8" s="15"/>
      <c r="H8" s="15"/>
      <c r="I8" s="35">
        <v>450000</v>
      </c>
      <c r="J8" s="15">
        <f>SUM(D8:H8)</f>
        <v>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x14ac:dyDescent="0.25">
      <c r="B12" s="23"/>
      <c r="C12" s="14" t="s">
        <v>41</v>
      </c>
      <c r="D12" s="13" t="s">
        <v>37</v>
      </c>
      <c r="E12" s="10"/>
      <c r="F12" s="10"/>
      <c r="G12" s="10"/>
      <c r="H12" s="10"/>
      <c r="J12" s="8" t="s">
        <v>37</v>
      </c>
    </row>
    <row r="13" spans="2:39" x14ac:dyDescent="0.25">
      <c r="B13" s="23"/>
      <c r="C13" s="25"/>
      <c r="D13" s="15"/>
      <c r="E13" s="15"/>
      <c r="F13" s="15"/>
      <c r="G13" s="15"/>
      <c r="H13" s="15"/>
      <c r="J13" s="15">
        <f>SUM(D13:H13)</f>
        <v>0</v>
      </c>
    </row>
    <row r="14" spans="2:39" x14ac:dyDescent="0.25">
      <c r="B14" s="23"/>
      <c r="C14" s="25"/>
      <c r="D14" s="15"/>
      <c r="E14" s="15"/>
      <c r="F14" s="15"/>
      <c r="G14" s="15"/>
      <c r="H14" s="15"/>
      <c r="J14" s="15">
        <f t="shared" ref="J14:J15" si="1">SUM(D14:H14)</f>
        <v>0</v>
      </c>
    </row>
    <row r="15" spans="2:39" x14ac:dyDescent="0.25">
      <c r="B15" s="23"/>
      <c r="C15" s="10"/>
      <c r="D15" s="15"/>
      <c r="E15" s="11"/>
      <c r="F15" s="11"/>
      <c r="G15" s="11"/>
      <c r="H15" s="11"/>
      <c r="J15" s="15">
        <f t="shared" si="1"/>
        <v>0</v>
      </c>
    </row>
    <row r="16" spans="2:39" x14ac:dyDescent="0.25">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x14ac:dyDescent="0.25">
      <c r="B17" s="23"/>
      <c r="C17" s="14" t="s">
        <v>43</v>
      </c>
      <c r="D17" s="13" t="s">
        <v>37</v>
      </c>
      <c r="E17" s="10"/>
      <c r="F17" s="10"/>
      <c r="G17" s="10"/>
      <c r="H17" s="10"/>
      <c r="J17" s="8" t="s">
        <v>37</v>
      </c>
    </row>
    <row r="18" spans="2:10" x14ac:dyDescent="0.25">
      <c r="B18" s="23"/>
      <c r="C18" s="25"/>
      <c r="D18" s="13"/>
      <c r="E18" s="10"/>
      <c r="F18" s="10"/>
      <c r="G18" s="10"/>
      <c r="H18" s="10"/>
      <c r="J18" s="15">
        <f t="shared" ref="J18:J19" si="3">SUM(D18:H18)</f>
        <v>0</v>
      </c>
    </row>
    <row r="19" spans="2:10" x14ac:dyDescent="0.25">
      <c r="B19" s="23"/>
      <c r="C19" s="29"/>
      <c r="D19" s="15" t="s">
        <v>48</v>
      </c>
      <c r="E19" s="11" t="s">
        <v>48</v>
      </c>
      <c r="F19" s="11" t="s">
        <v>48</v>
      </c>
      <c r="G19" s="11"/>
      <c r="H19" s="11"/>
      <c r="J19" s="15">
        <f t="shared" si="3"/>
        <v>0</v>
      </c>
    </row>
    <row r="20" spans="2:10" x14ac:dyDescent="0.25">
      <c r="B20" s="23"/>
      <c r="C20" s="29"/>
      <c r="D20" s="15"/>
      <c r="E20" s="15"/>
      <c r="F20" s="15"/>
      <c r="G20" s="15"/>
      <c r="H20" s="15"/>
      <c r="I20" s="35">
        <v>2000</v>
      </c>
      <c r="J20" s="15">
        <f>SUM(D20:H20)</f>
        <v>0</v>
      </c>
    </row>
    <row r="21" spans="2:10" x14ac:dyDescent="0.25">
      <c r="B21" s="23"/>
      <c r="C21" s="29"/>
      <c r="D21" s="15"/>
      <c r="E21" s="15"/>
      <c r="F21" s="15"/>
      <c r="G21" s="15"/>
      <c r="H21" s="15"/>
      <c r="I21" s="35">
        <v>250</v>
      </c>
      <c r="J21" s="15">
        <f t="shared" ref="J21:J26" si="4">SUM(D21:H21)</f>
        <v>0</v>
      </c>
    </row>
    <row r="22" spans="2:10" x14ac:dyDescent="0.25">
      <c r="B22" s="23"/>
      <c r="C22" s="25"/>
      <c r="D22" s="15"/>
      <c r="E22" s="15"/>
      <c r="F22" s="15"/>
      <c r="G22" s="15"/>
      <c r="H22" s="15"/>
      <c r="I22" s="35">
        <v>2250</v>
      </c>
      <c r="J22" s="15">
        <f t="shared" si="4"/>
        <v>0</v>
      </c>
    </row>
    <row r="23" spans="2:10" x14ac:dyDescent="0.25">
      <c r="B23" s="23"/>
      <c r="C23" s="29"/>
      <c r="D23" s="15"/>
      <c r="E23" s="15"/>
      <c r="F23" s="15"/>
      <c r="G23" s="15"/>
      <c r="H23" s="15"/>
      <c r="I23" s="35">
        <v>1243</v>
      </c>
      <c r="J23" s="15">
        <f t="shared" si="4"/>
        <v>0</v>
      </c>
    </row>
    <row r="24" spans="2:10" x14ac:dyDescent="0.25">
      <c r="B24" s="23"/>
      <c r="C24" s="29"/>
      <c r="D24" s="15"/>
      <c r="E24" s="15"/>
      <c r="F24" s="15"/>
      <c r="G24" s="15"/>
      <c r="H24" s="15"/>
      <c r="I24" s="35">
        <v>225</v>
      </c>
      <c r="J24" s="15">
        <f t="shared" si="4"/>
        <v>0</v>
      </c>
    </row>
    <row r="25" spans="2:10" x14ac:dyDescent="0.25">
      <c r="B25" s="23"/>
      <c r="C25" s="29"/>
      <c r="D25" s="15"/>
      <c r="E25" s="15"/>
      <c r="F25" s="15"/>
      <c r="G25" s="15"/>
      <c r="H25" s="15"/>
      <c r="I25" s="35">
        <v>400</v>
      </c>
      <c r="J25" s="15">
        <f t="shared" si="4"/>
        <v>0</v>
      </c>
    </row>
    <row r="26" spans="2:10" x14ac:dyDescent="0.25">
      <c r="B26" s="23"/>
      <c r="C26" s="25"/>
      <c r="D26" s="15"/>
      <c r="E26" s="15"/>
      <c r="F26" s="15"/>
      <c r="G26" s="15"/>
      <c r="H26" s="15"/>
      <c r="I26" s="35">
        <v>1638</v>
      </c>
      <c r="J26" s="15">
        <f t="shared" si="4"/>
        <v>0</v>
      </c>
    </row>
    <row r="27" spans="2:10" x14ac:dyDescent="0.25">
      <c r="B27" s="23"/>
      <c r="C27" s="9" t="s">
        <v>14</v>
      </c>
      <c r="D27" s="16">
        <f>SUM(D20:D26)</f>
        <v>0</v>
      </c>
      <c r="E27" s="16">
        <f t="shared" ref="E27:H27" si="5">SUM(E20:E26)</f>
        <v>0</v>
      </c>
      <c r="F27" s="16">
        <f t="shared" si="5"/>
        <v>0</v>
      </c>
      <c r="G27" s="16">
        <f t="shared" si="5"/>
        <v>0</v>
      </c>
      <c r="H27" s="16">
        <f t="shared" si="5"/>
        <v>0</v>
      </c>
      <c r="J27" s="16">
        <f>SUM(D27:H27)</f>
        <v>0</v>
      </c>
    </row>
    <row r="28" spans="2:10" x14ac:dyDescent="0.25">
      <c r="B28" s="23"/>
      <c r="C28" s="14" t="s">
        <v>46</v>
      </c>
      <c r="D28" s="15"/>
      <c r="E28" s="10"/>
      <c r="F28" s="10"/>
      <c r="G28" s="10"/>
      <c r="H28" s="10"/>
      <c r="J28" s="15" t="s">
        <v>20</v>
      </c>
    </row>
    <row r="29" spans="2:10" x14ac:dyDescent="0.25">
      <c r="B29" s="23"/>
      <c r="C29" s="25"/>
      <c r="D29" s="15"/>
      <c r="E29" s="10"/>
      <c r="F29" s="10"/>
      <c r="G29" s="10"/>
      <c r="H29" s="10"/>
      <c r="J29" s="15">
        <f>SUM(D29:H29)</f>
        <v>0</v>
      </c>
    </row>
    <row r="30" spans="2:10" x14ac:dyDescent="0.25">
      <c r="B30" s="23" t="s">
        <v>48</v>
      </c>
      <c r="C30" s="28" t="s">
        <v>48</v>
      </c>
      <c r="D30" s="13" t="s">
        <v>37</v>
      </c>
      <c r="E30" s="10"/>
      <c r="F30" s="10"/>
      <c r="G30" s="10"/>
      <c r="H30" s="10"/>
      <c r="J30" s="15">
        <f t="shared" ref="J30:J50" si="6">SUM(D30:H30)</f>
        <v>0</v>
      </c>
    </row>
    <row r="31" spans="2:10" x14ac:dyDescent="0.25">
      <c r="B31" s="23"/>
      <c r="C31" s="9" t="s">
        <v>15</v>
      </c>
      <c r="D31" s="12">
        <f>SUM(D29:D30)</f>
        <v>0</v>
      </c>
      <c r="E31" s="12">
        <f t="shared" ref="E31:H31" si="7">SUM(E29:E30)</f>
        <v>0</v>
      </c>
      <c r="F31" s="12">
        <f t="shared" si="7"/>
        <v>0</v>
      </c>
      <c r="G31" s="12">
        <f t="shared" si="7"/>
        <v>0</v>
      </c>
      <c r="H31" s="12">
        <f t="shared" si="7"/>
        <v>0</v>
      </c>
      <c r="J31" s="16">
        <f t="shared" si="6"/>
        <v>0</v>
      </c>
    </row>
    <row r="32" spans="2:10" x14ac:dyDescent="0.25">
      <c r="B32" s="23"/>
      <c r="C32" s="14" t="s">
        <v>50</v>
      </c>
      <c r="D32" s="13" t="s">
        <v>37</v>
      </c>
      <c r="E32" s="10"/>
      <c r="F32" s="10"/>
      <c r="G32" s="10"/>
      <c r="H32" s="10"/>
      <c r="J32" s="15"/>
    </row>
    <row r="33" spans="2:10" x14ac:dyDescent="0.25">
      <c r="B33" s="23"/>
      <c r="C33" s="25"/>
      <c r="D33" s="15"/>
      <c r="E33" s="15"/>
      <c r="F33" s="15"/>
      <c r="G33" s="15"/>
      <c r="H33" s="15"/>
      <c r="I33" s="35">
        <v>5000</v>
      </c>
      <c r="J33" s="15">
        <f t="shared" si="6"/>
        <v>0</v>
      </c>
    </row>
    <row r="34" spans="2:10" x14ac:dyDescent="0.25">
      <c r="B34" s="23"/>
      <c r="C34" s="25"/>
      <c r="D34" s="15"/>
      <c r="E34" s="11"/>
      <c r="F34" s="11"/>
      <c r="G34" s="11"/>
      <c r="H34" s="11"/>
      <c r="J34" s="15">
        <f t="shared" si="6"/>
        <v>0</v>
      </c>
    </row>
    <row r="35" spans="2:10" x14ac:dyDescent="0.25">
      <c r="B35" s="23"/>
      <c r="C35" s="9" t="s">
        <v>16</v>
      </c>
      <c r="D35" s="16">
        <f>SUM(D33:D34)</f>
        <v>0</v>
      </c>
      <c r="E35" s="16">
        <f t="shared" ref="E35:H35" si="8">SUM(E33:E34)</f>
        <v>0</v>
      </c>
      <c r="F35" s="16">
        <f t="shared" si="8"/>
        <v>0</v>
      </c>
      <c r="G35" s="16">
        <f t="shared" si="8"/>
        <v>0</v>
      </c>
      <c r="H35" s="16">
        <f t="shared" si="8"/>
        <v>0</v>
      </c>
      <c r="J35" s="16">
        <f t="shared" si="6"/>
        <v>0</v>
      </c>
    </row>
    <row r="36" spans="2:10" x14ac:dyDescent="0.25">
      <c r="B36" s="23"/>
      <c r="C36" s="14" t="s">
        <v>54</v>
      </c>
      <c r="D36" s="13" t="s">
        <v>37</v>
      </c>
      <c r="E36" s="10"/>
      <c r="F36" s="10"/>
      <c r="G36" s="10"/>
      <c r="H36" s="10"/>
      <c r="J36" s="15"/>
    </row>
    <row r="37" spans="2:10" x14ac:dyDescent="0.25">
      <c r="B37" s="23"/>
      <c r="C37" s="25"/>
      <c r="D37" s="15"/>
      <c r="E37" s="15"/>
      <c r="F37" s="15"/>
      <c r="G37" s="15"/>
      <c r="H37" s="15"/>
      <c r="I37" s="35">
        <v>5106000</v>
      </c>
      <c r="J37" s="15">
        <f t="shared" si="6"/>
        <v>0</v>
      </c>
    </row>
    <row r="38" spans="2:10" x14ac:dyDescent="0.25">
      <c r="B38" s="23"/>
      <c r="C38" s="25"/>
      <c r="D38" s="15"/>
      <c r="E38" s="15"/>
      <c r="F38" s="15"/>
      <c r="G38" s="15"/>
      <c r="H38" s="15"/>
      <c r="I38" s="35">
        <v>22500000</v>
      </c>
      <c r="J38" s="15">
        <f t="shared" si="6"/>
        <v>0</v>
      </c>
    </row>
    <row r="39" spans="2:10" x14ac:dyDescent="0.25">
      <c r="B39" s="23"/>
      <c r="C39" s="25"/>
      <c r="D39" s="15"/>
      <c r="E39" s="15"/>
      <c r="F39" s="15"/>
      <c r="G39" s="15"/>
      <c r="H39" s="15"/>
      <c r="I39" s="35">
        <v>75000000</v>
      </c>
      <c r="J39" s="15">
        <f t="shared" si="6"/>
        <v>0</v>
      </c>
    </row>
    <row r="40" spans="2:10" x14ac:dyDescent="0.25">
      <c r="B40" s="23"/>
      <c r="C40" s="25"/>
      <c r="D40" s="15"/>
      <c r="E40" s="11"/>
      <c r="F40" s="11"/>
      <c r="G40" s="11"/>
      <c r="H40" s="11"/>
      <c r="J40" s="15">
        <f t="shared" si="6"/>
        <v>0</v>
      </c>
    </row>
    <row r="41" spans="2:10" x14ac:dyDescent="0.25">
      <c r="B41" s="23"/>
      <c r="C41" s="9" t="s">
        <v>99</v>
      </c>
      <c r="D41" s="16">
        <f>SUM(D37:D40)</f>
        <v>0</v>
      </c>
      <c r="E41" s="16">
        <f t="shared" ref="E41:H41" si="9">SUM(E37:E40)</f>
        <v>0</v>
      </c>
      <c r="F41" s="16">
        <f t="shared" si="9"/>
        <v>0</v>
      </c>
      <c r="G41" s="16">
        <f t="shared" si="9"/>
        <v>0</v>
      </c>
      <c r="H41" s="16">
        <f t="shared" si="9"/>
        <v>0</v>
      </c>
      <c r="J41" s="16">
        <f t="shared" si="6"/>
        <v>0</v>
      </c>
    </row>
    <row r="42" spans="2:10" x14ac:dyDescent="0.25">
      <c r="B42" s="23"/>
      <c r="C42" s="14" t="s">
        <v>100</v>
      </c>
      <c r="D42" s="13" t="s">
        <v>37</v>
      </c>
      <c r="E42" s="10"/>
      <c r="F42" s="10"/>
      <c r="G42" s="10"/>
      <c r="H42" s="10"/>
      <c r="J42" s="15"/>
    </row>
    <row r="43" spans="2:10" x14ac:dyDescent="0.25">
      <c r="B43" s="23"/>
      <c r="C43" s="25"/>
      <c r="D43" s="15"/>
      <c r="E43" s="15"/>
      <c r="F43" s="15"/>
      <c r="G43" s="15"/>
      <c r="H43" s="15"/>
      <c r="I43" s="35">
        <v>375000</v>
      </c>
      <c r="J43" s="15">
        <f t="shared" si="6"/>
        <v>0</v>
      </c>
    </row>
    <row r="44" spans="2:10" x14ac:dyDescent="0.25">
      <c r="B44" s="23"/>
      <c r="C44" s="25"/>
      <c r="D44" s="15"/>
      <c r="E44" s="15"/>
      <c r="F44" s="15"/>
      <c r="G44" s="15"/>
      <c r="H44" s="15"/>
      <c r="I44" s="35">
        <v>781250</v>
      </c>
      <c r="J44" s="15">
        <f t="shared" si="6"/>
        <v>0</v>
      </c>
    </row>
    <row r="45" spans="2:10" x14ac:dyDescent="0.25">
      <c r="B45" s="23"/>
      <c r="C45" s="25"/>
      <c r="D45" s="15"/>
      <c r="E45" s="15"/>
      <c r="F45" s="15"/>
      <c r="G45" s="15"/>
      <c r="H45" s="15"/>
      <c r="I45" s="35">
        <v>2083335</v>
      </c>
      <c r="J45" s="15">
        <f t="shared" si="6"/>
        <v>0</v>
      </c>
    </row>
    <row r="46" spans="2:10" x14ac:dyDescent="0.25">
      <c r="B46" s="23"/>
      <c r="C46" s="25"/>
      <c r="D46" s="15"/>
      <c r="E46" s="11"/>
      <c r="F46" s="11"/>
      <c r="G46" s="11"/>
      <c r="H46" s="11"/>
      <c r="J46" s="15">
        <f t="shared" si="6"/>
        <v>0</v>
      </c>
    </row>
    <row r="47" spans="2:10" x14ac:dyDescent="0.25">
      <c r="B47" s="23"/>
      <c r="C47" s="25"/>
      <c r="D47" s="15"/>
      <c r="E47" s="11"/>
      <c r="F47" s="11"/>
      <c r="G47" s="11"/>
      <c r="H47" s="11"/>
      <c r="J47" s="15">
        <f t="shared" si="6"/>
        <v>0</v>
      </c>
    </row>
    <row r="48" spans="2:10" x14ac:dyDescent="0.25">
      <c r="B48" s="23"/>
      <c r="C48" s="10"/>
      <c r="D48" s="15"/>
      <c r="E48" s="11"/>
      <c r="F48" s="11"/>
      <c r="G48" s="11"/>
      <c r="H48" s="11"/>
      <c r="J48" s="15">
        <f t="shared" si="6"/>
        <v>0</v>
      </c>
    </row>
    <row r="49" spans="2:10" x14ac:dyDescent="0.25">
      <c r="B49" s="24"/>
      <c r="C49" s="9" t="s">
        <v>18</v>
      </c>
      <c r="D49" s="16">
        <f>SUM(D43:D48)</f>
        <v>0</v>
      </c>
      <c r="E49" s="16">
        <f t="shared" ref="E49:H49" si="10">SUM(E43:E48)</f>
        <v>0</v>
      </c>
      <c r="F49" s="16">
        <f t="shared" si="10"/>
        <v>0</v>
      </c>
      <c r="G49" s="16">
        <f t="shared" si="10"/>
        <v>0</v>
      </c>
      <c r="H49" s="16">
        <f t="shared" si="10"/>
        <v>0</v>
      </c>
      <c r="J49" s="16">
        <f t="shared" si="6"/>
        <v>0</v>
      </c>
    </row>
    <row r="50" spans="2:10" x14ac:dyDescent="0.25">
      <c r="B50" s="24"/>
      <c r="C50" s="9" t="s">
        <v>19</v>
      </c>
      <c r="D50" s="16">
        <f>SUM(D49,D41,D35,D31,D27,D16,D11)</f>
        <v>0</v>
      </c>
      <c r="E50" s="16">
        <f t="shared" ref="E50:H50" si="11">SUM(E49,E41,E35,E31,E27,E16,E11)</f>
        <v>0</v>
      </c>
      <c r="F50" s="16">
        <f t="shared" si="11"/>
        <v>0</v>
      </c>
      <c r="G50" s="16">
        <f t="shared" si="11"/>
        <v>0</v>
      </c>
      <c r="H50" s="16">
        <f t="shared" si="11"/>
        <v>0</v>
      </c>
      <c r="J50" s="16">
        <f t="shared" si="6"/>
        <v>0</v>
      </c>
    </row>
    <row r="51" spans="2:10" x14ac:dyDescent="0.25">
      <c r="B51" s="6"/>
      <c r="D51"/>
      <c r="E51"/>
      <c r="H51"/>
      <c r="I51"/>
      <c r="J51" t="s">
        <v>20</v>
      </c>
    </row>
    <row r="52" spans="2:10" ht="30" x14ac:dyDescent="0.25">
      <c r="B52" s="71" t="s">
        <v>80</v>
      </c>
      <c r="C52" s="17" t="s">
        <v>80</v>
      </c>
      <c r="D52" s="18"/>
      <c r="E52" s="18"/>
      <c r="F52" s="18"/>
      <c r="G52" s="18"/>
      <c r="H52" s="18"/>
      <c r="I52"/>
      <c r="J52" s="18" t="s">
        <v>20</v>
      </c>
    </row>
    <row r="53" spans="2:10" x14ac:dyDescent="0.25">
      <c r="B53" s="23"/>
      <c r="C53" s="25"/>
      <c r="D53" s="13"/>
      <c r="E53" s="10"/>
      <c r="F53" s="10"/>
      <c r="G53" s="10"/>
      <c r="H53" s="10"/>
      <c r="J53" s="15">
        <f>SUM(D53:H53)</f>
        <v>0</v>
      </c>
    </row>
    <row r="54" spans="2:10" x14ac:dyDescent="0.25">
      <c r="B54" s="23"/>
      <c r="C54" s="25"/>
      <c r="D54" s="13"/>
      <c r="E54" s="10"/>
      <c r="F54" s="10"/>
      <c r="G54" s="10"/>
      <c r="H54" s="10"/>
      <c r="J54" s="15">
        <f t="shared" ref="J54:J55" si="12">SUM(D54:H54)</f>
        <v>0</v>
      </c>
    </row>
    <row r="55" spans="2:10" x14ac:dyDescent="0.25">
      <c r="B55" s="24"/>
      <c r="C55" s="9" t="s">
        <v>21</v>
      </c>
      <c r="D55" s="16">
        <f>SUM(D53:D54)</f>
        <v>0</v>
      </c>
      <c r="E55" s="16">
        <f t="shared" ref="E55:H55" si="13">SUM(E53:E54)</f>
        <v>0</v>
      </c>
      <c r="F55" s="16">
        <f t="shared" si="13"/>
        <v>0</v>
      </c>
      <c r="G55" s="16">
        <f t="shared" si="13"/>
        <v>0</v>
      </c>
      <c r="H55" s="16">
        <f t="shared" si="13"/>
        <v>0</v>
      </c>
      <c r="J55" s="16">
        <f t="shared" si="12"/>
        <v>0</v>
      </c>
    </row>
    <row r="56" spans="2:10" ht="15.75" thickBot="1" x14ac:dyDescent="0.3">
      <c r="B56" s="6"/>
      <c r="D56"/>
      <c r="E56"/>
      <c r="H56"/>
      <c r="I56"/>
      <c r="J56" t="s">
        <v>20</v>
      </c>
    </row>
    <row r="57" spans="2:10" s="1" customFormat="1" ht="30.75" thickBot="1" x14ac:dyDescent="0.3">
      <c r="B57" s="19" t="s">
        <v>22</v>
      </c>
      <c r="C57" s="19"/>
      <c r="D57" s="20">
        <f>SUM(D55,D50)</f>
        <v>0</v>
      </c>
      <c r="E57" s="20">
        <f t="shared" ref="E57:J57" si="14">SUM(E55,E50)</f>
        <v>0</v>
      </c>
      <c r="F57" s="20">
        <f t="shared" si="14"/>
        <v>0</v>
      </c>
      <c r="G57" s="20">
        <f t="shared" si="14"/>
        <v>0</v>
      </c>
      <c r="H57" s="20">
        <f t="shared" si="14"/>
        <v>0</v>
      </c>
      <c r="I57" s="7">
        <f>SUM(I55,I50)</f>
        <v>0</v>
      </c>
      <c r="J57" s="20">
        <f t="shared" si="14"/>
        <v>0</v>
      </c>
    </row>
    <row r="58" spans="2:10" x14ac:dyDescent="0.25">
      <c r="B58" s="6"/>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sheetData>
  <pageMargins left="0.7" right="0.7" top="0.75" bottom="0.75" header="0.3" footer="0.3"/>
  <pageSetup scale="89" fitToHeight="0" orientation="landscape" r:id="rId1"/>
  <ignoredErrors>
    <ignoredError sqref="J8 J20:J26 J33 J37:J39 J43:J45"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BCA6-00E8-466E-B7CB-7CE5A657A5FA}">
  <sheetPr>
    <tabColor theme="9" tint="0.39997558519241921"/>
    <pageSetUpPr fitToPage="1"/>
  </sheetPr>
  <dimension ref="B2:AM72"/>
  <sheetViews>
    <sheetView showGridLines="0" zoomScale="85" zoomScaleNormal="85" workbookViewId="0">
      <pane xSplit="3" ySplit="6" topLeftCell="D7" activePane="bottomRight" state="frozen"/>
      <selection pane="topRight" activeCell="R20" sqref="R20:W20"/>
      <selection pane="bottomLeft" activeCell="R20" sqref="R20:W20"/>
      <selection pane="bottomRight" activeCell="R20" sqref="R20:W20"/>
    </sheetView>
  </sheetViews>
  <sheetFormatPr defaultColWidth="9.28515625" defaultRowHeight="15" x14ac:dyDescent="0.25"/>
  <cols>
    <col min="1" max="1" width="3.28515625" customWidth="1"/>
    <col min="2" max="2" width="11.28515625" customWidth="1"/>
    <col min="3" max="3" width="46.42578125" customWidth="1"/>
    <col min="4" max="4" width="13.28515625" style="6" customWidth="1"/>
    <col min="5" max="5" width="13.28515625" style="2" customWidth="1"/>
    <col min="6" max="7" width="13.28515625" customWidth="1"/>
    <col min="8" max="8" width="12.7109375" style="2" customWidth="1"/>
    <col min="9" max="9" width="0.7109375" style="7" customWidth="1"/>
    <col min="10" max="10" width="14.5703125" customWidth="1"/>
    <col min="11" max="11" width="10.28515625" customWidth="1"/>
  </cols>
  <sheetData>
    <row r="2" spans="2:39" ht="23.25" x14ac:dyDescent="0.35">
      <c r="B2" s="30" t="s">
        <v>34</v>
      </c>
    </row>
    <row r="3" spans="2:39" x14ac:dyDescent="0.25">
      <c r="B3" s="65" t="s">
        <v>35</v>
      </c>
    </row>
    <row r="4" spans="2:39" x14ac:dyDescent="0.25">
      <c r="B4" s="5"/>
    </row>
    <row r="5" spans="2:39" ht="18.75" x14ac:dyDescent="0.3">
      <c r="B5" s="36" t="s">
        <v>2</v>
      </c>
      <c r="C5" s="37"/>
      <c r="D5" s="37"/>
      <c r="E5" s="37"/>
      <c r="F5" s="37"/>
      <c r="G5" s="37"/>
      <c r="H5" s="37"/>
      <c r="I5" s="37"/>
      <c r="J5" s="38"/>
    </row>
    <row r="6" spans="2:39" x14ac:dyDescent="0.25">
      <c r="B6" s="39" t="s">
        <v>3</v>
      </c>
      <c r="C6" s="39" t="s">
        <v>4</v>
      </c>
      <c r="D6" s="39" t="s">
        <v>5</v>
      </c>
      <c r="E6" s="40" t="s">
        <v>6</v>
      </c>
      <c r="F6" s="40" t="s">
        <v>7</v>
      </c>
      <c r="G6" s="40" t="s">
        <v>8</v>
      </c>
      <c r="H6" s="41" t="s">
        <v>9</v>
      </c>
      <c r="I6" s="42"/>
      <c r="J6" s="43" t="s">
        <v>10</v>
      </c>
    </row>
    <row r="7" spans="2:39" s="5" customFormat="1" x14ac:dyDescent="0.25">
      <c r="B7" s="22" t="s">
        <v>11</v>
      </c>
      <c r="C7" s="26" t="s">
        <v>36</v>
      </c>
      <c r="D7" s="10" t="s">
        <v>37</v>
      </c>
      <c r="E7" s="10" t="s">
        <v>37</v>
      </c>
      <c r="F7" s="10" t="s">
        <v>37</v>
      </c>
      <c r="G7" s="10"/>
      <c r="H7" s="10" t="s">
        <v>37</v>
      </c>
      <c r="I7" s="7"/>
      <c r="J7" s="8" t="s">
        <v>37</v>
      </c>
      <c r="K7"/>
      <c r="L7"/>
      <c r="M7"/>
      <c r="N7"/>
      <c r="O7"/>
      <c r="P7"/>
      <c r="Q7"/>
      <c r="R7"/>
      <c r="S7"/>
      <c r="T7"/>
      <c r="U7"/>
      <c r="V7"/>
      <c r="W7"/>
      <c r="X7"/>
      <c r="Y7"/>
      <c r="Z7"/>
      <c r="AA7"/>
      <c r="AB7"/>
      <c r="AC7"/>
      <c r="AD7"/>
      <c r="AE7"/>
      <c r="AF7"/>
      <c r="AG7"/>
      <c r="AH7"/>
      <c r="AI7"/>
      <c r="AJ7"/>
      <c r="AK7"/>
      <c r="AL7"/>
      <c r="AM7"/>
    </row>
    <row r="8" spans="2:39" x14ac:dyDescent="0.25">
      <c r="B8" s="23"/>
      <c r="C8" s="25"/>
      <c r="D8" s="15"/>
      <c r="E8" s="15"/>
      <c r="F8" s="15"/>
      <c r="G8" s="15"/>
      <c r="H8" s="15"/>
      <c r="I8" s="35">
        <v>450000</v>
      </c>
      <c r="J8" s="15">
        <f>SUM(D8:H8)</f>
        <v>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x14ac:dyDescent="0.25">
      <c r="B12" s="23"/>
      <c r="C12" s="14" t="s">
        <v>41</v>
      </c>
      <c r="D12" s="13" t="s">
        <v>37</v>
      </c>
      <c r="E12" s="10"/>
      <c r="F12" s="10"/>
      <c r="G12" s="10"/>
      <c r="H12" s="10"/>
      <c r="J12" s="8" t="s">
        <v>37</v>
      </c>
    </row>
    <row r="13" spans="2:39" x14ac:dyDescent="0.25">
      <c r="B13" s="23"/>
      <c r="C13" s="25"/>
      <c r="D13" s="15"/>
      <c r="E13" s="15"/>
      <c r="F13" s="15"/>
      <c r="G13" s="15"/>
      <c r="H13" s="15"/>
      <c r="J13" s="15">
        <f>SUM(D13:H13)</f>
        <v>0</v>
      </c>
    </row>
    <row r="14" spans="2:39" x14ac:dyDescent="0.25">
      <c r="B14" s="23"/>
      <c r="C14" s="25"/>
      <c r="D14" s="15"/>
      <c r="E14" s="15"/>
      <c r="F14" s="15"/>
      <c r="G14" s="15"/>
      <c r="H14" s="15"/>
      <c r="J14" s="15">
        <f t="shared" ref="J14:J15" si="1">SUM(D14:H14)</f>
        <v>0</v>
      </c>
    </row>
    <row r="15" spans="2:39" x14ac:dyDescent="0.25">
      <c r="B15" s="23"/>
      <c r="C15" s="10"/>
      <c r="D15" s="15"/>
      <c r="E15" s="11"/>
      <c r="F15" s="11"/>
      <c r="G15" s="11"/>
      <c r="H15" s="11"/>
      <c r="J15" s="15">
        <f t="shared" si="1"/>
        <v>0</v>
      </c>
    </row>
    <row r="16" spans="2:39" x14ac:dyDescent="0.25">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x14ac:dyDescent="0.25">
      <c r="B17" s="23"/>
      <c r="C17" s="14" t="s">
        <v>43</v>
      </c>
      <c r="D17" s="13" t="s">
        <v>37</v>
      </c>
      <c r="E17" s="10"/>
      <c r="F17" s="10"/>
      <c r="G17" s="10"/>
      <c r="H17" s="10"/>
      <c r="J17" s="8" t="s">
        <v>37</v>
      </c>
    </row>
    <row r="18" spans="2:10" x14ac:dyDescent="0.25">
      <c r="B18" s="23"/>
      <c r="C18" s="25"/>
      <c r="D18" s="13"/>
      <c r="E18" s="10"/>
      <c r="F18" s="10"/>
      <c r="G18" s="10"/>
      <c r="H18" s="10"/>
      <c r="J18" s="15">
        <f t="shared" ref="J18:J19" si="3">SUM(D18:H18)</f>
        <v>0</v>
      </c>
    </row>
    <row r="19" spans="2:10" x14ac:dyDescent="0.25">
      <c r="B19" s="23"/>
      <c r="C19" s="29"/>
      <c r="D19" s="15"/>
      <c r="E19" s="11"/>
      <c r="F19" s="11"/>
      <c r="G19" s="11"/>
      <c r="H19" s="11"/>
      <c r="J19" s="15">
        <f t="shared" si="3"/>
        <v>0</v>
      </c>
    </row>
    <row r="20" spans="2:10" x14ac:dyDescent="0.25">
      <c r="B20" s="23"/>
      <c r="C20" s="29"/>
      <c r="D20" s="15"/>
      <c r="E20" s="15"/>
      <c r="F20" s="15"/>
      <c r="G20" s="15"/>
      <c r="H20" s="15"/>
      <c r="I20" s="35">
        <v>2000</v>
      </c>
      <c r="J20" s="15">
        <f>SUM(D20:H20)</f>
        <v>0</v>
      </c>
    </row>
    <row r="21" spans="2:10" x14ac:dyDescent="0.25">
      <c r="B21" s="23"/>
      <c r="C21" s="29"/>
      <c r="D21" s="15"/>
      <c r="E21" s="15"/>
      <c r="F21" s="15"/>
      <c r="G21" s="15"/>
      <c r="H21" s="15"/>
      <c r="I21" s="35">
        <v>250</v>
      </c>
      <c r="J21" s="15">
        <f t="shared" ref="J21:J26" si="4">SUM(D21:H21)</f>
        <v>0</v>
      </c>
    </row>
    <row r="22" spans="2:10" x14ac:dyDescent="0.25">
      <c r="B22" s="23"/>
      <c r="C22" s="25"/>
      <c r="D22" s="15"/>
      <c r="E22" s="15"/>
      <c r="F22" s="15"/>
      <c r="G22" s="15"/>
      <c r="H22" s="15"/>
      <c r="I22" s="35">
        <v>2250</v>
      </c>
      <c r="J22" s="15">
        <f t="shared" si="4"/>
        <v>0</v>
      </c>
    </row>
    <row r="23" spans="2:10" x14ac:dyDescent="0.25">
      <c r="B23" s="23"/>
      <c r="C23" s="29"/>
      <c r="D23" s="15"/>
      <c r="E23" s="15"/>
      <c r="F23" s="15"/>
      <c r="G23" s="15"/>
      <c r="H23" s="15"/>
      <c r="I23" s="35">
        <v>1243</v>
      </c>
      <c r="J23" s="15">
        <f t="shared" si="4"/>
        <v>0</v>
      </c>
    </row>
    <row r="24" spans="2:10" x14ac:dyDescent="0.25">
      <c r="B24" s="23"/>
      <c r="C24" s="29"/>
      <c r="D24" s="15"/>
      <c r="E24" s="15"/>
      <c r="F24" s="15"/>
      <c r="G24" s="15"/>
      <c r="H24" s="15"/>
      <c r="I24" s="35">
        <v>225</v>
      </c>
      <c r="J24" s="15">
        <f t="shared" si="4"/>
        <v>0</v>
      </c>
    </row>
    <row r="25" spans="2:10" x14ac:dyDescent="0.25">
      <c r="B25" s="23"/>
      <c r="C25" s="29"/>
      <c r="D25" s="15"/>
      <c r="E25" s="15"/>
      <c r="F25" s="15"/>
      <c r="G25" s="15"/>
      <c r="H25" s="15"/>
      <c r="I25" s="35">
        <v>400</v>
      </c>
      <c r="J25" s="15">
        <f t="shared" si="4"/>
        <v>0</v>
      </c>
    </row>
    <row r="26" spans="2:10" x14ac:dyDescent="0.25">
      <c r="B26" s="23"/>
      <c r="C26" s="25"/>
      <c r="D26" s="15"/>
      <c r="E26" s="15"/>
      <c r="F26" s="15"/>
      <c r="G26" s="15"/>
      <c r="H26" s="15"/>
      <c r="I26" s="35">
        <v>1638</v>
      </c>
      <c r="J26" s="15">
        <f t="shared" si="4"/>
        <v>0</v>
      </c>
    </row>
    <row r="27" spans="2:10" x14ac:dyDescent="0.25">
      <c r="B27" s="23"/>
      <c r="C27" s="9" t="s">
        <v>14</v>
      </c>
      <c r="D27" s="16">
        <f>SUM(D20:D26)</f>
        <v>0</v>
      </c>
      <c r="E27" s="16">
        <f t="shared" ref="E27:H27" si="5">SUM(E20:E26)</f>
        <v>0</v>
      </c>
      <c r="F27" s="16">
        <f t="shared" si="5"/>
        <v>0</v>
      </c>
      <c r="G27" s="16">
        <f t="shared" si="5"/>
        <v>0</v>
      </c>
      <c r="H27" s="16">
        <f t="shared" si="5"/>
        <v>0</v>
      </c>
      <c r="J27" s="16">
        <f>SUM(D27:H27)</f>
        <v>0</v>
      </c>
    </row>
    <row r="28" spans="2:10" x14ac:dyDescent="0.25">
      <c r="B28" s="23"/>
      <c r="C28" s="14" t="s">
        <v>46</v>
      </c>
      <c r="D28" s="15"/>
      <c r="E28" s="10"/>
      <c r="F28" s="10"/>
      <c r="G28" s="10"/>
      <c r="H28" s="10"/>
      <c r="J28" s="15" t="s">
        <v>20</v>
      </c>
    </row>
    <row r="29" spans="2:10" x14ac:dyDescent="0.25">
      <c r="B29" s="23"/>
      <c r="C29" s="25"/>
      <c r="D29" s="15"/>
      <c r="E29" s="10"/>
      <c r="F29" s="10"/>
      <c r="G29" s="10"/>
      <c r="H29" s="10"/>
      <c r="J29" s="15">
        <f>SUM(D29:H29)</f>
        <v>0</v>
      </c>
    </row>
    <row r="30" spans="2:10" x14ac:dyDescent="0.25">
      <c r="B30" s="23" t="s">
        <v>48</v>
      </c>
      <c r="C30" s="28" t="s">
        <v>48</v>
      </c>
      <c r="D30" s="13" t="s">
        <v>37</v>
      </c>
      <c r="E30" s="10"/>
      <c r="F30" s="10"/>
      <c r="G30" s="10"/>
      <c r="H30" s="10"/>
      <c r="J30" s="15">
        <f t="shared" ref="J30:J50" si="6">SUM(D30:H30)</f>
        <v>0</v>
      </c>
    </row>
    <row r="31" spans="2:10" x14ac:dyDescent="0.25">
      <c r="B31" s="23"/>
      <c r="C31" s="9" t="s">
        <v>15</v>
      </c>
      <c r="D31" s="12">
        <f>SUM(D29:D30)</f>
        <v>0</v>
      </c>
      <c r="E31" s="12">
        <f t="shared" ref="E31:H31" si="7">SUM(E29:E30)</f>
        <v>0</v>
      </c>
      <c r="F31" s="12">
        <f t="shared" si="7"/>
        <v>0</v>
      </c>
      <c r="G31" s="12">
        <f t="shared" si="7"/>
        <v>0</v>
      </c>
      <c r="H31" s="12">
        <f t="shared" si="7"/>
        <v>0</v>
      </c>
      <c r="J31" s="16">
        <f t="shared" si="6"/>
        <v>0</v>
      </c>
    </row>
    <row r="32" spans="2:10" x14ac:dyDescent="0.25">
      <c r="B32" s="23"/>
      <c r="C32" s="14" t="s">
        <v>50</v>
      </c>
      <c r="D32" s="13" t="s">
        <v>37</v>
      </c>
      <c r="E32" s="10"/>
      <c r="F32" s="10"/>
      <c r="G32" s="10"/>
      <c r="H32" s="10"/>
      <c r="J32" s="15"/>
    </row>
    <row r="33" spans="2:10" x14ac:dyDescent="0.25">
      <c r="B33" s="23"/>
      <c r="C33" s="25"/>
      <c r="D33" s="15"/>
      <c r="E33" s="15"/>
      <c r="F33" s="15"/>
      <c r="G33" s="15"/>
      <c r="H33" s="15"/>
      <c r="I33" s="35">
        <v>5000</v>
      </c>
      <c r="J33" s="15">
        <f t="shared" si="6"/>
        <v>0</v>
      </c>
    </row>
    <row r="34" spans="2:10" x14ac:dyDescent="0.25">
      <c r="B34" s="23"/>
      <c r="C34" s="25"/>
      <c r="D34" s="15"/>
      <c r="E34" s="11"/>
      <c r="F34" s="11"/>
      <c r="G34" s="11"/>
      <c r="H34" s="11"/>
      <c r="J34" s="15">
        <f t="shared" si="6"/>
        <v>0</v>
      </c>
    </row>
    <row r="35" spans="2:10" x14ac:dyDescent="0.25">
      <c r="B35" s="23"/>
      <c r="C35" s="9" t="s">
        <v>16</v>
      </c>
      <c r="D35" s="16">
        <f>SUM(D33:D34)</f>
        <v>0</v>
      </c>
      <c r="E35" s="16">
        <f t="shared" ref="E35:H35" si="8">SUM(E33:E34)</f>
        <v>0</v>
      </c>
      <c r="F35" s="16">
        <f t="shared" si="8"/>
        <v>0</v>
      </c>
      <c r="G35" s="16">
        <f t="shared" si="8"/>
        <v>0</v>
      </c>
      <c r="H35" s="16">
        <f t="shared" si="8"/>
        <v>0</v>
      </c>
      <c r="J35" s="16">
        <f t="shared" si="6"/>
        <v>0</v>
      </c>
    </row>
    <row r="36" spans="2:10" x14ac:dyDescent="0.25">
      <c r="B36" s="23"/>
      <c r="C36" s="14" t="s">
        <v>54</v>
      </c>
      <c r="D36" s="13" t="s">
        <v>37</v>
      </c>
      <c r="E36" s="10"/>
      <c r="F36" s="10"/>
      <c r="G36" s="10"/>
      <c r="H36" s="10"/>
      <c r="J36" s="15"/>
    </row>
    <row r="37" spans="2:10" x14ac:dyDescent="0.25">
      <c r="B37" s="23"/>
      <c r="C37" s="25"/>
      <c r="D37" s="15"/>
      <c r="E37" s="15"/>
      <c r="F37" s="15"/>
      <c r="G37" s="15"/>
      <c r="H37" s="15"/>
      <c r="I37" s="35">
        <v>5106000</v>
      </c>
      <c r="J37" s="15">
        <f t="shared" si="6"/>
        <v>0</v>
      </c>
    </row>
    <row r="38" spans="2:10" x14ac:dyDescent="0.25">
      <c r="B38" s="23"/>
      <c r="C38" s="25"/>
      <c r="D38" s="15"/>
      <c r="E38" s="15"/>
      <c r="F38" s="15"/>
      <c r="G38" s="15"/>
      <c r="H38" s="15"/>
      <c r="I38" s="35">
        <v>22500000</v>
      </c>
      <c r="J38" s="15">
        <f t="shared" si="6"/>
        <v>0</v>
      </c>
    </row>
    <row r="39" spans="2:10" x14ac:dyDescent="0.25">
      <c r="B39" s="23"/>
      <c r="C39" s="25"/>
      <c r="D39" s="15"/>
      <c r="E39" s="15"/>
      <c r="F39" s="15"/>
      <c r="G39" s="15"/>
      <c r="H39" s="15"/>
      <c r="I39" s="35">
        <v>75000000</v>
      </c>
      <c r="J39" s="15">
        <f t="shared" si="6"/>
        <v>0</v>
      </c>
    </row>
    <row r="40" spans="2:10" x14ac:dyDescent="0.25">
      <c r="B40" s="23"/>
      <c r="C40" s="25"/>
      <c r="D40" s="15"/>
      <c r="E40" s="11"/>
      <c r="F40" s="11"/>
      <c r="G40" s="11"/>
      <c r="H40" s="11"/>
      <c r="J40" s="15">
        <f t="shared" si="6"/>
        <v>0</v>
      </c>
    </row>
    <row r="41" spans="2:10" x14ac:dyDescent="0.25">
      <c r="B41" s="23"/>
      <c r="C41" s="9" t="s">
        <v>17</v>
      </c>
      <c r="D41" s="16">
        <f>SUM(D37:D40)</f>
        <v>0</v>
      </c>
      <c r="E41" s="16">
        <f t="shared" ref="E41:H41" si="9">SUM(E37:E40)</f>
        <v>0</v>
      </c>
      <c r="F41" s="16">
        <f t="shared" si="9"/>
        <v>0</v>
      </c>
      <c r="G41" s="16">
        <f t="shared" si="9"/>
        <v>0</v>
      </c>
      <c r="H41" s="16">
        <f t="shared" si="9"/>
        <v>0</v>
      </c>
      <c r="J41" s="16">
        <f t="shared" si="6"/>
        <v>0</v>
      </c>
    </row>
    <row r="42" spans="2:10" x14ac:dyDescent="0.25">
      <c r="B42" s="23"/>
      <c r="C42" s="14" t="s">
        <v>55</v>
      </c>
      <c r="D42" s="13" t="s">
        <v>37</v>
      </c>
      <c r="E42" s="10"/>
      <c r="F42" s="10"/>
      <c r="G42" s="10"/>
      <c r="H42" s="10"/>
      <c r="J42" s="15"/>
    </row>
    <row r="43" spans="2:10" x14ac:dyDescent="0.25">
      <c r="B43" s="23"/>
      <c r="C43" s="25"/>
      <c r="D43" s="15"/>
      <c r="E43" s="15"/>
      <c r="F43" s="15"/>
      <c r="G43" s="15"/>
      <c r="H43" s="15"/>
      <c r="I43" s="35">
        <v>375000</v>
      </c>
      <c r="J43" s="15">
        <f t="shared" si="6"/>
        <v>0</v>
      </c>
    </row>
    <row r="44" spans="2:10" x14ac:dyDescent="0.25">
      <c r="B44" s="23"/>
      <c r="C44" s="25"/>
      <c r="D44" s="15"/>
      <c r="E44" s="15"/>
      <c r="F44" s="15"/>
      <c r="G44" s="15"/>
      <c r="H44" s="15"/>
      <c r="I44" s="35">
        <v>781250</v>
      </c>
      <c r="J44" s="15">
        <f t="shared" si="6"/>
        <v>0</v>
      </c>
    </row>
    <row r="45" spans="2:10" x14ac:dyDescent="0.25">
      <c r="B45" s="23"/>
      <c r="C45" s="25"/>
      <c r="D45" s="15"/>
      <c r="E45" s="15"/>
      <c r="F45" s="15"/>
      <c r="G45" s="15"/>
      <c r="H45" s="15"/>
      <c r="I45" s="35">
        <v>2083335</v>
      </c>
      <c r="J45" s="15">
        <f t="shared" si="6"/>
        <v>0</v>
      </c>
    </row>
    <row r="46" spans="2:10" x14ac:dyDescent="0.25">
      <c r="B46" s="23"/>
      <c r="C46" s="25"/>
      <c r="D46" s="15"/>
      <c r="E46" s="11"/>
      <c r="F46" s="11"/>
      <c r="G46" s="11"/>
      <c r="H46" s="11"/>
      <c r="J46" s="15">
        <f t="shared" si="6"/>
        <v>0</v>
      </c>
    </row>
    <row r="47" spans="2:10" x14ac:dyDescent="0.25">
      <c r="B47" s="23"/>
      <c r="C47" s="25"/>
      <c r="D47" s="15"/>
      <c r="E47" s="11"/>
      <c r="F47" s="11"/>
      <c r="G47" s="11"/>
      <c r="H47" s="11"/>
      <c r="J47" s="15">
        <f t="shared" si="6"/>
        <v>0</v>
      </c>
    </row>
    <row r="48" spans="2:10" x14ac:dyDescent="0.25">
      <c r="B48" s="23"/>
      <c r="C48" s="10"/>
      <c r="D48" s="15"/>
      <c r="E48" s="11"/>
      <c r="F48" s="11"/>
      <c r="G48" s="11"/>
      <c r="H48" s="11"/>
      <c r="J48" s="15">
        <f t="shared" si="6"/>
        <v>0</v>
      </c>
    </row>
    <row r="49" spans="2:10" x14ac:dyDescent="0.25">
      <c r="B49" s="24"/>
      <c r="C49" s="9" t="s">
        <v>18</v>
      </c>
      <c r="D49" s="16">
        <f>SUM(D43:D48)</f>
        <v>0</v>
      </c>
      <c r="E49" s="16">
        <f t="shared" ref="E49:H49" si="10">SUM(E43:E48)</f>
        <v>0</v>
      </c>
      <c r="F49" s="16">
        <f t="shared" si="10"/>
        <v>0</v>
      </c>
      <c r="G49" s="16">
        <f t="shared" si="10"/>
        <v>0</v>
      </c>
      <c r="H49" s="16">
        <f t="shared" si="10"/>
        <v>0</v>
      </c>
      <c r="J49" s="16">
        <f t="shared" si="6"/>
        <v>0</v>
      </c>
    </row>
    <row r="50" spans="2:10" x14ac:dyDescent="0.25">
      <c r="B50" s="24"/>
      <c r="C50" s="9" t="s">
        <v>19</v>
      </c>
      <c r="D50" s="16">
        <f>SUM(D49,D41,D35,D31,D27,D16,D11)</f>
        <v>0</v>
      </c>
      <c r="E50" s="16">
        <f t="shared" ref="E50:H50" si="11">SUM(E49,E41,E35,E31,E27,E16,E11)</f>
        <v>0</v>
      </c>
      <c r="F50" s="16">
        <f t="shared" si="11"/>
        <v>0</v>
      </c>
      <c r="G50" s="16">
        <f t="shared" si="11"/>
        <v>0</v>
      </c>
      <c r="H50" s="16">
        <f t="shared" si="11"/>
        <v>0</v>
      </c>
      <c r="J50" s="16">
        <f t="shared" si="6"/>
        <v>0</v>
      </c>
    </row>
    <row r="51" spans="2:10" x14ac:dyDescent="0.25">
      <c r="B51" s="6"/>
      <c r="D51"/>
      <c r="E51"/>
      <c r="H51"/>
      <c r="I51"/>
      <c r="J51" t="s">
        <v>20</v>
      </c>
    </row>
    <row r="52" spans="2:10" ht="30" x14ac:dyDescent="0.25">
      <c r="B52" s="71" t="s">
        <v>80</v>
      </c>
      <c r="C52" s="17" t="s">
        <v>80</v>
      </c>
      <c r="D52" s="18"/>
      <c r="E52" s="18"/>
      <c r="F52" s="18"/>
      <c r="G52" s="18"/>
      <c r="H52" s="18"/>
      <c r="I52"/>
      <c r="J52" s="18" t="s">
        <v>20</v>
      </c>
    </row>
    <row r="53" spans="2:10" x14ac:dyDescent="0.25">
      <c r="B53" s="23"/>
      <c r="C53" s="25"/>
      <c r="D53" s="13"/>
      <c r="E53" s="10"/>
      <c r="F53" s="10"/>
      <c r="G53" s="10"/>
      <c r="H53" s="10"/>
      <c r="J53" s="15">
        <f>SUM(D53:H53)</f>
        <v>0</v>
      </c>
    </row>
    <row r="54" spans="2:10" x14ac:dyDescent="0.25">
      <c r="B54" s="23"/>
      <c r="C54" s="25"/>
      <c r="D54" s="13"/>
      <c r="E54" s="10"/>
      <c r="F54" s="10"/>
      <c r="G54" s="10"/>
      <c r="H54" s="10"/>
      <c r="J54" s="15">
        <f t="shared" ref="J54:J55" si="12">SUM(D54:H54)</f>
        <v>0</v>
      </c>
    </row>
    <row r="55" spans="2:10" x14ac:dyDescent="0.25">
      <c r="B55" s="24"/>
      <c r="C55" s="9" t="s">
        <v>21</v>
      </c>
      <c r="D55" s="16">
        <f>SUM(D53:D54)</f>
        <v>0</v>
      </c>
      <c r="E55" s="16">
        <f t="shared" ref="E55:H55" si="13">SUM(E53:E54)</f>
        <v>0</v>
      </c>
      <c r="F55" s="16">
        <f t="shared" si="13"/>
        <v>0</v>
      </c>
      <c r="G55" s="16">
        <f t="shared" si="13"/>
        <v>0</v>
      </c>
      <c r="H55" s="16">
        <f t="shared" si="13"/>
        <v>0</v>
      </c>
      <c r="J55" s="16">
        <f t="shared" si="12"/>
        <v>0</v>
      </c>
    </row>
    <row r="56" spans="2:10" ht="15.75" thickBot="1" x14ac:dyDescent="0.3">
      <c r="B56" s="6"/>
      <c r="D56"/>
      <c r="E56"/>
      <c r="H56"/>
      <c r="I56"/>
      <c r="J56" t="s">
        <v>20</v>
      </c>
    </row>
    <row r="57" spans="2:10" s="1" customFormat="1" ht="30.75" thickBot="1" x14ac:dyDescent="0.3">
      <c r="B57" s="19" t="s">
        <v>22</v>
      </c>
      <c r="C57" s="19"/>
      <c r="D57" s="20">
        <f>SUM(D55,D50)</f>
        <v>0</v>
      </c>
      <c r="E57" s="20">
        <f t="shared" ref="E57:J57" si="14">SUM(E55,E50)</f>
        <v>0</v>
      </c>
      <c r="F57" s="20">
        <f t="shared" si="14"/>
        <v>0</v>
      </c>
      <c r="G57" s="20">
        <f t="shared" si="14"/>
        <v>0</v>
      </c>
      <c r="H57" s="20">
        <f t="shared" si="14"/>
        <v>0</v>
      </c>
      <c r="I57" s="7">
        <f>SUM(I55,I50)</f>
        <v>0</v>
      </c>
      <c r="J57" s="20">
        <f t="shared" si="14"/>
        <v>0</v>
      </c>
    </row>
    <row r="58" spans="2:10" x14ac:dyDescent="0.25">
      <c r="B58" s="6"/>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sheetData>
  <pageMargins left="0.7" right="0.7" top="0.75" bottom="0.75" header="0.3" footer="0.3"/>
  <pageSetup scale="86" fitToHeight="0" orientation="landscape" r:id="rId1"/>
  <ignoredErrors>
    <ignoredError sqref="J43:J45 J37:J39 J33 J20:J26 J8"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77918-A5C8-471B-8BDC-AE779557A6B7}">
  <sheetPr>
    <tabColor theme="7" tint="0.59999389629810485"/>
  </sheetPr>
  <dimension ref="B2:AM68"/>
  <sheetViews>
    <sheetView showGridLines="0" zoomScale="85" zoomScaleNormal="85" workbookViewId="0">
      <selection activeCell="N37" sqref="N37"/>
    </sheetView>
  </sheetViews>
  <sheetFormatPr defaultColWidth="9.28515625" defaultRowHeight="15" x14ac:dyDescent="0.25"/>
  <cols>
    <col min="1" max="1" width="3.28515625" customWidth="1"/>
    <col min="2" max="2" width="12.28515625" customWidth="1"/>
    <col min="3" max="3" width="52.7109375" customWidth="1"/>
    <col min="4" max="4" width="12.42578125" style="6" customWidth="1"/>
    <col min="5" max="5" width="12.5703125" style="2" customWidth="1"/>
    <col min="6" max="6" width="12.42578125" customWidth="1"/>
    <col min="7" max="7" width="13" customWidth="1"/>
    <col min="8" max="8" width="12.42578125" style="2" customWidth="1"/>
    <col min="9" max="9" width="1.7109375" style="7" customWidth="1"/>
    <col min="10" max="10" width="14.5703125" customWidth="1"/>
    <col min="11" max="11" width="10.28515625" customWidth="1"/>
  </cols>
  <sheetData>
    <row r="2" spans="2:39" ht="23.25" x14ac:dyDescent="0.35">
      <c r="B2" s="30" t="s">
        <v>34</v>
      </c>
    </row>
    <row r="3" spans="2:39" x14ac:dyDescent="0.25">
      <c r="B3" s="5"/>
    </row>
    <row r="4" spans="2:39" x14ac:dyDescent="0.25">
      <c r="B4" s="5"/>
    </row>
    <row r="5" spans="2:39" ht="18.75" x14ac:dyDescent="0.3">
      <c r="B5" s="36" t="s">
        <v>2</v>
      </c>
      <c r="C5" s="37"/>
      <c r="D5" s="37"/>
      <c r="E5" s="37"/>
      <c r="F5" s="37"/>
      <c r="G5" s="37"/>
      <c r="H5" s="37"/>
      <c r="I5" s="37"/>
      <c r="J5" s="38"/>
    </row>
    <row r="6" spans="2:39" x14ac:dyDescent="0.25">
      <c r="B6" s="39" t="s">
        <v>3</v>
      </c>
      <c r="C6" s="39" t="s">
        <v>4</v>
      </c>
      <c r="D6" s="39" t="s">
        <v>5</v>
      </c>
      <c r="E6" s="40" t="s">
        <v>6</v>
      </c>
      <c r="F6" s="40" t="s">
        <v>7</v>
      </c>
      <c r="G6" s="40" t="s">
        <v>8</v>
      </c>
      <c r="H6" s="41" t="s">
        <v>9</v>
      </c>
      <c r="I6" s="42"/>
      <c r="J6" s="43" t="s">
        <v>10</v>
      </c>
    </row>
    <row r="7" spans="2:39" s="5" customFormat="1" x14ac:dyDescent="0.25">
      <c r="B7" s="22" t="s">
        <v>11</v>
      </c>
      <c r="C7" s="26" t="s">
        <v>36</v>
      </c>
      <c r="D7" s="10" t="s">
        <v>37</v>
      </c>
      <c r="E7" s="10" t="s">
        <v>37</v>
      </c>
      <c r="F7" s="10" t="s">
        <v>37</v>
      </c>
      <c r="G7" s="10"/>
      <c r="H7" s="10" t="s">
        <v>37</v>
      </c>
      <c r="I7" s="7"/>
      <c r="J7" s="8" t="s">
        <v>37</v>
      </c>
      <c r="K7"/>
      <c r="L7"/>
      <c r="M7"/>
      <c r="N7"/>
      <c r="O7"/>
      <c r="P7"/>
      <c r="Q7"/>
      <c r="R7"/>
      <c r="S7"/>
      <c r="T7"/>
      <c r="U7"/>
      <c r="V7"/>
      <c r="W7"/>
      <c r="X7"/>
      <c r="Y7"/>
      <c r="Z7"/>
      <c r="AA7"/>
      <c r="AB7"/>
      <c r="AC7"/>
      <c r="AD7"/>
      <c r="AE7"/>
      <c r="AF7"/>
      <c r="AG7"/>
      <c r="AH7"/>
      <c r="AI7"/>
      <c r="AJ7"/>
      <c r="AK7"/>
      <c r="AL7"/>
      <c r="AM7"/>
    </row>
    <row r="8" spans="2:39" ht="30" x14ac:dyDescent="0.25">
      <c r="B8" s="23"/>
      <c r="C8" s="25" t="s">
        <v>101</v>
      </c>
      <c r="D8" s="15">
        <v>40000</v>
      </c>
      <c r="E8" s="15">
        <v>42500</v>
      </c>
      <c r="F8" s="15">
        <v>45000</v>
      </c>
      <c r="G8" s="15">
        <v>47500</v>
      </c>
      <c r="H8" s="15">
        <v>50000</v>
      </c>
      <c r="I8" s="35"/>
      <c r="J8" s="15">
        <f>SUM(D8:H8)</f>
        <v>225000</v>
      </c>
    </row>
    <row r="9" spans="2:39" ht="30" x14ac:dyDescent="0.25">
      <c r="B9" s="23"/>
      <c r="C9" s="25" t="s">
        <v>102</v>
      </c>
      <c r="D9" s="15">
        <v>30000</v>
      </c>
      <c r="E9" s="15">
        <v>32500</v>
      </c>
      <c r="F9" s="15">
        <v>35000</v>
      </c>
      <c r="G9" s="15">
        <v>37500</v>
      </c>
      <c r="H9" s="15">
        <v>40000</v>
      </c>
      <c r="J9" s="15">
        <f>SUM(D9:H9)</f>
        <v>175000</v>
      </c>
    </row>
    <row r="10" spans="2:39" x14ac:dyDescent="0.25">
      <c r="B10" s="23"/>
      <c r="C10" s="27"/>
      <c r="D10" s="15"/>
      <c r="E10" s="11"/>
      <c r="F10" s="11"/>
      <c r="G10" s="11"/>
      <c r="H10" s="11"/>
      <c r="J10" s="15"/>
    </row>
    <row r="11" spans="2:39" x14ac:dyDescent="0.25">
      <c r="B11" s="23"/>
      <c r="C11" s="9" t="s">
        <v>12</v>
      </c>
      <c r="D11" s="16">
        <f>SUM(D8:D10)</f>
        <v>70000</v>
      </c>
      <c r="E11" s="16">
        <f t="shared" ref="E11:J11" si="0">SUM(E8:E10)</f>
        <v>75000</v>
      </c>
      <c r="F11" s="16">
        <f t="shared" si="0"/>
        <v>80000</v>
      </c>
      <c r="G11" s="16">
        <f t="shared" si="0"/>
        <v>85000</v>
      </c>
      <c r="H11" s="16">
        <f t="shared" si="0"/>
        <v>90000</v>
      </c>
      <c r="J11" s="16">
        <f t="shared" si="0"/>
        <v>400000</v>
      </c>
    </row>
    <row r="12" spans="2:39" x14ac:dyDescent="0.25">
      <c r="B12" s="23"/>
      <c r="C12" s="14" t="s">
        <v>41</v>
      </c>
      <c r="D12" s="13" t="s">
        <v>37</v>
      </c>
      <c r="E12" s="10"/>
      <c r="F12" s="10"/>
      <c r="G12" s="10"/>
      <c r="H12" s="10"/>
      <c r="J12" s="8" t="s">
        <v>37</v>
      </c>
    </row>
    <row r="13" spans="2:39" x14ac:dyDescent="0.25">
      <c r="B13" s="23"/>
      <c r="C13" s="25" t="s">
        <v>103</v>
      </c>
      <c r="D13" s="15">
        <f>0.17*(D8+D9)</f>
        <v>11900</v>
      </c>
      <c r="E13" s="15">
        <f t="shared" ref="E13:H13" si="1">0.17*(E8+E9)</f>
        <v>12750.000000000002</v>
      </c>
      <c r="F13" s="15">
        <f t="shared" si="1"/>
        <v>13600.000000000002</v>
      </c>
      <c r="G13" s="15">
        <f t="shared" si="1"/>
        <v>14450.000000000002</v>
      </c>
      <c r="H13" s="15">
        <f t="shared" si="1"/>
        <v>15300.000000000002</v>
      </c>
      <c r="J13" s="15">
        <f>SUM(D13:H13)</f>
        <v>68000</v>
      </c>
    </row>
    <row r="14" spans="2:39" x14ac:dyDescent="0.25">
      <c r="B14" s="23"/>
      <c r="C14" s="25"/>
      <c r="D14" s="15"/>
      <c r="E14" s="15"/>
      <c r="F14" s="15"/>
      <c r="G14" s="15"/>
      <c r="H14" s="15"/>
      <c r="J14" s="15">
        <f t="shared" ref="J14:J15" si="2">SUM(D14:H14)</f>
        <v>0</v>
      </c>
    </row>
    <row r="15" spans="2:39" x14ac:dyDescent="0.25">
      <c r="B15" s="23"/>
      <c r="C15" s="10"/>
      <c r="D15" s="15"/>
      <c r="E15" s="11"/>
      <c r="F15" s="11"/>
      <c r="G15" s="11"/>
      <c r="H15" s="11"/>
      <c r="J15" s="15">
        <f t="shared" si="2"/>
        <v>0</v>
      </c>
    </row>
    <row r="16" spans="2:39" x14ac:dyDescent="0.25">
      <c r="B16" s="23"/>
      <c r="C16" s="9" t="s">
        <v>13</v>
      </c>
      <c r="D16" s="16">
        <f>SUM(D13:D15)</f>
        <v>11900</v>
      </c>
      <c r="E16" s="16">
        <f t="shared" ref="E16:J16" si="3">SUM(E13:E15)</f>
        <v>12750.000000000002</v>
      </c>
      <c r="F16" s="16">
        <f t="shared" si="3"/>
        <v>13600.000000000002</v>
      </c>
      <c r="G16" s="16">
        <f t="shared" si="3"/>
        <v>14450.000000000002</v>
      </c>
      <c r="H16" s="16">
        <f t="shared" si="3"/>
        <v>15300.000000000002</v>
      </c>
      <c r="J16" s="16">
        <f t="shared" si="3"/>
        <v>68000</v>
      </c>
    </row>
    <row r="17" spans="2:10" x14ac:dyDescent="0.25">
      <c r="B17" s="23"/>
      <c r="C17" s="14" t="s">
        <v>43</v>
      </c>
      <c r="D17" s="13" t="s">
        <v>37</v>
      </c>
      <c r="E17" s="10"/>
      <c r="F17" s="10"/>
      <c r="G17" s="10"/>
      <c r="H17" s="10"/>
      <c r="J17" s="8" t="s">
        <v>37</v>
      </c>
    </row>
    <row r="18" spans="2:10" x14ac:dyDescent="0.25">
      <c r="B18" s="23"/>
      <c r="C18" s="29" t="s">
        <v>104</v>
      </c>
      <c r="D18" s="15" t="s">
        <v>48</v>
      </c>
      <c r="E18" s="11" t="s">
        <v>48</v>
      </c>
      <c r="F18" s="11" t="s">
        <v>48</v>
      </c>
      <c r="G18" s="11"/>
      <c r="H18" s="11"/>
      <c r="J18" s="15"/>
    </row>
    <row r="19" spans="2:10" x14ac:dyDescent="0.25">
      <c r="B19" s="23"/>
      <c r="C19" s="29" t="s">
        <v>105</v>
      </c>
      <c r="D19" s="15">
        <v>400</v>
      </c>
      <c r="E19" s="15">
        <v>400</v>
      </c>
      <c r="F19" s="15">
        <v>400</v>
      </c>
      <c r="G19" s="15">
        <v>400</v>
      </c>
      <c r="H19" s="15">
        <v>400</v>
      </c>
      <c r="I19" s="35"/>
      <c r="J19" s="15">
        <f>SUM(D19:H19)</f>
        <v>2000</v>
      </c>
    </row>
    <row r="20" spans="2:10" x14ac:dyDescent="0.25">
      <c r="B20" s="23"/>
      <c r="C20" s="29" t="s">
        <v>106</v>
      </c>
      <c r="D20" s="15">
        <v>50</v>
      </c>
      <c r="E20" s="15">
        <v>50</v>
      </c>
      <c r="F20" s="15">
        <v>50</v>
      </c>
      <c r="G20" s="15">
        <v>50</v>
      </c>
      <c r="H20" s="15">
        <v>50</v>
      </c>
      <c r="I20" s="35"/>
      <c r="J20" s="15">
        <f t="shared" ref="J20:J25" si="4">SUM(D20:H20)</f>
        <v>250</v>
      </c>
    </row>
    <row r="21" spans="2:10" x14ac:dyDescent="0.25">
      <c r="B21" s="23"/>
      <c r="C21" s="25" t="s">
        <v>107</v>
      </c>
      <c r="D21" s="15">
        <v>450</v>
      </c>
      <c r="E21" s="15">
        <v>450</v>
      </c>
      <c r="F21" s="15">
        <v>450</v>
      </c>
      <c r="G21" s="15">
        <v>450</v>
      </c>
      <c r="H21" s="15">
        <v>450</v>
      </c>
      <c r="I21" s="35"/>
      <c r="J21" s="15">
        <f t="shared" si="4"/>
        <v>2250</v>
      </c>
    </row>
    <row r="22" spans="2:10" x14ac:dyDescent="0.25">
      <c r="B22" s="23"/>
      <c r="C22" s="29" t="s">
        <v>108</v>
      </c>
      <c r="D22" s="15">
        <v>248</v>
      </c>
      <c r="E22" s="15">
        <v>248</v>
      </c>
      <c r="F22" s="15">
        <v>248</v>
      </c>
      <c r="G22" s="15">
        <v>248</v>
      </c>
      <c r="H22" s="15">
        <v>248</v>
      </c>
      <c r="I22" s="35"/>
      <c r="J22" s="15">
        <f t="shared" si="4"/>
        <v>1240</v>
      </c>
    </row>
    <row r="23" spans="2:10" x14ac:dyDescent="0.25">
      <c r="B23" s="23"/>
      <c r="C23" s="29" t="s">
        <v>109</v>
      </c>
      <c r="D23" s="15">
        <v>45</v>
      </c>
      <c r="E23" s="15">
        <v>45</v>
      </c>
      <c r="F23" s="15">
        <v>45</v>
      </c>
      <c r="G23" s="15">
        <v>45</v>
      </c>
      <c r="H23" s="15">
        <v>45</v>
      </c>
      <c r="I23" s="35"/>
      <c r="J23" s="15">
        <f t="shared" si="4"/>
        <v>225</v>
      </c>
    </row>
    <row r="24" spans="2:10" x14ac:dyDescent="0.25">
      <c r="B24" s="23"/>
      <c r="C24" s="29" t="s">
        <v>110</v>
      </c>
      <c r="D24" s="15">
        <v>80</v>
      </c>
      <c r="E24" s="15">
        <v>80</v>
      </c>
      <c r="F24" s="15">
        <v>80</v>
      </c>
      <c r="G24" s="15">
        <v>80</v>
      </c>
      <c r="H24" s="15">
        <v>80</v>
      </c>
      <c r="I24" s="35"/>
      <c r="J24" s="15">
        <f t="shared" si="4"/>
        <v>400</v>
      </c>
    </row>
    <row r="25" spans="2:10" ht="30" x14ac:dyDescent="0.25">
      <c r="B25" s="23"/>
      <c r="C25" s="25" t="s">
        <v>111</v>
      </c>
      <c r="D25" s="15">
        <v>328</v>
      </c>
      <c r="E25" s="15">
        <v>328</v>
      </c>
      <c r="F25" s="15">
        <v>328</v>
      </c>
      <c r="G25" s="15">
        <v>328</v>
      </c>
      <c r="H25" s="15">
        <v>328</v>
      </c>
      <c r="I25" s="35"/>
      <c r="J25" s="15">
        <f t="shared" si="4"/>
        <v>1640</v>
      </c>
    </row>
    <row r="26" spans="2:10" x14ac:dyDescent="0.25">
      <c r="B26" s="23"/>
      <c r="C26" s="9" t="s">
        <v>14</v>
      </c>
      <c r="D26" s="16">
        <f>SUM(D19:D25)</f>
        <v>1601</v>
      </c>
      <c r="E26" s="16">
        <f t="shared" ref="E26:H26" si="5">SUM(E19:E25)</f>
        <v>1601</v>
      </c>
      <c r="F26" s="16">
        <f t="shared" si="5"/>
        <v>1601</v>
      </c>
      <c r="G26" s="16">
        <f t="shared" si="5"/>
        <v>1601</v>
      </c>
      <c r="H26" s="16">
        <f t="shared" si="5"/>
        <v>1601</v>
      </c>
      <c r="J26" s="16">
        <f>SUM(D26:H26)</f>
        <v>8005</v>
      </c>
    </row>
    <row r="27" spans="2:10" x14ac:dyDescent="0.25">
      <c r="B27" s="23"/>
      <c r="C27" s="14" t="s">
        <v>46</v>
      </c>
      <c r="D27" s="15"/>
      <c r="E27" s="10"/>
      <c r="F27" s="10"/>
      <c r="G27" s="10"/>
      <c r="H27" s="10"/>
      <c r="J27" s="15" t="s">
        <v>20</v>
      </c>
    </row>
    <row r="28" spans="2:10" x14ac:dyDescent="0.25">
      <c r="B28" s="23"/>
      <c r="C28" s="25" t="s">
        <v>112</v>
      </c>
      <c r="D28" s="15">
        <v>18000</v>
      </c>
      <c r="E28" s="10"/>
      <c r="F28" s="10"/>
      <c r="G28" s="10"/>
      <c r="H28" s="10"/>
      <c r="J28" s="15">
        <f>SUM(D28:H28)</f>
        <v>18000</v>
      </c>
    </row>
    <row r="29" spans="2:10" x14ac:dyDescent="0.25">
      <c r="B29" s="23" t="s">
        <v>48</v>
      </c>
      <c r="C29" s="28" t="s">
        <v>48</v>
      </c>
      <c r="D29" s="13" t="s">
        <v>37</v>
      </c>
      <c r="E29" s="10"/>
      <c r="F29" s="10"/>
      <c r="G29" s="10"/>
      <c r="H29" s="10"/>
      <c r="J29" s="15">
        <f t="shared" ref="J29:J46" si="6">SUM(D29:H29)</f>
        <v>0</v>
      </c>
    </row>
    <row r="30" spans="2:10" x14ac:dyDescent="0.25">
      <c r="B30" s="23"/>
      <c r="C30" s="9" t="s">
        <v>15</v>
      </c>
      <c r="D30" s="12">
        <f>SUM(D28:D29)</f>
        <v>18000</v>
      </c>
      <c r="E30" s="12">
        <f t="shared" ref="E30:H30" si="7">SUM(E28:E29)</f>
        <v>0</v>
      </c>
      <c r="F30" s="12">
        <f t="shared" si="7"/>
        <v>0</v>
      </c>
      <c r="G30" s="12">
        <f t="shared" si="7"/>
        <v>0</v>
      </c>
      <c r="H30" s="12">
        <f t="shared" si="7"/>
        <v>0</v>
      </c>
      <c r="J30" s="16">
        <f t="shared" si="6"/>
        <v>18000</v>
      </c>
    </row>
    <row r="31" spans="2:10" x14ac:dyDescent="0.25">
      <c r="B31" s="23"/>
      <c r="C31" s="14" t="s">
        <v>50</v>
      </c>
      <c r="D31" s="13" t="s">
        <v>37</v>
      </c>
      <c r="E31" s="10"/>
      <c r="F31" s="10"/>
      <c r="G31" s="10"/>
      <c r="H31" s="10"/>
      <c r="J31" s="15"/>
    </row>
    <row r="32" spans="2:10" x14ac:dyDescent="0.25">
      <c r="B32" s="23"/>
      <c r="C32" s="25" t="s">
        <v>113</v>
      </c>
      <c r="D32" s="15">
        <v>2500</v>
      </c>
      <c r="E32" s="15">
        <v>0</v>
      </c>
      <c r="F32" s="15">
        <v>0</v>
      </c>
      <c r="G32" s="15">
        <v>0</v>
      </c>
      <c r="H32" s="15">
        <v>0</v>
      </c>
      <c r="I32" s="35"/>
      <c r="J32" s="15">
        <f t="shared" si="6"/>
        <v>2500</v>
      </c>
    </row>
    <row r="33" spans="2:10" x14ac:dyDescent="0.25">
      <c r="B33" s="23"/>
      <c r="C33" s="25"/>
      <c r="D33" s="15"/>
      <c r="E33" s="11"/>
      <c r="F33" s="11"/>
      <c r="G33" s="11"/>
      <c r="H33" s="11"/>
      <c r="J33" s="15">
        <f t="shared" si="6"/>
        <v>0</v>
      </c>
    </row>
    <row r="34" spans="2:10" x14ac:dyDescent="0.25">
      <c r="B34" s="23"/>
      <c r="C34" s="9" t="s">
        <v>16</v>
      </c>
      <c r="D34" s="16">
        <f>SUM(D32:D33)</f>
        <v>2500</v>
      </c>
      <c r="E34" s="16">
        <f t="shared" ref="E34:H34" si="8">SUM(E32:E33)</f>
        <v>0</v>
      </c>
      <c r="F34" s="16">
        <f t="shared" si="8"/>
        <v>0</v>
      </c>
      <c r="G34" s="16">
        <f t="shared" si="8"/>
        <v>0</v>
      </c>
      <c r="H34" s="16">
        <f t="shared" si="8"/>
        <v>0</v>
      </c>
      <c r="J34" s="16">
        <f t="shared" si="6"/>
        <v>2500</v>
      </c>
    </row>
    <row r="35" spans="2:10" x14ac:dyDescent="0.25">
      <c r="B35" s="23"/>
      <c r="C35" s="14" t="s">
        <v>54</v>
      </c>
      <c r="D35" s="13" t="s">
        <v>37</v>
      </c>
      <c r="E35" s="10"/>
      <c r="F35" s="10"/>
      <c r="G35" s="10"/>
      <c r="H35" s="10"/>
      <c r="J35" s="15"/>
    </row>
    <row r="36" spans="2:10" ht="60" x14ac:dyDescent="0.25">
      <c r="B36" s="23"/>
      <c r="C36" s="25" t="s">
        <v>114</v>
      </c>
      <c r="D36" s="15">
        <v>1021200</v>
      </c>
      <c r="E36" s="15">
        <v>1021200</v>
      </c>
      <c r="F36" s="15">
        <v>1021200</v>
      </c>
      <c r="G36" s="15">
        <v>1021200</v>
      </c>
      <c r="H36" s="15">
        <v>1021200</v>
      </c>
      <c r="I36" s="35"/>
      <c r="J36" s="15">
        <f t="shared" si="6"/>
        <v>5106000</v>
      </c>
    </row>
    <row r="37" spans="2:10" ht="60" x14ac:dyDescent="0.25">
      <c r="B37" s="23"/>
      <c r="C37" s="25" t="s">
        <v>115</v>
      </c>
      <c r="D37" s="15">
        <v>4500000</v>
      </c>
      <c r="E37" s="15">
        <v>4500000</v>
      </c>
      <c r="F37" s="15">
        <v>4500000</v>
      </c>
      <c r="G37" s="15">
        <v>4500000</v>
      </c>
      <c r="H37" s="15">
        <v>4500000</v>
      </c>
      <c r="I37" s="35"/>
      <c r="J37" s="15">
        <f t="shared" si="6"/>
        <v>22500000</v>
      </c>
    </row>
    <row r="38" spans="2:10" ht="60" x14ac:dyDescent="0.25">
      <c r="B38" s="23"/>
      <c r="C38" s="25" t="s">
        <v>116</v>
      </c>
      <c r="D38" s="15">
        <v>15000000</v>
      </c>
      <c r="E38" s="15">
        <v>15000000</v>
      </c>
      <c r="F38" s="15">
        <v>15000000</v>
      </c>
      <c r="G38" s="15">
        <v>15000000</v>
      </c>
      <c r="H38" s="15">
        <v>15000000</v>
      </c>
      <c r="I38" s="35"/>
      <c r="J38" s="15">
        <f t="shared" si="6"/>
        <v>75000000</v>
      </c>
    </row>
    <row r="39" spans="2:10" x14ac:dyDescent="0.25">
      <c r="B39" s="23"/>
      <c r="C39" s="25"/>
      <c r="D39" s="15"/>
      <c r="E39" s="11"/>
      <c r="F39" s="11"/>
      <c r="G39" s="11"/>
      <c r="H39" s="11"/>
      <c r="J39" s="15">
        <f t="shared" si="6"/>
        <v>0</v>
      </c>
    </row>
    <row r="40" spans="2:10" x14ac:dyDescent="0.25">
      <c r="B40" s="23"/>
      <c r="C40" s="9" t="s">
        <v>17</v>
      </c>
      <c r="D40" s="16">
        <f>SUM(D36:D39)</f>
        <v>20521200</v>
      </c>
      <c r="E40" s="16">
        <f t="shared" ref="E40:H40" si="9">SUM(E36:E39)</f>
        <v>20521200</v>
      </c>
      <c r="F40" s="16">
        <f t="shared" si="9"/>
        <v>20521200</v>
      </c>
      <c r="G40" s="16">
        <f t="shared" si="9"/>
        <v>20521200</v>
      </c>
      <c r="H40" s="16">
        <f t="shared" si="9"/>
        <v>20521200</v>
      </c>
      <c r="J40" s="16">
        <f t="shared" si="6"/>
        <v>102606000</v>
      </c>
    </row>
    <row r="41" spans="2:10" x14ac:dyDescent="0.25">
      <c r="B41" s="23"/>
      <c r="C41" s="14" t="s">
        <v>55</v>
      </c>
      <c r="D41" s="13" t="s">
        <v>37</v>
      </c>
      <c r="E41" s="10"/>
      <c r="F41" s="10"/>
      <c r="G41" s="10"/>
      <c r="H41" s="10"/>
      <c r="J41" s="15"/>
    </row>
    <row r="42" spans="2:10" ht="30" x14ac:dyDescent="0.25">
      <c r="B42" s="23"/>
      <c r="C42" s="25" t="s">
        <v>117</v>
      </c>
      <c r="D42" s="15">
        <v>8000</v>
      </c>
      <c r="E42" s="44">
        <v>8000</v>
      </c>
      <c r="F42" s="44">
        <v>8000</v>
      </c>
      <c r="G42" s="44">
        <v>8000</v>
      </c>
      <c r="H42" s="44">
        <v>8000</v>
      </c>
      <c r="J42" s="15">
        <f t="shared" si="6"/>
        <v>40000</v>
      </c>
    </row>
    <row r="43" spans="2:10" ht="30" x14ac:dyDescent="0.25">
      <c r="B43" s="23"/>
      <c r="C43" s="25" t="s">
        <v>118</v>
      </c>
      <c r="D43" s="15">
        <v>10000000</v>
      </c>
      <c r="E43" s="60">
        <v>10000000</v>
      </c>
      <c r="F43" s="60">
        <v>10000000</v>
      </c>
      <c r="G43" s="60">
        <v>10000000</v>
      </c>
      <c r="H43" s="60">
        <v>10000000</v>
      </c>
      <c r="J43" s="15">
        <f t="shared" si="6"/>
        <v>50000000</v>
      </c>
    </row>
    <row r="44" spans="2:10" x14ac:dyDescent="0.25">
      <c r="B44" s="23"/>
      <c r="C44" s="10"/>
      <c r="D44" s="15"/>
      <c r="E44" s="11"/>
      <c r="F44" s="11"/>
      <c r="G44" s="11"/>
      <c r="H44" s="11"/>
      <c r="J44" s="15">
        <f t="shared" si="6"/>
        <v>0</v>
      </c>
    </row>
    <row r="45" spans="2:10" x14ac:dyDescent="0.25">
      <c r="B45" s="24"/>
      <c r="C45" s="9" t="s">
        <v>18</v>
      </c>
      <c r="D45" s="16">
        <f>SUM(D42:D44)</f>
        <v>10008000</v>
      </c>
      <c r="E45" s="16">
        <f>SUM(E42:E44)</f>
        <v>10008000</v>
      </c>
      <c r="F45" s="16">
        <f>SUM(F42:F44)</f>
        <v>10008000</v>
      </c>
      <c r="G45" s="16">
        <f>SUM(G42:G44)</f>
        <v>10008000</v>
      </c>
      <c r="H45" s="16">
        <f>SUM(H42:H44)</f>
        <v>10008000</v>
      </c>
      <c r="J45" s="16">
        <f t="shared" si="6"/>
        <v>50040000</v>
      </c>
    </row>
    <row r="46" spans="2:10" x14ac:dyDescent="0.25">
      <c r="B46" s="24"/>
      <c r="C46" s="9" t="s">
        <v>19</v>
      </c>
      <c r="D46" s="16">
        <f>SUM(D45,D40,D34,D30,D26,D16,D11)</f>
        <v>30633201</v>
      </c>
      <c r="E46" s="16">
        <f>SUM(E45,E40,E34,E30,E26,E16,E11)</f>
        <v>30618551</v>
      </c>
      <c r="F46" s="16">
        <f>SUM(F45,F40,F34,F30,F26,F16,F11)</f>
        <v>30624401</v>
      </c>
      <c r="G46" s="16">
        <f>SUM(G45,G40,G34,G30,G26,G16,G11)</f>
        <v>30630251</v>
      </c>
      <c r="H46" s="16">
        <f>SUM(H45,H40,H34,H30,H26,H16,H11)</f>
        <v>30636101</v>
      </c>
      <c r="J46" s="16">
        <f t="shared" si="6"/>
        <v>153142505</v>
      </c>
    </row>
    <row r="47" spans="2:10" x14ac:dyDescent="0.25">
      <c r="B47" s="6"/>
      <c r="D47"/>
      <c r="E47"/>
      <c r="H47"/>
      <c r="I47"/>
      <c r="J47" t="s">
        <v>20</v>
      </c>
    </row>
    <row r="48" spans="2:10" x14ac:dyDescent="0.25">
      <c r="B48" s="22" t="s">
        <v>80</v>
      </c>
      <c r="C48" s="17" t="s">
        <v>80</v>
      </c>
      <c r="D48" s="18"/>
      <c r="E48" s="18"/>
      <c r="F48" s="18"/>
      <c r="G48" s="18"/>
      <c r="H48" s="18"/>
      <c r="I48"/>
      <c r="J48" s="18" t="s">
        <v>20</v>
      </c>
    </row>
    <row r="49" spans="2:10" x14ac:dyDescent="0.25">
      <c r="B49" s="23"/>
      <c r="C49" s="25"/>
      <c r="D49" s="13"/>
      <c r="E49" s="10"/>
      <c r="F49" s="10"/>
      <c r="G49" s="10"/>
      <c r="H49" s="10"/>
      <c r="J49" s="15">
        <f>SUM(D49:H49)</f>
        <v>0</v>
      </c>
    </row>
    <row r="50" spans="2:10" x14ac:dyDescent="0.25">
      <c r="B50" s="23"/>
      <c r="C50" s="25"/>
      <c r="D50" s="13"/>
      <c r="E50" s="10"/>
      <c r="F50" s="10"/>
      <c r="G50" s="10"/>
      <c r="H50" s="10"/>
      <c r="J50" s="15">
        <f t="shared" ref="J50:J51" si="10">SUM(D50:H50)</f>
        <v>0</v>
      </c>
    </row>
    <row r="51" spans="2:10" x14ac:dyDescent="0.25">
      <c r="B51" s="24"/>
      <c r="C51" s="9" t="s">
        <v>21</v>
      </c>
      <c r="D51" s="16">
        <f>SUM(D49:D50)</f>
        <v>0</v>
      </c>
      <c r="E51" s="16">
        <f t="shared" ref="E51:H51" si="11">SUM(E49:E50)</f>
        <v>0</v>
      </c>
      <c r="F51" s="16">
        <f t="shared" si="11"/>
        <v>0</v>
      </c>
      <c r="G51" s="16">
        <f t="shared" si="11"/>
        <v>0</v>
      </c>
      <c r="H51" s="16">
        <f t="shared" si="11"/>
        <v>0</v>
      </c>
      <c r="J51" s="16">
        <f t="shared" si="10"/>
        <v>0</v>
      </c>
    </row>
    <row r="52" spans="2:10" ht="15.75" thickBot="1" x14ac:dyDescent="0.3">
      <c r="B52" s="6"/>
      <c r="D52"/>
      <c r="E52"/>
      <c r="H52"/>
      <c r="I52"/>
      <c r="J52" t="s">
        <v>20</v>
      </c>
    </row>
    <row r="53" spans="2:10" s="1" customFormat="1" ht="30.75" thickBot="1" x14ac:dyDescent="0.3">
      <c r="B53" s="19" t="s">
        <v>22</v>
      </c>
      <c r="C53" s="19"/>
      <c r="D53" s="20">
        <f>SUM(D51,D46)</f>
        <v>30633201</v>
      </c>
      <c r="E53" s="20">
        <f t="shared" ref="E53:J53" si="12">SUM(E51,E46)</f>
        <v>30618551</v>
      </c>
      <c r="F53" s="20">
        <f t="shared" si="12"/>
        <v>30624401</v>
      </c>
      <c r="G53" s="20">
        <f t="shared" si="12"/>
        <v>30630251</v>
      </c>
      <c r="H53" s="20">
        <f t="shared" si="12"/>
        <v>30636101</v>
      </c>
      <c r="I53" s="7"/>
      <c r="J53" s="20">
        <f t="shared" si="12"/>
        <v>153142505</v>
      </c>
    </row>
    <row r="54" spans="2:10" x14ac:dyDescent="0.25">
      <c r="B54" s="6"/>
    </row>
    <row r="55" spans="2:10" x14ac:dyDescent="0.25">
      <c r="B55" s="6"/>
    </row>
    <row r="56" spans="2:10" x14ac:dyDescent="0.25">
      <c r="B56" s="6"/>
    </row>
    <row r="57" spans="2:10" x14ac:dyDescent="0.25">
      <c r="B57" s="6"/>
    </row>
    <row r="58" spans="2:10" x14ac:dyDescent="0.25">
      <c r="B58" s="6"/>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9DBA7-59F4-4427-8748-75C60F85996F}">
  <sheetPr>
    <tabColor theme="7" tint="0.59999389629810485"/>
  </sheetPr>
  <dimension ref="B2:AM73"/>
  <sheetViews>
    <sheetView showGridLines="0" zoomScale="85" zoomScaleNormal="85" workbookViewId="0">
      <pane xSplit="3" ySplit="6" topLeftCell="D15" activePane="bottomRight" state="frozen"/>
      <selection pane="topRight" activeCell="R20" sqref="R20:W20"/>
      <selection pane="bottomLeft" activeCell="R20" sqref="R20:W20"/>
      <selection pane="bottomRight" activeCell="P27" sqref="P27"/>
    </sheetView>
  </sheetViews>
  <sheetFormatPr defaultColWidth="9.28515625" defaultRowHeight="15" x14ac:dyDescent="0.25"/>
  <cols>
    <col min="1" max="1" width="3.28515625" customWidth="1"/>
    <col min="2" max="2" width="12.28515625" customWidth="1"/>
    <col min="3" max="3" width="52.7109375" customWidth="1"/>
    <col min="4" max="4" width="12.7109375" style="6" customWidth="1"/>
    <col min="5" max="5" width="12.42578125" style="2" customWidth="1"/>
    <col min="6" max="7" width="12.7109375" customWidth="1"/>
    <col min="8" max="8" width="13.42578125" style="2" customWidth="1"/>
    <col min="9" max="9" width="0.7109375" style="7" customWidth="1"/>
    <col min="10" max="10" width="14.42578125" customWidth="1"/>
    <col min="11" max="11" width="10.28515625" customWidth="1"/>
  </cols>
  <sheetData>
    <row r="2" spans="2:39" ht="23.25" x14ac:dyDescent="0.35">
      <c r="B2" s="30" t="s">
        <v>34</v>
      </c>
    </row>
    <row r="3" spans="2:39" x14ac:dyDescent="0.25">
      <c r="B3" s="5"/>
    </row>
    <row r="4" spans="2:39" x14ac:dyDescent="0.25">
      <c r="B4" s="5"/>
    </row>
    <row r="5" spans="2:39" ht="18.75" x14ac:dyDescent="0.3">
      <c r="B5" s="36" t="s">
        <v>2</v>
      </c>
      <c r="C5" s="37"/>
      <c r="D5" s="37"/>
      <c r="E5" s="37"/>
      <c r="F5" s="37"/>
      <c r="G5" s="37"/>
      <c r="H5" s="37"/>
      <c r="I5" s="37"/>
      <c r="J5" s="38"/>
    </row>
    <row r="6" spans="2:39" x14ac:dyDescent="0.25">
      <c r="B6" s="39" t="s">
        <v>3</v>
      </c>
      <c r="C6" s="39" t="s">
        <v>4</v>
      </c>
      <c r="D6" s="39" t="s">
        <v>5</v>
      </c>
      <c r="E6" s="40" t="s">
        <v>6</v>
      </c>
      <c r="F6" s="40" t="s">
        <v>7</v>
      </c>
      <c r="G6" s="40" t="s">
        <v>8</v>
      </c>
      <c r="H6" s="41" t="s">
        <v>9</v>
      </c>
      <c r="I6" s="42"/>
      <c r="J6" s="43" t="s">
        <v>10</v>
      </c>
    </row>
    <row r="7" spans="2:39" s="5" customFormat="1" x14ac:dyDescent="0.25">
      <c r="B7" s="22" t="s">
        <v>11</v>
      </c>
      <c r="C7" s="26" t="s">
        <v>36</v>
      </c>
      <c r="D7" s="10" t="s">
        <v>37</v>
      </c>
      <c r="E7" s="10" t="s">
        <v>37</v>
      </c>
      <c r="F7" s="10" t="s">
        <v>37</v>
      </c>
      <c r="G7" s="10"/>
      <c r="H7" s="10" t="s">
        <v>37</v>
      </c>
      <c r="I7" s="7"/>
      <c r="J7" s="8" t="s">
        <v>37</v>
      </c>
      <c r="K7"/>
      <c r="L7"/>
      <c r="M7"/>
      <c r="N7"/>
      <c r="O7"/>
      <c r="P7"/>
      <c r="Q7"/>
      <c r="R7"/>
      <c r="S7"/>
      <c r="T7"/>
      <c r="U7"/>
      <c r="V7"/>
      <c r="W7"/>
      <c r="X7"/>
      <c r="Y7"/>
      <c r="Z7"/>
      <c r="AA7"/>
      <c r="AB7"/>
      <c r="AC7"/>
      <c r="AD7"/>
      <c r="AE7"/>
      <c r="AF7"/>
      <c r="AG7"/>
      <c r="AH7"/>
      <c r="AI7"/>
      <c r="AJ7"/>
      <c r="AK7"/>
      <c r="AL7"/>
      <c r="AM7"/>
    </row>
    <row r="8" spans="2:39" ht="30" x14ac:dyDescent="0.25">
      <c r="B8" s="23"/>
      <c r="C8" s="25" t="s">
        <v>101</v>
      </c>
      <c r="D8" s="15">
        <v>40000</v>
      </c>
      <c r="E8" s="15">
        <v>42500</v>
      </c>
      <c r="F8" s="15">
        <v>45000</v>
      </c>
      <c r="G8" s="15">
        <v>47500</v>
      </c>
      <c r="H8" s="15">
        <v>50000</v>
      </c>
      <c r="I8" s="35">
        <v>450000</v>
      </c>
      <c r="J8" s="15">
        <f>SUM(D8:H8)</f>
        <v>225000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12</v>
      </c>
      <c r="D11" s="16">
        <f>SUM(D8:D10)</f>
        <v>40000</v>
      </c>
      <c r="E11" s="16">
        <f t="shared" ref="E11:J11" si="0">SUM(E8:E10)</f>
        <v>42500</v>
      </c>
      <c r="F11" s="16">
        <f t="shared" si="0"/>
        <v>45000</v>
      </c>
      <c r="G11" s="16">
        <f t="shared" si="0"/>
        <v>47500</v>
      </c>
      <c r="H11" s="16">
        <f t="shared" si="0"/>
        <v>50000</v>
      </c>
      <c r="I11" s="7">
        <f t="shared" si="0"/>
        <v>450000</v>
      </c>
      <c r="J11" s="16">
        <f t="shared" si="0"/>
        <v>225000</v>
      </c>
    </row>
    <row r="12" spans="2:39" x14ac:dyDescent="0.25">
      <c r="B12" s="23"/>
      <c r="C12" s="14" t="s">
        <v>41</v>
      </c>
      <c r="D12" s="13" t="s">
        <v>37</v>
      </c>
      <c r="E12" s="10"/>
      <c r="F12" s="10"/>
      <c r="G12" s="10"/>
      <c r="H12" s="10"/>
      <c r="J12" s="8" t="s">
        <v>37</v>
      </c>
    </row>
    <row r="13" spans="2:39" x14ac:dyDescent="0.25">
      <c r="B13" s="23"/>
      <c r="C13" s="25" t="s">
        <v>103</v>
      </c>
      <c r="D13" s="15">
        <f>0.17*D11</f>
        <v>6800.0000000000009</v>
      </c>
      <c r="E13" s="15">
        <f t="shared" ref="E13:H13" si="1">0.17*E11</f>
        <v>7225.0000000000009</v>
      </c>
      <c r="F13" s="15">
        <f t="shared" si="1"/>
        <v>7650.0000000000009</v>
      </c>
      <c r="G13" s="15">
        <f t="shared" si="1"/>
        <v>8075.0000000000009</v>
      </c>
      <c r="H13" s="15">
        <f t="shared" si="1"/>
        <v>8500</v>
      </c>
      <c r="J13" s="15">
        <f>SUM(D13:H13)</f>
        <v>38250</v>
      </c>
    </row>
    <row r="14" spans="2:39" x14ac:dyDescent="0.25">
      <c r="B14" s="23"/>
      <c r="C14" s="25"/>
      <c r="D14" s="15"/>
      <c r="E14" s="15"/>
      <c r="F14" s="15"/>
      <c r="G14" s="15"/>
      <c r="H14" s="15"/>
      <c r="J14" s="15">
        <f t="shared" ref="J14:J15" si="2">SUM(D14:H14)</f>
        <v>0</v>
      </c>
    </row>
    <row r="15" spans="2:39" x14ac:dyDescent="0.25">
      <c r="B15" s="23"/>
      <c r="C15" s="10"/>
      <c r="D15" s="15"/>
      <c r="E15" s="11"/>
      <c r="F15" s="11"/>
      <c r="G15" s="11"/>
      <c r="H15" s="11"/>
      <c r="J15" s="15">
        <f t="shared" si="2"/>
        <v>0</v>
      </c>
    </row>
    <row r="16" spans="2:39" x14ac:dyDescent="0.25">
      <c r="B16" s="23"/>
      <c r="C16" s="9" t="s">
        <v>13</v>
      </c>
      <c r="D16" s="16">
        <f>SUM(D13:D15)</f>
        <v>6800.0000000000009</v>
      </c>
      <c r="E16" s="16">
        <f t="shared" ref="E16:J16" si="3">SUM(E13:E15)</f>
        <v>7225.0000000000009</v>
      </c>
      <c r="F16" s="16">
        <f t="shared" si="3"/>
        <v>7650.0000000000009</v>
      </c>
      <c r="G16" s="16">
        <f t="shared" si="3"/>
        <v>8075.0000000000009</v>
      </c>
      <c r="H16" s="16">
        <f t="shared" si="3"/>
        <v>8500</v>
      </c>
      <c r="I16" s="7">
        <f t="shared" si="3"/>
        <v>0</v>
      </c>
      <c r="J16" s="16">
        <f t="shared" si="3"/>
        <v>38250</v>
      </c>
    </row>
    <row r="17" spans="2:10" x14ac:dyDescent="0.25">
      <c r="B17" s="23"/>
      <c r="C17" s="14" t="s">
        <v>43</v>
      </c>
      <c r="D17" s="13" t="s">
        <v>37</v>
      </c>
      <c r="E17" s="10"/>
      <c r="F17" s="10"/>
      <c r="G17" s="10"/>
      <c r="H17" s="10"/>
      <c r="J17" s="8" t="s">
        <v>37</v>
      </c>
    </row>
    <row r="18" spans="2:10" x14ac:dyDescent="0.25">
      <c r="B18" s="23"/>
      <c r="C18" s="25" t="s">
        <v>119</v>
      </c>
      <c r="D18" s="13"/>
      <c r="E18" s="10"/>
      <c r="F18" s="10"/>
      <c r="G18" s="10"/>
      <c r="H18" s="10"/>
      <c r="J18" s="15" t="s">
        <v>37</v>
      </c>
    </row>
    <row r="19" spans="2:10" x14ac:dyDescent="0.25">
      <c r="B19" s="23"/>
      <c r="C19" s="29" t="s">
        <v>104</v>
      </c>
      <c r="D19" s="15" t="s">
        <v>48</v>
      </c>
      <c r="E19" s="11" t="s">
        <v>48</v>
      </c>
      <c r="F19" s="11" t="s">
        <v>48</v>
      </c>
      <c r="G19" s="11"/>
      <c r="H19" s="11"/>
      <c r="J19" s="15"/>
    </row>
    <row r="20" spans="2:10" x14ac:dyDescent="0.25">
      <c r="B20" s="23"/>
      <c r="C20" s="29" t="s">
        <v>105</v>
      </c>
      <c r="D20" s="15">
        <v>400</v>
      </c>
      <c r="E20" s="15">
        <v>400</v>
      </c>
      <c r="F20" s="15">
        <v>400</v>
      </c>
      <c r="G20" s="15">
        <v>400</v>
      </c>
      <c r="H20" s="15">
        <v>400</v>
      </c>
      <c r="I20" s="35">
        <v>2000</v>
      </c>
      <c r="J20" s="15">
        <f>SUM(D20:H20)</f>
        <v>2000</v>
      </c>
    </row>
    <row r="21" spans="2:10" x14ac:dyDescent="0.25">
      <c r="B21" s="23"/>
      <c r="C21" s="29" t="s">
        <v>106</v>
      </c>
      <c r="D21" s="15">
        <v>50</v>
      </c>
      <c r="E21" s="15">
        <v>50</v>
      </c>
      <c r="F21" s="15">
        <v>50</v>
      </c>
      <c r="G21" s="15">
        <v>50</v>
      </c>
      <c r="H21" s="15">
        <v>50</v>
      </c>
      <c r="I21" s="35">
        <v>250</v>
      </c>
      <c r="J21" s="15">
        <f t="shared" ref="J21:J26" si="4">SUM(D21:H21)</f>
        <v>250</v>
      </c>
    </row>
    <row r="22" spans="2:10" x14ac:dyDescent="0.25">
      <c r="B22" s="23"/>
      <c r="C22" s="25" t="s">
        <v>107</v>
      </c>
      <c r="D22" s="15">
        <v>450</v>
      </c>
      <c r="E22" s="15">
        <v>450</v>
      </c>
      <c r="F22" s="15">
        <v>450</v>
      </c>
      <c r="G22" s="15">
        <v>450</v>
      </c>
      <c r="H22" s="15">
        <v>450</v>
      </c>
      <c r="I22" s="35">
        <v>2250</v>
      </c>
      <c r="J22" s="15">
        <f t="shared" si="4"/>
        <v>2250</v>
      </c>
    </row>
    <row r="23" spans="2:10" x14ac:dyDescent="0.25">
      <c r="B23" s="23"/>
      <c r="C23" s="29" t="s">
        <v>108</v>
      </c>
      <c r="D23" s="15">
        <v>248</v>
      </c>
      <c r="E23" s="15">
        <v>248</v>
      </c>
      <c r="F23" s="15">
        <v>248</v>
      </c>
      <c r="G23" s="15">
        <v>248</v>
      </c>
      <c r="H23" s="15">
        <v>248</v>
      </c>
      <c r="I23" s="35">
        <v>1243</v>
      </c>
      <c r="J23" s="15">
        <f t="shared" si="4"/>
        <v>1240</v>
      </c>
    </row>
    <row r="24" spans="2:10" x14ac:dyDescent="0.25">
      <c r="B24" s="23"/>
      <c r="C24" s="29" t="s">
        <v>109</v>
      </c>
      <c r="D24" s="15">
        <v>45</v>
      </c>
      <c r="E24" s="15">
        <v>45</v>
      </c>
      <c r="F24" s="15">
        <v>45</v>
      </c>
      <c r="G24" s="15">
        <v>45</v>
      </c>
      <c r="H24" s="15">
        <v>45</v>
      </c>
      <c r="I24" s="35">
        <v>225</v>
      </c>
      <c r="J24" s="15">
        <f t="shared" si="4"/>
        <v>225</v>
      </c>
    </row>
    <row r="25" spans="2:10" x14ac:dyDescent="0.25">
      <c r="B25" s="23"/>
      <c r="C25" s="29" t="s">
        <v>110</v>
      </c>
      <c r="D25" s="15">
        <v>80</v>
      </c>
      <c r="E25" s="15">
        <v>80</v>
      </c>
      <c r="F25" s="15">
        <v>80</v>
      </c>
      <c r="G25" s="15">
        <v>80</v>
      </c>
      <c r="H25" s="15">
        <v>80</v>
      </c>
      <c r="I25" s="35">
        <v>400</v>
      </c>
      <c r="J25" s="15">
        <f t="shared" si="4"/>
        <v>400</v>
      </c>
    </row>
    <row r="26" spans="2:10" ht="30" x14ac:dyDescent="0.25">
      <c r="B26" s="23"/>
      <c r="C26" s="25" t="s">
        <v>111</v>
      </c>
      <c r="D26" s="15">
        <v>328</v>
      </c>
      <c r="E26" s="15">
        <v>328</v>
      </c>
      <c r="F26" s="15">
        <v>328</v>
      </c>
      <c r="G26" s="15">
        <v>328</v>
      </c>
      <c r="H26" s="15">
        <v>328</v>
      </c>
      <c r="I26" s="35">
        <v>1638</v>
      </c>
      <c r="J26" s="15">
        <f t="shared" si="4"/>
        <v>1640</v>
      </c>
    </row>
    <row r="27" spans="2:10" x14ac:dyDescent="0.25">
      <c r="B27" s="23"/>
      <c r="C27" s="9" t="s">
        <v>14</v>
      </c>
      <c r="D27" s="16">
        <f>SUM(D20:D26)</f>
        <v>1601</v>
      </c>
      <c r="E27" s="16">
        <f t="shared" ref="E27:H27" si="5">SUM(E20:E26)</f>
        <v>1601</v>
      </c>
      <c r="F27" s="16">
        <f t="shared" si="5"/>
        <v>1601</v>
      </c>
      <c r="G27" s="16">
        <f t="shared" si="5"/>
        <v>1601</v>
      </c>
      <c r="H27" s="16">
        <f t="shared" si="5"/>
        <v>1601</v>
      </c>
      <c r="J27" s="16">
        <f>SUM(D27:H27)</f>
        <v>8005</v>
      </c>
    </row>
    <row r="28" spans="2:10" x14ac:dyDescent="0.25">
      <c r="B28" s="23"/>
      <c r="C28" s="14" t="s">
        <v>46</v>
      </c>
      <c r="D28" s="15"/>
      <c r="E28" s="10"/>
      <c r="F28" s="10"/>
      <c r="G28" s="10"/>
      <c r="H28" s="10"/>
      <c r="J28" s="15" t="s">
        <v>20</v>
      </c>
    </row>
    <row r="29" spans="2:10" x14ac:dyDescent="0.25">
      <c r="B29" s="23"/>
      <c r="C29" s="25"/>
      <c r="D29" s="15"/>
      <c r="E29" s="10"/>
      <c r="F29" s="10"/>
      <c r="G29" s="10"/>
      <c r="H29" s="10"/>
      <c r="J29" s="15">
        <f>SUM(D29:H29)</f>
        <v>0</v>
      </c>
    </row>
    <row r="30" spans="2:10" x14ac:dyDescent="0.25">
      <c r="B30" s="23" t="s">
        <v>48</v>
      </c>
      <c r="C30" s="28" t="s">
        <v>48</v>
      </c>
      <c r="D30" s="13" t="s">
        <v>37</v>
      </c>
      <c r="E30" s="10"/>
      <c r="F30" s="10"/>
      <c r="G30" s="10"/>
      <c r="H30" s="10"/>
      <c r="J30" s="15">
        <f t="shared" ref="J30:J51" si="6">SUM(D30:H30)</f>
        <v>0</v>
      </c>
    </row>
    <row r="31" spans="2:10" x14ac:dyDescent="0.25">
      <c r="B31" s="23"/>
      <c r="C31" s="9" t="s">
        <v>15</v>
      </c>
      <c r="D31" s="12">
        <f>SUM(D29:D30)</f>
        <v>0</v>
      </c>
      <c r="E31" s="12">
        <f t="shared" ref="E31:H31" si="7">SUM(E29:E30)</f>
        <v>0</v>
      </c>
      <c r="F31" s="12">
        <f t="shared" si="7"/>
        <v>0</v>
      </c>
      <c r="G31" s="12">
        <f t="shared" si="7"/>
        <v>0</v>
      </c>
      <c r="H31" s="12">
        <f t="shared" si="7"/>
        <v>0</v>
      </c>
      <c r="J31" s="16">
        <f t="shared" si="6"/>
        <v>0</v>
      </c>
    </row>
    <row r="32" spans="2:10" x14ac:dyDescent="0.25">
      <c r="B32" s="23"/>
      <c r="C32" s="14" t="s">
        <v>50</v>
      </c>
      <c r="D32" s="13" t="s">
        <v>37</v>
      </c>
      <c r="E32" s="10"/>
      <c r="F32" s="10"/>
      <c r="G32" s="10"/>
      <c r="H32" s="10"/>
      <c r="J32" s="15"/>
    </row>
    <row r="33" spans="2:10" x14ac:dyDescent="0.25">
      <c r="B33" s="23"/>
      <c r="C33" s="25" t="s">
        <v>120</v>
      </c>
      <c r="D33" s="15">
        <v>5000</v>
      </c>
      <c r="E33" s="15">
        <v>0</v>
      </c>
      <c r="F33" s="15">
        <v>0</v>
      </c>
      <c r="G33" s="15">
        <v>0</v>
      </c>
      <c r="H33" s="15">
        <v>0</v>
      </c>
      <c r="I33" s="35">
        <v>5000</v>
      </c>
      <c r="J33" s="15">
        <f t="shared" si="6"/>
        <v>5000</v>
      </c>
    </row>
    <row r="34" spans="2:10" x14ac:dyDescent="0.25">
      <c r="B34" s="23"/>
      <c r="C34" s="25"/>
      <c r="D34" s="15"/>
      <c r="E34" s="11"/>
      <c r="F34" s="11"/>
      <c r="G34" s="11"/>
      <c r="H34" s="11"/>
      <c r="J34" s="15">
        <f t="shared" si="6"/>
        <v>0</v>
      </c>
    </row>
    <row r="35" spans="2:10" x14ac:dyDescent="0.25">
      <c r="B35" s="23"/>
      <c r="C35" s="9" t="s">
        <v>16</v>
      </c>
      <c r="D35" s="16">
        <f>SUM(D33:D34)</f>
        <v>5000</v>
      </c>
      <c r="E35" s="16">
        <f t="shared" ref="E35:H35" si="8">SUM(E33:E34)</f>
        <v>0</v>
      </c>
      <c r="F35" s="16">
        <f t="shared" si="8"/>
        <v>0</v>
      </c>
      <c r="G35" s="16">
        <f t="shared" si="8"/>
        <v>0</v>
      </c>
      <c r="H35" s="16">
        <f t="shared" si="8"/>
        <v>0</v>
      </c>
      <c r="J35" s="16">
        <f t="shared" si="6"/>
        <v>5000</v>
      </c>
    </row>
    <row r="36" spans="2:10" x14ac:dyDescent="0.25">
      <c r="B36" s="23"/>
      <c r="C36" s="14" t="s">
        <v>54</v>
      </c>
      <c r="D36" s="13" t="s">
        <v>37</v>
      </c>
      <c r="E36" s="10"/>
      <c r="F36" s="10"/>
      <c r="G36" s="10"/>
      <c r="H36" s="10"/>
      <c r="J36" s="15"/>
    </row>
    <row r="37" spans="2:10" x14ac:dyDescent="0.25">
      <c r="B37" s="23"/>
      <c r="C37" s="13"/>
      <c r="D37" s="15"/>
      <c r="E37" s="15"/>
      <c r="F37" s="15"/>
      <c r="G37" s="15"/>
      <c r="H37" s="15"/>
      <c r="I37" s="35"/>
      <c r="J37" s="15"/>
    </row>
    <row r="38" spans="2:10" x14ac:dyDescent="0.25">
      <c r="B38" s="23"/>
      <c r="C38" s="13"/>
      <c r="D38" s="15"/>
      <c r="E38" s="15"/>
      <c r="F38" s="15"/>
      <c r="G38" s="15"/>
      <c r="H38" s="15"/>
      <c r="I38" s="35"/>
      <c r="J38" s="15"/>
    </row>
    <row r="39" spans="2:10" x14ac:dyDescent="0.25">
      <c r="B39" s="23"/>
      <c r="C39" s="13"/>
      <c r="D39" s="15"/>
      <c r="E39" s="15"/>
      <c r="F39" s="15"/>
      <c r="G39" s="15"/>
      <c r="H39" s="15"/>
      <c r="I39" s="35"/>
      <c r="J39" s="15"/>
    </row>
    <row r="40" spans="2:10" x14ac:dyDescent="0.25">
      <c r="B40" s="23"/>
      <c r="C40" s="62"/>
      <c r="D40" s="15"/>
      <c r="E40" s="15"/>
      <c r="F40" s="15"/>
      <c r="G40" s="15"/>
      <c r="H40" s="15"/>
      <c r="I40" s="35"/>
      <c r="J40" s="15"/>
    </row>
    <row r="41" spans="2:10" x14ac:dyDescent="0.25">
      <c r="B41" s="23"/>
      <c r="C41" s="25"/>
      <c r="D41" s="15"/>
      <c r="E41" s="11"/>
      <c r="F41" s="11"/>
      <c r="G41" s="11"/>
      <c r="H41" s="11"/>
      <c r="J41" s="15">
        <f t="shared" si="6"/>
        <v>0</v>
      </c>
    </row>
    <row r="42" spans="2:10" x14ac:dyDescent="0.25">
      <c r="B42" s="23"/>
      <c r="C42" s="9" t="s">
        <v>17</v>
      </c>
      <c r="D42" s="16">
        <f>SUM(D37:D41)</f>
        <v>0</v>
      </c>
      <c r="E42" s="16">
        <f t="shared" ref="E42:H42" si="9">SUM(E37:E41)</f>
        <v>0</v>
      </c>
      <c r="F42" s="16">
        <f t="shared" si="9"/>
        <v>0</v>
      </c>
      <c r="G42" s="16">
        <f t="shared" si="9"/>
        <v>0</v>
      </c>
      <c r="H42" s="16">
        <f t="shared" si="9"/>
        <v>0</v>
      </c>
      <c r="J42" s="16">
        <f t="shared" si="6"/>
        <v>0</v>
      </c>
    </row>
    <row r="43" spans="2:10" x14ac:dyDescent="0.25">
      <c r="B43" s="23"/>
      <c r="C43" s="14" t="s">
        <v>55</v>
      </c>
      <c r="D43" s="13" t="s">
        <v>37</v>
      </c>
      <c r="E43" s="10"/>
      <c r="F43" s="10"/>
      <c r="G43" s="10"/>
      <c r="H43" s="10"/>
      <c r="J43" s="15"/>
    </row>
    <row r="44" spans="2:10" ht="45" x14ac:dyDescent="0.25">
      <c r="B44" s="23"/>
      <c r="C44" s="25" t="s">
        <v>121</v>
      </c>
      <c r="D44" s="15">
        <v>75000</v>
      </c>
      <c r="E44" s="15">
        <v>75000</v>
      </c>
      <c r="F44" s="15">
        <v>75000</v>
      </c>
      <c r="G44" s="15">
        <v>75000</v>
      </c>
      <c r="H44" s="15">
        <v>75000</v>
      </c>
      <c r="I44" s="35">
        <v>375000</v>
      </c>
      <c r="J44" s="15">
        <f t="shared" si="6"/>
        <v>375000</v>
      </c>
    </row>
    <row r="45" spans="2:10" ht="75" x14ac:dyDescent="0.25">
      <c r="B45" s="23"/>
      <c r="C45" s="25" t="s">
        <v>122</v>
      </c>
      <c r="D45" s="15">
        <v>125000</v>
      </c>
      <c r="E45" s="15">
        <v>156250</v>
      </c>
      <c r="F45" s="15">
        <v>156250</v>
      </c>
      <c r="G45" s="15">
        <v>156250</v>
      </c>
      <c r="H45" s="15">
        <v>156250</v>
      </c>
      <c r="I45" s="35">
        <v>781250</v>
      </c>
      <c r="J45" s="15">
        <f t="shared" si="6"/>
        <v>750000</v>
      </c>
    </row>
    <row r="46" spans="2:10" ht="90" x14ac:dyDescent="0.25">
      <c r="B46" s="23"/>
      <c r="C46" s="25" t="s">
        <v>123</v>
      </c>
      <c r="D46" s="15">
        <v>333332</v>
      </c>
      <c r="E46" s="15">
        <v>416667</v>
      </c>
      <c r="F46" s="15">
        <v>416667</v>
      </c>
      <c r="G46" s="15">
        <v>416667</v>
      </c>
      <c r="H46" s="15">
        <v>416667</v>
      </c>
      <c r="I46" s="35">
        <v>2083335</v>
      </c>
      <c r="J46" s="15">
        <f t="shared" si="6"/>
        <v>2000000</v>
      </c>
    </row>
    <row r="47" spans="2:10" x14ac:dyDescent="0.25">
      <c r="B47" s="23"/>
      <c r="C47" s="25"/>
      <c r="D47" s="15"/>
      <c r="E47" s="11"/>
      <c r="F47" s="11"/>
      <c r="G47" s="11"/>
      <c r="H47" s="11"/>
      <c r="J47" s="15">
        <f t="shared" si="6"/>
        <v>0</v>
      </c>
    </row>
    <row r="48" spans="2:10" x14ac:dyDescent="0.25">
      <c r="B48" s="23"/>
      <c r="C48" s="25"/>
      <c r="D48" s="15"/>
      <c r="E48" s="11"/>
      <c r="F48" s="11"/>
      <c r="G48" s="11"/>
      <c r="H48" s="11"/>
      <c r="J48" s="15">
        <f t="shared" si="6"/>
        <v>0</v>
      </c>
    </row>
    <row r="49" spans="2:10" x14ac:dyDescent="0.25">
      <c r="B49" s="23"/>
      <c r="C49" s="10"/>
      <c r="D49" s="15"/>
      <c r="E49" s="11"/>
      <c r="F49" s="11"/>
      <c r="G49" s="11"/>
      <c r="H49" s="11"/>
      <c r="J49" s="15">
        <f t="shared" si="6"/>
        <v>0</v>
      </c>
    </row>
    <row r="50" spans="2:10" x14ac:dyDescent="0.25">
      <c r="B50" s="24"/>
      <c r="C50" s="9" t="s">
        <v>18</v>
      </c>
      <c r="D50" s="16">
        <f>SUM(D44:D49)</f>
        <v>533332</v>
      </c>
      <c r="E50" s="16">
        <f t="shared" ref="E50:H50" si="10">SUM(E44:E49)</f>
        <v>647917</v>
      </c>
      <c r="F50" s="16">
        <f t="shared" si="10"/>
        <v>647917</v>
      </c>
      <c r="G50" s="16">
        <f t="shared" si="10"/>
        <v>647917</v>
      </c>
      <c r="H50" s="16">
        <f t="shared" si="10"/>
        <v>647917</v>
      </c>
      <c r="J50" s="16">
        <f t="shared" si="6"/>
        <v>3125000</v>
      </c>
    </row>
    <row r="51" spans="2:10" x14ac:dyDescent="0.25">
      <c r="B51" s="24"/>
      <c r="C51" s="9" t="s">
        <v>19</v>
      </c>
      <c r="D51" s="16">
        <f>SUM(D50,D42,D35,D31,D27,D16,D11)</f>
        <v>586733</v>
      </c>
      <c r="E51" s="16">
        <f t="shared" ref="E51:H51" si="11">SUM(E50,E42,E35,E31,E27,E16,E11)</f>
        <v>699243</v>
      </c>
      <c r="F51" s="16">
        <f t="shared" si="11"/>
        <v>702168</v>
      </c>
      <c r="G51" s="16">
        <f t="shared" si="11"/>
        <v>705093</v>
      </c>
      <c r="H51" s="16">
        <f t="shared" si="11"/>
        <v>708018</v>
      </c>
      <c r="J51" s="16">
        <f t="shared" si="6"/>
        <v>3401255</v>
      </c>
    </row>
    <row r="52" spans="2:10" x14ac:dyDescent="0.25">
      <c r="B52" s="6"/>
      <c r="D52"/>
      <c r="E52"/>
      <c r="H52"/>
      <c r="I52"/>
      <c r="J52" t="s">
        <v>20</v>
      </c>
    </row>
    <row r="53" spans="2:10" x14ac:dyDescent="0.25">
      <c r="B53" s="22" t="s">
        <v>80</v>
      </c>
      <c r="C53" s="17" t="s">
        <v>80</v>
      </c>
      <c r="D53" s="18"/>
      <c r="E53" s="18"/>
      <c r="F53" s="18"/>
      <c r="G53" s="18"/>
      <c r="H53" s="18"/>
      <c r="I53"/>
      <c r="J53" s="18" t="s">
        <v>20</v>
      </c>
    </row>
    <row r="54" spans="2:10" x14ac:dyDescent="0.25">
      <c r="B54" s="23"/>
      <c r="C54" s="25"/>
      <c r="D54" s="13"/>
      <c r="E54" s="10"/>
      <c r="F54" s="10"/>
      <c r="G54" s="10"/>
      <c r="H54" s="10"/>
      <c r="J54" s="15">
        <f>SUM(D54:H54)</f>
        <v>0</v>
      </c>
    </row>
    <row r="55" spans="2:10" x14ac:dyDescent="0.25">
      <c r="B55" s="23"/>
      <c r="C55" s="25"/>
      <c r="D55" s="13"/>
      <c r="E55" s="10"/>
      <c r="F55" s="10"/>
      <c r="G55" s="10"/>
      <c r="H55" s="10"/>
      <c r="J55" s="15">
        <f t="shared" ref="J55:J56" si="12">SUM(D55:H55)</f>
        <v>0</v>
      </c>
    </row>
    <row r="56" spans="2:10" x14ac:dyDescent="0.25">
      <c r="B56" s="24"/>
      <c r="C56" s="9" t="s">
        <v>21</v>
      </c>
      <c r="D56" s="16">
        <f>SUM(D54:D55)</f>
        <v>0</v>
      </c>
      <c r="E56" s="16">
        <f t="shared" ref="E56:H56" si="13">SUM(E54:E55)</f>
        <v>0</v>
      </c>
      <c r="F56" s="16">
        <f t="shared" si="13"/>
        <v>0</v>
      </c>
      <c r="G56" s="16">
        <f t="shared" si="13"/>
        <v>0</v>
      </c>
      <c r="H56" s="16">
        <f t="shared" si="13"/>
        <v>0</v>
      </c>
      <c r="J56" s="16">
        <f t="shared" si="12"/>
        <v>0</v>
      </c>
    </row>
    <row r="57" spans="2:10" ht="15.75" thickBot="1" x14ac:dyDescent="0.3">
      <c r="B57" s="6"/>
      <c r="D57"/>
      <c r="E57"/>
      <c r="H57"/>
      <c r="I57"/>
      <c r="J57" t="s">
        <v>20</v>
      </c>
    </row>
    <row r="58" spans="2:10" s="1" customFormat="1" ht="30.75" thickBot="1" x14ac:dyDescent="0.3">
      <c r="B58" s="19" t="s">
        <v>22</v>
      </c>
      <c r="C58" s="19"/>
      <c r="D58" s="20">
        <f>SUM(D56,D51)</f>
        <v>586733</v>
      </c>
      <c r="E58" s="20">
        <f t="shared" ref="E58:J58" si="14">SUM(E56,E51)</f>
        <v>699243</v>
      </c>
      <c r="F58" s="20">
        <f t="shared" si="14"/>
        <v>702168</v>
      </c>
      <c r="G58" s="20">
        <f t="shared" si="14"/>
        <v>705093</v>
      </c>
      <c r="H58" s="20">
        <f t="shared" si="14"/>
        <v>708018</v>
      </c>
      <c r="I58" s="7">
        <f>SUM(I56,I51)</f>
        <v>0</v>
      </c>
      <c r="J58" s="20">
        <f t="shared" si="14"/>
        <v>3401255</v>
      </c>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sheetData>
  <pageMargins left="0.7" right="0.7" top="0.75" bottom="0.75" header="0.3" footer="0.3"/>
  <pageSetup orientation="portrait" r:id="rId1"/>
  <ignoredErrors>
    <ignoredError sqref="J44:J46 J20:J26 J33 J8"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4.xml><?xml version="1.0" encoding="utf-8"?>
<ct:contentTypeSchema xmlns:ct="http://schemas.microsoft.com/office/2006/metadata/contentType" xmlns:ma="http://schemas.microsoft.com/office/2006/metadata/properties/metaAttributes" ct:_="" ma:_="" ma:contentTypeName="Document" ma:contentTypeID="0x010100EBB6FD50A18319438F0D85B926FB21B3" ma:contentTypeVersion="4" ma:contentTypeDescription="Create a new document." ma:contentTypeScope="" ma:versionID="132b484ea210800ed4a75db4905490af">
  <xsd:schema xmlns:xsd="http://www.w3.org/2001/XMLSchema" xmlns:xs="http://www.w3.org/2001/XMLSchema" xmlns:p="http://schemas.microsoft.com/office/2006/metadata/properties" xmlns:ns2="d86d011c-7d94-44e2-b9c0-7bb948504e0d" targetNamespace="http://schemas.microsoft.com/office/2006/metadata/properties" ma:root="true" ma:fieldsID="1f8e9c764ae47c2ffe25adb916089811" ns2:_="">
    <xsd:import namespace="d86d011c-7d94-44e2-b9c0-7bb948504e0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6d011c-7d94-44e2-b9c0-7bb948504e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1D5935-F179-4A89-95E0-C99AE243BFAE}">
  <ds:schemaRefs>
    <ds:schemaRef ds:uri="http://schemas.microsoft.com/sharepoint/v3/contenttype/forms"/>
  </ds:schemaRefs>
</ds:datastoreItem>
</file>

<file path=customXml/itemProps2.xml><?xml version="1.0" encoding="utf-8"?>
<ds:datastoreItem xmlns:ds="http://schemas.openxmlformats.org/officeDocument/2006/customXml" ds:itemID="{68222176-22B4-47AB-AB9E-BB248AC3A7F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A2572C9-94E8-4C6B-8BD4-9D0B9DF7E5AC}">
  <ds:schemaRefs>
    <ds:schemaRef ds:uri="http://schemas.microsoft.com/DataMashup"/>
  </ds:schemaRefs>
</ds:datastoreItem>
</file>

<file path=customXml/itemProps4.xml><?xml version="1.0" encoding="utf-8"?>
<ds:datastoreItem xmlns:ds="http://schemas.openxmlformats.org/officeDocument/2006/customXml" ds:itemID="{1F78B137-1AA6-46D8-A9E2-25C21C3C78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6d011c-7d94-44e2-b9c0-7bb948504e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Overview</vt:lpstr>
      <vt:lpstr>Consolidated Budget</vt:lpstr>
      <vt:lpstr>Measure 1 Budget</vt:lpstr>
      <vt:lpstr>Measure 2 Budget</vt:lpstr>
      <vt:lpstr>Measure 3 Budget</vt:lpstr>
      <vt:lpstr>Measure 4 Budget</vt:lpstr>
      <vt:lpstr>Measure 5 Budget</vt:lpstr>
      <vt:lpstr>Sample Budget 1</vt:lpstr>
      <vt:lpstr>Sample Budget 2</vt:lpstr>
      <vt:lpstr>Sample Budget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2024-04-01T16:07:23Z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0x010100EBB6FD50A18319438F0D85B926FB21B3</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