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structionpartnersinc.sharepoint.com/sites/SustainabilityTeam-CPI/Shared Documents/CPI/Grants/EPA AL Grant Analysis/Implementation Grant/"/>
    </mc:Choice>
  </mc:AlternateContent>
  <xr:revisionPtr revIDLastSave="756" documentId="8_{92496900-B5AC-49F1-A3A3-B8CD479D83C0}" xr6:coauthVersionLast="47" xr6:coauthVersionMax="47" xr10:uidLastSave="{FB39D833-A309-4CE8-9864-64C47C110899}"/>
  <bookViews>
    <workbookView xWindow="13875" yWindow="-16320" windowWidth="29040" windowHeight="15720" tabRatio="850" activeTab="5" xr2:uid="{5798ABE4-D60D-4FB4-A095-4871D56E2BB6}"/>
  </bookViews>
  <sheets>
    <sheet name="Baseline HMA Calculations" sheetId="18" r:id="rId1"/>
    <sheet name="CCPR Calculations" sheetId="17" r:id="rId2"/>
    <sheet name="WMT Analysis" sheetId="19" r:id="rId3"/>
    <sheet name="WMA Analysis (Trial %)" sheetId="22" state="hidden" r:id="rId4"/>
    <sheet name="GHG Reductions 2025-2030" sheetId="20" r:id="rId5"/>
    <sheet name="GHG Reductions 2025-2050" sheetId="24" r:id="rId6"/>
    <sheet name="Industry Sector GHG" sheetId="29" r:id="rId7"/>
    <sheet name="Expansion - Local Agency" sheetId="26" state="hidden" r:id="rId8"/>
    <sheet name="Local Expansion Cost Eff." sheetId="25" r:id="rId9"/>
    <sheet name="Expansion - National" sheetId="27" state="hidden" r:id="rId10"/>
    <sheet name="National Expansion Cost Eff." sheetId="2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18" l="1"/>
  <c r="F6" i="19"/>
  <c r="F5" i="17"/>
  <c r="C4" i="20"/>
  <c r="C16" i="25"/>
  <c r="G9" i="28"/>
  <c r="G8" i="28"/>
  <c r="F9" i="28"/>
  <c r="F8" i="28"/>
  <c r="D9" i="28"/>
  <c r="D8" i="28"/>
  <c r="D7" i="28"/>
  <c r="B7" i="27"/>
  <c r="C7" i="28"/>
  <c r="G9" i="25"/>
  <c r="G8" i="25"/>
  <c r="F8" i="25"/>
  <c r="F9" i="25"/>
  <c r="D9" i="25"/>
  <c r="D8" i="25"/>
  <c r="D7" i="25"/>
  <c r="B7" i="26"/>
  <c r="D10" i="24"/>
  <c r="A5" i="24"/>
  <c r="B5" i="24"/>
  <c r="E5" i="24"/>
  <c r="A6" i="24"/>
  <c r="B6" i="24"/>
  <c r="E6" i="24"/>
  <c r="A7" i="24"/>
  <c r="B7" i="24"/>
  <c r="E7" i="24"/>
  <c r="A8" i="24"/>
  <c r="B8" i="24"/>
  <c r="D8" i="24"/>
  <c r="E8" i="24"/>
  <c r="F8" i="24"/>
  <c r="A9" i="24"/>
  <c r="B9" i="24"/>
  <c r="B10" i="24" s="1"/>
  <c r="D9" i="24"/>
  <c r="E9" i="24"/>
  <c r="E4" i="24"/>
  <c r="B4" i="24"/>
  <c r="A4" i="24"/>
  <c r="G9" i="20"/>
  <c r="G8" i="20"/>
  <c r="G8" i="24" s="1"/>
  <c r="F9" i="20"/>
  <c r="F9" i="24" s="1"/>
  <c r="F8" i="20"/>
  <c r="D9" i="20"/>
  <c r="D8" i="20"/>
  <c r="D7" i="20"/>
  <c r="D7" i="24" s="1"/>
  <c r="D6" i="20"/>
  <c r="D6" i="24" s="1"/>
  <c r="D5" i="20"/>
  <c r="D5" i="24" s="1"/>
  <c r="D4" i="20"/>
  <c r="D4" i="24" s="1"/>
  <c r="B95" i="22"/>
  <c r="B51" i="22"/>
  <c r="B7" i="22"/>
  <c r="B9" i="29"/>
  <c r="B6" i="29"/>
  <c r="G9" i="24" l="1"/>
  <c r="D20" i="28"/>
  <c r="D19" i="28"/>
  <c r="C19" i="28"/>
  <c r="B25" i="26"/>
  <c r="B26" i="26" s="1"/>
  <c r="F21" i="28"/>
  <c r="F20" i="28"/>
  <c r="G20" i="28"/>
  <c r="C9" i="28"/>
  <c r="C21" i="28" s="1"/>
  <c r="C8" i="28"/>
  <c r="C20" i="28" s="1"/>
  <c r="B9" i="27"/>
  <c r="B10" i="27" s="1"/>
  <c r="E22" i="28"/>
  <c r="A22" i="28"/>
  <c r="E21" i="28"/>
  <c r="D21" i="28"/>
  <c r="B21" i="28"/>
  <c r="A21" i="28"/>
  <c r="E20" i="28"/>
  <c r="B20" i="28"/>
  <c r="A20" i="28"/>
  <c r="E19" i="28"/>
  <c r="B19" i="28"/>
  <c r="A19" i="28"/>
  <c r="E18" i="28"/>
  <c r="D18" i="28"/>
  <c r="C18" i="28"/>
  <c r="B18" i="28"/>
  <c r="A18" i="28"/>
  <c r="E17" i="28"/>
  <c r="B17" i="28"/>
  <c r="A17" i="28"/>
  <c r="E16" i="28"/>
  <c r="D16" i="28"/>
  <c r="C16" i="28"/>
  <c r="B16" i="28"/>
  <c r="A16" i="28"/>
  <c r="B10" i="28"/>
  <c r="B22" i="28" s="1"/>
  <c r="F18" i="28"/>
  <c r="D17" i="28"/>
  <c r="C17" i="28"/>
  <c r="B69" i="27"/>
  <c r="B70" i="27" s="1"/>
  <c r="F58" i="27"/>
  <c r="F57" i="27"/>
  <c r="F61" i="27" s="1"/>
  <c r="B53" i="27"/>
  <c r="B54" i="27" s="1"/>
  <c r="F51" i="27"/>
  <c r="F79" i="27" s="1"/>
  <c r="F80" i="27" s="1"/>
  <c r="F14" i="27"/>
  <c r="F13" i="27"/>
  <c r="F17" i="27" s="1"/>
  <c r="D16" i="25"/>
  <c r="D21" i="25"/>
  <c r="D19" i="25"/>
  <c r="C9" i="25"/>
  <c r="C21" i="25" s="1"/>
  <c r="C8" i="25"/>
  <c r="C20" i="25" s="1"/>
  <c r="C7" i="25"/>
  <c r="C19" i="25" s="1"/>
  <c r="F61" i="26"/>
  <c r="F58" i="26"/>
  <c r="F57" i="26"/>
  <c r="B53" i="26"/>
  <c r="B54" i="26" s="1"/>
  <c r="F14" i="26"/>
  <c r="F13" i="26"/>
  <c r="F17" i="26" s="1"/>
  <c r="F18" i="26" s="1"/>
  <c r="E22" i="25"/>
  <c r="A22" i="25"/>
  <c r="E21" i="25"/>
  <c r="B21" i="25"/>
  <c r="A21" i="25"/>
  <c r="E20" i="25"/>
  <c r="B20" i="25"/>
  <c r="A20" i="25"/>
  <c r="E19" i="25"/>
  <c r="B19" i="25"/>
  <c r="A19" i="25"/>
  <c r="E18" i="25"/>
  <c r="D18" i="25"/>
  <c r="C18" i="25"/>
  <c r="B18" i="25"/>
  <c r="A18" i="25"/>
  <c r="E17" i="25"/>
  <c r="B17" i="25"/>
  <c r="A17" i="25"/>
  <c r="E16" i="25"/>
  <c r="B16" i="25"/>
  <c r="A16" i="25"/>
  <c r="B10" i="25"/>
  <c r="B22" i="25" s="1"/>
  <c r="D20" i="25"/>
  <c r="F18" i="25"/>
  <c r="D17" i="25"/>
  <c r="C17" i="25"/>
  <c r="B31" i="19"/>
  <c r="B29" i="18"/>
  <c r="B32" i="18"/>
  <c r="B10" i="18"/>
  <c r="B6" i="18"/>
  <c r="D10" i="28" l="1"/>
  <c r="D22" i="28" s="1"/>
  <c r="C10" i="28"/>
  <c r="H9" i="28"/>
  <c r="H20" i="28"/>
  <c r="H8" i="28"/>
  <c r="B25" i="27"/>
  <c r="B26" i="27" s="1"/>
  <c r="B31" i="27" s="1"/>
  <c r="F7" i="27"/>
  <c r="F35" i="27" s="1"/>
  <c r="F36" i="27" s="1"/>
  <c r="F41" i="27" s="1"/>
  <c r="C22" i="28"/>
  <c r="G21" i="28"/>
  <c r="H21" i="28" s="1"/>
  <c r="B21" i="27"/>
  <c r="B20" i="27"/>
  <c r="B19" i="27"/>
  <c r="B22" i="27" s="1"/>
  <c r="B15" i="27"/>
  <c r="B14" i="27"/>
  <c r="B13" i="27"/>
  <c r="F18" i="27"/>
  <c r="F85" i="27"/>
  <c r="F84" i="27"/>
  <c r="F83" i="27"/>
  <c r="B65" i="27"/>
  <c r="B64" i="27"/>
  <c r="B63" i="27"/>
  <c r="B59" i="27"/>
  <c r="B58" i="27"/>
  <c r="B57" i="27"/>
  <c r="F63" i="27"/>
  <c r="F64" i="27" s="1"/>
  <c r="F62" i="27"/>
  <c r="B75" i="27"/>
  <c r="B74" i="27"/>
  <c r="B73" i="27"/>
  <c r="B76" i="27" s="1"/>
  <c r="C10" i="25"/>
  <c r="B30" i="26"/>
  <c r="B29" i="26"/>
  <c r="B31" i="26"/>
  <c r="B65" i="26"/>
  <c r="B64" i="26"/>
  <c r="B57" i="26"/>
  <c r="B63" i="26"/>
  <c r="B59" i="26"/>
  <c r="B58" i="26"/>
  <c r="F62" i="26"/>
  <c r="F7" i="26"/>
  <c r="F35" i="26" s="1"/>
  <c r="F36" i="26" s="1"/>
  <c r="B69" i="26"/>
  <c r="B70" i="26" s="1"/>
  <c r="B9" i="26"/>
  <c r="B10" i="26" s="1"/>
  <c r="F51" i="26"/>
  <c r="F79" i="26" s="1"/>
  <c r="F80" i="26" s="1"/>
  <c r="D10" i="25"/>
  <c r="D22" i="25" s="1"/>
  <c r="C22" i="25"/>
  <c r="F19" i="27" l="1"/>
  <c r="F20" i="27" s="1"/>
  <c r="F23" i="27" s="1"/>
  <c r="F39" i="27"/>
  <c r="F42" i="27" s="1"/>
  <c r="F40" i="27"/>
  <c r="B16" i="27"/>
  <c r="B29" i="27"/>
  <c r="B30" i="27"/>
  <c r="B66" i="27"/>
  <c r="F86" i="27"/>
  <c r="F69" i="27"/>
  <c r="F68" i="27"/>
  <c r="F67" i="27"/>
  <c r="F70" i="27" s="1"/>
  <c r="B60" i="27"/>
  <c r="B66" i="26"/>
  <c r="F84" i="26"/>
  <c r="F85" i="26"/>
  <c r="F83" i="26"/>
  <c r="B13" i="26"/>
  <c r="B14" i="26"/>
  <c r="B21" i="26"/>
  <c r="B19" i="26"/>
  <c r="B15" i="26"/>
  <c r="B20" i="26"/>
  <c r="B75" i="26"/>
  <c r="B74" i="26"/>
  <c r="B73" i="26"/>
  <c r="B76" i="26" s="1"/>
  <c r="F63" i="26"/>
  <c r="F64" i="26" s="1"/>
  <c r="F40" i="26"/>
  <c r="F41" i="26"/>
  <c r="F39" i="26"/>
  <c r="F42" i="26" s="1"/>
  <c r="F19" i="26"/>
  <c r="F20" i="26" s="1"/>
  <c r="B60" i="26"/>
  <c r="B32" i="26"/>
  <c r="D30" i="24"/>
  <c r="D61" i="24" s="1"/>
  <c r="D44" i="24"/>
  <c r="D41" i="24"/>
  <c r="E61" i="24"/>
  <c r="A61" i="24"/>
  <c r="E60" i="24"/>
  <c r="D60" i="24"/>
  <c r="B60" i="24"/>
  <c r="A60" i="24"/>
  <c r="G59" i="24"/>
  <c r="F59" i="24"/>
  <c r="E59" i="24"/>
  <c r="B59" i="24"/>
  <c r="A59" i="24"/>
  <c r="E58" i="24"/>
  <c r="B58" i="24"/>
  <c r="A58" i="24"/>
  <c r="E57" i="24"/>
  <c r="D57" i="24"/>
  <c r="B57" i="24"/>
  <c r="A57" i="24"/>
  <c r="G56" i="24"/>
  <c r="E56" i="24"/>
  <c r="B56" i="24"/>
  <c r="A56" i="24"/>
  <c r="E55" i="24"/>
  <c r="D55" i="24"/>
  <c r="B55" i="24"/>
  <c r="A55" i="24"/>
  <c r="E54" i="24"/>
  <c r="B54" i="24"/>
  <c r="A54" i="24"/>
  <c r="E53" i="24"/>
  <c r="D53" i="24"/>
  <c r="B53" i="24"/>
  <c r="A53" i="24"/>
  <c r="E52" i="24"/>
  <c r="D52" i="24"/>
  <c r="B52" i="24"/>
  <c r="A52" i="24"/>
  <c r="E51" i="24"/>
  <c r="B51" i="24"/>
  <c r="A51" i="24"/>
  <c r="G50" i="24"/>
  <c r="F50" i="24"/>
  <c r="E50" i="24"/>
  <c r="D50" i="24"/>
  <c r="B50" i="24"/>
  <c r="A50" i="24"/>
  <c r="E49" i="24"/>
  <c r="B49" i="24"/>
  <c r="A49" i="24"/>
  <c r="E48" i="24"/>
  <c r="D48" i="24"/>
  <c r="B48" i="24"/>
  <c r="A48" i="24"/>
  <c r="E47" i="24"/>
  <c r="B47" i="24"/>
  <c r="A47" i="24"/>
  <c r="E46" i="24"/>
  <c r="B46" i="24"/>
  <c r="A46" i="24"/>
  <c r="E45" i="24"/>
  <c r="D45" i="24"/>
  <c r="B45" i="24"/>
  <c r="A45" i="24"/>
  <c r="G44" i="24"/>
  <c r="F44" i="24"/>
  <c r="E44" i="24"/>
  <c r="B44" i="24"/>
  <c r="A44" i="24"/>
  <c r="E43" i="24"/>
  <c r="B43" i="24"/>
  <c r="A43" i="24"/>
  <c r="E42" i="24"/>
  <c r="D42" i="24"/>
  <c r="B42" i="24"/>
  <c r="A42" i="24"/>
  <c r="E41" i="24"/>
  <c r="B41" i="24"/>
  <c r="A41" i="24"/>
  <c r="E40" i="24"/>
  <c r="D40" i="24"/>
  <c r="B40" i="24"/>
  <c r="A40" i="24"/>
  <c r="E39" i="24"/>
  <c r="B39" i="24"/>
  <c r="A39" i="24"/>
  <c r="E38" i="24"/>
  <c r="B38" i="24"/>
  <c r="A38" i="24"/>
  <c r="E37" i="24"/>
  <c r="D37" i="24"/>
  <c r="B37" i="24"/>
  <c r="A37" i="24"/>
  <c r="E36" i="24"/>
  <c r="B36" i="24"/>
  <c r="A36" i="24"/>
  <c r="E35" i="24"/>
  <c r="D35" i="24"/>
  <c r="B35" i="24"/>
  <c r="A35" i="24"/>
  <c r="B30" i="24"/>
  <c r="B61" i="24" s="1"/>
  <c r="D59" i="24"/>
  <c r="D58" i="24"/>
  <c r="F56" i="24"/>
  <c r="D56" i="24"/>
  <c r="D54" i="24"/>
  <c r="G53" i="24"/>
  <c r="F53" i="24"/>
  <c r="D51" i="24"/>
  <c r="D49" i="24"/>
  <c r="F47" i="24"/>
  <c r="D47" i="24"/>
  <c r="D46" i="24"/>
  <c r="D43" i="24"/>
  <c r="D39" i="24"/>
  <c r="D38" i="24"/>
  <c r="D36" i="24"/>
  <c r="F73" i="27" l="1"/>
  <c r="F76" i="27" s="1"/>
  <c r="F88" i="27" s="1"/>
  <c r="F74" i="27"/>
  <c r="F24" i="27"/>
  <c r="F26" i="27" s="1"/>
  <c r="F29" i="27"/>
  <c r="F30" i="27"/>
  <c r="F75" i="27"/>
  <c r="B32" i="27"/>
  <c r="B34" i="27" s="1"/>
  <c r="F25" i="27"/>
  <c r="F31" i="27"/>
  <c r="B78" i="27"/>
  <c r="B78" i="26"/>
  <c r="B22" i="26"/>
  <c r="F86" i="26"/>
  <c r="B16" i="26"/>
  <c r="F73" i="26"/>
  <c r="F30" i="26"/>
  <c r="F24" i="26"/>
  <c r="F23" i="26"/>
  <c r="F25" i="26"/>
  <c r="F29" i="26"/>
  <c r="F31" i="26"/>
  <c r="F75" i="26"/>
  <c r="F74" i="26"/>
  <c r="F69" i="26"/>
  <c r="F68" i="26"/>
  <c r="F67" i="26"/>
  <c r="F70" i="26" s="1"/>
  <c r="G47" i="24"/>
  <c r="F32" i="27" l="1"/>
  <c r="F44" i="27" s="1"/>
  <c r="F90" i="27"/>
  <c r="F89" i="27"/>
  <c r="B34" i="26"/>
  <c r="F32" i="26"/>
  <c r="F26" i="26"/>
  <c r="F76" i="26"/>
  <c r="F88" i="26" s="1"/>
  <c r="F21" i="25" l="1"/>
  <c r="F20" i="25"/>
  <c r="F46" i="27"/>
  <c r="F45" i="27"/>
  <c r="F44" i="26"/>
  <c r="F89" i="26"/>
  <c r="F90" i="26"/>
  <c r="F45" i="26"/>
  <c r="F46" i="26" l="1"/>
  <c r="G20" i="25" l="1"/>
  <c r="H20" i="25" s="1"/>
  <c r="H8" i="25"/>
  <c r="G21" i="25"/>
  <c r="H21" i="25" s="1"/>
  <c r="H9" i="25"/>
  <c r="F20" i="17"/>
  <c r="F14" i="17"/>
  <c r="B19" i="18"/>
  <c r="B13" i="18"/>
  <c r="E17" i="20"/>
  <c r="E18" i="20"/>
  <c r="E19" i="20"/>
  <c r="E20" i="20"/>
  <c r="E21" i="20"/>
  <c r="E22" i="20"/>
  <c r="E16" i="20"/>
  <c r="D20" i="20"/>
  <c r="D21" i="20"/>
  <c r="A17" i="20"/>
  <c r="B17" i="20"/>
  <c r="A18" i="20"/>
  <c r="B18" i="20"/>
  <c r="A19" i="20"/>
  <c r="B19" i="20"/>
  <c r="A20" i="20"/>
  <c r="B20" i="20"/>
  <c r="A21" i="20"/>
  <c r="B21" i="20"/>
  <c r="A22" i="20"/>
  <c r="B16" i="20"/>
  <c r="A16" i="20"/>
  <c r="B28" i="18" l="1"/>
  <c r="B27" i="18"/>
  <c r="B26" i="18"/>
  <c r="B10" i="20" l="1"/>
  <c r="B22" i="20" s="1"/>
  <c r="B97" i="22"/>
  <c r="B98" i="22" s="1"/>
  <c r="B53" i="22"/>
  <c r="B54" i="22" s="1"/>
  <c r="B25" i="22"/>
  <c r="B26" i="22" s="1"/>
  <c r="F102" i="22"/>
  <c r="F101" i="22"/>
  <c r="F105" i="22" s="1"/>
  <c r="B69" i="22"/>
  <c r="B70" i="22" s="1"/>
  <c r="B75" i="22" s="1"/>
  <c r="F58" i="22"/>
  <c r="F57" i="22"/>
  <c r="F61" i="22" s="1"/>
  <c r="F14" i="22"/>
  <c r="F13" i="22"/>
  <c r="F17" i="22" s="1"/>
  <c r="D19" i="20"/>
  <c r="D18" i="20"/>
  <c r="D17" i="20"/>
  <c r="F51" i="22" l="1"/>
  <c r="F79" i="22" s="1"/>
  <c r="F80" i="22" s="1"/>
  <c r="F85" i="22" s="1"/>
  <c r="F7" i="22"/>
  <c r="F35" i="22" s="1"/>
  <c r="F36" i="22" s="1"/>
  <c r="F41" i="22" s="1"/>
  <c r="B9" i="22"/>
  <c r="B10" i="22" s="1"/>
  <c r="B19" i="22" s="1"/>
  <c r="D10" i="20"/>
  <c r="D22" i="20" s="1"/>
  <c r="D16" i="20"/>
  <c r="B113" i="22"/>
  <c r="B114" i="22" s="1"/>
  <c r="B119" i="22" s="1"/>
  <c r="F95" i="22"/>
  <c r="F123" i="22" s="1"/>
  <c r="F124" i="22" s="1"/>
  <c r="F129" i="22" s="1"/>
  <c r="B109" i="22"/>
  <c r="B108" i="22"/>
  <c r="B107" i="22"/>
  <c r="B110" i="22" s="1"/>
  <c r="B103" i="22"/>
  <c r="B102" i="22"/>
  <c r="B101" i="22"/>
  <c r="B104" i="22" s="1"/>
  <c r="F107" i="22"/>
  <c r="F108" i="22" s="1"/>
  <c r="F106" i="22"/>
  <c r="B117" i="22"/>
  <c r="B65" i="22"/>
  <c r="B63" i="22"/>
  <c r="B59" i="22"/>
  <c r="B58" i="22"/>
  <c r="B64" i="22"/>
  <c r="B57" i="22"/>
  <c r="F62" i="22"/>
  <c r="B74" i="22"/>
  <c r="B73" i="22"/>
  <c r="B76" i="22" s="1"/>
  <c r="F18" i="22"/>
  <c r="B30" i="22"/>
  <c r="B29" i="22"/>
  <c r="B31" i="22"/>
  <c r="F83" i="22" l="1"/>
  <c r="F86" i="22" s="1"/>
  <c r="F84" i="22"/>
  <c r="F63" i="22"/>
  <c r="F64" i="22" s="1"/>
  <c r="F69" i="22" s="1"/>
  <c r="B60" i="22"/>
  <c r="F19" i="22"/>
  <c r="F20" i="22" s="1"/>
  <c r="F23" i="22" s="1"/>
  <c r="B13" i="22"/>
  <c r="B21" i="22"/>
  <c r="B15" i="22"/>
  <c r="B20" i="22"/>
  <c r="B22" i="22" s="1"/>
  <c r="F39" i="22"/>
  <c r="F40" i="22"/>
  <c r="F128" i="22"/>
  <c r="F127" i="22"/>
  <c r="B14" i="22"/>
  <c r="B118" i="22"/>
  <c r="B120" i="22"/>
  <c r="B122" i="22" s="1"/>
  <c r="F112" i="22"/>
  <c r="F111" i="22"/>
  <c r="F113" i="22"/>
  <c r="F67" i="22"/>
  <c r="B66" i="22"/>
  <c r="B78" i="22" s="1"/>
  <c r="B32" i="22"/>
  <c r="F51" i="24" l="1"/>
  <c r="F43" i="24"/>
  <c r="F52" i="24"/>
  <c r="F60" i="24"/>
  <c r="F58" i="24"/>
  <c r="F46" i="24"/>
  <c r="F42" i="24"/>
  <c r="F49" i="24"/>
  <c r="F48" i="24"/>
  <c r="F45" i="24"/>
  <c r="F55" i="24"/>
  <c r="F54" i="24"/>
  <c r="F40" i="24"/>
  <c r="F39" i="24"/>
  <c r="F57" i="24"/>
  <c r="B16" i="22"/>
  <c r="F68" i="22"/>
  <c r="F70" i="22" s="1"/>
  <c r="F17" i="28"/>
  <c r="F17" i="25"/>
  <c r="B34" i="22"/>
  <c r="F42" i="22"/>
  <c r="F75" i="22"/>
  <c r="F117" i="22"/>
  <c r="F73" i="22"/>
  <c r="F118" i="22"/>
  <c r="F119" i="22"/>
  <c r="F74" i="22"/>
  <c r="F76" i="22" s="1"/>
  <c r="F30" i="22"/>
  <c r="F31" i="22"/>
  <c r="F24" i="22"/>
  <c r="F25" i="22"/>
  <c r="F29" i="22"/>
  <c r="F32" i="22" s="1"/>
  <c r="F20" i="20"/>
  <c r="F21" i="20"/>
  <c r="F130" i="22"/>
  <c r="F114" i="22"/>
  <c r="F26" i="22" l="1"/>
  <c r="F44" i="22" s="1"/>
  <c r="F88" i="22"/>
  <c r="F120" i="22"/>
  <c r="F132" i="22" s="1"/>
  <c r="F45" i="22" l="1"/>
  <c r="F46" i="22"/>
  <c r="F90" i="22"/>
  <c r="F89" i="22"/>
  <c r="G54" i="24"/>
  <c r="G42" i="24"/>
  <c r="G49" i="24"/>
  <c r="G57" i="24"/>
  <c r="G48" i="24"/>
  <c r="G45" i="24"/>
  <c r="G60" i="24"/>
  <c r="G52" i="24"/>
  <c r="G43" i="24"/>
  <c r="G51" i="24"/>
  <c r="G58" i="24"/>
  <c r="G40" i="24"/>
  <c r="G39" i="24"/>
  <c r="G55" i="24"/>
  <c r="G46" i="24"/>
  <c r="F133" i="22"/>
  <c r="F134" i="22"/>
  <c r="G21" i="20"/>
  <c r="G20" i="20"/>
  <c r="F16" i="28"/>
  <c r="F16" i="25"/>
  <c r="G17" i="28"/>
  <c r="H17" i="28" s="1"/>
  <c r="G17" i="25"/>
  <c r="H17" i="25" s="1"/>
  <c r="G16" i="28"/>
  <c r="H16" i="28" s="1"/>
  <c r="B24" i="19"/>
  <c r="B25" i="19" s="1"/>
  <c r="B8" i="19"/>
  <c r="B9" i="19" s="1"/>
  <c r="G16" i="25" l="1"/>
  <c r="H16" i="25" s="1"/>
  <c r="G18" i="25"/>
  <c r="H18" i="25" s="1"/>
  <c r="G18" i="28"/>
  <c r="H18" i="28" s="1"/>
  <c r="B30" i="19"/>
  <c r="B29" i="19"/>
  <c r="B28" i="19"/>
  <c r="B20" i="19"/>
  <c r="B19" i="19"/>
  <c r="B18" i="19"/>
  <c r="B21" i="19" s="1"/>
  <c r="B14" i="19"/>
  <c r="B13" i="19"/>
  <c r="B12" i="19"/>
  <c r="F12" i="19"/>
  <c r="F16" i="19" s="1"/>
  <c r="F13" i="19"/>
  <c r="F34" i="19"/>
  <c r="F35" i="19" s="1"/>
  <c r="B15" i="19" l="1"/>
  <c r="B33" i="19"/>
  <c r="F39" i="19"/>
  <c r="F40" i="19"/>
  <c r="F38" i="19"/>
  <c r="F17" i="19"/>
  <c r="F18" i="19"/>
  <c r="F19" i="19" s="1"/>
  <c r="B22" i="18"/>
  <c r="B23" i="18" s="1"/>
  <c r="B7" i="18"/>
  <c r="F23" i="17"/>
  <c r="F24" i="17" s="1"/>
  <c r="F7" i="17"/>
  <c r="F8" i="17" s="1"/>
  <c r="B23" i="17"/>
  <c r="B24" i="17" s="1"/>
  <c r="B7" i="17"/>
  <c r="B8" i="17" s="1"/>
  <c r="B18" i="17" s="1"/>
  <c r="B27" i="17" l="1"/>
  <c r="B28" i="17"/>
  <c r="B29" i="17"/>
  <c r="F28" i="17"/>
  <c r="F29" i="17"/>
  <c r="F27" i="17"/>
  <c r="B34" i="19"/>
  <c r="F9" i="19"/>
  <c r="F41" i="19"/>
  <c r="F22" i="19"/>
  <c r="F23" i="19"/>
  <c r="F24" i="19"/>
  <c r="F29" i="19"/>
  <c r="F30" i="19"/>
  <c r="F28" i="19"/>
  <c r="B12" i="18"/>
  <c r="B11" i="18"/>
  <c r="B18" i="18"/>
  <c r="B17" i="18"/>
  <c r="B16" i="18"/>
  <c r="B19" i="17"/>
  <c r="B11" i="17"/>
  <c r="B12" i="17"/>
  <c r="B13" i="17"/>
  <c r="B17" i="17"/>
  <c r="B20" i="17" l="1"/>
  <c r="B14" i="17"/>
  <c r="B30" i="17"/>
  <c r="F30" i="17"/>
  <c r="F31" i="19"/>
  <c r="F25" i="19"/>
  <c r="F43" i="19" s="1"/>
  <c r="F45" i="19" s="1"/>
  <c r="C56" i="24" l="1"/>
  <c r="H56" i="24" s="1"/>
  <c r="C50" i="24"/>
  <c r="H50" i="24" s="1"/>
  <c r="C44" i="24"/>
  <c r="H44" i="24" s="1"/>
  <c r="C59" i="24"/>
  <c r="H59" i="24" s="1"/>
  <c r="C53" i="24"/>
  <c r="H53" i="24" s="1"/>
  <c r="C47" i="24"/>
  <c r="H47" i="24" s="1"/>
  <c r="C6" i="20"/>
  <c r="C8" i="20"/>
  <c r="C5" i="20"/>
  <c r="C7" i="20"/>
  <c r="C9" i="20"/>
  <c r="F32" i="17"/>
  <c r="G7" i="20" l="1"/>
  <c r="G7" i="24" s="1"/>
  <c r="G6" i="20"/>
  <c r="G6" i="24" s="1"/>
  <c r="C8" i="24"/>
  <c r="H8" i="24" s="1"/>
  <c r="C16" i="20"/>
  <c r="C4" i="24"/>
  <c r="C9" i="24"/>
  <c r="C19" i="20"/>
  <c r="C7" i="24"/>
  <c r="H7" i="24" s="1"/>
  <c r="C17" i="20"/>
  <c r="C5" i="24"/>
  <c r="C18" i="20"/>
  <c r="C6" i="24"/>
  <c r="C58" i="24"/>
  <c r="H58" i="24" s="1"/>
  <c r="C60" i="24"/>
  <c r="H60" i="24" s="1"/>
  <c r="C45" i="24"/>
  <c r="H45" i="24" s="1"/>
  <c r="C39" i="24"/>
  <c r="H39" i="24" s="1"/>
  <c r="C42" i="24"/>
  <c r="H42" i="24" s="1"/>
  <c r="C54" i="24"/>
  <c r="H54" i="24" s="1"/>
  <c r="C52" i="24"/>
  <c r="H52" i="24" s="1"/>
  <c r="C43" i="24"/>
  <c r="H43" i="24" s="1"/>
  <c r="C49" i="24"/>
  <c r="H49" i="24" s="1"/>
  <c r="C55" i="24"/>
  <c r="H55" i="24" s="1"/>
  <c r="C51" i="24"/>
  <c r="H51" i="24" s="1"/>
  <c r="C46" i="24"/>
  <c r="H46" i="24" s="1"/>
  <c r="C57" i="24"/>
  <c r="H57" i="24" s="1"/>
  <c r="C48" i="24"/>
  <c r="H48" i="24" s="1"/>
  <c r="F44" i="19"/>
  <c r="F46" i="19"/>
  <c r="J6" i="17"/>
  <c r="F33" i="17"/>
  <c r="H8" i="20"/>
  <c r="C20" i="20"/>
  <c r="H20" i="20" s="1"/>
  <c r="H9" i="20"/>
  <c r="C21" i="20"/>
  <c r="H21" i="20" s="1"/>
  <c r="C10" i="20"/>
  <c r="H6" i="24" l="1"/>
  <c r="C10" i="24"/>
  <c r="C41" i="24" s="1"/>
  <c r="H9" i="24"/>
  <c r="H10" i="24" s="1"/>
  <c r="C38" i="24"/>
  <c r="C35" i="24"/>
  <c r="C40" i="24"/>
  <c r="H40" i="24" s="1"/>
  <c r="C36" i="24"/>
  <c r="C37" i="24"/>
  <c r="C22" i="20"/>
  <c r="B32" i="17"/>
  <c r="F7" i="20" l="1"/>
  <c r="F7" i="24" s="1"/>
  <c r="F6" i="20"/>
  <c r="F6" i="24" s="1"/>
  <c r="F5" i="20"/>
  <c r="F5" i="24" s="1"/>
  <c r="F4" i="20"/>
  <c r="F4" i="24" s="1"/>
  <c r="F7" i="25"/>
  <c r="F10" i="24"/>
  <c r="F7" i="28"/>
  <c r="C30" i="24"/>
  <c r="C61" i="24" s="1"/>
  <c r="B33" i="17"/>
  <c r="F16" i="20"/>
  <c r="F41" i="24"/>
  <c r="F36" i="24"/>
  <c r="F38" i="24"/>
  <c r="F37" i="24"/>
  <c r="J5" i="17"/>
  <c r="J8" i="17" s="1"/>
  <c r="F18" i="20"/>
  <c r="F19" i="20"/>
  <c r="F19" i="28" l="1"/>
  <c r="F10" i="28"/>
  <c r="F22" i="28" s="1"/>
  <c r="G4" i="20"/>
  <c r="G10" i="24"/>
  <c r="G5" i="20"/>
  <c r="G5" i="24" s="1"/>
  <c r="H5" i="24" s="1"/>
  <c r="G7" i="25"/>
  <c r="G7" i="28"/>
  <c r="F17" i="20"/>
  <c r="F19" i="25"/>
  <c r="F10" i="25"/>
  <c r="F22" i="25" s="1"/>
  <c r="F35" i="24"/>
  <c r="F30" i="24"/>
  <c r="F61" i="24" s="1"/>
  <c r="G16" i="20"/>
  <c r="H16" i="20" s="1"/>
  <c r="H7" i="20"/>
  <c r="H6" i="20"/>
  <c r="H5" i="20"/>
  <c r="J10" i="17"/>
  <c r="J9" i="17"/>
  <c r="F10" i="20"/>
  <c r="F22" i="20" s="1"/>
  <c r="G19" i="28" l="1"/>
  <c r="H19" i="28" s="1"/>
  <c r="G10" i="28"/>
  <c r="H7" i="28"/>
  <c r="G10" i="25"/>
  <c r="G19" i="25"/>
  <c r="H19" i="25" s="1"/>
  <c r="H7" i="25"/>
  <c r="H4" i="20"/>
  <c r="G4" i="24"/>
  <c r="G35" i="24" s="1"/>
  <c r="H35" i="24" s="1"/>
  <c r="G19" i="20"/>
  <c r="H19" i="20" s="1"/>
  <c r="G10" i="20"/>
  <c r="G22" i="20" s="1"/>
  <c r="G38" i="24"/>
  <c r="H38" i="24" s="1"/>
  <c r="G18" i="20"/>
  <c r="H18" i="20" s="1"/>
  <c r="G30" i="24"/>
  <c r="H4" i="24"/>
  <c r="G17" i="20"/>
  <c r="H17" i="20" s="1"/>
  <c r="G36" i="24"/>
  <c r="H36" i="24" s="1"/>
  <c r="G37" i="24"/>
  <c r="H37" i="24" s="1"/>
  <c r="G41" i="24"/>
  <c r="H41" i="24" s="1"/>
  <c r="H10" i="25" l="1"/>
  <c r="G22" i="25"/>
  <c r="G22" i="28"/>
  <c r="H10" i="28"/>
  <c r="H22" i="20"/>
  <c r="B28" i="20"/>
  <c r="B29" i="20" s="1"/>
  <c r="H10" i="20"/>
  <c r="G61" i="24"/>
  <c r="H61" i="24" s="1"/>
  <c r="H30" i="24"/>
  <c r="H22" i="25" l="1"/>
  <c r="B28" i="25"/>
  <c r="B29" i="25" s="1"/>
  <c r="H22" i="28"/>
  <c r="B28" i="28"/>
  <c r="B29" i="28" s="1"/>
</calcChain>
</file>

<file path=xl/sharedStrings.xml><?xml version="1.0" encoding="utf-8"?>
<sst xmlns="http://schemas.openxmlformats.org/spreadsheetml/2006/main" count="1240" uniqueCount="114">
  <si>
    <t>Units</t>
  </si>
  <si>
    <t>BTUs/Ton</t>
  </si>
  <si>
    <t>Tons</t>
  </si>
  <si>
    <t>kgCO2eq</t>
  </si>
  <si>
    <t>Fuel Type</t>
  </si>
  <si>
    <t>kgCO2</t>
  </si>
  <si>
    <t>kgCH4</t>
  </si>
  <si>
    <t>kgN2O</t>
  </si>
  <si>
    <t>CO2 Reduction</t>
  </si>
  <si>
    <t>CH4 Reduction</t>
  </si>
  <si>
    <t>N2O Reduction</t>
  </si>
  <si>
    <t>BTUs</t>
  </si>
  <si>
    <t>mmBTUs</t>
  </si>
  <si>
    <t>Recycled Fuel Oil - 12%</t>
  </si>
  <si>
    <t>Natural Gas kgCO2eq</t>
  </si>
  <si>
    <t>RFO kgCO2eq</t>
  </si>
  <si>
    <t>Natural Gas - 88%</t>
  </si>
  <si>
    <t xml:space="preserve">Total kgCO2eq </t>
  </si>
  <si>
    <t>Grid Power - 100%</t>
  </si>
  <si>
    <t>Electricity (SRSO)</t>
  </si>
  <si>
    <t>Electricity kgCO2eq</t>
  </si>
  <si>
    <t>Note, yellow cells represent assumptions and can be changed for your analysis.</t>
  </si>
  <si>
    <t>Step 1: Traditional HMA Analysis</t>
  </si>
  <si>
    <t>HMA Calculations</t>
  </si>
  <si>
    <t>Step 3: Reductions</t>
  </si>
  <si>
    <t>Tons Sold</t>
  </si>
  <si>
    <t>BTUs per Ton (Electricity Only)</t>
  </si>
  <si>
    <t>BTUs per Ton (Burner Only)</t>
  </si>
  <si>
    <t>BTUs (Burner Only)</t>
  </si>
  <si>
    <t>mmBTUs (Burner Only)</t>
  </si>
  <si>
    <t>BTUs (Electricity Only)</t>
  </si>
  <si>
    <t>mmBTUs (Electricity Only)</t>
  </si>
  <si>
    <t>Natural Gas - 0%</t>
  </si>
  <si>
    <t>Recycled Fuel Oil - 0%</t>
  </si>
  <si>
    <t>HMA Emissions</t>
  </si>
  <si>
    <t>CCPR Emissions</t>
  </si>
  <si>
    <t>% kgCO2eq Savings</t>
  </si>
  <si>
    <t>CCPR Savings</t>
  </si>
  <si>
    <t>Baseline Hot Mix Asphalt Calculations</t>
  </si>
  <si>
    <t>kgCO2eq/Ton</t>
  </si>
  <si>
    <t>Total kgCO2eq/Ton Reduction</t>
  </si>
  <si>
    <t>% Reduction</t>
  </si>
  <si>
    <t>Total kgCO2eq Reduction</t>
  </si>
  <si>
    <t>Energy Savings (mmBTUs)</t>
  </si>
  <si>
    <t>Energy Savings (BTUs)</t>
  </si>
  <si>
    <t>% Energy Savings (BTUs/Ton)</t>
  </si>
  <si>
    <t>Energy Savings (BTUs/Ton)</t>
  </si>
  <si>
    <t>BTU/F per Ton</t>
  </si>
  <si>
    <t>Estimated Savings per ton of WMA</t>
  </si>
  <si>
    <t>% Temp Reduction</t>
  </si>
  <si>
    <t>F</t>
  </si>
  <si>
    <t>Temp. Reduction</t>
  </si>
  <si>
    <t>Temp. w/ Additive</t>
  </si>
  <si>
    <t>Plant Temp.</t>
  </si>
  <si>
    <t>BTUs per Ton (Energy Only)</t>
  </si>
  <si>
    <t>Warm Mix Savings</t>
  </si>
  <si>
    <t xml:space="preserve">* NCHRP Report 779 found an estimated energy savings of 1,100 Btu/°F per ton of WMA produced </t>
  </si>
  <si>
    <t>WMA Technology Calculations</t>
  </si>
  <si>
    <t>Step 2: Warm Mix Technology Analysis</t>
  </si>
  <si>
    <t>GHG Emission Reduction Estimates 2025-2030</t>
  </si>
  <si>
    <t>Year</t>
  </si>
  <si>
    <t>Alabama Tonnage (Short Ton)</t>
  </si>
  <si>
    <t>AL Total GHG Emissions (kgCO2eq)</t>
  </si>
  <si>
    <t>Trial Tonnage (Short Ton)</t>
  </si>
  <si>
    <t>Total GHG Emissions (kgCO2eq)</t>
  </si>
  <si>
    <t>Trial GHG Reductions (kgCo2eq)</t>
  </si>
  <si>
    <t>% Reductions (kgCO2eq)</t>
  </si>
  <si>
    <t>Trial Tonnage Description</t>
  </si>
  <si>
    <t>60% of AL tonnage WMT</t>
  </si>
  <si>
    <t>60% of Alabama Tonnage</t>
  </si>
  <si>
    <t xml:space="preserve"> - </t>
  </si>
  <si>
    <t>GHG Emission Reduction Estimates 2025-2050</t>
  </si>
  <si>
    <t>Total</t>
  </si>
  <si>
    <t>Conversion to metric-ton of CO2eq</t>
  </si>
  <si>
    <t>Total metric ton-CO2eq</t>
  </si>
  <si>
    <t>metric ton-CO2eq</t>
  </si>
  <si>
    <t>metric ton - CO2eq</t>
  </si>
  <si>
    <t>AL Total GHG Emissions (MTCO2eq)</t>
  </si>
  <si>
    <t>Total GHG Emissions (MTCO2eq)</t>
  </si>
  <si>
    <t>Trial GHG Reductions (MTCO2eq)</t>
  </si>
  <si>
    <t>% Reductions (MTCO2eq)</t>
  </si>
  <si>
    <t>2 CCPR, 60% of AL tonnage WMT</t>
  </si>
  <si>
    <t>1 CCPR, 60% of AL tonnage WMT</t>
  </si>
  <si>
    <t>Step 2: Cold Central Plant Recycling Calcs</t>
  </si>
  <si>
    <t>Cold Central Plant Recylcing (CCPR) Calculations</t>
  </si>
  <si>
    <t>Local Expansion -- Cost Effectiveness</t>
  </si>
  <si>
    <t>60% of Alabama + Local Agency Tonnage</t>
  </si>
  <si>
    <t>Alabama + Local Agency Tonnage</t>
  </si>
  <si>
    <t>2 CCPR, 60% of AL &amp; Agency tonnage WMT</t>
  </si>
  <si>
    <t>60% of AL &amp; Agency tonnage WMT</t>
  </si>
  <si>
    <t>60% of National Tonnage</t>
  </si>
  <si>
    <t>National Tonnage</t>
  </si>
  <si>
    <t>Source:</t>
  </si>
  <si>
    <t>alabama-pcap.pdf (epa.gov)</t>
  </si>
  <si>
    <t>Industry Section</t>
  </si>
  <si>
    <t>MMT CO2eq</t>
  </si>
  <si>
    <t>2021 Emissions</t>
  </si>
  <si>
    <t>Unit</t>
  </si>
  <si>
    <t>Total Emissions</t>
  </si>
  <si>
    <t>% Emissions from Industry Sector</t>
  </si>
  <si>
    <t>% Industry Emissions from Fossil Fuel</t>
  </si>
  <si>
    <t>CO2 from Fossil Fuel Combustion</t>
  </si>
  <si>
    <t>Industry Sector GHG Emissions</t>
  </si>
  <si>
    <t>45% of Alabama DOT Tonnage</t>
  </si>
  <si>
    <t>35% of Alabama DOT Tonnage</t>
  </si>
  <si>
    <t>1 CCPR, 35% of AL tonnage WMT</t>
  </si>
  <si>
    <t>1 CCPR, 45% of AL tonnage WMT</t>
  </si>
  <si>
    <t>Cost Effectiveness</t>
  </si>
  <si>
    <t>Project Total</t>
  </si>
  <si>
    <t>GHG Reduction</t>
  </si>
  <si>
    <t>Cost Effectiveness Calculations (2025-2030)</t>
  </si>
  <si>
    <t>2 CCPR, 60% National tonnage WMT</t>
  </si>
  <si>
    <t>60% of National tonnage WMT</t>
  </si>
  <si>
    <t>Alabama National Tonnage (Short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</si>
</sst>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44" formatCode="_(&quot;$&quot;* #,##0.00_);_(&quot;$&quot;* \(#,##0.00\);_(&quot;$&quot;* &quot;-&quot;??_);_(@_)"/>
    <numFmt numFmtId="164" formatCode="0.0%"/>
    <numFmt numFmtId="165" formatCode="#,##0.0"/>
    <numFmt numFmtId="166" formatCode="0.000"/>
    <numFmt numFmtId="167" formatCode="_(&quot;$&quot;* #,##0_);_(&quot;$&quot;* \(#,##0\);_(&quot;$&quot;* &quot;-&quot;??_);_(@_)"/>
    <numFmt numFmtId="168" formatCode="&quot;$&quot;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9C57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7" borderId="0" applyNumberFormat="0" applyBorder="0" applyAlignment="0" applyProtection="0"/>
    <xf numFmtId="0" fontId="11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2" fillId="4" borderId="6" xfId="0" applyFont="1" applyFill="1" applyBorder="1" applyAlignment="1">
      <alignment horizontal="center" vertical="top"/>
    </xf>
    <xf numFmtId="0" fontId="2" fillId="4" borderId="7" xfId="0" applyFont="1" applyFill="1" applyBorder="1" applyAlignment="1">
      <alignment horizontal="center" vertical="top"/>
    </xf>
    <xf numFmtId="3" fontId="0" fillId="2" borderId="4" xfId="0" applyNumberForma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3" fontId="0" fillId="0" borderId="4" xfId="0" applyNumberFormat="1" applyBorder="1" applyAlignment="1">
      <alignment horizontal="center" vertical="top"/>
    </xf>
    <xf numFmtId="0" fontId="3" fillId="3" borderId="0" xfId="0" applyFont="1" applyFill="1" applyAlignment="1">
      <alignment horizontal="left" vertical="top"/>
    </xf>
    <xf numFmtId="3" fontId="3" fillId="0" borderId="4" xfId="0" applyNumberFormat="1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3" fontId="3" fillId="0" borderId="2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3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/>
    </xf>
    <xf numFmtId="164" fontId="3" fillId="0" borderId="2" xfId="1" applyNumberFormat="1" applyFont="1" applyBorder="1" applyAlignment="1">
      <alignment horizontal="center" vertical="top"/>
    </xf>
    <xf numFmtId="166" fontId="0" fillId="0" borderId="0" xfId="0" applyNumberFormat="1" applyAlignment="1">
      <alignment horizontal="left" vertical="top"/>
    </xf>
    <xf numFmtId="9" fontId="0" fillId="0" borderId="0" xfId="1" applyFont="1" applyAlignment="1">
      <alignment horizontal="center" vertical="top"/>
    </xf>
    <xf numFmtId="10" fontId="0" fillId="0" borderId="0" xfId="1" applyNumberFormat="1" applyFont="1" applyAlignment="1">
      <alignment horizontal="center" vertical="top"/>
    </xf>
    <xf numFmtId="9" fontId="0" fillId="0" borderId="0" xfId="1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4" borderId="5" xfId="0" applyFont="1" applyFill="1" applyBorder="1" applyAlignment="1">
      <alignment horizontal="center" vertical="top"/>
    </xf>
    <xf numFmtId="0" fontId="2" fillId="4" borderId="8" xfId="0" applyFont="1" applyFill="1" applyBorder="1" applyAlignment="1">
      <alignment horizontal="center" vertical="top"/>
    </xf>
    <xf numFmtId="3" fontId="8" fillId="2" borderId="4" xfId="0" applyNumberFormat="1" applyFont="1" applyFill="1" applyBorder="1" applyAlignment="1">
      <alignment horizontal="center" vertical="top"/>
    </xf>
    <xf numFmtId="0" fontId="8" fillId="2" borderId="4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9" fontId="0" fillId="0" borderId="4" xfId="1" applyFont="1" applyBorder="1" applyAlignment="1">
      <alignment horizontal="center" vertical="top"/>
    </xf>
    <xf numFmtId="164" fontId="3" fillId="0" borderId="4" xfId="1" applyNumberFormat="1" applyFont="1" applyFill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left" vertical="top"/>
    </xf>
    <xf numFmtId="0" fontId="0" fillId="0" borderId="0" xfId="0" applyAlignment="1">
      <alignment horizontal="left" vertical="top" wrapText="1"/>
    </xf>
    <xf numFmtId="3" fontId="0" fillId="0" borderId="9" xfId="0" applyNumberFormat="1" applyBorder="1" applyAlignment="1">
      <alignment horizontal="left" vertical="top" wrapText="1"/>
    </xf>
    <xf numFmtId="0" fontId="2" fillId="4" borderId="9" xfId="0" applyFont="1" applyFill="1" applyBorder="1" applyAlignment="1">
      <alignment horizontal="left" vertical="top"/>
    </xf>
    <xf numFmtId="0" fontId="2" fillId="4" borderId="9" xfId="0" applyFont="1" applyFill="1" applyBorder="1" applyAlignment="1">
      <alignment horizontal="left" vertical="top" wrapText="1"/>
    </xf>
    <xf numFmtId="9" fontId="0" fillId="0" borderId="9" xfId="1" applyFont="1" applyBorder="1" applyAlignment="1">
      <alignment horizontal="left" vertical="top" wrapText="1"/>
    </xf>
    <xf numFmtId="0" fontId="3" fillId="5" borderId="0" xfId="0" applyFont="1" applyFill="1" applyAlignment="1">
      <alignment horizontal="left" vertical="top"/>
    </xf>
    <xf numFmtId="0" fontId="0" fillId="0" borderId="9" xfId="0" applyBorder="1" applyAlignment="1">
      <alignment horizontal="left" vertical="top"/>
    </xf>
    <xf numFmtId="1" fontId="0" fillId="0" borderId="9" xfId="0" applyNumberFormat="1" applyBorder="1" applyAlignment="1">
      <alignment horizontal="left" vertical="top"/>
    </xf>
    <xf numFmtId="3" fontId="3" fillId="6" borderId="9" xfId="0" applyNumberFormat="1" applyFont="1" applyFill="1" applyBorder="1" applyAlignment="1">
      <alignment horizontal="left" vertical="top" wrapText="1"/>
    </xf>
    <xf numFmtId="3" fontId="3" fillId="3" borderId="9" xfId="0" applyNumberFormat="1" applyFont="1" applyFill="1" applyBorder="1" applyAlignment="1">
      <alignment horizontal="left" vertical="top"/>
    </xf>
    <xf numFmtId="3" fontId="3" fillId="3" borderId="9" xfId="0" applyNumberFormat="1" applyFont="1" applyFill="1" applyBorder="1" applyAlignment="1">
      <alignment horizontal="left" vertical="top" wrapText="1"/>
    </xf>
    <xf numFmtId="9" fontId="3" fillId="3" borderId="9" xfId="1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3" fillId="6" borderId="9" xfId="0" applyFont="1" applyFill="1" applyBorder="1" applyAlignment="1">
      <alignment horizontal="left" vertical="top"/>
    </xf>
    <xf numFmtId="9" fontId="3" fillId="6" borderId="9" xfId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1" fontId="3" fillId="6" borderId="9" xfId="0" applyNumberFormat="1" applyFont="1" applyFill="1" applyBorder="1" applyAlignment="1">
      <alignment horizontal="left" vertical="top"/>
    </xf>
    <xf numFmtId="44" fontId="0" fillId="0" borderId="0" xfId="2" applyFont="1" applyAlignment="1">
      <alignment horizontal="left" vertical="top"/>
    </xf>
    <xf numFmtId="3" fontId="0" fillId="0" borderId="0" xfId="0" applyNumberFormat="1" applyAlignment="1">
      <alignment horizontal="left" vertical="top"/>
    </xf>
    <xf numFmtId="167" fontId="0" fillId="0" borderId="0" xfId="0" applyNumberFormat="1" applyAlignment="1">
      <alignment horizontal="left" vertical="top"/>
    </xf>
    <xf numFmtId="3" fontId="8" fillId="0" borderId="9" xfId="0" applyNumberFormat="1" applyFont="1" applyBorder="1" applyAlignment="1">
      <alignment horizontal="left" vertical="top" wrapText="1"/>
    </xf>
    <xf numFmtId="0" fontId="8" fillId="0" borderId="0" xfId="3" applyFont="1" applyFill="1" applyAlignment="1">
      <alignment horizontal="left" vertical="top"/>
    </xf>
    <xf numFmtId="0" fontId="8" fillId="0" borderId="0" xfId="0" applyFont="1" applyAlignment="1">
      <alignment horizontal="left" vertical="top"/>
    </xf>
    <xf numFmtId="0" fontId="0" fillId="5" borderId="0" xfId="0" applyFill="1" applyAlignment="1">
      <alignment horizontal="left" vertical="top"/>
    </xf>
    <xf numFmtId="0" fontId="0" fillId="0" borderId="0" xfId="0" applyAlignment="1">
      <alignment horizontal="right" vertical="top"/>
    </xf>
    <xf numFmtId="0" fontId="11" fillId="0" borderId="0" xfId="4" applyAlignment="1">
      <alignment horizontal="left" vertical="top"/>
    </xf>
    <xf numFmtId="0" fontId="0" fillId="0" borderId="0" xfId="0" applyAlignment="1">
      <alignment vertical="top"/>
    </xf>
    <xf numFmtId="9" fontId="3" fillId="0" borderId="4" xfId="1" applyFont="1" applyBorder="1" applyAlignment="1">
      <alignment horizontal="center" vertical="top"/>
    </xf>
    <xf numFmtId="9" fontId="3" fillId="0" borderId="2" xfId="1" applyFont="1" applyBorder="1" applyAlignment="1">
      <alignment horizontal="center" vertical="top"/>
    </xf>
    <xf numFmtId="3" fontId="8" fillId="0" borderId="0" xfId="0" applyNumberFormat="1" applyFont="1" applyAlignment="1">
      <alignment horizontal="left" vertical="top"/>
    </xf>
    <xf numFmtId="5" fontId="0" fillId="0" borderId="9" xfId="2" applyNumberFormat="1" applyFont="1" applyBorder="1" applyAlignment="1">
      <alignment horizontal="left" vertical="top" wrapText="1"/>
    </xf>
    <xf numFmtId="168" fontId="3" fillId="3" borderId="9" xfId="0" applyNumberFormat="1" applyFont="1" applyFill="1" applyBorder="1" applyAlignment="1">
      <alignment horizontal="left" vertical="top"/>
    </xf>
    <xf numFmtId="3" fontId="8" fillId="0" borderId="9" xfId="0" quotePrefix="1" applyNumberFormat="1" applyFont="1" applyBorder="1" applyAlignment="1">
      <alignment horizontal="left" vertical="top" wrapText="1"/>
    </xf>
  </cellXfs>
  <cellStyles count="5">
    <cellStyle name="Currency" xfId="2" builtinId="4"/>
    <cellStyle name="Hyperlink" xfId="4" builtinId="8"/>
    <cellStyle name="Neutral" xfId="3" builtinId="2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epa.gov/system/files/documents/2024-03/alabama-pca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F0509-008E-427E-AB71-A6A0C02C3E02}">
  <dimension ref="A1:G37"/>
  <sheetViews>
    <sheetView showGridLines="0" zoomScaleNormal="100" workbookViewId="0">
      <selection activeCell="B29" sqref="B29"/>
    </sheetView>
  </sheetViews>
  <sheetFormatPr defaultRowHeight="15" x14ac:dyDescent="0.25"/>
  <cols>
    <col min="1" max="1" width="36.7109375" style="3" customWidth="1"/>
    <col min="2" max="2" width="25" style="1" customWidth="1"/>
    <col min="3" max="3" width="22" style="1" bestFit="1" customWidth="1"/>
    <col min="4" max="4" width="15" style="1" bestFit="1" customWidth="1"/>
    <col min="5" max="6" width="9.140625" style="1"/>
    <col min="7" max="7" width="15.28515625" style="1" bestFit="1" customWidth="1"/>
    <col min="8" max="16384" width="9.140625" style="1"/>
  </cols>
  <sheetData>
    <row r="1" spans="1:7" x14ac:dyDescent="0.25">
      <c r="A1" s="4" t="s">
        <v>38</v>
      </c>
    </row>
    <row r="2" spans="1:7" ht="15.75" thickBot="1" x14ac:dyDescent="0.3"/>
    <row r="3" spans="1:7" x14ac:dyDescent="0.25">
      <c r="A3" s="1"/>
      <c r="B3" s="26" t="s">
        <v>23</v>
      </c>
      <c r="C3" s="27" t="s">
        <v>0</v>
      </c>
    </row>
    <row r="4" spans="1:7" x14ac:dyDescent="0.25">
      <c r="A4" s="1" t="s">
        <v>25</v>
      </c>
      <c r="B4" s="9">
        <v>4400000</v>
      </c>
      <c r="C4" s="10" t="s">
        <v>2</v>
      </c>
    </row>
    <row r="5" spans="1:7" x14ac:dyDescent="0.25">
      <c r="A5" s="1" t="s">
        <v>27</v>
      </c>
      <c r="B5" s="9">
        <v>289000</v>
      </c>
      <c r="C5" s="10" t="s">
        <v>1</v>
      </c>
    </row>
    <row r="6" spans="1:7" x14ac:dyDescent="0.25">
      <c r="A6" s="1" t="s">
        <v>28</v>
      </c>
      <c r="B6" s="11">
        <f>B5*B4</f>
        <v>1271600000000</v>
      </c>
      <c r="C6" s="10" t="s">
        <v>11</v>
      </c>
    </row>
    <row r="7" spans="1:7" x14ac:dyDescent="0.25">
      <c r="A7" s="12" t="s">
        <v>29</v>
      </c>
      <c r="B7" s="13">
        <f>B6/1000000</f>
        <v>1271600</v>
      </c>
      <c r="C7" s="10" t="s">
        <v>12</v>
      </c>
    </row>
    <row r="8" spans="1:7" x14ac:dyDescent="0.25">
      <c r="B8" s="14"/>
      <c r="C8" s="10"/>
      <c r="G8" s="53"/>
    </row>
    <row r="9" spans="1:7" x14ac:dyDescent="0.25">
      <c r="A9" s="1" t="s">
        <v>4</v>
      </c>
      <c r="B9" s="15" t="s">
        <v>16</v>
      </c>
      <c r="C9" s="10"/>
      <c r="G9" s="54"/>
    </row>
    <row r="10" spans="1:7" x14ac:dyDescent="0.25">
      <c r="A10" s="1" t="s">
        <v>8</v>
      </c>
      <c r="B10" s="11">
        <f>B7*53.06</f>
        <v>67471096</v>
      </c>
      <c r="C10" s="10" t="s">
        <v>5</v>
      </c>
      <c r="G10" s="55"/>
    </row>
    <row r="11" spans="1:7" x14ac:dyDescent="0.25">
      <c r="A11" s="1" t="s">
        <v>9</v>
      </c>
      <c r="B11" s="11">
        <f>B7*1</f>
        <v>1271600</v>
      </c>
      <c r="C11" s="10" t="s">
        <v>6</v>
      </c>
    </row>
    <row r="12" spans="1:7" x14ac:dyDescent="0.25">
      <c r="A12" s="1" t="s">
        <v>10</v>
      </c>
      <c r="B12" s="11">
        <f>B7*0.1</f>
        <v>127160</v>
      </c>
      <c r="C12" s="10" t="s">
        <v>7</v>
      </c>
    </row>
    <row r="13" spans="1:7" x14ac:dyDescent="0.25">
      <c r="A13" s="12" t="s">
        <v>14</v>
      </c>
      <c r="B13" s="13">
        <f>0.88*(B10+(0.028*B11) + (0.265*B12))</f>
        <v>59435550.416000001</v>
      </c>
      <c r="C13" s="10" t="s">
        <v>3</v>
      </c>
    </row>
    <row r="14" spans="1:7" x14ac:dyDescent="0.25">
      <c r="A14" s="1"/>
      <c r="B14" s="14"/>
      <c r="C14" s="10"/>
    </row>
    <row r="15" spans="1:7" x14ac:dyDescent="0.25">
      <c r="A15" s="1" t="s">
        <v>4</v>
      </c>
      <c r="B15" s="15" t="s">
        <v>13</v>
      </c>
      <c r="C15" s="10"/>
    </row>
    <row r="16" spans="1:7" x14ac:dyDescent="0.25">
      <c r="A16" s="1" t="s">
        <v>8</v>
      </c>
      <c r="B16" s="11">
        <f>B7*73.96</f>
        <v>94047535.999999985</v>
      </c>
      <c r="C16" s="10" t="s">
        <v>5</v>
      </c>
    </row>
    <row r="17" spans="1:3" x14ac:dyDescent="0.25">
      <c r="A17" s="1" t="s">
        <v>9</v>
      </c>
      <c r="B17" s="11">
        <f>B7*3</f>
        <v>3814800</v>
      </c>
      <c r="C17" s="10" t="s">
        <v>6</v>
      </c>
    </row>
    <row r="18" spans="1:3" x14ac:dyDescent="0.25">
      <c r="A18" s="1" t="s">
        <v>10</v>
      </c>
      <c r="B18" s="11">
        <f>B7*0.6</f>
        <v>762960</v>
      </c>
      <c r="C18" s="10" t="s">
        <v>7</v>
      </c>
    </row>
    <row r="19" spans="1:3" x14ac:dyDescent="0.25">
      <c r="A19" s="12" t="s">
        <v>15</v>
      </c>
      <c r="B19" s="13">
        <f>0.12*(B16+(0.028*B17) + (0.265*B18))</f>
        <v>11322784.175999999</v>
      </c>
      <c r="C19" s="10" t="s">
        <v>3</v>
      </c>
    </row>
    <row r="20" spans="1:3" x14ac:dyDescent="0.25">
      <c r="A20" s="1"/>
      <c r="B20" s="14"/>
      <c r="C20" s="10"/>
    </row>
    <row r="21" spans="1:3" x14ac:dyDescent="0.25">
      <c r="A21" s="1" t="s">
        <v>26</v>
      </c>
      <c r="B21" s="9">
        <v>11320</v>
      </c>
      <c r="C21" s="10"/>
    </row>
    <row r="22" spans="1:3" x14ac:dyDescent="0.25">
      <c r="A22" s="1" t="s">
        <v>30</v>
      </c>
      <c r="B22" s="11">
        <f>B21*B4</f>
        <v>49808000000</v>
      </c>
      <c r="C22" s="10" t="s">
        <v>11</v>
      </c>
    </row>
    <row r="23" spans="1:3" x14ac:dyDescent="0.25">
      <c r="A23" s="12" t="s">
        <v>31</v>
      </c>
      <c r="B23" s="13">
        <f>B22/1000000</f>
        <v>49808</v>
      </c>
      <c r="C23" s="10" t="s">
        <v>12</v>
      </c>
    </row>
    <row r="24" spans="1:3" x14ac:dyDescent="0.25">
      <c r="A24" s="1"/>
      <c r="B24" s="11"/>
      <c r="C24" s="10"/>
    </row>
    <row r="25" spans="1:3" x14ac:dyDescent="0.25">
      <c r="A25" s="1" t="s">
        <v>19</v>
      </c>
      <c r="B25" s="14" t="s">
        <v>18</v>
      </c>
      <c r="C25" s="10"/>
    </row>
    <row r="26" spans="1:3" x14ac:dyDescent="0.25">
      <c r="A26" s="1" t="s">
        <v>8</v>
      </c>
      <c r="B26" s="11">
        <f>B23*(1/3.412)*893.3*(1/2.2046)</f>
        <v>5915038.9907322628</v>
      </c>
      <c r="C26" s="10" t="s">
        <v>5</v>
      </c>
    </row>
    <row r="27" spans="1:3" x14ac:dyDescent="0.25">
      <c r="A27" s="1" t="s">
        <v>9</v>
      </c>
      <c r="B27" s="11">
        <f>B23*(1/3.412)*0.064*(1/2.2046)</f>
        <v>423.77980007485149</v>
      </c>
      <c r="C27" s="10" t="s">
        <v>6</v>
      </c>
    </row>
    <row r="28" spans="1:3" x14ac:dyDescent="0.25">
      <c r="A28" s="1" t="s">
        <v>10</v>
      </c>
      <c r="B28" s="11">
        <f>B23*(1/3.412)*0.009*(1/2.2046)</f>
        <v>59.594034385525987</v>
      </c>
      <c r="C28" s="10" t="s">
        <v>7</v>
      </c>
    </row>
    <row r="29" spans="1:3" x14ac:dyDescent="0.25">
      <c r="A29" s="12" t="s">
        <v>20</v>
      </c>
      <c r="B29" s="13">
        <f>B26+(0.028*B27) + (0.265*B28)</f>
        <v>5915066.6489857771</v>
      </c>
      <c r="C29" s="10" t="s">
        <v>3</v>
      </c>
    </row>
    <row r="30" spans="1:3" x14ac:dyDescent="0.25">
      <c r="B30" s="14"/>
      <c r="C30" s="10"/>
    </row>
    <row r="31" spans="1:3" x14ac:dyDescent="0.25">
      <c r="A31" s="12" t="s">
        <v>17</v>
      </c>
      <c r="B31" s="13">
        <f>B13+B19+B29</f>
        <v>76673401.240985781</v>
      </c>
      <c r="C31" s="10" t="s">
        <v>3</v>
      </c>
    </row>
    <row r="32" spans="1:3" ht="15.75" thickBot="1" x14ac:dyDescent="0.3">
      <c r="A32" s="12" t="s">
        <v>74</v>
      </c>
      <c r="B32" s="16">
        <f>B31/1000</f>
        <v>76673.401240985782</v>
      </c>
      <c r="C32" s="50" t="s">
        <v>75</v>
      </c>
    </row>
    <row r="36" spans="1:1" x14ac:dyDescent="0.25">
      <c r="A36" s="2"/>
    </row>
    <row r="37" spans="1:1" x14ac:dyDescent="0.25">
      <c r="A37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E7F2D-5248-407C-B294-B48780BD285C}">
  <dimension ref="A1:L90"/>
  <sheetViews>
    <sheetView showGridLines="0" zoomScaleNormal="100" workbookViewId="0">
      <pane ySplit="6" topLeftCell="A22" activePane="bottomLeft" state="frozen"/>
      <selection pane="bottomLeft" activeCell="D16" sqref="D16"/>
    </sheetView>
  </sheetViews>
  <sheetFormatPr defaultRowHeight="15" x14ac:dyDescent="0.25"/>
  <cols>
    <col min="1" max="1" width="34.5703125" style="3" customWidth="1"/>
    <col min="2" max="2" width="27.28515625" style="1" customWidth="1"/>
    <col min="3" max="4" width="16.140625" style="1" customWidth="1"/>
    <col min="5" max="5" width="32" style="1" bestFit="1" customWidth="1"/>
    <col min="6" max="6" width="21.7109375" style="1" bestFit="1" customWidth="1"/>
    <col min="7" max="7" width="20.5703125" style="1" customWidth="1"/>
    <col min="8" max="8" width="10.28515625" style="1" customWidth="1"/>
    <col min="9" max="9" width="35.28515625" style="1" customWidth="1"/>
    <col min="10" max="12" width="9.140625" style="1" customWidth="1"/>
    <col min="13" max="16384" width="9.140625" style="1"/>
  </cols>
  <sheetData>
    <row r="1" spans="1:9" x14ac:dyDescent="0.25">
      <c r="A1" s="4" t="s">
        <v>57</v>
      </c>
    </row>
    <row r="2" spans="1:9" x14ac:dyDescent="0.25">
      <c r="A2" s="5" t="s">
        <v>21</v>
      </c>
    </row>
    <row r="4" spans="1:9" x14ac:dyDescent="0.25">
      <c r="A4" s="40" t="s">
        <v>90</v>
      </c>
      <c r="B4" s="59"/>
      <c r="E4" s="25" t="s">
        <v>56</v>
      </c>
    </row>
    <row r="5" spans="1:9" ht="15.75" thickBot="1" x14ac:dyDescent="0.3">
      <c r="A5" s="6" t="s">
        <v>22</v>
      </c>
      <c r="E5" s="6" t="s">
        <v>58</v>
      </c>
    </row>
    <row r="6" spans="1:9" x14ac:dyDescent="0.25">
      <c r="A6" s="1"/>
      <c r="B6" s="7" t="s">
        <v>23</v>
      </c>
      <c r="C6" s="8" t="s">
        <v>0</v>
      </c>
      <c r="E6" s="3"/>
      <c r="F6" s="26" t="s">
        <v>55</v>
      </c>
      <c r="G6" s="27" t="s">
        <v>0</v>
      </c>
    </row>
    <row r="7" spans="1:9" x14ac:dyDescent="0.25">
      <c r="A7" s="1" t="s">
        <v>25</v>
      </c>
      <c r="B7" s="9">
        <f>0.6*B51</f>
        <v>259440000</v>
      </c>
      <c r="C7" s="10" t="s">
        <v>2</v>
      </c>
      <c r="D7" s="19"/>
      <c r="E7" s="1" t="s">
        <v>25</v>
      </c>
      <c r="F7" s="28">
        <f>B7</f>
        <v>259440000</v>
      </c>
      <c r="G7" s="10" t="s">
        <v>2</v>
      </c>
    </row>
    <row r="8" spans="1:9" x14ac:dyDescent="0.25">
      <c r="A8" s="1" t="s">
        <v>27</v>
      </c>
      <c r="B8" s="9">
        <v>289000</v>
      </c>
      <c r="C8" s="10" t="s">
        <v>1</v>
      </c>
      <c r="D8" s="19"/>
      <c r="E8" s="1" t="s">
        <v>54</v>
      </c>
      <c r="F8" s="9">
        <v>289000</v>
      </c>
      <c r="G8" s="10" t="s">
        <v>1</v>
      </c>
      <c r="H8" s="3"/>
      <c r="I8" s="3"/>
    </row>
    <row r="9" spans="1:9" x14ac:dyDescent="0.25">
      <c r="A9" s="1" t="s">
        <v>28</v>
      </c>
      <c r="B9" s="11">
        <f>B8*B7</f>
        <v>74978160000000</v>
      </c>
      <c r="C9" s="10" t="s">
        <v>11</v>
      </c>
      <c r="D9" s="19"/>
      <c r="E9" s="1" t="s">
        <v>53</v>
      </c>
      <c r="F9" s="29">
        <v>340</v>
      </c>
      <c r="G9" s="10" t="s">
        <v>50</v>
      </c>
      <c r="H9" s="21"/>
      <c r="I9" s="21"/>
    </row>
    <row r="10" spans="1:9" x14ac:dyDescent="0.25">
      <c r="A10" s="12" t="s">
        <v>29</v>
      </c>
      <c r="B10" s="13">
        <f>B9/1000000</f>
        <v>74978160</v>
      </c>
      <c r="C10" s="10" t="s">
        <v>12</v>
      </c>
      <c r="D10" s="19"/>
      <c r="E10" s="1" t="s">
        <v>3</v>
      </c>
      <c r="F10" s="9">
        <v>1089530.0803347388</v>
      </c>
      <c r="G10" s="10" t="s">
        <v>3</v>
      </c>
      <c r="H10" s="22"/>
    </row>
    <row r="11" spans="1:9" x14ac:dyDescent="0.25">
      <c r="B11" s="14"/>
      <c r="C11" s="10"/>
      <c r="D11" s="19"/>
      <c r="F11" s="14"/>
      <c r="G11" s="10"/>
      <c r="H11" s="23"/>
    </row>
    <row r="12" spans="1:9" x14ac:dyDescent="0.25">
      <c r="A12" s="1" t="s">
        <v>4</v>
      </c>
      <c r="B12" s="15" t="s">
        <v>16</v>
      </c>
      <c r="C12" s="10"/>
      <c r="D12" s="19"/>
      <c r="E12" s="1" t="s">
        <v>52</v>
      </c>
      <c r="F12" s="29">
        <v>260</v>
      </c>
      <c r="G12" s="10" t="s">
        <v>50</v>
      </c>
    </row>
    <row r="13" spans="1:9" x14ac:dyDescent="0.25">
      <c r="A13" s="1" t="s">
        <v>8</v>
      </c>
      <c r="B13" s="11">
        <f>B10*53.06</f>
        <v>3978341169.6000004</v>
      </c>
      <c r="C13" s="10" t="s">
        <v>5</v>
      </c>
      <c r="D13" s="19"/>
      <c r="E13" s="12" t="s">
        <v>51</v>
      </c>
      <c r="F13" s="30">
        <f>F9-F12</f>
        <v>80</v>
      </c>
      <c r="G13" s="10" t="s">
        <v>50</v>
      </c>
    </row>
    <row r="14" spans="1:9" x14ac:dyDescent="0.25">
      <c r="A14" s="1" t="s">
        <v>9</v>
      </c>
      <c r="B14" s="11">
        <f>B10*1</f>
        <v>74978160</v>
      </c>
      <c r="C14" s="10" t="s">
        <v>6</v>
      </c>
      <c r="D14" s="19"/>
      <c r="E14" s="1" t="s">
        <v>49</v>
      </c>
      <c r="F14" s="31">
        <f>(F12-F9)/F9</f>
        <v>-0.23529411764705882</v>
      </c>
      <c r="G14" s="10"/>
    </row>
    <row r="15" spans="1:9" x14ac:dyDescent="0.25">
      <c r="A15" s="1" t="s">
        <v>10</v>
      </c>
      <c r="B15" s="11">
        <f>B10*0.1</f>
        <v>7497816</v>
      </c>
      <c r="C15" s="10" t="s">
        <v>7</v>
      </c>
      <c r="D15" s="19"/>
      <c r="F15" s="14"/>
      <c r="G15" s="10"/>
    </row>
    <row r="16" spans="1:9" x14ac:dyDescent="0.25">
      <c r="A16" s="12" t="s">
        <v>14</v>
      </c>
      <c r="B16" s="13">
        <f>0.88*(B13+(0.025*B14) + (0.298*B15))</f>
        <v>3504555976.0358405</v>
      </c>
      <c r="C16" s="10" t="s">
        <v>3</v>
      </c>
      <c r="D16" s="19"/>
      <c r="E16" s="1" t="s">
        <v>48</v>
      </c>
      <c r="F16" s="11">
        <v>1100</v>
      </c>
      <c r="G16" s="10" t="s">
        <v>47</v>
      </c>
    </row>
    <row r="17" spans="1:7" x14ac:dyDescent="0.25">
      <c r="A17" s="1"/>
      <c r="B17" s="14"/>
      <c r="C17" s="10"/>
      <c r="D17" s="19"/>
      <c r="E17" s="1" t="s">
        <v>46</v>
      </c>
      <c r="F17" s="11">
        <f>F13*F16</f>
        <v>88000</v>
      </c>
      <c r="G17" s="10" t="s">
        <v>1</v>
      </c>
    </row>
    <row r="18" spans="1:7" x14ac:dyDescent="0.25">
      <c r="A18" s="1" t="s">
        <v>4</v>
      </c>
      <c r="B18" s="15" t="s">
        <v>13</v>
      </c>
      <c r="C18" s="10"/>
      <c r="D18" s="19"/>
      <c r="E18" s="1" t="s">
        <v>45</v>
      </c>
      <c r="F18" s="31">
        <f>F17/F8</f>
        <v>0.30449826989619377</v>
      </c>
      <c r="G18" s="10" t="s">
        <v>1</v>
      </c>
    </row>
    <row r="19" spans="1:7" x14ac:dyDescent="0.25">
      <c r="A19" s="1" t="s">
        <v>8</v>
      </c>
      <c r="B19" s="11">
        <f>B10*73.96</f>
        <v>5545384713.5999994</v>
      </c>
      <c r="C19" s="10" t="s">
        <v>5</v>
      </c>
      <c r="D19" s="19"/>
      <c r="E19" s="1" t="s">
        <v>44</v>
      </c>
      <c r="F19" s="11">
        <f>F17*F7</f>
        <v>22830720000000</v>
      </c>
      <c r="G19" s="10" t="s">
        <v>11</v>
      </c>
    </row>
    <row r="20" spans="1:7" x14ac:dyDescent="0.25">
      <c r="A20" s="1" t="s">
        <v>9</v>
      </c>
      <c r="B20" s="11">
        <f>B10*3</f>
        <v>224934480</v>
      </c>
      <c r="C20" s="10" t="s">
        <v>6</v>
      </c>
      <c r="D20" s="19"/>
      <c r="E20" s="12" t="s">
        <v>43</v>
      </c>
      <c r="F20" s="13">
        <f>F19/1000000</f>
        <v>22830720</v>
      </c>
      <c r="G20" s="10" t="s">
        <v>12</v>
      </c>
    </row>
    <row r="21" spans="1:7" x14ac:dyDescent="0.25">
      <c r="A21" s="1" t="s">
        <v>10</v>
      </c>
      <c r="B21" s="11">
        <f>B10*0.6</f>
        <v>44986896</v>
      </c>
      <c r="C21" s="10" t="s">
        <v>7</v>
      </c>
      <c r="D21" s="19"/>
      <c r="E21" s="3"/>
      <c r="F21" s="14"/>
      <c r="G21" s="10"/>
    </row>
    <row r="22" spans="1:7" x14ac:dyDescent="0.25">
      <c r="A22" s="12" t="s">
        <v>15</v>
      </c>
      <c r="B22" s="13">
        <f>0.12*(B19+(0.025*B20) + (0.298*B21))</f>
        <v>667729700.47296</v>
      </c>
      <c r="C22" s="10" t="s">
        <v>3</v>
      </c>
      <c r="D22" s="19"/>
      <c r="E22" s="1" t="s">
        <v>4</v>
      </c>
      <c r="F22" s="15" t="s">
        <v>16</v>
      </c>
      <c r="G22" s="10"/>
    </row>
    <row r="23" spans="1:7" x14ac:dyDescent="0.25">
      <c r="A23" s="1"/>
      <c r="B23" s="14"/>
      <c r="C23" s="10"/>
      <c r="D23" s="19"/>
      <c r="E23" s="1" t="s">
        <v>8</v>
      </c>
      <c r="F23" s="11">
        <f>F20*53.06</f>
        <v>1211398003.2</v>
      </c>
      <c r="G23" s="10" t="s">
        <v>5</v>
      </c>
    </row>
    <row r="24" spans="1:7" x14ac:dyDescent="0.25">
      <c r="A24" s="1" t="s">
        <v>26</v>
      </c>
      <c r="B24" s="9">
        <v>11320</v>
      </c>
      <c r="C24" s="10"/>
      <c r="D24" s="19"/>
      <c r="E24" s="1" t="s">
        <v>9</v>
      </c>
      <c r="F24" s="11">
        <f>F20*1</f>
        <v>22830720</v>
      </c>
      <c r="G24" s="10" t="s">
        <v>6</v>
      </c>
    </row>
    <row r="25" spans="1:7" x14ac:dyDescent="0.25">
      <c r="A25" s="1" t="s">
        <v>30</v>
      </c>
      <c r="B25" s="11">
        <f>B24*B7</f>
        <v>2936860800000</v>
      </c>
      <c r="C25" s="10" t="s">
        <v>11</v>
      </c>
      <c r="D25" s="19"/>
      <c r="E25" s="1" t="s">
        <v>10</v>
      </c>
      <c r="F25" s="11">
        <f>F20*0.1</f>
        <v>2283072</v>
      </c>
      <c r="G25" s="10" t="s">
        <v>7</v>
      </c>
    </row>
    <row r="26" spans="1:7" x14ac:dyDescent="0.25">
      <c r="A26" s="12" t="s">
        <v>31</v>
      </c>
      <c r="B26" s="13">
        <f>B25/1000000</f>
        <v>2936860.8</v>
      </c>
      <c r="C26" s="10" t="s">
        <v>12</v>
      </c>
      <c r="D26" s="19"/>
      <c r="E26" s="12" t="s">
        <v>14</v>
      </c>
      <c r="F26" s="13">
        <f>0.88*(F23+(0.025*F24) + (0.298*F25))</f>
        <v>1067131231.4572802</v>
      </c>
      <c r="G26" s="10" t="s">
        <v>3</v>
      </c>
    </row>
    <row r="27" spans="1:7" x14ac:dyDescent="0.25">
      <c r="A27" s="1"/>
      <c r="B27" s="11"/>
      <c r="C27" s="10"/>
      <c r="D27" s="19"/>
      <c r="F27" s="14"/>
      <c r="G27" s="10"/>
    </row>
    <row r="28" spans="1:7" x14ac:dyDescent="0.25">
      <c r="A28" s="1" t="s">
        <v>19</v>
      </c>
      <c r="B28" s="14" t="s">
        <v>18</v>
      </c>
      <c r="C28" s="10"/>
      <c r="D28" s="19"/>
      <c r="E28" s="1" t="s">
        <v>4</v>
      </c>
      <c r="F28" s="15" t="s">
        <v>13</v>
      </c>
      <c r="G28" s="10"/>
    </row>
    <row r="29" spans="1:7" x14ac:dyDescent="0.25">
      <c r="A29" s="1" t="s">
        <v>8</v>
      </c>
      <c r="B29" s="11">
        <f>B26*(1/3.412)*891.9*(1/2.2046)</f>
        <v>348225604.41936439</v>
      </c>
      <c r="C29" s="10" t="s">
        <v>5</v>
      </c>
      <c r="D29" s="19"/>
      <c r="E29" s="1" t="s">
        <v>8</v>
      </c>
      <c r="F29" s="11">
        <f>$F$20*73.96</f>
        <v>1688560051.1999998</v>
      </c>
      <c r="G29" s="10" t="s">
        <v>5</v>
      </c>
    </row>
    <row r="30" spans="1:7" x14ac:dyDescent="0.25">
      <c r="A30" s="1" t="s">
        <v>9</v>
      </c>
      <c r="B30" s="11">
        <f>B26*(1/3.412)*0.067*(1/2.2046)</f>
        <v>26158.891687518124</v>
      </c>
      <c r="C30" s="10" t="s">
        <v>6</v>
      </c>
      <c r="D30" s="19"/>
      <c r="E30" s="1" t="s">
        <v>9</v>
      </c>
      <c r="F30" s="11">
        <f>$F$20*3</f>
        <v>68492160</v>
      </c>
      <c r="G30" s="10" t="s">
        <v>6</v>
      </c>
    </row>
    <row r="31" spans="1:7" x14ac:dyDescent="0.25">
      <c r="A31" s="1" t="s">
        <v>10</v>
      </c>
      <c r="B31" s="11">
        <f>B26*(1/3.412)*0.01*(1/2.2046)</f>
        <v>3904.3121921668844</v>
      </c>
      <c r="C31" s="10" t="s">
        <v>7</v>
      </c>
      <c r="D31" s="19"/>
      <c r="E31" s="1" t="s">
        <v>10</v>
      </c>
      <c r="F31" s="11">
        <f>$F$20*0.6</f>
        <v>13698432</v>
      </c>
      <c r="G31" s="10" t="s">
        <v>7</v>
      </c>
    </row>
    <row r="32" spans="1:7" x14ac:dyDescent="0.25">
      <c r="A32" s="12" t="s">
        <v>20</v>
      </c>
      <c r="B32" s="13">
        <f>B29+(0.025*B30) + (0.298*B31)</f>
        <v>348227421.87668985</v>
      </c>
      <c r="C32" s="10" t="s">
        <v>3</v>
      </c>
      <c r="D32" s="19"/>
      <c r="E32" s="12" t="s">
        <v>15</v>
      </c>
      <c r="F32" s="13">
        <f>0.12*(F29+(0.025*F30) + (0.298*F31))</f>
        <v>203322538.55231997</v>
      </c>
      <c r="G32" s="10" t="s">
        <v>3</v>
      </c>
    </row>
    <row r="33" spans="1:12" x14ac:dyDescent="0.25">
      <c r="B33" s="14"/>
      <c r="C33" s="10"/>
      <c r="D33" s="19"/>
      <c r="F33" s="11"/>
      <c r="G33" s="10"/>
    </row>
    <row r="34" spans="1:12" ht="15.75" thickBot="1" x14ac:dyDescent="0.3">
      <c r="A34" s="12" t="s">
        <v>17</v>
      </c>
      <c r="B34" s="16">
        <f>B16+B22+B32</f>
        <v>4520513098.3854904</v>
      </c>
      <c r="C34" s="17" t="s">
        <v>3</v>
      </c>
      <c r="D34" s="19"/>
      <c r="E34" s="1" t="s">
        <v>26</v>
      </c>
      <c r="F34" s="11">
        <v>11320</v>
      </c>
      <c r="G34" s="10"/>
    </row>
    <row r="35" spans="1:12" x14ac:dyDescent="0.25">
      <c r="A35" s="1"/>
      <c r="E35" s="1" t="s">
        <v>11</v>
      </c>
      <c r="F35" s="11">
        <f>F34*F7</f>
        <v>2936860800000</v>
      </c>
      <c r="G35" s="10" t="s">
        <v>11</v>
      </c>
    </row>
    <row r="36" spans="1:12" x14ac:dyDescent="0.25">
      <c r="A36" s="1"/>
      <c r="E36" s="1" t="s">
        <v>12</v>
      </c>
      <c r="F36" s="11">
        <f>F35/1000000</f>
        <v>2936860.8</v>
      </c>
      <c r="G36" s="10" t="s">
        <v>12</v>
      </c>
    </row>
    <row r="37" spans="1:12" x14ac:dyDescent="0.25">
      <c r="A37" s="1"/>
      <c r="F37" s="11"/>
      <c r="G37" s="10"/>
    </row>
    <row r="38" spans="1:12" x14ac:dyDescent="0.25">
      <c r="A38" s="1"/>
      <c r="E38" s="1" t="s">
        <v>19</v>
      </c>
      <c r="F38" s="15" t="s">
        <v>18</v>
      </c>
      <c r="G38" s="10"/>
    </row>
    <row r="39" spans="1:12" x14ac:dyDescent="0.25">
      <c r="A39" s="1"/>
      <c r="E39" s="1" t="s">
        <v>8</v>
      </c>
      <c r="F39" s="11">
        <f>F36*(1/3.412)*891.9*(1/2.2046)</f>
        <v>348225604.41936439</v>
      </c>
      <c r="G39" s="10" t="s">
        <v>5</v>
      </c>
    </row>
    <row r="40" spans="1:12" x14ac:dyDescent="0.25">
      <c r="A40" s="1"/>
      <c r="E40" s="1" t="s">
        <v>9</v>
      </c>
      <c r="F40" s="11">
        <f>F36*(1/3.412)*0.067*(1/2.2046)</f>
        <v>26158.891687518124</v>
      </c>
      <c r="G40" s="10" t="s">
        <v>6</v>
      </c>
    </row>
    <row r="41" spans="1:12" x14ac:dyDescent="0.25">
      <c r="A41" s="1"/>
      <c r="E41" s="1" t="s">
        <v>10</v>
      </c>
      <c r="F41" s="11">
        <f>F36*(1/3.412)*0.01*(1/2.2046)</f>
        <v>3904.3121921668844</v>
      </c>
      <c r="G41" s="10" t="s">
        <v>7</v>
      </c>
    </row>
    <row r="42" spans="1:12" x14ac:dyDescent="0.25">
      <c r="A42" s="1"/>
      <c r="E42" s="12" t="s">
        <v>20</v>
      </c>
      <c r="F42" s="13">
        <f>F39 + (0.025*F40) + (0.298*F41)</f>
        <v>348227421.87668985</v>
      </c>
      <c r="G42" s="10" t="s">
        <v>3</v>
      </c>
    </row>
    <row r="43" spans="1:12" x14ac:dyDescent="0.25">
      <c r="A43" s="1"/>
      <c r="F43" s="14"/>
      <c r="G43" s="10"/>
      <c r="L43" s="24"/>
    </row>
    <row r="44" spans="1:12" x14ac:dyDescent="0.25">
      <c r="A44" s="1"/>
      <c r="E44" s="12" t="s">
        <v>42</v>
      </c>
      <c r="F44" s="13">
        <f>F26+F32</f>
        <v>1270453770.0096002</v>
      </c>
      <c r="G44" s="10" t="s">
        <v>3</v>
      </c>
      <c r="L44" s="24"/>
    </row>
    <row r="45" spans="1:12" x14ac:dyDescent="0.25">
      <c r="A45" s="1"/>
      <c r="E45" s="12" t="s">
        <v>41</v>
      </c>
      <c r="F45" s="32">
        <f>F44/F10</f>
        <v>1166.056626558925</v>
      </c>
      <c r="G45" s="10"/>
    </row>
    <row r="46" spans="1:12" ht="15.75" thickBot="1" x14ac:dyDescent="0.3">
      <c r="E46" s="12" t="s">
        <v>40</v>
      </c>
      <c r="F46" s="33">
        <f>F44/F7</f>
        <v>4.8969078400000008</v>
      </c>
      <c r="G46" s="17" t="s">
        <v>39</v>
      </c>
    </row>
    <row r="48" spans="1:12" x14ac:dyDescent="0.25">
      <c r="A48" s="40" t="s">
        <v>91</v>
      </c>
    </row>
    <row r="49" spans="1:7" ht="15.75" thickBot="1" x14ac:dyDescent="0.3">
      <c r="A49" s="6" t="s">
        <v>22</v>
      </c>
      <c r="E49" s="6" t="s">
        <v>58</v>
      </c>
    </row>
    <row r="50" spans="1:7" x14ac:dyDescent="0.25">
      <c r="A50" s="1"/>
      <c r="B50" s="7" t="s">
        <v>23</v>
      </c>
      <c r="C50" s="8" t="s">
        <v>0</v>
      </c>
      <c r="E50" s="3"/>
      <c r="F50" s="26" t="s">
        <v>55</v>
      </c>
      <c r="G50" s="27" t="s">
        <v>0</v>
      </c>
    </row>
    <row r="51" spans="1:7" x14ac:dyDescent="0.25">
      <c r="A51" s="1" t="s">
        <v>25</v>
      </c>
      <c r="B51" s="9">
        <v>432400000</v>
      </c>
      <c r="C51" s="10" t="s">
        <v>2</v>
      </c>
      <c r="D51" s="19"/>
      <c r="E51" s="1" t="s">
        <v>25</v>
      </c>
      <c r="F51" s="28">
        <f>B51</f>
        <v>432400000</v>
      </c>
      <c r="G51" s="10" t="s">
        <v>2</v>
      </c>
    </row>
    <row r="52" spans="1:7" x14ac:dyDescent="0.25">
      <c r="A52" s="1" t="s">
        <v>27</v>
      </c>
      <c r="B52" s="9">
        <v>289000</v>
      </c>
      <c r="C52" s="10" t="s">
        <v>1</v>
      </c>
      <c r="D52" s="19"/>
      <c r="E52" s="1" t="s">
        <v>54</v>
      </c>
      <c r="F52" s="9">
        <v>289000</v>
      </c>
      <c r="G52" s="10" t="s">
        <v>1</v>
      </c>
    </row>
    <row r="53" spans="1:7" x14ac:dyDescent="0.25">
      <c r="A53" s="1" t="s">
        <v>28</v>
      </c>
      <c r="B53" s="11">
        <f>B52*B51</f>
        <v>124963600000000</v>
      </c>
      <c r="C53" s="10" t="s">
        <v>11</v>
      </c>
      <c r="D53" s="19"/>
      <c r="E53" s="1" t="s">
        <v>53</v>
      </c>
      <c r="F53" s="29">
        <v>340</v>
      </c>
      <c r="G53" s="10" t="s">
        <v>50</v>
      </c>
    </row>
    <row r="54" spans="1:7" x14ac:dyDescent="0.25">
      <c r="A54" s="12" t="s">
        <v>29</v>
      </c>
      <c r="B54" s="13">
        <f>B53/1000000</f>
        <v>124963600</v>
      </c>
      <c r="C54" s="10" t="s">
        <v>12</v>
      </c>
      <c r="D54" s="19"/>
      <c r="E54" s="1" t="s">
        <v>3</v>
      </c>
      <c r="F54" s="9">
        <v>1089530.0803347388</v>
      </c>
      <c r="G54" s="10" t="s">
        <v>3</v>
      </c>
    </row>
    <row r="55" spans="1:7" x14ac:dyDescent="0.25">
      <c r="B55" s="14"/>
      <c r="C55" s="10"/>
      <c r="D55" s="19"/>
      <c r="F55" s="14"/>
      <c r="G55" s="10"/>
    </row>
    <row r="56" spans="1:7" x14ac:dyDescent="0.25">
      <c r="A56" s="1" t="s">
        <v>4</v>
      </c>
      <c r="B56" s="15" t="s">
        <v>16</v>
      </c>
      <c r="C56" s="10"/>
      <c r="D56" s="19"/>
      <c r="E56" s="1" t="s">
        <v>52</v>
      </c>
      <c r="F56" s="29">
        <v>260</v>
      </c>
      <c r="G56" s="10" t="s">
        <v>50</v>
      </c>
    </row>
    <row r="57" spans="1:7" x14ac:dyDescent="0.25">
      <c r="A57" s="1" t="s">
        <v>8</v>
      </c>
      <c r="B57" s="11">
        <f>B54*53.06</f>
        <v>6630568616</v>
      </c>
      <c r="C57" s="10" t="s">
        <v>5</v>
      </c>
      <c r="D57" s="19"/>
      <c r="E57" s="12" t="s">
        <v>51</v>
      </c>
      <c r="F57" s="30">
        <f>F53-F56</f>
        <v>80</v>
      </c>
      <c r="G57" s="10" t="s">
        <v>50</v>
      </c>
    </row>
    <row r="58" spans="1:7" x14ac:dyDescent="0.25">
      <c r="A58" s="1" t="s">
        <v>9</v>
      </c>
      <c r="B58" s="11">
        <f>B54*1</f>
        <v>124963600</v>
      </c>
      <c r="C58" s="10" t="s">
        <v>6</v>
      </c>
      <c r="D58" s="19"/>
      <c r="E58" s="1" t="s">
        <v>49</v>
      </c>
      <c r="F58" s="31">
        <f>(F56-F53)/F53</f>
        <v>-0.23529411764705882</v>
      </c>
      <c r="G58" s="10"/>
    </row>
    <row r="59" spans="1:7" x14ac:dyDescent="0.25">
      <c r="A59" s="1" t="s">
        <v>10</v>
      </c>
      <c r="B59" s="11">
        <f>B54*0.1</f>
        <v>12496360</v>
      </c>
      <c r="C59" s="10" t="s">
        <v>7</v>
      </c>
      <c r="D59" s="19"/>
      <c r="F59" s="14"/>
      <c r="G59" s="10"/>
    </row>
    <row r="60" spans="1:7" x14ac:dyDescent="0.25">
      <c r="A60" s="12" t="s">
        <v>14</v>
      </c>
      <c r="B60" s="13">
        <f>0.88*(B57+(0.025*B58) + (0.298*B59))</f>
        <v>5840926626.7263994</v>
      </c>
      <c r="C60" s="10" t="s">
        <v>3</v>
      </c>
      <c r="D60" s="19"/>
      <c r="E60" s="1" t="s">
        <v>48</v>
      </c>
      <c r="F60" s="11">
        <v>1100</v>
      </c>
      <c r="G60" s="10" t="s">
        <v>47</v>
      </c>
    </row>
    <row r="61" spans="1:7" x14ac:dyDescent="0.25">
      <c r="A61" s="1"/>
      <c r="B61" s="14"/>
      <c r="C61" s="10"/>
      <c r="D61" s="19"/>
      <c r="E61" s="1" t="s">
        <v>46</v>
      </c>
      <c r="F61" s="11">
        <f>F57*F60</f>
        <v>88000</v>
      </c>
      <c r="G61" s="10" t="s">
        <v>1</v>
      </c>
    </row>
    <row r="62" spans="1:7" x14ac:dyDescent="0.25">
      <c r="A62" s="1" t="s">
        <v>4</v>
      </c>
      <c r="B62" s="15" t="s">
        <v>13</v>
      </c>
      <c r="C62" s="10"/>
      <c r="D62" s="19"/>
      <c r="E62" s="1" t="s">
        <v>45</v>
      </c>
      <c r="F62" s="31">
        <f>F61/F52</f>
        <v>0.30449826989619377</v>
      </c>
      <c r="G62" s="10" t="s">
        <v>1</v>
      </c>
    </row>
    <row r="63" spans="1:7" x14ac:dyDescent="0.25">
      <c r="A63" s="1" t="s">
        <v>8</v>
      </c>
      <c r="B63" s="11">
        <f>B54*73.96</f>
        <v>9242307856</v>
      </c>
      <c r="C63" s="10" t="s">
        <v>5</v>
      </c>
      <c r="D63" s="19"/>
      <c r="E63" s="1" t="s">
        <v>44</v>
      </c>
      <c r="F63" s="11">
        <f>F61*F51</f>
        <v>38051200000000</v>
      </c>
      <c r="G63" s="10" t="s">
        <v>11</v>
      </c>
    </row>
    <row r="64" spans="1:7" x14ac:dyDescent="0.25">
      <c r="A64" s="1" t="s">
        <v>9</v>
      </c>
      <c r="B64" s="11">
        <f>B54*3</f>
        <v>374890800</v>
      </c>
      <c r="C64" s="10" t="s">
        <v>6</v>
      </c>
      <c r="D64" s="19"/>
      <c r="E64" s="12" t="s">
        <v>43</v>
      </c>
      <c r="F64" s="13">
        <f>F63/1000000</f>
        <v>38051200</v>
      </c>
      <c r="G64" s="10" t="s">
        <v>12</v>
      </c>
    </row>
    <row r="65" spans="1:7" x14ac:dyDescent="0.25">
      <c r="A65" s="1" t="s">
        <v>10</v>
      </c>
      <c r="B65" s="11">
        <f>B54*0.6</f>
        <v>74978160</v>
      </c>
      <c r="C65" s="10" t="s">
        <v>7</v>
      </c>
      <c r="D65" s="19"/>
      <c r="E65" s="3"/>
      <c r="F65" s="14"/>
      <c r="G65" s="10"/>
    </row>
    <row r="66" spans="1:7" x14ac:dyDescent="0.25">
      <c r="A66" s="12" t="s">
        <v>15</v>
      </c>
      <c r="B66" s="13">
        <f>0.12*(B63+(0.025*B64) + (0.298*B65))</f>
        <v>1112882834.1215999</v>
      </c>
      <c r="C66" s="10" t="s">
        <v>3</v>
      </c>
      <c r="D66" s="19"/>
      <c r="E66" s="1" t="s">
        <v>4</v>
      </c>
      <c r="F66" s="15" t="s">
        <v>16</v>
      </c>
      <c r="G66" s="10"/>
    </row>
    <row r="67" spans="1:7" x14ac:dyDescent="0.25">
      <c r="A67" s="1"/>
      <c r="B67" s="14"/>
      <c r="C67" s="10"/>
      <c r="D67" s="19"/>
      <c r="E67" s="1" t="s">
        <v>8</v>
      </c>
      <c r="F67" s="11">
        <f>F64*53.06</f>
        <v>2018996672</v>
      </c>
      <c r="G67" s="10" t="s">
        <v>5</v>
      </c>
    </row>
    <row r="68" spans="1:7" x14ac:dyDescent="0.25">
      <c r="A68" s="1" t="s">
        <v>26</v>
      </c>
      <c r="B68" s="9">
        <v>11320</v>
      </c>
      <c r="C68" s="10"/>
      <c r="D68" s="19"/>
      <c r="E68" s="1" t="s">
        <v>9</v>
      </c>
      <c r="F68" s="11">
        <f>F64*1</f>
        <v>38051200</v>
      </c>
      <c r="G68" s="10" t="s">
        <v>6</v>
      </c>
    </row>
    <row r="69" spans="1:7" x14ac:dyDescent="0.25">
      <c r="A69" s="1" t="s">
        <v>30</v>
      </c>
      <c r="B69" s="11">
        <f>B68*B51</f>
        <v>4894768000000</v>
      </c>
      <c r="C69" s="10" t="s">
        <v>11</v>
      </c>
      <c r="D69" s="19"/>
      <c r="E69" s="1" t="s">
        <v>10</v>
      </c>
      <c r="F69" s="11">
        <f>F64*0.1</f>
        <v>3805120</v>
      </c>
      <c r="G69" s="10" t="s">
        <v>7</v>
      </c>
    </row>
    <row r="70" spans="1:7" x14ac:dyDescent="0.25">
      <c r="A70" s="12" t="s">
        <v>31</v>
      </c>
      <c r="B70" s="13">
        <f>B69/1000000</f>
        <v>4894768</v>
      </c>
      <c r="C70" s="10" t="s">
        <v>12</v>
      </c>
      <c r="D70" s="19"/>
      <c r="E70" s="12" t="s">
        <v>14</v>
      </c>
      <c r="F70" s="13">
        <f>0.88*(F67+(0.025*F68) + (0.298*F69))</f>
        <v>1778552052.4288001</v>
      </c>
      <c r="G70" s="10" t="s">
        <v>3</v>
      </c>
    </row>
    <row r="71" spans="1:7" x14ac:dyDescent="0.25">
      <c r="A71" s="1"/>
      <c r="B71" s="11"/>
      <c r="C71" s="10"/>
      <c r="D71" s="19"/>
      <c r="F71" s="14"/>
      <c r="G71" s="10"/>
    </row>
    <row r="72" spans="1:7" x14ac:dyDescent="0.25">
      <c r="A72" s="1" t="s">
        <v>19</v>
      </c>
      <c r="B72" s="14" t="s">
        <v>18</v>
      </c>
      <c r="C72" s="10"/>
      <c r="D72" s="19"/>
      <c r="E72" s="1" t="s">
        <v>4</v>
      </c>
      <c r="F72" s="15" t="s">
        <v>13</v>
      </c>
      <c r="G72" s="10"/>
    </row>
    <row r="73" spans="1:7" x14ac:dyDescent="0.25">
      <c r="A73" s="1" t="s">
        <v>8</v>
      </c>
      <c r="B73" s="11">
        <f>B70*(1/3.412)*891.9*(1/2.2046)</f>
        <v>580376007.36560738</v>
      </c>
      <c r="C73" s="10" t="s">
        <v>5</v>
      </c>
      <c r="D73" s="19"/>
      <c r="E73" s="1" t="s">
        <v>8</v>
      </c>
      <c r="F73" s="11">
        <f>$F$20*73.96</f>
        <v>1688560051.1999998</v>
      </c>
      <c r="G73" s="10" t="s">
        <v>5</v>
      </c>
    </row>
    <row r="74" spans="1:7" x14ac:dyDescent="0.25">
      <c r="A74" s="1" t="s">
        <v>9</v>
      </c>
      <c r="B74" s="11">
        <f>B70*(1/3.412)*0.067*(1/2.2046)</f>
        <v>43598.152812530207</v>
      </c>
      <c r="C74" s="10" t="s">
        <v>6</v>
      </c>
      <c r="D74" s="19"/>
      <c r="E74" s="1" t="s">
        <v>9</v>
      </c>
      <c r="F74" s="11">
        <f>$F$20*3</f>
        <v>68492160</v>
      </c>
      <c r="G74" s="10" t="s">
        <v>6</v>
      </c>
    </row>
    <row r="75" spans="1:7" x14ac:dyDescent="0.25">
      <c r="A75" s="1" t="s">
        <v>10</v>
      </c>
      <c r="B75" s="11">
        <f>B70*(1/3.412)*0.01*(1/2.2046)</f>
        <v>6507.1869869448074</v>
      </c>
      <c r="C75" s="10" t="s">
        <v>7</v>
      </c>
      <c r="D75" s="19"/>
      <c r="E75" s="1" t="s">
        <v>10</v>
      </c>
      <c r="F75" s="11">
        <f>$F$20*0.6</f>
        <v>13698432</v>
      </c>
      <c r="G75" s="10" t="s">
        <v>7</v>
      </c>
    </row>
    <row r="76" spans="1:7" x14ac:dyDescent="0.25">
      <c r="A76" s="12" t="s">
        <v>20</v>
      </c>
      <c r="B76" s="13">
        <f>B73+(0.025*B74) + (0.298*B75)</f>
        <v>580379036.46114981</v>
      </c>
      <c r="C76" s="10" t="s">
        <v>3</v>
      </c>
      <c r="D76" s="19"/>
      <c r="E76" s="12" t="s">
        <v>15</v>
      </c>
      <c r="F76" s="13">
        <f>0.12*(F73+(0.025*F74) + (0.298*F75))</f>
        <v>203322538.55231997</v>
      </c>
      <c r="G76" s="10" t="s">
        <v>3</v>
      </c>
    </row>
    <row r="77" spans="1:7" x14ac:dyDescent="0.25">
      <c r="B77" s="14"/>
      <c r="C77" s="10"/>
      <c r="D77" s="19"/>
      <c r="F77" s="11"/>
      <c r="G77" s="10"/>
    </row>
    <row r="78" spans="1:7" ht="15.75" thickBot="1" x14ac:dyDescent="0.3">
      <c r="A78" s="12" t="s">
        <v>17</v>
      </c>
      <c r="B78" s="16">
        <f>B60+B66+B76</f>
        <v>7534188497.3091497</v>
      </c>
      <c r="C78" s="17" t="s">
        <v>3</v>
      </c>
      <c r="D78" s="19"/>
      <c r="E78" s="1" t="s">
        <v>26</v>
      </c>
      <c r="F78" s="11">
        <v>11320</v>
      </c>
      <c r="G78" s="10"/>
    </row>
    <row r="79" spans="1:7" x14ac:dyDescent="0.25">
      <c r="A79" s="1"/>
      <c r="E79" s="1" t="s">
        <v>11</v>
      </c>
      <c r="F79" s="11">
        <f>F78*F51</f>
        <v>4894768000000</v>
      </c>
      <c r="G79" s="10" t="s">
        <v>11</v>
      </c>
    </row>
    <row r="80" spans="1:7" x14ac:dyDescent="0.25">
      <c r="A80" s="1"/>
      <c r="E80" s="1" t="s">
        <v>12</v>
      </c>
      <c r="F80" s="11">
        <f>F79/1000000</f>
        <v>4894768</v>
      </c>
      <c r="G80" s="10" t="s">
        <v>12</v>
      </c>
    </row>
    <row r="81" spans="1:7" x14ac:dyDescent="0.25">
      <c r="A81" s="1"/>
      <c r="F81" s="11"/>
      <c r="G81" s="10"/>
    </row>
    <row r="82" spans="1:7" x14ac:dyDescent="0.25">
      <c r="A82" s="1"/>
      <c r="E82" s="1" t="s">
        <v>19</v>
      </c>
      <c r="F82" s="15" t="s">
        <v>18</v>
      </c>
      <c r="G82" s="10"/>
    </row>
    <row r="83" spans="1:7" x14ac:dyDescent="0.25">
      <c r="A83" s="1"/>
      <c r="E83" s="1" t="s">
        <v>8</v>
      </c>
      <c r="F83" s="11">
        <f>F80*(1/3.412)*891.9*(1/2.2046)</f>
        <v>580376007.36560738</v>
      </c>
      <c r="G83" s="10" t="s">
        <v>5</v>
      </c>
    </row>
    <row r="84" spans="1:7" x14ac:dyDescent="0.25">
      <c r="A84" s="1"/>
      <c r="E84" s="1" t="s">
        <v>9</v>
      </c>
      <c r="F84" s="11">
        <f>F80*(1/3.412)*0.067*(1/2.2046)</f>
        <v>43598.152812530207</v>
      </c>
      <c r="G84" s="10" t="s">
        <v>6</v>
      </c>
    </row>
    <row r="85" spans="1:7" x14ac:dyDescent="0.25">
      <c r="A85" s="1"/>
      <c r="E85" s="1" t="s">
        <v>10</v>
      </c>
      <c r="F85" s="11">
        <f>F80*(1/3.412)*0.01*(1/2.2046)</f>
        <v>6507.1869869448074</v>
      </c>
      <c r="G85" s="10" t="s">
        <v>7</v>
      </c>
    </row>
    <row r="86" spans="1:7" x14ac:dyDescent="0.25">
      <c r="A86" s="1"/>
      <c r="E86" s="12" t="s">
        <v>20</v>
      </c>
      <c r="F86" s="13">
        <f>F83 + (0.025*F84) + (0.298*F85)</f>
        <v>580379036.46114981</v>
      </c>
      <c r="G86" s="10" t="s">
        <v>3</v>
      </c>
    </row>
    <row r="87" spans="1:7" x14ac:dyDescent="0.25">
      <c r="A87" s="1"/>
      <c r="F87" s="14"/>
      <c r="G87" s="10"/>
    </row>
    <row r="88" spans="1:7" x14ac:dyDescent="0.25">
      <c r="A88" s="1"/>
      <c r="E88" s="12" t="s">
        <v>42</v>
      </c>
      <c r="F88" s="13">
        <f>F70+F76</f>
        <v>1981874590.9811201</v>
      </c>
      <c r="G88" s="10" t="s">
        <v>3</v>
      </c>
    </row>
    <row r="89" spans="1:7" x14ac:dyDescent="0.25">
      <c r="A89" s="1"/>
      <c r="E89" s="12" t="s">
        <v>41</v>
      </c>
      <c r="F89" s="32">
        <f>F88/F54</f>
        <v>1819.0177827602743</v>
      </c>
      <c r="G89" s="10"/>
    </row>
    <row r="90" spans="1:7" ht="15.75" thickBot="1" x14ac:dyDescent="0.3">
      <c r="E90" s="12" t="s">
        <v>40</v>
      </c>
      <c r="F90" s="33">
        <f>F88/F51</f>
        <v>4.5834287488000003</v>
      </c>
      <c r="G90" s="17" t="s">
        <v>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571C4-D8F3-4EB8-A99C-513C46AAC64E}">
  <dimension ref="A1:H29"/>
  <sheetViews>
    <sheetView showGridLines="0" workbookViewId="0">
      <selection activeCell="B29" sqref="B29"/>
    </sheetView>
  </sheetViews>
  <sheetFormatPr defaultRowHeight="15" outlineLevelRow="1" outlineLevelCol="1" x14ac:dyDescent="0.25"/>
  <cols>
    <col min="1" max="1" width="17.7109375" style="1" customWidth="1"/>
    <col min="2" max="2" width="19.85546875" style="35" customWidth="1"/>
    <col min="3" max="3" width="22.140625" style="35" bestFit="1" customWidth="1"/>
    <col min="4" max="4" width="17.85546875" style="35" customWidth="1"/>
    <col min="5" max="5" width="41.42578125" style="35" customWidth="1" outlineLevel="1"/>
    <col min="6" max="7" width="19.85546875" style="35" customWidth="1"/>
    <col min="8" max="8" width="18.42578125" style="35" customWidth="1"/>
    <col min="9" max="16384" width="9.140625" style="1"/>
  </cols>
  <sheetData>
    <row r="1" spans="1:8" outlineLevel="1" x14ac:dyDescent="0.25">
      <c r="A1" s="34" t="s">
        <v>85</v>
      </c>
    </row>
    <row r="2" spans="1:8" outlineLevel="1" x14ac:dyDescent="0.25"/>
    <row r="3" spans="1:8" ht="34.5" customHeight="1" outlineLevel="1" x14ac:dyDescent="0.25">
      <c r="A3" s="37" t="s">
        <v>60</v>
      </c>
      <c r="B3" s="38" t="s">
        <v>113</v>
      </c>
      <c r="C3" s="38" t="s">
        <v>62</v>
      </c>
      <c r="D3" s="38" t="s">
        <v>63</v>
      </c>
      <c r="E3" s="38" t="s">
        <v>67</v>
      </c>
      <c r="F3" s="38" t="s">
        <v>64</v>
      </c>
      <c r="G3" s="38" t="s">
        <v>65</v>
      </c>
      <c r="H3" s="38" t="s">
        <v>66</v>
      </c>
    </row>
    <row r="4" spans="1:8" outlineLevel="1" x14ac:dyDescent="0.25">
      <c r="A4" s="41">
        <v>2025</v>
      </c>
      <c r="B4" s="36">
        <v>4400000</v>
      </c>
      <c r="C4" s="36">
        <v>76673401.240985781</v>
      </c>
      <c r="D4" s="36">
        <v>1577514</v>
      </c>
      <c r="E4" s="36" t="s">
        <v>105</v>
      </c>
      <c r="F4" s="56">
        <v>27486851.720309027</v>
      </c>
      <c r="G4" s="56">
        <v>8144517.2017555209</v>
      </c>
      <c r="H4" s="39">
        <v>0.10622350215242399</v>
      </c>
    </row>
    <row r="5" spans="1:8" outlineLevel="1" x14ac:dyDescent="0.25">
      <c r="A5" s="41">
        <v>2026</v>
      </c>
      <c r="B5" s="36">
        <v>4400000</v>
      </c>
      <c r="C5" s="36">
        <v>76673401.240985781</v>
      </c>
      <c r="D5" s="36">
        <v>2017514</v>
      </c>
      <c r="E5" s="36" t="s">
        <v>106</v>
      </c>
      <c r="F5" s="56">
        <v>35153463.512205474</v>
      </c>
      <c r="G5" s="56">
        <v>9954329.6510355193</v>
      </c>
      <c r="H5" s="39">
        <v>0.12982767804637876</v>
      </c>
    </row>
    <row r="6" spans="1:8" outlineLevel="1" x14ac:dyDescent="0.25">
      <c r="A6" s="41">
        <v>2027</v>
      </c>
      <c r="B6" s="36">
        <v>4400000</v>
      </c>
      <c r="C6" s="36">
        <v>76673401.240985781</v>
      </c>
      <c r="D6" s="36">
        <v>2715028</v>
      </c>
      <c r="E6" s="36" t="s">
        <v>81</v>
      </c>
      <c r="F6" s="56">
        <v>47307091.648721598</v>
      </c>
      <c r="G6" s="56">
        <v>12166631.837831844</v>
      </c>
      <c r="H6" s="39">
        <v>0.158681258962178</v>
      </c>
    </row>
    <row r="7" spans="1:8" outlineLevel="1" x14ac:dyDescent="0.25">
      <c r="A7" s="41">
        <v>2028</v>
      </c>
      <c r="B7" s="36">
        <v>432400000</v>
      </c>
      <c r="C7" s="36">
        <f>'Expansion - National'!B78</f>
        <v>7534188497.3091497</v>
      </c>
      <c r="D7" s="36">
        <f>(2*'CCPR Calculations'!B5)+'Expansion - National'!B7</f>
        <v>259515028</v>
      </c>
      <c r="E7" s="36" t="s">
        <v>111</v>
      </c>
      <c r="F7" s="56">
        <f>(2*'CCPR Calculations'!B32)+'Expansion - National'!B34</f>
        <v>4521820519.2828331</v>
      </c>
      <c r="G7" s="56">
        <f>(2*'CCPR Calculations'!J8)+'Expansion - National'!F44</f>
        <v>1271660328.2659111</v>
      </c>
      <c r="H7" s="39">
        <f t="shared" ref="H7:H9" si="0">G7/C7</f>
        <v>0.16878530829432886</v>
      </c>
    </row>
    <row r="8" spans="1:8" outlineLevel="1" x14ac:dyDescent="0.25">
      <c r="A8" s="41">
        <v>2029</v>
      </c>
      <c r="B8" s="36">
        <v>432400000</v>
      </c>
      <c r="C8" s="36">
        <f>'Expansion - National'!B78</f>
        <v>7534188497.3091497</v>
      </c>
      <c r="D8" s="36">
        <f>'Expansion - National'!B7</f>
        <v>259440000</v>
      </c>
      <c r="E8" s="36" t="s">
        <v>112</v>
      </c>
      <c r="F8" s="56">
        <f>'Expansion - National'!B34</f>
        <v>4520513098.3854904</v>
      </c>
      <c r="G8" s="56">
        <f>'Expansion - National'!F44</f>
        <v>1270453770.0096002</v>
      </c>
      <c r="H8" s="39">
        <f t="shared" si="0"/>
        <v>0.16862516387310261</v>
      </c>
    </row>
    <row r="9" spans="1:8" outlineLevel="1" x14ac:dyDescent="0.25">
      <c r="A9" s="41">
        <v>2030</v>
      </c>
      <c r="B9" s="36">
        <v>432400000</v>
      </c>
      <c r="C9" s="36">
        <f>'Expansion - National'!B78</f>
        <v>7534188497.3091497</v>
      </c>
      <c r="D9" s="36">
        <f>'Expansion - National'!B7</f>
        <v>259440000</v>
      </c>
      <c r="E9" s="36" t="s">
        <v>112</v>
      </c>
      <c r="F9" s="56">
        <f>'Expansion - National'!B34</f>
        <v>4520513098.3854904</v>
      </c>
      <c r="G9" s="56">
        <f>'Expansion - National'!F44</f>
        <v>1270453770.0096002</v>
      </c>
      <c r="H9" s="39">
        <f t="shared" si="0"/>
        <v>0.16862516387310261</v>
      </c>
    </row>
    <row r="10" spans="1:8" s="3" customFormat="1" outlineLevel="1" x14ac:dyDescent="0.25">
      <c r="A10" s="44" t="s">
        <v>72</v>
      </c>
      <c r="B10" s="45">
        <f>SUM(B4:B9)</f>
        <v>1310400000</v>
      </c>
      <c r="C10" s="45">
        <f>SUM(C4:C9)</f>
        <v>22832585695.650406</v>
      </c>
      <c r="D10" s="45">
        <f>SUM(D4:D9)</f>
        <v>784705084</v>
      </c>
      <c r="E10" s="45" t="s">
        <v>70</v>
      </c>
      <c r="F10" s="45">
        <f>SUM(F4:F9)</f>
        <v>13672794122.935051</v>
      </c>
      <c r="G10" s="45">
        <f>SUM(G4:G9)</f>
        <v>3842833346.9757342</v>
      </c>
      <c r="H10" s="46">
        <f>G10/C10</f>
        <v>0.16830478151704875</v>
      </c>
    </row>
    <row r="11" spans="1:8" outlineLevel="1" x14ac:dyDescent="0.25"/>
    <row r="12" spans="1:8" outlineLevel="1" x14ac:dyDescent="0.25"/>
    <row r="13" spans="1:8" outlineLevel="1" x14ac:dyDescent="0.25"/>
    <row r="14" spans="1:8" x14ac:dyDescent="0.25">
      <c r="A14" s="47" t="s">
        <v>73</v>
      </c>
    </row>
    <row r="15" spans="1:8" ht="33.75" customHeight="1" x14ac:dyDescent="0.25">
      <c r="A15" s="37" t="s">
        <v>60</v>
      </c>
      <c r="B15" s="38" t="s">
        <v>61</v>
      </c>
      <c r="C15" s="38" t="s">
        <v>77</v>
      </c>
      <c r="D15" s="38" t="s">
        <v>63</v>
      </c>
      <c r="E15" s="38" t="s">
        <v>67</v>
      </c>
      <c r="F15" s="38" t="s">
        <v>78</v>
      </c>
      <c r="G15" s="38" t="s">
        <v>79</v>
      </c>
      <c r="H15" s="38" t="s">
        <v>80</v>
      </c>
    </row>
    <row r="16" spans="1:8" x14ac:dyDescent="0.25">
      <c r="A16" s="41">
        <f>A4</f>
        <v>2025</v>
      </c>
      <c r="B16" s="36">
        <f>B4</f>
        <v>4400000</v>
      </c>
      <c r="C16" s="36">
        <f>C4/1000</f>
        <v>76673.401240985782</v>
      </c>
      <c r="D16" s="36">
        <f>D4</f>
        <v>1577514</v>
      </c>
      <c r="E16" s="36" t="str">
        <f>E4</f>
        <v>1 CCPR, 35% of AL tonnage WMT</v>
      </c>
      <c r="F16" s="36">
        <f>F4/1000</f>
        <v>27486.851720309027</v>
      </c>
      <c r="G16" s="36">
        <f>G4/1000</f>
        <v>8144.5172017555205</v>
      </c>
      <c r="H16" s="39">
        <f>G16/C16</f>
        <v>0.10622350215242397</v>
      </c>
    </row>
    <row r="17" spans="1:8" x14ac:dyDescent="0.25">
      <c r="A17" s="41">
        <f t="shared" ref="A17:B22" si="1">A5</f>
        <v>2026</v>
      </c>
      <c r="B17" s="36">
        <f t="shared" si="1"/>
        <v>4400000</v>
      </c>
      <c r="C17" s="36">
        <f t="shared" ref="C17:C21" si="2">C5/1000</f>
        <v>76673.401240985782</v>
      </c>
      <c r="D17" s="36">
        <f t="shared" ref="D17:E22" si="3">D5</f>
        <v>2017514</v>
      </c>
      <c r="E17" s="36" t="str">
        <f t="shared" si="3"/>
        <v>1 CCPR, 45% of AL tonnage WMT</v>
      </c>
      <c r="F17" s="36">
        <f t="shared" ref="F17:G22" si="4">F5/1000</f>
        <v>35153.463512205475</v>
      </c>
      <c r="G17" s="36">
        <f t="shared" si="4"/>
        <v>9954.3296510355194</v>
      </c>
      <c r="H17" s="39">
        <f t="shared" ref="H17:H22" si="5">G17/C17</f>
        <v>0.12982767804637876</v>
      </c>
    </row>
    <row r="18" spans="1:8" x14ac:dyDescent="0.25">
      <c r="A18" s="41">
        <f t="shared" si="1"/>
        <v>2027</v>
      </c>
      <c r="B18" s="36">
        <f t="shared" si="1"/>
        <v>4400000</v>
      </c>
      <c r="C18" s="36">
        <f t="shared" si="2"/>
        <v>76673.401240985782</v>
      </c>
      <c r="D18" s="36">
        <f t="shared" si="3"/>
        <v>2715028</v>
      </c>
      <c r="E18" s="36" t="str">
        <f t="shared" si="3"/>
        <v>2 CCPR, 60% of AL tonnage WMT</v>
      </c>
      <c r="F18" s="36">
        <f t="shared" si="4"/>
        <v>47307.091648721595</v>
      </c>
      <c r="G18" s="36">
        <f t="shared" si="4"/>
        <v>12166.631837831843</v>
      </c>
      <c r="H18" s="39">
        <f t="shared" si="5"/>
        <v>0.15868125896217797</v>
      </c>
    </row>
    <row r="19" spans="1:8" x14ac:dyDescent="0.25">
      <c r="A19" s="41">
        <f t="shared" si="1"/>
        <v>2028</v>
      </c>
      <c r="B19" s="36">
        <f t="shared" si="1"/>
        <v>432400000</v>
      </c>
      <c r="C19" s="36">
        <f t="shared" si="2"/>
        <v>7534188.4973091502</v>
      </c>
      <c r="D19" s="36">
        <f t="shared" si="3"/>
        <v>259515028</v>
      </c>
      <c r="E19" s="36" t="str">
        <f t="shared" si="3"/>
        <v>2 CCPR, 60% National tonnage WMT</v>
      </c>
      <c r="F19" s="36">
        <f t="shared" si="4"/>
        <v>4521820.5192828327</v>
      </c>
      <c r="G19" s="36">
        <f t="shared" si="4"/>
        <v>1271660.3282659112</v>
      </c>
      <c r="H19" s="39">
        <f t="shared" si="5"/>
        <v>0.16878530829432886</v>
      </c>
    </row>
    <row r="20" spans="1:8" x14ac:dyDescent="0.25">
      <c r="A20" s="41">
        <f t="shared" si="1"/>
        <v>2029</v>
      </c>
      <c r="B20" s="36">
        <f t="shared" si="1"/>
        <v>432400000</v>
      </c>
      <c r="C20" s="36">
        <f t="shared" si="2"/>
        <v>7534188.4973091502</v>
      </c>
      <c r="D20" s="36">
        <f t="shared" si="3"/>
        <v>259440000</v>
      </c>
      <c r="E20" s="36" t="str">
        <f t="shared" si="3"/>
        <v>60% of National tonnage WMT</v>
      </c>
      <c r="F20" s="36">
        <f t="shared" si="4"/>
        <v>4520513.0983854905</v>
      </c>
      <c r="G20" s="36">
        <f t="shared" si="4"/>
        <v>1270453.7700096001</v>
      </c>
      <c r="H20" s="39">
        <f t="shared" si="5"/>
        <v>0.16862516387310261</v>
      </c>
    </row>
    <row r="21" spans="1:8" x14ac:dyDescent="0.25">
      <c r="A21" s="41">
        <f t="shared" si="1"/>
        <v>2030</v>
      </c>
      <c r="B21" s="36">
        <f t="shared" si="1"/>
        <v>432400000</v>
      </c>
      <c r="C21" s="36">
        <f t="shared" si="2"/>
        <v>7534188.4973091502</v>
      </c>
      <c r="D21" s="36">
        <f t="shared" si="3"/>
        <v>259440000</v>
      </c>
      <c r="E21" s="36" t="str">
        <f t="shared" si="3"/>
        <v>60% of National tonnage WMT</v>
      </c>
      <c r="F21" s="36">
        <f t="shared" si="4"/>
        <v>4520513.0983854905</v>
      </c>
      <c r="G21" s="36">
        <f t="shared" si="4"/>
        <v>1270453.7700096001</v>
      </c>
      <c r="H21" s="39">
        <f t="shared" si="5"/>
        <v>0.16862516387310261</v>
      </c>
    </row>
    <row r="22" spans="1:8" x14ac:dyDescent="0.25">
      <c r="A22" s="48" t="str">
        <f t="shared" si="1"/>
        <v>Total</v>
      </c>
      <c r="B22" s="43">
        <f t="shared" si="1"/>
        <v>1310400000</v>
      </c>
      <c r="C22" s="43">
        <f>SUM(C16:C21)</f>
        <v>22832585.695650406</v>
      </c>
      <c r="D22" s="43">
        <f t="shared" si="3"/>
        <v>784705084</v>
      </c>
      <c r="E22" s="43" t="str">
        <f t="shared" si="3"/>
        <v xml:space="preserve"> - </v>
      </c>
      <c r="F22" s="43">
        <f t="shared" si="4"/>
        <v>13672794.122935051</v>
      </c>
      <c r="G22" s="43">
        <f t="shared" si="4"/>
        <v>3842833.3469757345</v>
      </c>
      <c r="H22" s="49">
        <f t="shared" si="5"/>
        <v>0.16830478151704875</v>
      </c>
    </row>
    <row r="26" spans="1:8" x14ac:dyDescent="0.25">
      <c r="A26" s="3" t="s">
        <v>110</v>
      </c>
    </row>
    <row r="27" spans="1:8" x14ac:dyDescent="0.25">
      <c r="A27" s="41" t="s">
        <v>108</v>
      </c>
      <c r="B27" s="66">
        <v>63841735.5800125</v>
      </c>
    </row>
    <row r="28" spans="1:8" x14ac:dyDescent="0.25">
      <c r="A28" s="41" t="s">
        <v>109</v>
      </c>
      <c r="B28" s="36">
        <f>G22</f>
        <v>3842833.3469757345</v>
      </c>
    </row>
    <row r="29" spans="1:8" x14ac:dyDescent="0.25">
      <c r="A29" s="44" t="s">
        <v>107</v>
      </c>
      <c r="B29" s="67">
        <f>B27/B28</f>
        <v>16.613193915956625</v>
      </c>
    </row>
  </sheetData>
  <pageMargins left="0.7" right="0.7" top="0.75" bottom="0.75" header="0.3" footer="0.3"/>
  <pageSetup orientation="portrait" r:id="rId1"/>
  <ignoredErrors>
    <ignoredError sqref="C16:C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6A5A1-7065-4C44-8274-6A5A31BE4E11}">
  <dimension ref="A1:K38"/>
  <sheetViews>
    <sheetView showGridLines="0"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36.7109375" style="3" customWidth="1"/>
    <col min="2" max="2" width="25" style="1" customWidth="1"/>
    <col min="3" max="3" width="22" style="1" bestFit="1" customWidth="1"/>
    <col min="4" max="4" width="15" style="1" bestFit="1" customWidth="1"/>
    <col min="5" max="5" width="31" style="1" bestFit="1" customWidth="1"/>
    <col min="6" max="6" width="25" style="1" customWidth="1"/>
    <col min="7" max="7" width="17.85546875" style="1" bestFit="1" customWidth="1"/>
    <col min="8" max="8" width="9.140625" style="1" customWidth="1"/>
    <col min="9" max="9" width="23.5703125" style="1" bestFit="1" customWidth="1"/>
    <col min="10" max="10" width="20.5703125" style="18" customWidth="1"/>
    <col min="11" max="11" width="17.85546875" style="19" bestFit="1" customWidth="1"/>
    <col min="12" max="16384" width="9.140625" style="1"/>
  </cols>
  <sheetData>
    <row r="1" spans="1:11" x14ac:dyDescent="0.25">
      <c r="A1" s="4" t="s">
        <v>84</v>
      </c>
    </row>
    <row r="3" spans="1:11" ht="15.75" thickBot="1" x14ac:dyDescent="0.3">
      <c r="A3" s="6" t="s">
        <v>22</v>
      </c>
      <c r="E3" s="6" t="s">
        <v>83</v>
      </c>
      <c r="I3" s="6" t="s">
        <v>24</v>
      </c>
    </row>
    <row r="4" spans="1:11" x14ac:dyDescent="0.25">
      <c r="A4" s="1"/>
      <c r="B4" s="26" t="s">
        <v>23</v>
      </c>
      <c r="C4" s="27" t="s">
        <v>0</v>
      </c>
      <c r="F4" s="26" t="s">
        <v>23</v>
      </c>
      <c r="G4" s="27" t="s">
        <v>0</v>
      </c>
      <c r="J4" s="7" t="s">
        <v>37</v>
      </c>
      <c r="K4" s="8" t="s">
        <v>0</v>
      </c>
    </row>
    <row r="5" spans="1:11" x14ac:dyDescent="0.25">
      <c r="A5" s="1" t="s">
        <v>25</v>
      </c>
      <c r="B5" s="9">
        <v>37514</v>
      </c>
      <c r="C5" s="10" t="s">
        <v>2</v>
      </c>
      <c r="E5" s="1" t="s">
        <v>25</v>
      </c>
      <c r="F5" s="9">
        <f>B5</f>
        <v>37514</v>
      </c>
      <c r="G5" s="10" t="s">
        <v>2</v>
      </c>
      <c r="I5" s="1" t="s">
        <v>34</v>
      </c>
      <c r="J5" s="11">
        <f>B32</f>
        <v>653710.44867144094</v>
      </c>
      <c r="K5" s="10" t="s">
        <v>3</v>
      </c>
    </row>
    <row r="6" spans="1:11" x14ac:dyDescent="0.25">
      <c r="A6" s="1" t="s">
        <v>27</v>
      </c>
      <c r="B6" s="9">
        <v>289000</v>
      </c>
      <c r="C6" s="10" t="s">
        <v>1</v>
      </c>
      <c r="E6" s="1" t="s">
        <v>27</v>
      </c>
      <c r="F6" s="9">
        <v>289000</v>
      </c>
      <c r="G6" s="10" t="s">
        <v>1</v>
      </c>
      <c r="I6" s="1" t="s">
        <v>35</v>
      </c>
      <c r="J6" s="11">
        <f>F32</f>
        <v>50431.320515921005</v>
      </c>
      <c r="K6" s="10" t="s">
        <v>3</v>
      </c>
    </row>
    <row r="7" spans="1:11" x14ac:dyDescent="0.25">
      <c r="A7" s="1" t="s">
        <v>28</v>
      </c>
      <c r="B7" s="11">
        <f>B6*B5</f>
        <v>10841546000</v>
      </c>
      <c r="C7" s="10" t="s">
        <v>11</v>
      </c>
      <c r="E7" s="1" t="s">
        <v>28</v>
      </c>
      <c r="F7" s="11">
        <f>F6*F5</f>
        <v>10841546000</v>
      </c>
      <c r="G7" s="10" t="s">
        <v>11</v>
      </c>
      <c r="J7" s="11"/>
      <c r="K7" s="10"/>
    </row>
    <row r="8" spans="1:11" x14ac:dyDescent="0.25">
      <c r="A8" s="12" t="s">
        <v>29</v>
      </c>
      <c r="B8" s="13">
        <f>B7/1000000</f>
        <v>10841.546</v>
      </c>
      <c r="C8" s="10" t="s">
        <v>12</v>
      </c>
      <c r="E8" s="12" t="s">
        <v>29</v>
      </c>
      <c r="F8" s="13">
        <f>F7/1000000</f>
        <v>10841.546</v>
      </c>
      <c r="G8" s="10" t="s">
        <v>12</v>
      </c>
      <c r="I8" s="12" t="s">
        <v>42</v>
      </c>
      <c r="J8" s="13">
        <f>J5-J6</f>
        <v>603279.12815551995</v>
      </c>
      <c r="K8" s="10" t="s">
        <v>3</v>
      </c>
    </row>
    <row r="9" spans="1:11" x14ac:dyDescent="0.25">
      <c r="B9" s="14"/>
      <c r="C9" s="10"/>
      <c r="E9" s="3"/>
      <c r="F9" s="14"/>
      <c r="G9" s="10"/>
      <c r="I9" s="12" t="s">
        <v>74</v>
      </c>
      <c r="J9" s="13">
        <f>J8/1000</f>
        <v>603.27912815551997</v>
      </c>
      <c r="K9" s="10" t="s">
        <v>76</v>
      </c>
    </row>
    <row r="10" spans="1:11" ht="15.75" thickBot="1" x14ac:dyDescent="0.3">
      <c r="A10" s="1" t="s">
        <v>4</v>
      </c>
      <c r="B10" s="15" t="s">
        <v>16</v>
      </c>
      <c r="C10" s="10"/>
      <c r="E10" s="1" t="s">
        <v>4</v>
      </c>
      <c r="F10" s="15" t="s">
        <v>32</v>
      </c>
      <c r="G10" s="10"/>
      <c r="I10" s="12" t="s">
        <v>36</v>
      </c>
      <c r="J10" s="20">
        <f>J8/J5</f>
        <v>0.92285373345582233</v>
      </c>
      <c r="K10" s="17"/>
    </row>
    <row r="11" spans="1:11" x14ac:dyDescent="0.25">
      <c r="A11" s="1" t="s">
        <v>8</v>
      </c>
      <c r="B11" s="11">
        <f>B8*53.06</f>
        <v>575252.43076000002</v>
      </c>
      <c r="C11" s="10" t="s">
        <v>5</v>
      </c>
      <c r="E11" s="1" t="s">
        <v>8</v>
      </c>
      <c r="F11" s="11">
        <v>0</v>
      </c>
      <c r="G11" s="10" t="s">
        <v>5</v>
      </c>
    </row>
    <row r="12" spans="1:11" x14ac:dyDescent="0.25">
      <c r="A12" s="1" t="s">
        <v>9</v>
      </c>
      <c r="B12" s="11">
        <f>B8*1</f>
        <v>10841.546</v>
      </c>
      <c r="C12" s="10" t="s">
        <v>6</v>
      </c>
      <c r="E12" s="1" t="s">
        <v>9</v>
      </c>
      <c r="F12" s="11">
        <v>0</v>
      </c>
      <c r="G12" s="10" t="s">
        <v>6</v>
      </c>
    </row>
    <row r="13" spans="1:11" x14ac:dyDescent="0.25">
      <c r="A13" s="1" t="s">
        <v>10</v>
      </c>
      <c r="B13" s="11">
        <f>B8*0.1</f>
        <v>1084.1546000000001</v>
      </c>
      <c r="C13" s="10" t="s">
        <v>7</v>
      </c>
      <c r="E13" s="1" t="s">
        <v>10</v>
      </c>
      <c r="F13" s="11">
        <v>0</v>
      </c>
      <c r="G13" s="10" t="s">
        <v>7</v>
      </c>
    </row>
    <row r="14" spans="1:11" x14ac:dyDescent="0.25">
      <c r="A14" s="12" t="s">
        <v>14</v>
      </c>
      <c r="B14" s="13">
        <f>0.88*(B11+(0.028*B12) + (0.265*B13))</f>
        <v>506742.09961495997</v>
      </c>
      <c r="C14" s="10" t="s">
        <v>3</v>
      </c>
      <c r="E14" s="12" t="s">
        <v>14</v>
      </c>
      <c r="F14" s="13">
        <f>(F11+(0.028*F12) + (0.265*F13))</f>
        <v>0</v>
      </c>
      <c r="G14" s="10" t="s">
        <v>3</v>
      </c>
    </row>
    <row r="15" spans="1:11" x14ac:dyDescent="0.25">
      <c r="A15" s="1"/>
      <c r="B15" s="14"/>
      <c r="C15" s="10"/>
      <c r="F15" s="14"/>
      <c r="G15" s="10"/>
    </row>
    <row r="16" spans="1:11" x14ac:dyDescent="0.25">
      <c r="A16" s="1" t="s">
        <v>4</v>
      </c>
      <c r="B16" s="15" t="s">
        <v>13</v>
      </c>
      <c r="C16" s="10"/>
      <c r="E16" s="1" t="s">
        <v>4</v>
      </c>
      <c r="F16" s="15" t="s">
        <v>33</v>
      </c>
      <c r="G16" s="10"/>
    </row>
    <row r="17" spans="1:7" x14ac:dyDescent="0.25">
      <c r="A17" s="1" t="s">
        <v>8</v>
      </c>
      <c r="B17" s="11">
        <f>B8*73.96</f>
        <v>801840.74215999991</v>
      </c>
      <c r="C17" s="10" t="s">
        <v>5</v>
      </c>
      <c r="E17" s="1" t="s">
        <v>8</v>
      </c>
      <c r="F17" s="11">
        <v>0</v>
      </c>
      <c r="G17" s="10" t="s">
        <v>5</v>
      </c>
    </row>
    <row r="18" spans="1:7" x14ac:dyDescent="0.25">
      <c r="A18" s="1" t="s">
        <v>9</v>
      </c>
      <c r="B18" s="11">
        <f>B8*3</f>
        <v>32524.637999999999</v>
      </c>
      <c r="C18" s="10" t="s">
        <v>6</v>
      </c>
      <c r="E18" s="1" t="s">
        <v>9</v>
      </c>
      <c r="F18" s="11">
        <v>0</v>
      </c>
      <c r="G18" s="10" t="s">
        <v>6</v>
      </c>
    </row>
    <row r="19" spans="1:7" x14ac:dyDescent="0.25">
      <c r="A19" s="1" t="s">
        <v>10</v>
      </c>
      <c r="B19" s="11">
        <f>B8*0.6</f>
        <v>6504.9276</v>
      </c>
      <c r="C19" s="10" t="s">
        <v>7</v>
      </c>
      <c r="E19" s="1" t="s">
        <v>10</v>
      </c>
      <c r="F19" s="11">
        <v>0</v>
      </c>
      <c r="G19" s="10" t="s">
        <v>7</v>
      </c>
    </row>
    <row r="20" spans="1:7" x14ac:dyDescent="0.25">
      <c r="A20" s="12" t="s">
        <v>15</v>
      </c>
      <c r="B20" s="13">
        <f>0.12*(B17+(0.028*B18) + (0.265*B19))</f>
        <v>96537.028540559972</v>
      </c>
      <c r="C20" s="10" t="s">
        <v>3</v>
      </c>
      <c r="E20" s="12" t="s">
        <v>15</v>
      </c>
      <c r="F20" s="13">
        <f>(F17+(0.028*F18) + (0.265*F19))</f>
        <v>0</v>
      </c>
      <c r="G20" s="10" t="s">
        <v>3</v>
      </c>
    </row>
    <row r="21" spans="1:7" x14ac:dyDescent="0.25">
      <c r="A21" s="1"/>
      <c r="B21" s="14"/>
      <c r="C21" s="10"/>
      <c r="F21" s="14"/>
      <c r="G21" s="10"/>
    </row>
    <row r="22" spans="1:7" x14ac:dyDescent="0.25">
      <c r="A22" s="1" t="s">
        <v>26</v>
      </c>
      <c r="B22" s="9">
        <v>11320</v>
      </c>
      <c r="C22" s="10"/>
      <c r="E22" s="1" t="s">
        <v>26</v>
      </c>
      <c r="F22" s="9">
        <v>11320</v>
      </c>
      <c r="G22" s="10"/>
    </row>
    <row r="23" spans="1:7" x14ac:dyDescent="0.25">
      <c r="A23" s="1" t="s">
        <v>30</v>
      </c>
      <c r="B23" s="11">
        <f>B22*B5</f>
        <v>424658480</v>
      </c>
      <c r="C23" s="10" t="s">
        <v>11</v>
      </c>
      <c r="E23" s="1" t="s">
        <v>30</v>
      </c>
      <c r="F23" s="11">
        <f>F22*F5</f>
        <v>424658480</v>
      </c>
      <c r="G23" s="10" t="s">
        <v>11</v>
      </c>
    </row>
    <row r="24" spans="1:7" x14ac:dyDescent="0.25">
      <c r="A24" s="12" t="s">
        <v>31</v>
      </c>
      <c r="B24" s="13">
        <f>B23/1000000</f>
        <v>424.65848</v>
      </c>
      <c r="C24" s="10" t="s">
        <v>12</v>
      </c>
      <c r="E24" s="12" t="s">
        <v>31</v>
      </c>
      <c r="F24" s="13">
        <f>F23/1000000</f>
        <v>424.65848</v>
      </c>
      <c r="G24" s="10" t="s">
        <v>12</v>
      </c>
    </row>
    <row r="25" spans="1:7" x14ac:dyDescent="0.25">
      <c r="A25" s="1"/>
      <c r="B25" s="11"/>
      <c r="C25" s="10"/>
      <c r="F25" s="11"/>
      <c r="G25" s="10"/>
    </row>
    <row r="26" spans="1:7" x14ac:dyDescent="0.25">
      <c r="A26" s="1" t="s">
        <v>19</v>
      </c>
      <c r="B26" s="14" t="s">
        <v>18</v>
      </c>
      <c r="C26" s="10"/>
      <c r="E26" s="1" t="s">
        <v>19</v>
      </c>
      <c r="F26" s="14" t="s">
        <v>18</v>
      </c>
      <c r="G26" s="10"/>
    </row>
    <row r="27" spans="1:7" x14ac:dyDescent="0.25">
      <c r="A27" s="1" t="s">
        <v>8</v>
      </c>
      <c r="B27" s="11">
        <f>B24*(1/3.412)*893.3*(1/2.2046)</f>
        <v>50431.084704165929</v>
      </c>
      <c r="C27" s="10" t="s">
        <v>5</v>
      </c>
      <c r="E27" s="1" t="s">
        <v>8</v>
      </c>
      <c r="F27" s="11">
        <f>F24*(1/3.412)*893.3*(1/2.2046)</f>
        <v>50431.084704165929</v>
      </c>
      <c r="G27" s="10" t="s">
        <v>5</v>
      </c>
    </row>
    <row r="28" spans="1:7" x14ac:dyDescent="0.25">
      <c r="A28" s="1" t="s">
        <v>9</v>
      </c>
      <c r="B28" s="11">
        <f>B24*(1/3.412)*0.064*(1/2.2046)</f>
        <v>3.6131080500018133</v>
      </c>
      <c r="C28" s="10" t="s">
        <v>6</v>
      </c>
      <c r="E28" s="1" t="s">
        <v>9</v>
      </c>
      <c r="F28" s="11">
        <f>F24*(1/3.412)*0.064*(1/2.2046)</f>
        <v>3.6131080500018133</v>
      </c>
      <c r="G28" s="10" t="s">
        <v>6</v>
      </c>
    </row>
    <row r="29" spans="1:7" x14ac:dyDescent="0.25">
      <c r="A29" s="1" t="s">
        <v>10</v>
      </c>
      <c r="B29" s="11">
        <f>B24*(1/3.412)*0.009*(1/2.2046)</f>
        <v>0.50809331953150494</v>
      </c>
      <c r="C29" s="10" t="s">
        <v>7</v>
      </c>
      <c r="E29" s="1" t="s">
        <v>10</v>
      </c>
      <c r="F29" s="11">
        <f>F24*(1/3.412)*0.009*(1/2.2046)</f>
        <v>0.50809331953150494</v>
      </c>
      <c r="G29" s="10" t="s">
        <v>7</v>
      </c>
    </row>
    <row r="30" spans="1:7" x14ac:dyDescent="0.25">
      <c r="A30" s="12" t="s">
        <v>20</v>
      </c>
      <c r="B30" s="13">
        <f>B27+(0.028*B28) + (0.265*B29)</f>
        <v>50431.320515921005</v>
      </c>
      <c r="C30" s="10" t="s">
        <v>3</v>
      </c>
      <c r="E30" s="12" t="s">
        <v>20</v>
      </c>
      <c r="F30" s="13">
        <f>F27+(0.028*F28) + (0.265*F29)</f>
        <v>50431.320515921005</v>
      </c>
      <c r="G30" s="10" t="s">
        <v>3</v>
      </c>
    </row>
    <row r="31" spans="1:7" x14ac:dyDescent="0.25">
      <c r="B31" s="14"/>
      <c r="C31" s="10"/>
      <c r="E31" s="3"/>
      <c r="F31" s="14"/>
      <c r="G31" s="10"/>
    </row>
    <row r="32" spans="1:7" x14ac:dyDescent="0.25">
      <c r="A32" s="12" t="s">
        <v>17</v>
      </c>
      <c r="B32" s="13">
        <f>B14+B20+B30</f>
        <v>653710.44867144094</v>
      </c>
      <c r="C32" s="10" t="s">
        <v>3</v>
      </c>
      <c r="E32" s="12" t="s">
        <v>17</v>
      </c>
      <c r="F32" s="13">
        <f>F14+F20+F30</f>
        <v>50431.320515921005</v>
      </c>
      <c r="G32" s="10" t="s">
        <v>3</v>
      </c>
    </row>
    <row r="33" spans="1:7" ht="15.75" thickBot="1" x14ac:dyDescent="0.3">
      <c r="A33" s="12" t="s">
        <v>74</v>
      </c>
      <c r="B33" s="16">
        <f>B32/1000</f>
        <v>653.71044867144099</v>
      </c>
      <c r="C33" s="50" t="s">
        <v>76</v>
      </c>
      <c r="E33" s="12" t="s">
        <v>74</v>
      </c>
      <c r="F33" s="16">
        <f>F32/1000</f>
        <v>50.431320515921001</v>
      </c>
      <c r="G33" s="50" t="s">
        <v>76</v>
      </c>
    </row>
    <row r="37" spans="1:7" x14ac:dyDescent="0.25">
      <c r="A37" s="2"/>
    </row>
    <row r="38" spans="1:7" x14ac:dyDescent="0.25">
      <c r="A3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780AD-07E6-4C4D-AF93-A6DA232E191B}">
  <dimension ref="A1:L46"/>
  <sheetViews>
    <sheetView showGridLines="0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34.5703125" style="3" customWidth="1"/>
    <col min="2" max="2" width="27.28515625" style="1" customWidth="1"/>
    <col min="3" max="3" width="16.85546875" style="1" bestFit="1" customWidth="1"/>
    <col min="4" max="4" width="16.140625" style="1" customWidth="1"/>
    <col min="5" max="5" width="32" style="1" bestFit="1" customWidth="1"/>
    <col min="6" max="6" width="21.7109375" style="1" bestFit="1" customWidth="1"/>
    <col min="7" max="7" width="19.140625" style="1" customWidth="1"/>
    <col min="8" max="8" width="10.28515625" style="1" customWidth="1"/>
    <col min="9" max="9" width="35.28515625" style="1" customWidth="1"/>
    <col min="10" max="12" width="9.140625" style="1" customWidth="1"/>
    <col min="13" max="16384" width="9.140625" style="1"/>
  </cols>
  <sheetData>
    <row r="1" spans="1:9" x14ac:dyDescent="0.25">
      <c r="A1" s="4" t="s">
        <v>57</v>
      </c>
    </row>
    <row r="3" spans="1:9" x14ac:dyDescent="0.25">
      <c r="A3" s="1"/>
      <c r="E3" s="25" t="s">
        <v>56</v>
      </c>
    </row>
    <row r="4" spans="1:9" ht="15.75" thickBot="1" x14ac:dyDescent="0.3">
      <c r="A4" s="6" t="s">
        <v>22</v>
      </c>
      <c r="E4" s="6" t="s">
        <v>58</v>
      </c>
    </row>
    <row r="5" spans="1:9" x14ac:dyDescent="0.25">
      <c r="A5" s="1"/>
      <c r="B5" s="26" t="s">
        <v>23</v>
      </c>
      <c r="C5" s="27" t="s">
        <v>0</v>
      </c>
      <c r="E5" s="3"/>
      <c r="F5" s="26" t="s">
        <v>55</v>
      </c>
      <c r="G5" s="27" t="s">
        <v>0</v>
      </c>
    </row>
    <row r="6" spans="1:9" x14ac:dyDescent="0.25">
      <c r="A6" s="1" t="s">
        <v>25</v>
      </c>
      <c r="B6" s="9">
        <v>62524</v>
      </c>
      <c r="C6" s="10" t="s">
        <v>2</v>
      </c>
      <c r="D6" s="19"/>
      <c r="E6" s="1" t="s">
        <v>25</v>
      </c>
      <c r="F6" s="28">
        <f>B6</f>
        <v>62524</v>
      </c>
      <c r="G6" s="10" t="s">
        <v>2</v>
      </c>
    </row>
    <row r="7" spans="1:9" x14ac:dyDescent="0.25">
      <c r="A7" s="1" t="s">
        <v>27</v>
      </c>
      <c r="B7" s="9">
        <v>289000</v>
      </c>
      <c r="C7" s="10" t="s">
        <v>1</v>
      </c>
      <c r="D7" s="19"/>
      <c r="E7" s="1" t="s">
        <v>54</v>
      </c>
      <c r="F7" s="9">
        <v>289000</v>
      </c>
      <c r="G7" s="10" t="s">
        <v>1</v>
      </c>
      <c r="H7" s="3"/>
      <c r="I7" s="3"/>
    </row>
    <row r="8" spans="1:9" x14ac:dyDescent="0.25">
      <c r="A8" s="1" t="s">
        <v>28</v>
      </c>
      <c r="B8" s="11">
        <f>B7*B6</f>
        <v>18069436000</v>
      </c>
      <c r="C8" s="10" t="s">
        <v>11</v>
      </c>
      <c r="D8" s="19"/>
      <c r="E8" s="1" t="s">
        <v>53</v>
      </c>
      <c r="F8" s="29">
        <v>340</v>
      </c>
      <c r="G8" s="10" t="s">
        <v>50</v>
      </c>
      <c r="H8" s="21"/>
      <c r="I8" s="21"/>
    </row>
    <row r="9" spans="1:9" x14ac:dyDescent="0.25">
      <c r="A9" s="12" t="s">
        <v>29</v>
      </c>
      <c r="B9" s="13">
        <f>B8/1000000</f>
        <v>18069.436000000002</v>
      </c>
      <c r="C9" s="10" t="s">
        <v>12</v>
      </c>
      <c r="D9" s="19"/>
      <c r="E9" s="1" t="s">
        <v>3</v>
      </c>
      <c r="F9" s="9">
        <f>B33</f>
        <v>1089529.031634408</v>
      </c>
      <c r="G9" s="10" t="s">
        <v>3</v>
      </c>
      <c r="H9" s="22"/>
    </row>
    <row r="10" spans="1:9" x14ac:dyDescent="0.25">
      <c r="B10" s="14"/>
      <c r="C10" s="10"/>
      <c r="D10" s="19"/>
      <c r="F10" s="14"/>
      <c r="G10" s="10"/>
      <c r="H10" s="23"/>
    </row>
    <row r="11" spans="1:9" x14ac:dyDescent="0.25">
      <c r="A11" s="1" t="s">
        <v>4</v>
      </c>
      <c r="B11" s="15" t="s">
        <v>16</v>
      </c>
      <c r="C11" s="10"/>
      <c r="D11" s="19"/>
      <c r="E11" s="1" t="s">
        <v>52</v>
      </c>
      <c r="F11" s="29">
        <v>260</v>
      </c>
      <c r="G11" s="10" t="s">
        <v>50</v>
      </c>
    </row>
    <row r="12" spans="1:9" x14ac:dyDescent="0.25">
      <c r="A12" s="1" t="s">
        <v>8</v>
      </c>
      <c r="B12" s="11">
        <f>B9*53.06</f>
        <v>958764.27416000015</v>
      </c>
      <c r="C12" s="10" t="s">
        <v>5</v>
      </c>
      <c r="D12" s="19"/>
      <c r="E12" s="12" t="s">
        <v>51</v>
      </c>
      <c r="F12" s="30">
        <f>F8-F11</f>
        <v>80</v>
      </c>
      <c r="G12" s="10" t="s">
        <v>50</v>
      </c>
    </row>
    <row r="13" spans="1:9" x14ac:dyDescent="0.25">
      <c r="A13" s="1" t="s">
        <v>9</v>
      </c>
      <c r="B13" s="11">
        <f>B9*1</f>
        <v>18069.436000000002</v>
      </c>
      <c r="C13" s="10" t="s">
        <v>6</v>
      </c>
      <c r="D13" s="19"/>
      <c r="E13" s="1" t="s">
        <v>49</v>
      </c>
      <c r="F13" s="31">
        <f>(F11-F8)/F8</f>
        <v>-0.23529411764705882</v>
      </c>
      <c r="G13" s="10"/>
    </row>
    <row r="14" spans="1:9" x14ac:dyDescent="0.25">
      <c r="A14" s="1" t="s">
        <v>10</v>
      </c>
      <c r="B14" s="11">
        <f>B9*0.1</f>
        <v>1806.9436000000003</v>
      </c>
      <c r="C14" s="10" t="s">
        <v>7</v>
      </c>
      <c r="D14" s="19"/>
      <c r="F14" s="14"/>
      <c r="G14" s="10"/>
    </row>
    <row r="15" spans="1:9" x14ac:dyDescent="0.25">
      <c r="A15" s="12" t="s">
        <v>14</v>
      </c>
      <c r="B15" s="13">
        <f>0.88*(B12+(0.028*B13) + (0.265*B14))</f>
        <v>844579.17141136015</v>
      </c>
      <c r="C15" s="10" t="s">
        <v>3</v>
      </c>
      <c r="D15" s="19"/>
      <c r="E15" s="1" t="s">
        <v>48</v>
      </c>
      <c r="F15" s="11">
        <v>1100</v>
      </c>
      <c r="G15" s="10" t="s">
        <v>47</v>
      </c>
    </row>
    <row r="16" spans="1:9" x14ac:dyDescent="0.25">
      <c r="A16" s="1"/>
      <c r="B16" s="14"/>
      <c r="C16" s="10"/>
      <c r="D16" s="19"/>
      <c r="E16" s="1" t="s">
        <v>46</v>
      </c>
      <c r="F16" s="11">
        <f>F12*F15</f>
        <v>88000</v>
      </c>
      <c r="G16" s="10" t="s">
        <v>1</v>
      </c>
    </row>
    <row r="17" spans="1:7" x14ac:dyDescent="0.25">
      <c r="A17" s="1" t="s">
        <v>4</v>
      </c>
      <c r="B17" s="15" t="s">
        <v>13</v>
      </c>
      <c r="C17" s="10"/>
      <c r="D17" s="19"/>
      <c r="E17" s="1" t="s">
        <v>45</v>
      </c>
      <c r="F17" s="31">
        <f>F16/F7</f>
        <v>0.30449826989619377</v>
      </c>
      <c r="G17" s="10" t="s">
        <v>1</v>
      </c>
    </row>
    <row r="18" spans="1:7" x14ac:dyDescent="0.25">
      <c r="A18" s="1" t="s">
        <v>8</v>
      </c>
      <c r="B18" s="11">
        <f>B9*73.96</f>
        <v>1336415.4865600001</v>
      </c>
      <c r="C18" s="10" t="s">
        <v>5</v>
      </c>
      <c r="D18" s="19"/>
      <c r="E18" s="1" t="s">
        <v>44</v>
      </c>
      <c r="F18" s="11">
        <f>F16*F6</f>
        <v>5502112000</v>
      </c>
      <c r="G18" s="10" t="s">
        <v>11</v>
      </c>
    </row>
    <row r="19" spans="1:7" x14ac:dyDescent="0.25">
      <c r="A19" s="1" t="s">
        <v>9</v>
      </c>
      <c r="B19" s="11">
        <f>B9*3</f>
        <v>54208.308000000005</v>
      </c>
      <c r="C19" s="10" t="s">
        <v>6</v>
      </c>
      <c r="D19" s="19"/>
      <c r="E19" s="12" t="s">
        <v>43</v>
      </c>
      <c r="F19" s="13">
        <f>F18/1000000</f>
        <v>5502.1120000000001</v>
      </c>
      <c r="G19" s="10" t="s">
        <v>12</v>
      </c>
    </row>
    <row r="20" spans="1:7" x14ac:dyDescent="0.25">
      <c r="A20" s="1" t="s">
        <v>10</v>
      </c>
      <c r="B20" s="11">
        <f>B9*0.6</f>
        <v>10841.661600000001</v>
      </c>
      <c r="C20" s="10" t="s">
        <v>7</v>
      </c>
      <c r="D20" s="19"/>
      <c r="E20" s="3"/>
      <c r="F20" s="14"/>
      <c r="G20" s="10"/>
    </row>
    <row r="21" spans="1:7" x14ac:dyDescent="0.25">
      <c r="A21" s="12" t="s">
        <v>15</v>
      </c>
      <c r="B21" s="13">
        <f>0.12*(B18+(0.028*B19) + (0.265*B20))</f>
        <v>160896.76314096001</v>
      </c>
      <c r="C21" s="10" t="s">
        <v>3</v>
      </c>
      <c r="D21" s="19"/>
      <c r="E21" s="1" t="s">
        <v>4</v>
      </c>
      <c r="F21" s="15" t="s">
        <v>16</v>
      </c>
      <c r="G21" s="10"/>
    </row>
    <row r="22" spans="1:7" x14ac:dyDescent="0.25">
      <c r="A22" s="1"/>
      <c r="B22" s="14"/>
      <c r="C22" s="10"/>
      <c r="D22" s="19"/>
      <c r="E22" s="1" t="s">
        <v>8</v>
      </c>
      <c r="F22" s="11">
        <f>F19*53.06</f>
        <v>291942.06272000005</v>
      </c>
      <c r="G22" s="10" t="s">
        <v>5</v>
      </c>
    </row>
    <row r="23" spans="1:7" x14ac:dyDescent="0.25">
      <c r="A23" s="1" t="s">
        <v>26</v>
      </c>
      <c r="B23" s="9">
        <v>11320</v>
      </c>
      <c r="C23" s="10"/>
      <c r="D23" s="19"/>
      <c r="E23" s="1" t="s">
        <v>9</v>
      </c>
      <c r="F23" s="11">
        <f>F19*1</f>
        <v>5502.1120000000001</v>
      </c>
      <c r="G23" s="10" t="s">
        <v>6</v>
      </c>
    </row>
    <row r="24" spans="1:7" x14ac:dyDescent="0.25">
      <c r="A24" s="1" t="s">
        <v>30</v>
      </c>
      <c r="B24" s="11">
        <f>B23*B6</f>
        <v>707771680</v>
      </c>
      <c r="C24" s="10" t="s">
        <v>11</v>
      </c>
      <c r="D24" s="19"/>
      <c r="E24" s="1" t="s">
        <v>10</v>
      </c>
      <c r="F24" s="11">
        <f>F19*0.1</f>
        <v>550.21120000000008</v>
      </c>
      <c r="G24" s="10" t="s">
        <v>7</v>
      </c>
    </row>
    <row r="25" spans="1:7" x14ac:dyDescent="0.25">
      <c r="A25" s="12" t="s">
        <v>31</v>
      </c>
      <c r="B25" s="13">
        <f>B24/1000000</f>
        <v>707.77167999999995</v>
      </c>
      <c r="C25" s="10" t="s">
        <v>12</v>
      </c>
      <c r="D25" s="19"/>
      <c r="E25" s="12" t="s">
        <v>14</v>
      </c>
      <c r="F25" s="13">
        <f>0.88*(F22+(0.028*F23) + (0.265*F24))</f>
        <v>257172.89648512</v>
      </c>
      <c r="G25" s="10" t="s">
        <v>3</v>
      </c>
    </row>
    <row r="26" spans="1:7" x14ac:dyDescent="0.25">
      <c r="A26" s="1"/>
      <c r="B26" s="11"/>
      <c r="C26" s="10"/>
      <c r="D26" s="19"/>
      <c r="F26" s="14"/>
      <c r="G26" s="10"/>
    </row>
    <row r="27" spans="1:7" x14ac:dyDescent="0.25">
      <c r="A27" s="1" t="s">
        <v>19</v>
      </c>
      <c r="B27" s="14" t="s">
        <v>18</v>
      </c>
      <c r="C27" s="10"/>
      <c r="D27" s="19"/>
      <c r="E27" s="1" t="s">
        <v>4</v>
      </c>
      <c r="F27" s="15" t="s">
        <v>13</v>
      </c>
      <c r="G27" s="10"/>
    </row>
    <row r="28" spans="1:7" x14ac:dyDescent="0.25">
      <c r="A28" s="1" t="s">
        <v>8</v>
      </c>
      <c r="B28" s="11">
        <f>B25*(1/3.412)*893.3*(1/2.2046)</f>
        <v>84052.704058305448</v>
      </c>
      <c r="C28" s="10" t="s">
        <v>5</v>
      </c>
      <c r="D28" s="19"/>
      <c r="E28" s="1" t="s">
        <v>8</v>
      </c>
      <c r="F28" s="11">
        <f>$F$19*73.96</f>
        <v>406936.20351999998</v>
      </c>
      <c r="G28" s="10" t="s">
        <v>5</v>
      </c>
    </row>
    <row r="29" spans="1:7" x14ac:dyDescent="0.25">
      <c r="A29" s="1" t="s">
        <v>9</v>
      </c>
      <c r="B29" s="11">
        <f>B25*(1/3.412)*0.064*(1/2.2046)</f>
        <v>6.0219109590636393</v>
      </c>
      <c r="C29" s="10" t="s">
        <v>6</v>
      </c>
      <c r="D29" s="19"/>
      <c r="E29" s="1" t="s">
        <v>9</v>
      </c>
      <c r="F29" s="11">
        <f>$F$19*3</f>
        <v>16506.335999999999</v>
      </c>
      <c r="G29" s="10" t="s">
        <v>6</v>
      </c>
    </row>
    <row r="30" spans="1:7" x14ac:dyDescent="0.25">
      <c r="A30" s="1" t="s">
        <v>10</v>
      </c>
      <c r="B30" s="11">
        <f>B25*(1/3.412)*0.009*(1/2.2046)</f>
        <v>0.84683122861832416</v>
      </c>
      <c r="C30" s="10" t="s">
        <v>7</v>
      </c>
      <c r="D30" s="19"/>
      <c r="E30" s="1" t="s">
        <v>10</v>
      </c>
      <c r="F30" s="11">
        <f>$F$19*0.6</f>
        <v>3301.2671999999998</v>
      </c>
      <c r="G30" s="10" t="s">
        <v>7</v>
      </c>
    </row>
    <row r="31" spans="1:7" x14ac:dyDescent="0.25">
      <c r="A31" s="12" t="s">
        <v>20</v>
      </c>
      <c r="B31" s="13">
        <f>B28+(0.028*B29) + (0.265*B30)</f>
        <v>84053.097082087887</v>
      </c>
      <c r="C31" s="10" t="s">
        <v>3</v>
      </c>
      <c r="D31" s="19"/>
      <c r="E31" s="12" t="s">
        <v>15</v>
      </c>
      <c r="F31" s="13">
        <f>0.12*(F28+(0.028*F29) + (0.265*F30))</f>
        <v>48992.786008319992</v>
      </c>
      <c r="G31" s="10" t="s">
        <v>3</v>
      </c>
    </row>
    <row r="32" spans="1:7" x14ac:dyDescent="0.25">
      <c r="B32" s="14"/>
      <c r="C32" s="10"/>
      <c r="D32" s="19"/>
      <c r="F32" s="11"/>
      <c r="G32" s="10"/>
    </row>
    <row r="33" spans="1:12" x14ac:dyDescent="0.25">
      <c r="A33" s="12" t="s">
        <v>17</v>
      </c>
      <c r="B33" s="13">
        <f>B15+B21+B31</f>
        <v>1089529.031634408</v>
      </c>
      <c r="C33" s="10" t="s">
        <v>3</v>
      </c>
      <c r="D33" s="19"/>
      <c r="E33" s="1" t="s">
        <v>26</v>
      </c>
      <c r="F33" s="11">
        <v>11320</v>
      </c>
      <c r="G33" s="10"/>
    </row>
    <row r="34" spans="1:12" ht="15.75" thickBot="1" x14ac:dyDescent="0.3">
      <c r="A34" s="12" t="s">
        <v>74</v>
      </c>
      <c r="B34" s="16">
        <f>B33/1000</f>
        <v>1089.5290316344081</v>
      </c>
      <c r="C34" s="50" t="s">
        <v>75</v>
      </c>
      <c r="E34" s="1" t="s">
        <v>11</v>
      </c>
      <c r="F34" s="11">
        <f>F33*F6</f>
        <v>707771680</v>
      </c>
      <c r="G34" s="10" t="s">
        <v>11</v>
      </c>
    </row>
    <row r="35" spans="1:12" x14ac:dyDescent="0.25">
      <c r="A35" s="1"/>
      <c r="E35" s="1" t="s">
        <v>12</v>
      </c>
      <c r="F35" s="11">
        <f>F34/1000000</f>
        <v>707.77167999999995</v>
      </c>
      <c r="G35" s="10" t="s">
        <v>12</v>
      </c>
    </row>
    <row r="36" spans="1:12" x14ac:dyDescent="0.25">
      <c r="A36" s="1"/>
      <c r="F36" s="11"/>
      <c r="G36" s="10"/>
    </row>
    <row r="37" spans="1:12" x14ac:dyDescent="0.25">
      <c r="A37" s="1"/>
      <c r="E37" s="1" t="s">
        <v>19</v>
      </c>
      <c r="F37" s="15" t="s">
        <v>18</v>
      </c>
      <c r="G37" s="10"/>
    </row>
    <row r="38" spans="1:12" x14ac:dyDescent="0.25">
      <c r="A38" s="1"/>
      <c r="E38" s="1" t="s">
        <v>8</v>
      </c>
      <c r="F38" s="11">
        <f>F35*(1/3.412)*893.3*(1/2.2046)</f>
        <v>84052.704058305448</v>
      </c>
      <c r="G38" s="10" t="s">
        <v>5</v>
      </c>
    </row>
    <row r="39" spans="1:12" x14ac:dyDescent="0.25">
      <c r="A39" s="1"/>
      <c r="E39" s="1" t="s">
        <v>9</v>
      </c>
      <c r="F39" s="11">
        <f>F35*(1/3.412)*0.064*(1/2.2046)</f>
        <v>6.0219109590636393</v>
      </c>
      <c r="G39" s="10" t="s">
        <v>6</v>
      </c>
    </row>
    <row r="40" spans="1:12" x14ac:dyDescent="0.25">
      <c r="A40" s="1"/>
      <c r="E40" s="1" t="s">
        <v>10</v>
      </c>
      <c r="F40" s="11">
        <f>F35*(1/3.412)*0.009*(1/2.2046)</f>
        <v>0.84683122861832416</v>
      </c>
      <c r="G40" s="10" t="s">
        <v>7</v>
      </c>
    </row>
    <row r="41" spans="1:12" x14ac:dyDescent="0.25">
      <c r="A41" s="1"/>
      <c r="E41" s="12" t="s">
        <v>20</v>
      </c>
      <c r="F41" s="13">
        <f>F38 + (0.028*F39) + (0.265*F40)</f>
        <v>84053.097082087887</v>
      </c>
      <c r="G41" s="10" t="s">
        <v>3</v>
      </c>
    </row>
    <row r="42" spans="1:12" x14ac:dyDescent="0.25">
      <c r="A42" s="1"/>
      <c r="F42" s="14"/>
      <c r="G42" s="10"/>
      <c r="L42" s="24"/>
    </row>
    <row r="43" spans="1:12" x14ac:dyDescent="0.25">
      <c r="A43" s="1"/>
      <c r="E43" s="12" t="s">
        <v>42</v>
      </c>
      <c r="F43" s="13">
        <f>F25+F31</f>
        <v>306165.68249343999</v>
      </c>
      <c r="G43" s="10" t="s">
        <v>3</v>
      </c>
      <c r="L43" s="24"/>
    </row>
    <row r="44" spans="1:12" x14ac:dyDescent="0.25">
      <c r="A44" s="1"/>
      <c r="E44" s="12" t="s">
        <v>74</v>
      </c>
      <c r="F44" s="13">
        <f>F43/1000</f>
        <v>306.16568249343999</v>
      </c>
      <c r="G44" s="51" t="s">
        <v>75</v>
      </c>
    </row>
    <row r="45" spans="1:12" x14ac:dyDescent="0.25">
      <c r="E45" s="12" t="s">
        <v>41</v>
      </c>
      <c r="F45" s="32">
        <f>F43/F9</f>
        <v>0.281007365204541</v>
      </c>
      <c r="G45" s="10"/>
    </row>
    <row r="46" spans="1:12" ht="15.75" thickBot="1" x14ac:dyDescent="0.3">
      <c r="E46" s="12" t="s">
        <v>40</v>
      </c>
      <c r="F46" s="33">
        <f>F43/F6</f>
        <v>4.8967705600000002</v>
      </c>
      <c r="G46" s="17" t="s">
        <v>39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935FF-E65F-48F8-9175-3EF50CAB5166}">
  <dimension ref="A1:L134"/>
  <sheetViews>
    <sheetView showGridLines="0" zoomScaleNormal="100" workbookViewId="0">
      <pane ySplit="6" topLeftCell="A47" activePane="bottomLeft" state="frozen"/>
      <selection pane="bottomLeft"/>
    </sheetView>
  </sheetViews>
  <sheetFormatPr defaultRowHeight="15" x14ac:dyDescent="0.25"/>
  <cols>
    <col min="1" max="1" width="34.5703125" style="3" customWidth="1"/>
    <col min="2" max="2" width="27.28515625" style="1" customWidth="1"/>
    <col min="3" max="4" width="16.140625" style="1" customWidth="1"/>
    <col min="5" max="5" width="32" style="1" bestFit="1" customWidth="1"/>
    <col min="6" max="6" width="21.7109375" style="1" bestFit="1" customWidth="1"/>
    <col min="7" max="7" width="20.5703125" style="1" customWidth="1"/>
    <col min="8" max="8" width="10.28515625" style="1" customWidth="1"/>
    <col min="9" max="9" width="35.28515625" style="1" customWidth="1"/>
    <col min="10" max="12" width="9.140625" style="1" customWidth="1"/>
    <col min="13" max="16384" width="9.140625" style="1"/>
  </cols>
  <sheetData>
    <row r="1" spans="1:9" x14ac:dyDescent="0.25">
      <c r="A1" s="4" t="s">
        <v>57</v>
      </c>
    </row>
    <row r="2" spans="1:9" x14ac:dyDescent="0.25">
      <c r="A2" s="5" t="s">
        <v>21</v>
      </c>
    </row>
    <row r="4" spans="1:9" x14ac:dyDescent="0.25">
      <c r="A4" s="40" t="s">
        <v>104</v>
      </c>
      <c r="E4" s="25" t="s">
        <v>56</v>
      </c>
    </row>
    <row r="5" spans="1:9" ht="15.75" thickBot="1" x14ac:dyDescent="0.3">
      <c r="A5" s="6" t="s">
        <v>22</v>
      </c>
      <c r="E5" s="6" t="s">
        <v>58</v>
      </c>
    </row>
    <row r="6" spans="1:9" x14ac:dyDescent="0.25">
      <c r="A6" s="1"/>
      <c r="B6" s="7" t="s">
        <v>23</v>
      </c>
      <c r="C6" s="8" t="s">
        <v>0</v>
      </c>
      <c r="E6" s="3"/>
      <c r="F6" s="26" t="s">
        <v>55</v>
      </c>
      <c r="G6" s="27" t="s">
        <v>0</v>
      </c>
    </row>
    <row r="7" spans="1:9" x14ac:dyDescent="0.25">
      <c r="A7" s="1" t="s">
        <v>25</v>
      </c>
      <c r="B7" s="9">
        <f>0.35*4400000</f>
        <v>1540000</v>
      </c>
      <c r="C7" s="10" t="s">
        <v>2</v>
      </c>
      <c r="D7" s="19"/>
      <c r="E7" s="1" t="s">
        <v>25</v>
      </c>
      <c r="F7" s="28">
        <f>B7</f>
        <v>1540000</v>
      </c>
      <c r="G7" s="10" t="s">
        <v>2</v>
      </c>
    </row>
    <row r="8" spans="1:9" x14ac:dyDescent="0.25">
      <c r="A8" s="1" t="s">
        <v>27</v>
      </c>
      <c r="B8" s="9">
        <v>289000</v>
      </c>
      <c r="C8" s="10" t="s">
        <v>1</v>
      </c>
      <c r="D8" s="19"/>
      <c r="E8" s="1" t="s">
        <v>54</v>
      </c>
      <c r="F8" s="9">
        <v>289000</v>
      </c>
      <c r="G8" s="10" t="s">
        <v>1</v>
      </c>
      <c r="H8" s="3"/>
      <c r="I8" s="3"/>
    </row>
    <row r="9" spans="1:9" x14ac:dyDescent="0.25">
      <c r="A9" s="1" t="s">
        <v>28</v>
      </c>
      <c r="B9" s="11">
        <f>B8*B7</f>
        <v>445060000000</v>
      </c>
      <c r="C9" s="10" t="s">
        <v>11</v>
      </c>
      <c r="D9" s="19"/>
      <c r="E9" s="1" t="s">
        <v>53</v>
      </c>
      <c r="F9" s="29">
        <v>340</v>
      </c>
      <c r="G9" s="10" t="s">
        <v>50</v>
      </c>
      <c r="H9" s="21"/>
      <c r="I9" s="21"/>
    </row>
    <row r="10" spans="1:9" x14ac:dyDescent="0.25">
      <c r="A10" s="12" t="s">
        <v>29</v>
      </c>
      <c r="B10" s="13">
        <f>B9/1000000</f>
        <v>445060</v>
      </c>
      <c r="C10" s="10" t="s">
        <v>12</v>
      </c>
      <c r="D10" s="19"/>
      <c r="E10" s="1" t="s">
        <v>3</v>
      </c>
      <c r="F10" s="9">
        <v>1089530.0803347388</v>
      </c>
      <c r="G10" s="10" t="s">
        <v>3</v>
      </c>
      <c r="H10" s="22"/>
    </row>
    <row r="11" spans="1:9" x14ac:dyDescent="0.25">
      <c r="B11" s="14"/>
      <c r="C11" s="10"/>
      <c r="D11" s="19"/>
      <c r="F11" s="14"/>
      <c r="G11" s="10"/>
      <c r="H11" s="23"/>
    </row>
    <row r="12" spans="1:9" x14ac:dyDescent="0.25">
      <c r="A12" s="1" t="s">
        <v>4</v>
      </c>
      <c r="B12" s="15" t="s">
        <v>16</v>
      </c>
      <c r="C12" s="10"/>
      <c r="D12" s="19"/>
      <c r="E12" s="1" t="s">
        <v>52</v>
      </c>
      <c r="F12" s="29">
        <v>260</v>
      </c>
      <c r="G12" s="10" t="s">
        <v>50</v>
      </c>
    </row>
    <row r="13" spans="1:9" x14ac:dyDescent="0.25">
      <c r="A13" s="1" t="s">
        <v>8</v>
      </c>
      <c r="B13" s="11">
        <f>B10*53.06</f>
        <v>23614883.600000001</v>
      </c>
      <c r="C13" s="10" t="s">
        <v>5</v>
      </c>
      <c r="D13" s="19"/>
      <c r="E13" s="12" t="s">
        <v>51</v>
      </c>
      <c r="F13" s="30">
        <f>F9-F12</f>
        <v>80</v>
      </c>
      <c r="G13" s="10" t="s">
        <v>50</v>
      </c>
    </row>
    <row r="14" spans="1:9" x14ac:dyDescent="0.25">
      <c r="A14" s="1" t="s">
        <v>9</v>
      </c>
      <c r="B14" s="11">
        <f>B10*1</f>
        <v>445060</v>
      </c>
      <c r="C14" s="10" t="s">
        <v>6</v>
      </c>
      <c r="D14" s="19"/>
      <c r="E14" s="1" t="s">
        <v>49</v>
      </c>
      <c r="F14" s="31">
        <f>(F12-F9)/F9</f>
        <v>-0.23529411764705882</v>
      </c>
      <c r="G14" s="10"/>
    </row>
    <row r="15" spans="1:9" x14ac:dyDescent="0.25">
      <c r="A15" s="1" t="s">
        <v>10</v>
      </c>
      <c r="B15" s="11">
        <f>B10*0.1</f>
        <v>44506</v>
      </c>
      <c r="C15" s="10" t="s">
        <v>7</v>
      </c>
      <c r="D15" s="19"/>
      <c r="F15" s="14"/>
      <c r="G15" s="10"/>
    </row>
    <row r="16" spans="1:9" x14ac:dyDescent="0.25">
      <c r="A16" s="12" t="s">
        <v>14</v>
      </c>
      <c r="B16" s="13">
        <f>0.88*(B13+(0.025*B14) + (0.298*B15))</f>
        <v>20802560.14144</v>
      </c>
      <c r="C16" s="10" t="s">
        <v>3</v>
      </c>
      <c r="D16" s="19"/>
      <c r="E16" s="1" t="s">
        <v>48</v>
      </c>
      <c r="F16" s="11">
        <v>1100</v>
      </c>
      <c r="G16" s="10" t="s">
        <v>47</v>
      </c>
    </row>
    <row r="17" spans="1:7" x14ac:dyDescent="0.25">
      <c r="A17" s="1"/>
      <c r="B17" s="14"/>
      <c r="C17" s="10"/>
      <c r="D17" s="19"/>
      <c r="E17" s="1" t="s">
        <v>46</v>
      </c>
      <c r="F17" s="11">
        <f>F13*F16</f>
        <v>88000</v>
      </c>
      <c r="G17" s="10" t="s">
        <v>1</v>
      </c>
    </row>
    <row r="18" spans="1:7" x14ac:dyDescent="0.25">
      <c r="A18" s="1" t="s">
        <v>4</v>
      </c>
      <c r="B18" s="15" t="s">
        <v>13</v>
      </c>
      <c r="C18" s="10"/>
      <c r="D18" s="19"/>
      <c r="E18" s="1" t="s">
        <v>45</v>
      </c>
      <c r="F18" s="31">
        <f>F17/F8</f>
        <v>0.30449826989619377</v>
      </c>
      <c r="G18" s="10" t="s">
        <v>1</v>
      </c>
    </row>
    <row r="19" spans="1:7" x14ac:dyDescent="0.25">
      <c r="A19" s="1" t="s">
        <v>8</v>
      </c>
      <c r="B19" s="11">
        <f>B10*73.96</f>
        <v>32916637.599999998</v>
      </c>
      <c r="C19" s="10" t="s">
        <v>5</v>
      </c>
      <c r="D19" s="19"/>
      <c r="E19" s="1" t="s">
        <v>44</v>
      </c>
      <c r="F19" s="11">
        <f>F17*F7</f>
        <v>135520000000</v>
      </c>
      <c r="G19" s="10" t="s">
        <v>11</v>
      </c>
    </row>
    <row r="20" spans="1:7" x14ac:dyDescent="0.25">
      <c r="A20" s="1" t="s">
        <v>9</v>
      </c>
      <c r="B20" s="11">
        <f>B10*3</f>
        <v>1335180</v>
      </c>
      <c r="C20" s="10" t="s">
        <v>6</v>
      </c>
      <c r="D20" s="19"/>
      <c r="E20" s="12" t="s">
        <v>43</v>
      </c>
      <c r="F20" s="13">
        <f>F19/1000000</f>
        <v>135520</v>
      </c>
      <c r="G20" s="10" t="s">
        <v>12</v>
      </c>
    </row>
    <row r="21" spans="1:7" x14ac:dyDescent="0.25">
      <c r="A21" s="1" t="s">
        <v>10</v>
      </c>
      <c r="B21" s="11">
        <f>B10*0.6</f>
        <v>267036</v>
      </c>
      <c r="C21" s="10" t="s">
        <v>7</v>
      </c>
      <c r="D21" s="19"/>
      <c r="E21" s="3"/>
      <c r="F21" s="14"/>
      <c r="G21" s="10"/>
    </row>
    <row r="22" spans="1:7" x14ac:dyDescent="0.25">
      <c r="A22" s="12" t="s">
        <v>15</v>
      </c>
      <c r="B22" s="13">
        <f>0.12*(B19+(0.025*B20) + (0.298*B21))</f>
        <v>3963551.2593599996</v>
      </c>
      <c r="C22" s="10" t="s">
        <v>3</v>
      </c>
      <c r="D22" s="19"/>
      <c r="E22" s="1" t="s">
        <v>4</v>
      </c>
      <c r="F22" s="15" t="s">
        <v>16</v>
      </c>
      <c r="G22" s="10"/>
    </row>
    <row r="23" spans="1:7" x14ac:dyDescent="0.25">
      <c r="A23" s="1"/>
      <c r="B23" s="14"/>
      <c r="C23" s="10"/>
      <c r="D23" s="19"/>
      <c r="E23" s="1" t="s">
        <v>8</v>
      </c>
      <c r="F23" s="11">
        <f>F20*53.06</f>
        <v>7190691.2000000002</v>
      </c>
      <c r="G23" s="10" t="s">
        <v>5</v>
      </c>
    </row>
    <row r="24" spans="1:7" x14ac:dyDescent="0.25">
      <c r="A24" s="1" t="s">
        <v>26</v>
      </c>
      <c r="B24" s="9">
        <v>11320</v>
      </c>
      <c r="C24" s="10"/>
      <c r="D24" s="19"/>
      <c r="E24" s="1" t="s">
        <v>9</v>
      </c>
      <c r="F24" s="11">
        <f>F20*1</f>
        <v>135520</v>
      </c>
      <c r="G24" s="10" t="s">
        <v>6</v>
      </c>
    </row>
    <row r="25" spans="1:7" x14ac:dyDescent="0.25">
      <c r="A25" s="1" t="s">
        <v>30</v>
      </c>
      <c r="B25" s="11">
        <f>B24*B7</f>
        <v>17432800000</v>
      </c>
      <c r="C25" s="10" t="s">
        <v>11</v>
      </c>
      <c r="D25" s="19"/>
      <c r="E25" s="1" t="s">
        <v>10</v>
      </c>
      <c r="F25" s="11">
        <f>F20*0.1</f>
        <v>13552</v>
      </c>
      <c r="G25" s="10" t="s">
        <v>7</v>
      </c>
    </row>
    <row r="26" spans="1:7" x14ac:dyDescent="0.25">
      <c r="A26" s="12" t="s">
        <v>31</v>
      </c>
      <c r="B26" s="13">
        <f>B25/1000000</f>
        <v>17432.8</v>
      </c>
      <c r="C26" s="10" t="s">
        <v>12</v>
      </c>
      <c r="D26" s="19"/>
      <c r="E26" s="12" t="s">
        <v>14</v>
      </c>
      <c r="F26" s="13">
        <f>0.88*(F23+(0.025*F24) + (0.298*F25))</f>
        <v>6334343.5724800006</v>
      </c>
      <c r="G26" s="10" t="s">
        <v>3</v>
      </c>
    </row>
    <row r="27" spans="1:7" x14ac:dyDescent="0.25">
      <c r="A27" s="1"/>
      <c r="B27" s="11"/>
      <c r="C27" s="10"/>
      <c r="D27" s="19"/>
      <c r="F27" s="14"/>
      <c r="G27" s="10"/>
    </row>
    <row r="28" spans="1:7" x14ac:dyDescent="0.25">
      <c r="A28" s="1" t="s">
        <v>19</v>
      </c>
      <c r="B28" s="14" t="s">
        <v>18</v>
      </c>
      <c r="C28" s="10"/>
      <c r="D28" s="19"/>
      <c r="E28" s="1" t="s">
        <v>4</v>
      </c>
      <c r="F28" s="15" t="s">
        <v>13</v>
      </c>
      <c r="G28" s="10"/>
    </row>
    <row r="29" spans="1:7" x14ac:dyDescent="0.25">
      <c r="A29" s="1" t="s">
        <v>8</v>
      </c>
      <c r="B29" s="11">
        <f>B26*(1/3.412)*891.9*(1/2.2046)</f>
        <v>2067019.0826619689</v>
      </c>
      <c r="C29" s="10" t="s">
        <v>5</v>
      </c>
      <c r="D29" s="19"/>
      <c r="E29" s="1" t="s">
        <v>8</v>
      </c>
      <c r="F29" s="11">
        <f>$F$20*73.96</f>
        <v>10023059.199999999</v>
      </c>
      <c r="G29" s="10" t="s">
        <v>5</v>
      </c>
    </row>
    <row r="30" spans="1:7" x14ac:dyDescent="0.25">
      <c r="A30" s="1" t="s">
        <v>9</v>
      </c>
      <c r="B30" s="11">
        <f>B26*(1/3.412)*0.067*(1/2.2046)</f>
        <v>155.27556737117604</v>
      </c>
      <c r="C30" s="10" t="s">
        <v>6</v>
      </c>
      <c r="D30" s="19"/>
      <c r="E30" s="1" t="s">
        <v>9</v>
      </c>
      <c r="F30" s="11">
        <f>$F$20*3</f>
        <v>406560</v>
      </c>
      <c r="G30" s="10" t="s">
        <v>6</v>
      </c>
    </row>
    <row r="31" spans="1:7" x14ac:dyDescent="0.25">
      <c r="A31" s="1" t="s">
        <v>10</v>
      </c>
      <c r="B31" s="11">
        <f>B26*(1/3.412)*0.01*(1/2.2046)</f>
        <v>23.17545781659344</v>
      </c>
      <c r="C31" s="10" t="s">
        <v>7</v>
      </c>
      <c r="D31" s="19"/>
      <c r="E31" s="1" t="s">
        <v>10</v>
      </c>
      <c r="F31" s="11">
        <f>$F$20*0.6</f>
        <v>81312</v>
      </c>
      <c r="G31" s="10" t="s">
        <v>7</v>
      </c>
    </row>
    <row r="32" spans="1:7" x14ac:dyDescent="0.25">
      <c r="A32" s="12" t="s">
        <v>20</v>
      </c>
      <c r="B32" s="13">
        <f>B29+(0.025*B30) + (0.298*B31)</f>
        <v>2067029.8708375825</v>
      </c>
      <c r="C32" s="10" t="s">
        <v>3</v>
      </c>
      <c r="D32" s="19"/>
      <c r="E32" s="12" t="s">
        <v>15</v>
      </c>
      <c r="F32" s="13">
        <f>0.12*(F29+(0.025*F30) + (0.298*F31))</f>
        <v>1206894.5011199999</v>
      </c>
      <c r="G32" s="10" t="s">
        <v>3</v>
      </c>
    </row>
    <row r="33" spans="1:12" x14ac:dyDescent="0.25">
      <c r="B33" s="14"/>
      <c r="C33" s="10"/>
      <c r="D33" s="19"/>
      <c r="F33" s="11"/>
      <c r="G33" s="10"/>
    </row>
    <row r="34" spans="1:12" ht="15.75" thickBot="1" x14ac:dyDescent="0.3">
      <c r="A34" s="12" t="s">
        <v>17</v>
      </c>
      <c r="B34" s="16">
        <f>B16+B22+B32</f>
        <v>26833141.271637585</v>
      </c>
      <c r="C34" s="17" t="s">
        <v>3</v>
      </c>
      <c r="D34" s="19"/>
      <c r="E34" s="1" t="s">
        <v>26</v>
      </c>
      <c r="F34" s="11">
        <v>11320</v>
      </c>
      <c r="G34" s="10"/>
    </row>
    <row r="35" spans="1:12" x14ac:dyDescent="0.25">
      <c r="A35" s="1"/>
      <c r="E35" s="1" t="s">
        <v>11</v>
      </c>
      <c r="F35" s="11">
        <f>F34*F7</f>
        <v>17432800000</v>
      </c>
      <c r="G35" s="10" t="s">
        <v>11</v>
      </c>
    </row>
    <row r="36" spans="1:12" x14ac:dyDescent="0.25">
      <c r="A36" s="1"/>
      <c r="E36" s="1" t="s">
        <v>12</v>
      </c>
      <c r="F36" s="11">
        <f>F35/1000000</f>
        <v>17432.8</v>
      </c>
      <c r="G36" s="10" t="s">
        <v>12</v>
      </c>
    </row>
    <row r="37" spans="1:12" x14ac:dyDescent="0.25">
      <c r="A37" s="1"/>
      <c r="F37" s="11"/>
      <c r="G37" s="10"/>
    </row>
    <row r="38" spans="1:12" x14ac:dyDescent="0.25">
      <c r="A38" s="1"/>
      <c r="E38" s="1" t="s">
        <v>19</v>
      </c>
      <c r="F38" s="15" t="s">
        <v>18</v>
      </c>
      <c r="G38" s="10"/>
    </row>
    <row r="39" spans="1:12" x14ac:dyDescent="0.25">
      <c r="A39" s="1"/>
      <c r="E39" s="1" t="s">
        <v>8</v>
      </c>
      <c r="F39" s="11">
        <f>F36*(1/3.412)*891.9*(1/2.2046)</f>
        <v>2067019.0826619689</v>
      </c>
      <c r="G39" s="10" t="s">
        <v>5</v>
      </c>
    </row>
    <row r="40" spans="1:12" x14ac:dyDescent="0.25">
      <c r="A40" s="1"/>
      <c r="E40" s="1" t="s">
        <v>9</v>
      </c>
      <c r="F40" s="11">
        <f>F36*(1/3.412)*0.067*(1/2.2046)</f>
        <v>155.27556737117604</v>
      </c>
      <c r="G40" s="10" t="s">
        <v>6</v>
      </c>
    </row>
    <row r="41" spans="1:12" x14ac:dyDescent="0.25">
      <c r="A41" s="1"/>
      <c r="E41" s="1" t="s">
        <v>10</v>
      </c>
      <c r="F41" s="11">
        <f>F36*(1/3.412)*0.01*(1/2.2046)</f>
        <v>23.17545781659344</v>
      </c>
      <c r="G41" s="10" t="s">
        <v>7</v>
      </c>
    </row>
    <row r="42" spans="1:12" x14ac:dyDescent="0.25">
      <c r="A42" s="1"/>
      <c r="E42" s="12" t="s">
        <v>20</v>
      </c>
      <c r="F42" s="13">
        <f>F39 + (0.025*F40) + (0.298*F41)</f>
        <v>2067029.8708375825</v>
      </c>
      <c r="G42" s="10" t="s">
        <v>3</v>
      </c>
    </row>
    <row r="43" spans="1:12" x14ac:dyDescent="0.25">
      <c r="A43" s="1"/>
      <c r="F43" s="14"/>
      <c r="G43" s="10"/>
      <c r="L43" s="24"/>
    </row>
    <row r="44" spans="1:12" x14ac:dyDescent="0.25">
      <c r="A44" s="1"/>
      <c r="E44" s="12" t="s">
        <v>42</v>
      </c>
      <c r="F44" s="13">
        <f>F26+F32</f>
        <v>7541238.0736000007</v>
      </c>
      <c r="G44" s="10" t="s">
        <v>3</v>
      </c>
      <c r="L44" s="24"/>
    </row>
    <row r="45" spans="1:12" x14ac:dyDescent="0.25">
      <c r="A45" s="1"/>
      <c r="E45" s="12" t="s">
        <v>41</v>
      </c>
      <c r="F45" s="32">
        <f>F44/F10</f>
        <v>6.9215510518838439</v>
      </c>
      <c r="G45" s="10"/>
    </row>
    <row r="46" spans="1:12" ht="15.75" thickBot="1" x14ac:dyDescent="0.3">
      <c r="E46" s="12" t="s">
        <v>40</v>
      </c>
      <c r="F46" s="33">
        <f>F44/F7</f>
        <v>4.8969078400000008</v>
      </c>
      <c r="G46" s="17" t="s">
        <v>39</v>
      </c>
    </row>
    <row r="48" spans="1:12" x14ac:dyDescent="0.25">
      <c r="A48" s="40" t="s">
        <v>103</v>
      </c>
    </row>
    <row r="49" spans="1:7" ht="15.75" thickBot="1" x14ac:dyDescent="0.3">
      <c r="A49" s="6" t="s">
        <v>22</v>
      </c>
      <c r="E49" s="6" t="s">
        <v>58</v>
      </c>
    </row>
    <row r="50" spans="1:7" x14ac:dyDescent="0.25">
      <c r="A50" s="1"/>
      <c r="B50" s="7" t="s">
        <v>23</v>
      </c>
      <c r="C50" s="8" t="s">
        <v>0</v>
      </c>
      <c r="E50" s="3"/>
      <c r="F50" s="26" t="s">
        <v>55</v>
      </c>
      <c r="G50" s="27" t="s">
        <v>0</v>
      </c>
    </row>
    <row r="51" spans="1:7" x14ac:dyDescent="0.25">
      <c r="A51" s="1" t="s">
        <v>25</v>
      </c>
      <c r="B51" s="9">
        <f>0.45*4400000</f>
        <v>1980000</v>
      </c>
      <c r="C51" s="10" t="s">
        <v>2</v>
      </c>
      <c r="D51" s="19"/>
      <c r="E51" s="1" t="s">
        <v>25</v>
      </c>
      <c r="F51" s="28">
        <f>B51</f>
        <v>1980000</v>
      </c>
      <c r="G51" s="10" t="s">
        <v>2</v>
      </c>
    </row>
    <row r="52" spans="1:7" x14ac:dyDescent="0.25">
      <c r="A52" s="1" t="s">
        <v>27</v>
      </c>
      <c r="B52" s="9">
        <v>289000</v>
      </c>
      <c r="C52" s="10" t="s">
        <v>1</v>
      </c>
      <c r="D52" s="19"/>
      <c r="E52" s="1" t="s">
        <v>54</v>
      </c>
      <c r="F52" s="9">
        <v>289000</v>
      </c>
      <c r="G52" s="10" t="s">
        <v>1</v>
      </c>
    </row>
    <row r="53" spans="1:7" x14ac:dyDescent="0.25">
      <c r="A53" s="1" t="s">
        <v>28</v>
      </c>
      <c r="B53" s="11">
        <f>B52*B51</f>
        <v>572220000000</v>
      </c>
      <c r="C53" s="10" t="s">
        <v>11</v>
      </c>
      <c r="D53" s="19"/>
      <c r="E53" s="1" t="s">
        <v>53</v>
      </c>
      <c r="F53" s="29">
        <v>340</v>
      </c>
      <c r="G53" s="10" t="s">
        <v>50</v>
      </c>
    </row>
    <row r="54" spans="1:7" x14ac:dyDescent="0.25">
      <c r="A54" s="12" t="s">
        <v>29</v>
      </c>
      <c r="B54" s="13">
        <f>B53/1000000</f>
        <v>572220</v>
      </c>
      <c r="C54" s="10" t="s">
        <v>12</v>
      </c>
      <c r="D54" s="19"/>
      <c r="E54" s="1" t="s">
        <v>3</v>
      </c>
      <c r="F54" s="9">
        <v>1089530.0803347388</v>
      </c>
      <c r="G54" s="10" t="s">
        <v>3</v>
      </c>
    </row>
    <row r="55" spans="1:7" x14ac:dyDescent="0.25">
      <c r="B55" s="14"/>
      <c r="C55" s="10"/>
      <c r="D55" s="19"/>
      <c r="F55" s="14"/>
      <c r="G55" s="10"/>
    </row>
    <row r="56" spans="1:7" x14ac:dyDescent="0.25">
      <c r="A56" s="1" t="s">
        <v>4</v>
      </c>
      <c r="B56" s="15" t="s">
        <v>16</v>
      </c>
      <c r="C56" s="10"/>
      <c r="D56" s="19"/>
      <c r="E56" s="1" t="s">
        <v>52</v>
      </c>
      <c r="F56" s="29">
        <v>260</v>
      </c>
      <c r="G56" s="10" t="s">
        <v>50</v>
      </c>
    </row>
    <row r="57" spans="1:7" x14ac:dyDescent="0.25">
      <c r="A57" s="1" t="s">
        <v>8</v>
      </c>
      <c r="B57" s="11">
        <f>B54*53.06</f>
        <v>30361993.200000003</v>
      </c>
      <c r="C57" s="10" t="s">
        <v>5</v>
      </c>
      <c r="D57" s="19"/>
      <c r="E57" s="12" t="s">
        <v>51</v>
      </c>
      <c r="F57" s="30">
        <f>F53-F56</f>
        <v>80</v>
      </c>
      <c r="G57" s="10" t="s">
        <v>50</v>
      </c>
    </row>
    <row r="58" spans="1:7" x14ac:dyDescent="0.25">
      <c r="A58" s="1" t="s">
        <v>9</v>
      </c>
      <c r="B58" s="11">
        <f>B54*1</f>
        <v>572220</v>
      </c>
      <c r="C58" s="10" t="s">
        <v>6</v>
      </c>
      <c r="D58" s="19"/>
      <c r="E58" s="1" t="s">
        <v>49</v>
      </c>
      <c r="F58" s="31">
        <f>(F56-F53)/F53</f>
        <v>-0.23529411764705882</v>
      </c>
      <c r="G58" s="10"/>
    </row>
    <row r="59" spans="1:7" x14ac:dyDescent="0.25">
      <c r="A59" s="1" t="s">
        <v>10</v>
      </c>
      <c r="B59" s="11">
        <f>B54*0.1</f>
        <v>57222</v>
      </c>
      <c r="C59" s="10" t="s">
        <v>7</v>
      </c>
      <c r="D59" s="19"/>
      <c r="F59" s="14"/>
      <c r="G59" s="10"/>
    </row>
    <row r="60" spans="1:7" x14ac:dyDescent="0.25">
      <c r="A60" s="12" t="s">
        <v>14</v>
      </c>
      <c r="B60" s="13">
        <f>0.88*(B57+(0.025*B58) + (0.298*B59))</f>
        <v>26746148.753280003</v>
      </c>
      <c r="C60" s="10" t="s">
        <v>3</v>
      </c>
      <c r="D60" s="19"/>
      <c r="E60" s="1" t="s">
        <v>48</v>
      </c>
      <c r="F60" s="11">
        <v>1100</v>
      </c>
      <c r="G60" s="10" t="s">
        <v>47</v>
      </c>
    </row>
    <row r="61" spans="1:7" x14ac:dyDescent="0.25">
      <c r="A61" s="1"/>
      <c r="B61" s="14"/>
      <c r="C61" s="10"/>
      <c r="D61" s="19"/>
      <c r="E61" s="1" t="s">
        <v>46</v>
      </c>
      <c r="F61" s="11">
        <f>F57*F60</f>
        <v>88000</v>
      </c>
      <c r="G61" s="10" t="s">
        <v>1</v>
      </c>
    </row>
    <row r="62" spans="1:7" x14ac:dyDescent="0.25">
      <c r="A62" s="1" t="s">
        <v>4</v>
      </c>
      <c r="B62" s="15" t="s">
        <v>13</v>
      </c>
      <c r="C62" s="10"/>
      <c r="D62" s="19"/>
      <c r="E62" s="1" t="s">
        <v>45</v>
      </c>
      <c r="F62" s="31">
        <f>F61/F52</f>
        <v>0.30449826989619377</v>
      </c>
      <c r="G62" s="10" t="s">
        <v>1</v>
      </c>
    </row>
    <row r="63" spans="1:7" x14ac:dyDescent="0.25">
      <c r="A63" s="1" t="s">
        <v>8</v>
      </c>
      <c r="B63" s="11">
        <f>B54*73.96</f>
        <v>42321391.199999996</v>
      </c>
      <c r="C63" s="10" t="s">
        <v>5</v>
      </c>
      <c r="D63" s="19"/>
      <c r="E63" s="1" t="s">
        <v>44</v>
      </c>
      <c r="F63" s="11">
        <f>F61*F51</f>
        <v>174240000000</v>
      </c>
      <c r="G63" s="10" t="s">
        <v>11</v>
      </c>
    </row>
    <row r="64" spans="1:7" x14ac:dyDescent="0.25">
      <c r="A64" s="1" t="s">
        <v>9</v>
      </c>
      <c r="B64" s="11">
        <f>B54*3</f>
        <v>1716660</v>
      </c>
      <c r="C64" s="10" t="s">
        <v>6</v>
      </c>
      <c r="D64" s="19"/>
      <c r="E64" s="12" t="s">
        <v>43</v>
      </c>
      <c r="F64" s="13">
        <f>F63/1000000</f>
        <v>174240</v>
      </c>
      <c r="G64" s="10" t="s">
        <v>12</v>
      </c>
    </row>
    <row r="65" spans="1:7" x14ac:dyDescent="0.25">
      <c r="A65" s="1" t="s">
        <v>10</v>
      </c>
      <c r="B65" s="11">
        <f>B54*0.6</f>
        <v>343332</v>
      </c>
      <c r="C65" s="10" t="s">
        <v>7</v>
      </c>
      <c r="D65" s="19"/>
      <c r="E65" s="3"/>
      <c r="F65" s="14"/>
      <c r="G65" s="10"/>
    </row>
    <row r="66" spans="1:7" x14ac:dyDescent="0.25">
      <c r="A66" s="12" t="s">
        <v>15</v>
      </c>
      <c r="B66" s="13">
        <f>0.12*(B63+(0.025*B64) + (0.298*B65))</f>
        <v>5095994.4763199985</v>
      </c>
      <c r="C66" s="10" t="s">
        <v>3</v>
      </c>
      <c r="D66" s="19"/>
      <c r="E66" s="1" t="s">
        <v>4</v>
      </c>
      <c r="F66" s="15" t="s">
        <v>16</v>
      </c>
      <c r="G66" s="10"/>
    </row>
    <row r="67" spans="1:7" x14ac:dyDescent="0.25">
      <c r="A67" s="1"/>
      <c r="B67" s="14"/>
      <c r="C67" s="10"/>
      <c r="D67" s="19"/>
      <c r="E67" s="1" t="s">
        <v>8</v>
      </c>
      <c r="F67" s="11">
        <f>F64*53.06</f>
        <v>9245174.4000000004</v>
      </c>
      <c r="G67" s="10" t="s">
        <v>5</v>
      </c>
    </row>
    <row r="68" spans="1:7" x14ac:dyDescent="0.25">
      <c r="A68" s="1" t="s">
        <v>26</v>
      </c>
      <c r="B68" s="9">
        <v>11320</v>
      </c>
      <c r="C68" s="10"/>
      <c r="D68" s="19"/>
      <c r="E68" s="1" t="s">
        <v>9</v>
      </c>
      <c r="F68" s="11">
        <f>F64*1</f>
        <v>174240</v>
      </c>
      <c r="G68" s="10" t="s">
        <v>6</v>
      </c>
    </row>
    <row r="69" spans="1:7" x14ac:dyDescent="0.25">
      <c r="A69" s="1" t="s">
        <v>30</v>
      </c>
      <c r="B69" s="11">
        <f>B68*B51</f>
        <v>22413600000</v>
      </c>
      <c r="C69" s="10" t="s">
        <v>11</v>
      </c>
      <c r="D69" s="19"/>
      <c r="E69" s="1" t="s">
        <v>10</v>
      </c>
      <c r="F69" s="11">
        <f>F64*0.1</f>
        <v>17424</v>
      </c>
      <c r="G69" s="10" t="s">
        <v>7</v>
      </c>
    </row>
    <row r="70" spans="1:7" x14ac:dyDescent="0.25">
      <c r="A70" s="12" t="s">
        <v>31</v>
      </c>
      <c r="B70" s="13">
        <f>B69/1000000</f>
        <v>22413.599999999999</v>
      </c>
      <c r="C70" s="10" t="s">
        <v>12</v>
      </c>
      <c r="D70" s="19"/>
      <c r="E70" s="12" t="s">
        <v>14</v>
      </c>
      <c r="F70" s="13">
        <f>0.88*(F67+(0.025*F68) + (0.298*F69))</f>
        <v>8144156.0217599999</v>
      </c>
      <c r="G70" s="10" t="s">
        <v>3</v>
      </c>
    </row>
    <row r="71" spans="1:7" x14ac:dyDescent="0.25">
      <c r="A71" s="1"/>
      <c r="B71" s="11"/>
      <c r="C71" s="10"/>
      <c r="D71" s="19"/>
      <c r="F71" s="14"/>
      <c r="G71" s="10"/>
    </row>
    <row r="72" spans="1:7" x14ac:dyDescent="0.25">
      <c r="A72" s="1" t="s">
        <v>19</v>
      </c>
      <c r="B72" s="14" t="s">
        <v>18</v>
      </c>
      <c r="C72" s="10"/>
      <c r="D72" s="19"/>
      <c r="E72" s="1" t="s">
        <v>4</v>
      </c>
      <c r="F72" s="15" t="s">
        <v>13</v>
      </c>
      <c r="G72" s="10"/>
    </row>
    <row r="73" spans="1:7" x14ac:dyDescent="0.25">
      <c r="A73" s="1" t="s">
        <v>8</v>
      </c>
      <c r="B73" s="11">
        <f>B70*(1/3.412)*891.9*(1/2.2046)</f>
        <v>2657595.9634225313</v>
      </c>
      <c r="C73" s="10" t="s">
        <v>5</v>
      </c>
      <c r="D73" s="19"/>
      <c r="E73" s="1" t="s">
        <v>8</v>
      </c>
      <c r="F73" s="11">
        <f>$F$20*73.96</f>
        <v>10023059.199999999</v>
      </c>
      <c r="G73" s="10" t="s">
        <v>5</v>
      </c>
    </row>
    <row r="74" spans="1:7" x14ac:dyDescent="0.25">
      <c r="A74" s="1" t="s">
        <v>9</v>
      </c>
      <c r="B74" s="11">
        <f>B70*(1/3.412)*0.067*(1/2.2046)</f>
        <v>199.64001519151205</v>
      </c>
      <c r="C74" s="10" t="s">
        <v>6</v>
      </c>
      <c r="D74" s="19"/>
      <c r="E74" s="1" t="s">
        <v>9</v>
      </c>
      <c r="F74" s="11">
        <f>$F$20*3</f>
        <v>406560</v>
      </c>
      <c r="G74" s="10" t="s">
        <v>6</v>
      </c>
    </row>
    <row r="75" spans="1:7" x14ac:dyDescent="0.25">
      <c r="A75" s="1" t="s">
        <v>10</v>
      </c>
      <c r="B75" s="11">
        <f>B70*(1/3.412)*0.01*(1/2.2046)</f>
        <v>29.797017192762993</v>
      </c>
      <c r="C75" s="10" t="s">
        <v>7</v>
      </c>
      <c r="D75" s="19"/>
      <c r="E75" s="1" t="s">
        <v>10</v>
      </c>
      <c r="F75" s="11">
        <f>$F$20*0.6</f>
        <v>81312</v>
      </c>
      <c r="G75" s="10" t="s">
        <v>7</v>
      </c>
    </row>
    <row r="76" spans="1:7" x14ac:dyDescent="0.25">
      <c r="A76" s="12" t="s">
        <v>20</v>
      </c>
      <c r="B76" s="13">
        <f>B73+(0.025*B74) + (0.298*B75)</f>
        <v>2657609.8339340347</v>
      </c>
      <c r="C76" s="10" t="s">
        <v>3</v>
      </c>
      <c r="D76" s="19"/>
      <c r="E76" s="12" t="s">
        <v>15</v>
      </c>
      <c r="F76" s="13">
        <f>0.12*(F73+(0.025*F74) + (0.298*F75))</f>
        <v>1206894.5011199999</v>
      </c>
      <c r="G76" s="10" t="s">
        <v>3</v>
      </c>
    </row>
    <row r="77" spans="1:7" x14ac:dyDescent="0.25">
      <c r="B77" s="14"/>
      <c r="C77" s="10"/>
      <c r="D77" s="19"/>
      <c r="F77" s="11"/>
      <c r="G77" s="10"/>
    </row>
    <row r="78" spans="1:7" ht="15.75" thickBot="1" x14ac:dyDescent="0.3">
      <c r="A78" s="12" t="s">
        <v>17</v>
      </c>
      <c r="B78" s="16">
        <f>B60+B66+B76</f>
        <v>34499753.063534036</v>
      </c>
      <c r="C78" s="17" t="s">
        <v>3</v>
      </c>
      <c r="D78" s="19"/>
      <c r="E78" s="1" t="s">
        <v>26</v>
      </c>
      <c r="F78" s="11">
        <v>11320</v>
      </c>
      <c r="G78" s="10"/>
    </row>
    <row r="79" spans="1:7" x14ac:dyDescent="0.25">
      <c r="A79" s="1"/>
      <c r="E79" s="1" t="s">
        <v>11</v>
      </c>
      <c r="F79" s="11">
        <f>F78*F51</f>
        <v>22413600000</v>
      </c>
      <c r="G79" s="10" t="s">
        <v>11</v>
      </c>
    </row>
    <row r="80" spans="1:7" x14ac:dyDescent="0.25">
      <c r="A80" s="1"/>
      <c r="E80" s="1" t="s">
        <v>12</v>
      </c>
      <c r="F80" s="11">
        <f>F79/1000000</f>
        <v>22413.599999999999</v>
      </c>
      <c r="G80" s="10" t="s">
        <v>12</v>
      </c>
    </row>
    <row r="81" spans="1:7" x14ac:dyDescent="0.25">
      <c r="A81" s="1"/>
      <c r="F81" s="11"/>
      <c r="G81" s="10"/>
    </row>
    <row r="82" spans="1:7" x14ac:dyDescent="0.25">
      <c r="A82" s="1"/>
      <c r="E82" s="1" t="s">
        <v>19</v>
      </c>
      <c r="F82" s="15" t="s">
        <v>18</v>
      </c>
      <c r="G82" s="10"/>
    </row>
    <row r="83" spans="1:7" x14ac:dyDescent="0.25">
      <c r="A83" s="1"/>
      <c r="E83" s="1" t="s">
        <v>8</v>
      </c>
      <c r="F83" s="11">
        <f>F80*(1/3.412)*891.9*(1/2.2046)</f>
        <v>2657595.9634225313</v>
      </c>
      <c r="G83" s="10" t="s">
        <v>5</v>
      </c>
    </row>
    <row r="84" spans="1:7" x14ac:dyDescent="0.25">
      <c r="A84" s="1"/>
      <c r="E84" s="1" t="s">
        <v>9</v>
      </c>
      <c r="F84" s="11">
        <f>F80*(1/3.412)*0.067*(1/2.2046)</f>
        <v>199.64001519151205</v>
      </c>
      <c r="G84" s="10" t="s">
        <v>6</v>
      </c>
    </row>
    <row r="85" spans="1:7" x14ac:dyDescent="0.25">
      <c r="A85" s="1"/>
      <c r="E85" s="1" t="s">
        <v>10</v>
      </c>
      <c r="F85" s="11">
        <f>F80*(1/3.412)*0.01*(1/2.2046)</f>
        <v>29.797017192762993</v>
      </c>
      <c r="G85" s="10" t="s">
        <v>7</v>
      </c>
    </row>
    <row r="86" spans="1:7" x14ac:dyDescent="0.25">
      <c r="A86" s="1"/>
      <c r="E86" s="12" t="s">
        <v>20</v>
      </c>
      <c r="F86" s="13">
        <f>F83 + (0.025*F84) + (0.298*F85)</f>
        <v>2657609.8339340347</v>
      </c>
      <c r="G86" s="10" t="s">
        <v>3</v>
      </c>
    </row>
    <row r="87" spans="1:7" x14ac:dyDescent="0.25">
      <c r="A87" s="1"/>
      <c r="F87" s="14"/>
      <c r="G87" s="10"/>
    </row>
    <row r="88" spans="1:7" x14ac:dyDescent="0.25">
      <c r="A88" s="1"/>
      <c r="E88" s="12" t="s">
        <v>42</v>
      </c>
      <c r="F88" s="13">
        <f>F70+F76</f>
        <v>9351050.5228799991</v>
      </c>
      <c r="G88" s="10" t="s">
        <v>3</v>
      </c>
    </row>
    <row r="89" spans="1:7" x14ac:dyDescent="0.25">
      <c r="A89" s="1"/>
      <c r="E89" s="12" t="s">
        <v>41</v>
      </c>
      <c r="F89" s="32">
        <f>F88/F54</f>
        <v>8.5826455750602637</v>
      </c>
      <c r="G89" s="10"/>
    </row>
    <row r="90" spans="1:7" ht="15.75" thickBot="1" x14ac:dyDescent="0.3">
      <c r="E90" s="12" t="s">
        <v>40</v>
      </c>
      <c r="F90" s="33">
        <f>F88/F51</f>
        <v>4.7227527893333328</v>
      </c>
      <c r="G90" s="17" t="s">
        <v>39</v>
      </c>
    </row>
    <row r="92" spans="1:7" x14ac:dyDescent="0.25">
      <c r="A92" s="40" t="s">
        <v>69</v>
      </c>
    </row>
    <row r="93" spans="1:7" ht="15.75" thickBot="1" x14ac:dyDescent="0.3">
      <c r="A93" s="6" t="s">
        <v>22</v>
      </c>
      <c r="E93" s="6" t="s">
        <v>58</v>
      </c>
    </row>
    <row r="94" spans="1:7" x14ac:dyDescent="0.25">
      <c r="A94" s="1"/>
      <c r="B94" s="7" t="s">
        <v>23</v>
      </c>
      <c r="C94" s="8" t="s">
        <v>0</v>
      </c>
      <c r="E94" s="3"/>
      <c r="F94" s="26" t="s">
        <v>55</v>
      </c>
      <c r="G94" s="27" t="s">
        <v>0</v>
      </c>
    </row>
    <row r="95" spans="1:7" x14ac:dyDescent="0.25">
      <c r="A95" s="1" t="s">
        <v>25</v>
      </c>
      <c r="B95" s="9">
        <f>0.6*4400000</f>
        <v>2640000</v>
      </c>
      <c r="C95" s="10" t="s">
        <v>2</v>
      </c>
      <c r="D95" s="19"/>
      <c r="E95" s="1" t="s">
        <v>25</v>
      </c>
      <c r="F95" s="28">
        <f>B95</f>
        <v>2640000</v>
      </c>
      <c r="G95" s="10" t="s">
        <v>2</v>
      </c>
    </row>
    <row r="96" spans="1:7" x14ac:dyDescent="0.25">
      <c r="A96" s="1" t="s">
        <v>27</v>
      </c>
      <c r="B96" s="9">
        <v>289000</v>
      </c>
      <c r="C96" s="10" t="s">
        <v>1</v>
      </c>
      <c r="D96" s="19"/>
      <c r="E96" s="1" t="s">
        <v>54</v>
      </c>
      <c r="F96" s="9">
        <v>289000</v>
      </c>
      <c r="G96" s="10" t="s">
        <v>1</v>
      </c>
    </row>
    <row r="97" spans="1:7" x14ac:dyDescent="0.25">
      <c r="A97" s="1" t="s">
        <v>28</v>
      </c>
      <c r="B97" s="11">
        <f>B96*B95</f>
        <v>762960000000</v>
      </c>
      <c r="C97" s="10" t="s">
        <v>11</v>
      </c>
      <c r="D97" s="19"/>
      <c r="E97" s="1" t="s">
        <v>53</v>
      </c>
      <c r="F97" s="29">
        <v>340</v>
      </c>
      <c r="G97" s="10" t="s">
        <v>50</v>
      </c>
    </row>
    <row r="98" spans="1:7" x14ac:dyDescent="0.25">
      <c r="A98" s="12" t="s">
        <v>29</v>
      </c>
      <c r="B98" s="13">
        <f>B97/1000000</f>
        <v>762960</v>
      </c>
      <c r="C98" s="10" t="s">
        <v>12</v>
      </c>
      <c r="D98" s="19"/>
      <c r="E98" s="1" t="s">
        <v>3</v>
      </c>
      <c r="F98" s="9">
        <v>1089530.0803347388</v>
      </c>
      <c r="G98" s="10" t="s">
        <v>3</v>
      </c>
    </row>
    <row r="99" spans="1:7" x14ac:dyDescent="0.25">
      <c r="B99" s="14"/>
      <c r="C99" s="10"/>
      <c r="D99" s="19"/>
      <c r="F99" s="14"/>
      <c r="G99" s="10"/>
    </row>
    <row r="100" spans="1:7" x14ac:dyDescent="0.25">
      <c r="A100" s="1" t="s">
        <v>4</v>
      </c>
      <c r="B100" s="15" t="s">
        <v>16</v>
      </c>
      <c r="C100" s="10"/>
      <c r="D100" s="19"/>
      <c r="E100" s="1" t="s">
        <v>52</v>
      </c>
      <c r="F100" s="29">
        <v>260</v>
      </c>
      <c r="G100" s="10" t="s">
        <v>50</v>
      </c>
    </row>
    <row r="101" spans="1:7" x14ac:dyDescent="0.25">
      <c r="A101" s="1" t="s">
        <v>8</v>
      </c>
      <c r="B101" s="11">
        <f>B98*53.06</f>
        <v>40482657.600000001</v>
      </c>
      <c r="C101" s="10" t="s">
        <v>5</v>
      </c>
      <c r="D101" s="19"/>
      <c r="E101" s="12" t="s">
        <v>51</v>
      </c>
      <c r="F101" s="30">
        <f>F97-F100</f>
        <v>80</v>
      </c>
      <c r="G101" s="10" t="s">
        <v>50</v>
      </c>
    </row>
    <row r="102" spans="1:7" x14ac:dyDescent="0.25">
      <c r="A102" s="1" t="s">
        <v>9</v>
      </c>
      <c r="B102" s="11">
        <f>B98*1</f>
        <v>762960</v>
      </c>
      <c r="C102" s="10" t="s">
        <v>6</v>
      </c>
      <c r="D102" s="19"/>
      <c r="E102" s="1" t="s">
        <v>49</v>
      </c>
      <c r="F102" s="31">
        <f>(F100-F97)/F97</f>
        <v>-0.23529411764705882</v>
      </c>
      <c r="G102" s="10"/>
    </row>
    <row r="103" spans="1:7" x14ac:dyDescent="0.25">
      <c r="A103" s="1" t="s">
        <v>10</v>
      </c>
      <c r="B103" s="11">
        <f>B98*0.1</f>
        <v>76296</v>
      </c>
      <c r="C103" s="10" t="s">
        <v>7</v>
      </c>
      <c r="D103" s="19"/>
      <c r="F103" s="14"/>
      <c r="G103" s="10"/>
    </row>
    <row r="104" spans="1:7" x14ac:dyDescent="0.25">
      <c r="A104" s="12" t="s">
        <v>14</v>
      </c>
      <c r="B104" s="13">
        <f>0.88*(B101+(0.025*B102) + (0.298*B103))</f>
        <v>35661531.671039999</v>
      </c>
      <c r="C104" s="10" t="s">
        <v>3</v>
      </c>
      <c r="D104" s="19"/>
      <c r="E104" s="1" t="s">
        <v>48</v>
      </c>
      <c r="F104" s="11">
        <v>1100</v>
      </c>
      <c r="G104" s="10" t="s">
        <v>47</v>
      </c>
    </row>
    <row r="105" spans="1:7" x14ac:dyDescent="0.25">
      <c r="A105" s="1"/>
      <c r="B105" s="14"/>
      <c r="C105" s="10"/>
      <c r="D105" s="19"/>
      <c r="E105" s="1" t="s">
        <v>46</v>
      </c>
      <c r="F105" s="11">
        <f>F101*F104</f>
        <v>88000</v>
      </c>
      <c r="G105" s="10" t="s">
        <v>1</v>
      </c>
    </row>
    <row r="106" spans="1:7" x14ac:dyDescent="0.25">
      <c r="A106" s="1" t="s">
        <v>4</v>
      </c>
      <c r="B106" s="15" t="s">
        <v>13</v>
      </c>
      <c r="C106" s="10"/>
      <c r="D106" s="19"/>
      <c r="E106" s="1" t="s">
        <v>45</v>
      </c>
      <c r="F106" s="31">
        <f>F105/F96</f>
        <v>0.30449826989619377</v>
      </c>
      <c r="G106" s="10" t="s">
        <v>1</v>
      </c>
    </row>
    <row r="107" spans="1:7" x14ac:dyDescent="0.25">
      <c r="A107" s="1" t="s">
        <v>8</v>
      </c>
      <c r="B107" s="11">
        <f>B98*73.96</f>
        <v>56428521.599999994</v>
      </c>
      <c r="C107" s="10" t="s">
        <v>5</v>
      </c>
      <c r="D107" s="19"/>
      <c r="E107" s="1" t="s">
        <v>44</v>
      </c>
      <c r="F107" s="11">
        <f>F105*F95</f>
        <v>232320000000</v>
      </c>
      <c r="G107" s="10" t="s">
        <v>11</v>
      </c>
    </row>
    <row r="108" spans="1:7" x14ac:dyDescent="0.25">
      <c r="A108" s="1" t="s">
        <v>9</v>
      </c>
      <c r="B108" s="11">
        <f>B98*3</f>
        <v>2288880</v>
      </c>
      <c r="C108" s="10" t="s">
        <v>6</v>
      </c>
      <c r="D108" s="19"/>
      <c r="E108" s="12" t="s">
        <v>43</v>
      </c>
      <c r="F108" s="13">
        <f>F107/1000000</f>
        <v>232320</v>
      </c>
      <c r="G108" s="10" t="s">
        <v>12</v>
      </c>
    </row>
    <row r="109" spans="1:7" x14ac:dyDescent="0.25">
      <c r="A109" s="1" t="s">
        <v>10</v>
      </c>
      <c r="B109" s="11">
        <f>B98*0.6</f>
        <v>457776</v>
      </c>
      <c r="C109" s="10" t="s">
        <v>7</v>
      </c>
      <c r="D109" s="19"/>
      <c r="E109" s="3"/>
      <c r="F109" s="14"/>
      <c r="G109" s="10"/>
    </row>
    <row r="110" spans="1:7" x14ac:dyDescent="0.25">
      <c r="A110" s="12" t="s">
        <v>15</v>
      </c>
      <c r="B110" s="13">
        <f>0.12*(B107+(0.025*B108) + (0.298*B109))</f>
        <v>6794659.3017599992</v>
      </c>
      <c r="C110" s="10" t="s">
        <v>3</v>
      </c>
      <c r="D110" s="19"/>
      <c r="E110" s="1" t="s">
        <v>4</v>
      </c>
      <c r="F110" s="15" t="s">
        <v>16</v>
      </c>
      <c r="G110" s="10"/>
    </row>
    <row r="111" spans="1:7" x14ac:dyDescent="0.25">
      <c r="A111" s="1"/>
      <c r="B111" s="14"/>
      <c r="C111" s="10"/>
      <c r="D111" s="19"/>
      <c r="E111" s="1" t="s">
        <v>8</v>
      </c>
      <c r="F111" s="11">
        <f>F108*53.06</f>
        <v>12326899.200000001</v>
      </c>
      <c r="G111" s="10" t="s">
        <v>5</v>
      </c>
    </row>
    <row r="112" spans="1:7" x14ac:dyDescent="0.25">
      <c r="A112" s="1" t="s">
        <v>26</v>
      </c>
      <c r="B112" s="9">
        <v>11320</v>
      </c>
      <c r="C112" s="10"/>
      <c r="D112" s="19"/>
      <c r="E112" s="1" t="s">
        <v>9</v>
      </c>
      <c r="F112" s="11">
        <f>F108*1</f>
        <v>232320</v>
      </c>
      <c r="G112" s="10" t="s">
        <v>6</v>
      </c>
    </row>
    <row r="113" spans="1:7" x14ac:dyDescent="0.25">
      <c r="A113" s="1" t="s">
        <v>30</v>
      </c>
      <c r="B113" s="11">
        <f>B112*B95</f>
        <v>29884800000</v>
      </c>
      <c r="C113" s="10" t="s">
        <v>11</v>
      </c>
      <c r="D113" s="19"/>
      <c r="E113" s="1" t="s">
        <v>10</v>
      </c>
      <c r="F113" s="11">
        <f>F108*0.1</f>
        <v>23232</v>
      </c>
      <c r="G113" s="10" t="s">
        <v>7</v>
      </c>
    </row>
    <row r="114" spans="1:7" x14ac:dyDescent="0.25">
      <c r="A114" s="12" t="s">
        <v>31</v>
      </c>
      <c r="B114" s="13">
        <f>B113/1000000</f>
        <v>29884.799999999999</v>
      </c>
      <c r="C114" s="10" t="s">
        <v>12</v>
      </c>
      <c r="D114" s="19"/>
      <c r="E114" s="12" t="s">
        <v>14</v>
      </c>
      <c r="F114" s="13">
        <f>0.88*(F111+(0.025*F112) + (0.298*F113))</f>
        <v>10858874.695680002</v>
      </c>
      <c r="G114" s="10" t="s">
        <v>3</v>
      </c>
    </row>
    <row r="115" spans="1:7" x14ac:dyDescent="0.25">
      <c r="A115" s="1"/>
      <c r="B115" s="11"/>
      <c r="C115" s="10"/>
      <c r="D115" s="19"/>
      <c r="F115" s="14"/>
      <c r="G115" s="10"/>
    </row>
    <row r="116" spans="1:7" x14ac:dyDescent="0.25">
      <c r="A116" s="1" t="s">
        <v>19</v>
      </c>
      <c r="B116" s="14" t="s">
        <v>18</v>
      </c>
      <c r="C116" s="10"/>
      <c r="D116" s="19"/>
      <c r="E116" s="1" t="s">
        <v>4</v>
      </c>
      <c r="F116" s="15" t="s">
        <v>13</v>
      </c>
      <c r="G116" s="10"/>
    </row>
    <row r="117" spans="1:7" x14ac:dyDescent="0.25">
      <c r="A117" s="1" t="s">
        <v>8</v>
      </c>
      <c r="B117" s="11">
        <f>B114*(1/3.412)*891.9*(1/2.2046)</f>
        <v>3543461.2845633752</v>
      </c>
      <c r="C117" s="10" t="s">
        <v>5</v>
      </c>
      <c r="D117" s="19"/>
      <c r="E117" s="1" t="s">
        <v>8</v>
      </c>
      <c r="F117" s="11">
        <f>$F$20*73.96</f>
        <v>10023059.199999999</v>
      </c>
      <c r="G117" s="10" t="s">
        <v>5</v>
      </c>
    </row>
    <row r="118" spans="1:7" x14ac:dyDescent="0.25">
      <c r="A118" s="1" t="s">
        <v>9</v>
      </c>
      <c r="B118" s="11">
        <f>B114*(1/3.412)*0.067*(1/2.2046)</f>
        <v>266.18668692201607</v>
      </c>
      <c r="C118" s="10" t="s">
        <v>6</v>
      </c>
      <c r="D118" s="19"/>
      <c r="E118" s="1" t="s">
        <v>9</v>
      </c>
      <c r="F118" s="11">
        <f>$F$20*3</f>
        <v>406560</v>
      </c>
      <c r="G118" s="10" t="s">
        <v>6</v>
      </c>
    </row>
    <row r="119" spans="1:7" x14ac:dyDescent="0.25">
      <c r="A119" s="1" t="s">
        <v>10</v>
      </c>
      <c r="B119" s="11">
        <f>B114*(1/3.412)*0.01*(1/2.2046)</f>
        <v>39.729356257017322</v>
      </c>
      <c r="C119" s="10" t="s">
        <v>7</v>
      </c>
      <c r="D119" s="19"/>
      <c r="E119" s="1" t="s">
        <v>10</v>
      </c>
      <c r="F119" s="11">
        <f>$F$20*0.6</f>
        <v>81312</v>
      </c>
      <c r="G119" s="10" t="s">
        <v>7</v>
      </c>
    </row>
    <row r="120" spans="1:7" x14ac:dyDescent="0.25">
      <c r="A120" s="12" t="s">
        <v>20</v>
      </c>
      <c r="B120" s="13">
        <f>B117+(0.025*B118) + (0.298*B119)</f>
        <v>3543479.7785787126</v>
      </c>
      <c r="C120" s="10" t="s">
        <v>3</v>
      </c>
      <c r="D120" s="19"/>
      <c r="E120" s="12" t="s">
        <v>15</v>
      </c>
      <c r="F120" s="13">
        <f>0.12*(F117+(0.025*F118) + (0.298*F119))</f>
        <v>1206894.5011199999</v>
      </c>
      <c r="G120" s="10" t="s">
        <v>3</v>
      </c>
    </row>
    <row r="121" spans="1:7" x14ac:dyDescent="0.25">
      <c r="B121" s="14"/>
      <c r="C121" s="10"/>
      <c r="D121" s="19"/>
      <c r="F121" s="11"/>
      <c r="G121" s="10"/>
    </row>
    <row r="122" spans="1:7" ht="15.75" thickBot="1" x14ac:dyDescent="0.3">
      <c r="A122" s="12" t="s">
        <v>17</v>
      </c>
      <c r="B122" s="16">
        <f>B104+B110+B120</f>
        <v>45999670.751378715</v>
      </c>
      <c r="C122" s="17" t="s">
        <v>3</v>
      </c>
      <c r="D122" s="19"/>
      <c r="E122" s="1" t="s">
        <v>26</v>
      </c>
      <c r="F122" s="11">
        <v>11320</v>
      </c>
      <c r="G122" s="10"/>
    </row>
    <row r="123" spans="1:7" x14ac:dyDescent="0.25">
      <c r="A123" s="1"/>
      <c r="E123" s="1" t="s">
        <v>11</v>
      </c>
      <c r="F123" s="11">
        <f>F122*F95</f>
        <v>29884800000</v>
      </c>
      <c r="G123" s="10" t="s">
        <v>11</v>
      </c>
    </row>
    <row r="124" spans="1:7" x14ac:dyDescent="0.25">
      <c r="A124" s="1"/>
      <c r="E124" s="1" t="s">
        <v>12</v>
      </c>
      <c r="F124" s="11">
        <f>F123/1000000</f>
        <v>29884.799999999999</v>
      </c>
      <c r="G124" s="10" t="s">
        <v>12</v>
      </c>
    </row>
    <row r="125" spans="1:7" x14ac:dyDescent="0.25">
      <c r="A125" s="1"/>
      <c r="F125" s="11"/>
      <c r="G125" s="10"/>
    </row>
    <row r="126" spans="1:7" x14ac:dyDescent="0.25">
      <c r="A126" s="1"/>
      <c r="E126" s="1" t="s">
        <v>19</v>
      </c>
      <c r="F126" s="15" t="s">
        <v>18</v>
      </c>
      <c r="G126" s="10"/>
    </row>
    <row r="127" spans="1:7" x14ac:dyDescent="0.25">
      <c r="A127" s="1"/>
      <c r="E127" s="1" t="s">
        <v>8</v>
      </c>
      <c r="F127" s="11">
        <f>F124*(1/3.412)*891.9*(1/2.2046)</f>
        <v>3543461.2845633752</v>
      </c>
      <c r="G127" s="10" t="s">
        <v>5</v>
      </c>
    </row>
    <row r="128" spans="1:7" x14ac:dyDescent="0.25">
      <c r="A128" s="1"/>
      <c r="E128" s="1" t="s">
        <v>9</v>
      </c>
      <c r="F128" s="11">
        <f>F124*(1/3.412)*0.067*(1/2.2046)</f>
        <v>266.18668692201607</v>
      </c>
      <c r="G128" s="10" t="s">
        <v>6</v>
      </c>
    </row>
    <row r="129" spans="1:7" x14ac:dyDescent="0.25">
      <c r="A129" s="1"/>
      <c r="E129" s="1" t="s">
        <v>10</v>
      </c>
      <c r="F129" s="11">
        <f>F124*(1/3.412)*0.01*(1/2.2046)</f>
        <v>39.729356257017322</v>
      </c>
      <c r="G129" s="10" t="s">
        <v>7</v>
      </c>
    </row>
    <row r="130" spans="1:7" x14ac:dyDescent="0.25">
      <c r="A130" s="1"/>
      <c r="E130" s="12" t="s">
        <v>20</v>
      </c>
      <c r="F130" s="13">
        <f>F127 + (0.025*F128) + (0.298*F129)</f>
        <v>3543479.7785787126</v>
      </c>
      <c r="G130" s="10" t="s">
        <v>3</v>
      </c>
    </row>
    <row r="131" spans="1:7" x14ac:dyDescent="0.25">
      <c r="A131" s="1"/>
      <c r="F131" s="14"/>
      <c r="G131" s="10"/>
    </row>
    <row r="132" spans="1:7" x14ac:dyDescent="0.25">
      <c r="A132" s="1"/>
      <c r="E132" s="12" t="s">
        <v>42</v>
      </c>
      <c r="F132" s="13">
        <f>F114+F120</f>
        <v>12065769.196800001</v>
      </c>
      <c r="G132" s="10" t="s">
        <v>3</v>
      </c>
    </row>
    <row r="133" spans="1:7" x14ac:dyDescent="0.25">
      <c r="A133" s="1"/>
      <c r="E133" s="12" t="s">
        <v>41</v>
      </c>
      <c r="F133" s="32">
        <f>F132/F98</f>
        <v>11.074287359824895</v>
      </c>
      <c r="G133" s="10"/>
    </row>
    <row r="134" spans="1:7" ht="15.75" thickBot="1" x14ac:dyDescent="0.3">
      <c r="E134" s="12" t="s">
        <v>40</v>
      </c>
      <c r="F134" s="33">
        <f>F132/F95</f>
        <v>4.5703671200000002</v>
      </c>
      <c r="G134" s="17" t="s">
        <v>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316CD-C024-4722-8F37-76DF52FA395A}">
  <sheetPr>
    <tabColor theme="9" tint="0.79998168889431442"/>
  </sheetPr>
  <dimension ref="A1:H29"/>
  <sheetViews>
    <sheetView showGridLines="0" workbookViewId="0"/>
  </sheetViews>
  <sheetFormatPr defaultRowHeight="15" outlineLevelRow="1" outlineLevelCol="1" x14ac:dyDescent="0.25"/>
  <cols>
    <col min="1" max="1" width="17.85546875" style="1" customWidth="1"/>
    <col min="2" max="2" width="17.140625" style="35" customWidth="1"/>
    <col min="3" max="3" width="22.140625" style="35" bestFit="1" customWidth="1"/>
    <col min="4" max="4" width="15" style="35" customWidth="1"/>
    <col min="5" max="5" width="37" style="35" bestFit="1" customWidth="1" outlineLevel="1"/>
    <col min="6" max="7" width="19.85546875" style="35" customWidth="1"/>
    <col min="8" max="8" width="18.42578125" style="35" customWidth="1"/>
    <col min="9" max="16384" width="9.140625" style="1"/>
  </cols>
  <sheetData>
    <row r="1" spans="1:8" outlineLevel="1" x14ac:dyDescent="0.25">
      <c r="A1" s="34" t="s">
        <v>59</v>
      </c>
    </row>
    <row r="2" spans="1:8" outlineLevel="1" x14ac:dyDescent="0.25"/>
    <row r="3" spans="1:8" ht="34.5" customHeight="1" outlineLevel="1" x14ac:dyDescent="0.25">
      <c r="A3" s="37" t="s">
        <v>60</v>
      </c>
      <c r="B3" s="38" t="s">
        <v>61</v>
      </c>
      <c r="C3" s="38" t="s">
        <v>62</v>
      </c>
      <c r="D3" s="38" t="s">
        <v>63</v>
      </c>
      <c r="E3" s="38" t="s">
        <v>67</v>
      </c>
      <c r="F3" s="38" t="s">
        <v>64</v>
      </c>
      <c r="G3" s="38" t="s">
        <v>65</v>
      </c>
      <c r="H3" s="38" t="s">
        <v>66</v>
      </c>
    </row>
    <row r="4" spans="1:8" outlineLevel="1" x14ac:dyDescent="0.25">
      <c r="A4" s="41">
        <v>2025</v>
      </c>
      <c r="B4" s="36">
        <v>4400000</v>
      </c>
      <c r="C4" s="36">
        <f>'Baseline HMA Calculations'!$B$31</f>
        <v>76673401.240985781</v>
      </c>
      <c r="D4" s="36">
        <f>'CCPR Calculations'!B5+'WMA Analysis (Trial %)'!B7</f>
        <v>1577514</v>
      </c>
      <c r="E4" s="36" t="s">
        <v>105</v>
      </c>
      <c r="F4" s="56">
        <f>'CCPR Calculations'!B32+'WMA Analysis (Trial %)'!B34</f>
        <v>27486851.720309027</v>
      </c>
      <c r="G4" s="56">
        <f>'CCPR Calculations'!J8+'WMA Analysis (Trial %)'!F44</f>
        <v>8144517.2017555209</v>
      </c>
      <c r="H4" s="39">
        <f>G4/C4</f>
        <v>0.10622350215242399</v>
      </c>
    </row>
    <row r="5" spans="1:8" outlineLevel="1" x14ac:dyDescent="0.25">
      <c r="A5" s="41">
        <v>2026</v>
      </c>
      <c r="B5" s="36">
        <v>4400000</v>
      </c>
      <c r="C5" s="36">
        <f>'Baseline HMA Calculations'!$B$31</f>
        <v>76673401.240985781</v>
      </c>
      <c r="D5" s="36">
        <f>'CCPR Calculations'!B5+'WMA Analysis (Trial %)'!B51</f>
        <v>2017514</v>
      </c>
      <c r="E5" s="36" t="s">
        <v>106</v>
      </c>
      <c r="F5" s="56">
        <f>'CCPR Calculations'!B32+'WMA Analysis (Trial %)'!B78</f>
        <v>35153463.512205474</v>
      </c>
      <c r="G5" s="56">
        <f>'CCPR Calculations'!J8+'WMA Analysis (Trial %)'!F88</f>
        <v>9954329.6510355193</v>
      </c>
      <c r="H5" s="39">
        <f>G5/C5</f>
        <v>0.12982767804637876</v>
      </c>
    </row>
    <row r="6" spans="1:8" outlineLevel="1" x14ac:dyDescent="0.25">
      <c r="A6" s="41">
        <v>2027</v>
      </c>
      <c r="B6" s="36">
        <v>4400000</v>
      </c>
      <c r="C6" s="36">
        <f>'Baseline HMA Calculations'!$B$31</f>
        <v>76673401.240985781</v>
      </c>
      <c r="D6" s="36">
        <f>(2*'CCPR Calculations'!B5)+'WMA Analysis (Trial %)'!B95</f>
        <v>2715028</v>
      </c>
      <c r="E6" s="36" t="s">
        <v>81</v>
      </c>
      <c r="F6" s="56">
        <f>(2*'CCPR Calculations'!B32)+'WMA Analysis (Trial %)'!B122</f>
        <v>47307091.648721598</v>
      </c>
      <c r="G6" s="56">
        <f>(2*'CCPR Calculations'!F32)+'WMA Analysis (Trial %)'!F132</f>
        <v>12166631.837831844</v>
      </c>
      <c r="H6" s="39">
        <f t="shared" ref="H6:H9" si="0">G6/C6</f>
        <v>0.158681258962178</v>
      </c>
    </row>
    <row r="7" spans="1:8" outlineLevel="1" x14ac:dyDescent="0.25">
      <c r="A7" s="41">
        <v>2028</v>
      </c>
      <c r="B7" s="36">
        <v>4400000</v>
      </c>
      <c r="C7" s="36">
        <f>'Baseline HMA Calculations'!$B$31</f>
        <v>76673401.240985781</v>
      </c>
      <c r="D7" s="36">
        <f>(2*'CCPR Calculations'!B5)+'WMA Analysis (Trial %)'!B95</f>
        <v>2715028</v>
      </c>
      <c r="E7" s="36" t="s">
        <v>81</v>
      </c>
      <c r="F7" s="56">
        <f>(2*'CCPR Calculations'!B32)+'WMA Analysis (Trial %)'!B122</f>
        <v>47307091.648721598</v>
      </c>
      <c r="G7" s="56">
        <f>(2*'CCPR Calculations'!F32)+'WMA Analysis (Trial %)'!F132</f>
        <v>12166631.837831844</v>
      </c>
      <c r="H7" s="39">
        <f t="shared" si="0"/>
        <v>0.158681258962178</v>
      </c>
    </row>
    <row r="8" spans="1:8" outlineLevel="1" x14ac:dyDescent="0.25">
      <c r="A8" s="41">
        <v>2029</v>
      </c>
      <c r="B8" s="36">
        <v>4400000</v>
      </c>
      <c r="C8" s="36">
        <f>'Baseline HMA Calculations'!$B$31</f>
        <v>76673401.240985781</v>
      </c>
      <c r="D8" s="36">
        <f>'WMA Analysis (Trial %)'!B95</f>
        <v>2640000</v>
      </c>
      <c r="E8" s="36" t="s">
        <v>68</v>
      </c>
      <c r="F8" s="56">
        <f>'WMA Analysis (Trial %)'!B122</f>
        <v>45999670.751378715</v>
      </c>
      <c r="G8" s="56">
        <f>'WMA Analysis (Trial %)'!F132</f>
        <v>12065769.196800001</v>
      </c>
      <c r="H8" s="39">
        <f t="shared" si="0"/>
        <v>0.15736577485166059</v>
      </c>
    </row>
    <row r="9" spans="1:8" outlineLevel="1" x14ac:dyDescent="0.25">
      <c r="A9" s="41">
        <v>2030</v>
      </c>
      <c r="B9" s="36">
        <v>4400000</v>
      </c>
      <c r="C9" s="36">
        <f>'Baseline HMA Calculations'!$B$31</f>
        <v>76673401.240985781</v>
      </c>
      <c r="D9" s="36">
        <f>'WMA Analysis (Trial %)'!B95</f>
        <v>2640000</v>
      </c>
      <c r="E9" s="36" t="s">
        <v>68</v>
      </c>
      <c r="F9" s="56">
        <f>'WMA Analysis (Trial %)'!B122</f>
        <v>45999670.751378715</v>
      </c>
      <c r="G9" s="56">
        <f>'WMA Analysis (Trial %)'!F132</f>
        <v>12065769.196800001</v>
      </c>
      <c r="H9" s="39">
        <f t="shared" si="0"/>
        <v>0.15736577485166059</v>
      </c>
    </row>
    <row r="10" spans="1:8" s="3" customFormat="1" outlineLevel="1" x14ac:dyDescent="0.25">
      <c r="A10" s="44" t="s">
        <v>72</v>
      </c>
      <c r="B10" s="45">
        <f>SUM(B4:B9)</f>
        <v>26400000</v>
      </c>
      <c r="C10" s="45">
        <f>SUM(C4:C9)</f>
        <v>460040407.44591463</v>
      </c>
      <c r="D10" s="45">
        <f>SUM(D4:D9)</f>
        <v>14305084</v>
      </c>
      <c r="E10" s="45" t="s">
        <v>70</v>
      </c>
      <c r="F10" s="45">
        <f>SUM(F4:F9)</f>
        <v>249253840.03271514</v>
      </c>
      <c r="G10" s="45">
        <f>SUM(G4:G9)</f>
        <v>66563648.92205473</v>
      </c>
      <c r="H10" s="46">
        <f>G10/C10</f>
        <v>0.14469087463774666</v>
      </c>
    </row>
    <row r="11" spans="1:8" outlineLevel="1" x14ac:dyDescent="0.25"/>
    <row r="12" spans="1:8" outlineLevel="1" x14ac:dyDescent="0.25"/>
    <row r="13" spans="1:8" outlineLevel="1" x14ac:dyDescent="0.25"/>
    <row r="14" spans="1:8" x14ac:dyDescent="0.25">
      <c r="A14" s="47" t="s">
        <v>73</v>
      </c>
    </row>
    <row r="15" spans="1:8" ht="33.75" customHeight="1" x14ac:dyDescent="0.25">
      <c r="A15" s="37" t="s">
        <v>60</v>
      </c>
      <c r="B15" s="38" t="s">
        <v>61</v>
      </c>
      <c r="C15" s="38" t="s">
        <v>77</v>
      </c>
      <c r="D15" s="38" t="s">
        <v>63</v>
      </c>
      <c r="E15" s="38" t="s">
        <v>67</v>
      </c>
      <c r="F15" s="38" t="s">
        <v>78</v>
      </c>
      <c r="G15" s="38" t="s">
        <v>79</v>
      </c>
      <c r="H15" s="38" t="s">
        <v>80</v>
      </c>
    </row>
    <row r="16" spans="1:8" x14ac:dyDescent="0.25">
      <c r="A16" s="41">
        <f>A4</f>
        <v>2025</v>
      </c>
      <c r="B16" s="36">
        <f>B4</f>
        <v>4400000</v>
      </c>
      <c r="C16" s="36">
        <f>C4/1000</f>
        <v>76673.401240985782</v>
      </c>
      <c r="D16" s="36">
        <f>D4</f>
        <v>1577514</v>
      </c>
      <c r="E16" s="36" t="str">
        <f>E4</f>
        <v>1 CCPR, 35% of AL tonnage WMT</v>
      </c>
      <c r="F16" s="36">
        <f>F4/1000</f>
        <v>27486.851720309027</v>
      </c>
      <c r="G16" s="36">
        <f>G4/1000</f>
        <v>8144.5172017555205</v>
      </c>
      <c r="H16" s="39">
        <f>G16/C16</f>
        <v>0.10622350215242397</v>
      </c>
    </row>
    <row r="17" spans="1:8" x14ac:dyDescent="0.25">
      <c r="A17" s="41">
        <f t="shared" ref="A17:B17" si="1">A5</f>
        <v>2026</v>
      </c>
      <c r="B17" s="36">
        <f t="shared" si="1"/>
        <v>4400000</v>
      </c>
      <c r="C17" s="36">
        <f t="shared" ref="C17:C21" si="2">C5/1000</f>
        <v>76673.401240985782</v>
      </c>
      <c r="D17" s="36">
        <f t="shared" ref="D17:E22" si="3">D5</f>
        <v>2017514</v>
      </c>
      <c r="E17" s="36" t="str">
        <f t="shared" si="3"/>
        <v>1 CCPR, 45% of AL tonnage WMT</v>
      </c>
      <c r="F17" s="36">
        <f t="shared" ref="F17:G17" si="4">F5/1000</f>
        <v>35153.463512205475</v>
      </c>
      <c r="G17" s="36">
        <f t="shared" si="4"/>
        <v>9954.3296510355194</v>
      </c>
      <c r="H17" s="39">
        <f t="shared" ref="H17:H22" si="5">G17/C17</f>
        <v>0.12982767804637876</v>
      </c>
    </row>
    <row r="18" spans="1:8" x14ac:dyDescent="0.25">
      <c r="A18" s="41">
        <f t="shared" ref="A18:B18" si="6">A6</f>
        <v>2027</v>
      </c>
      <c r="B18" s="36">
        <f t="shared" si="6"/>
        <v>4400000</v>
      </c>
      <c r="C18" s="36">
        <f t="shared" si="2"/>
        <v>76673.401240985782</v>
      </c>
      <c r="D18" s="36">
        <f t="shared" si="3"/>
        <v>2715028</v>
      </c>
      <c r="E18" s="36" t="str">
        <f t="shared" si="3"/>
        <v>2 CCPR, 60% of AL tonnage WMT</v>
      </c>
      <c r="F18" s="36">
        <f t="shared" ref="F18:G18" si="7">F6/1000</f>
        <v>47307.091648721595</v>
      </c>
      <c r="G18" s="36">
        <f t="shared" si="7"/>
        <v>12166.631837831843</v>
      </c>
      <c r="H18" s="39">
        <f t="shared" si="5"/>
        <v>0.15868125896217797</v>
      </c>
    </row>
    <row r="19" spans="1:8" x14ac:dyDescent="0.25">
      <c r="A19" s="41">
        <f t="shared" ref="A19:B19" si="8">A7</f>
        <v>2028</v>
      </c>
      <c r="B19" s="36">
        <f t="shared" si="8"/>
        <v>4400000</v>
      </c>
      <c r="C19" s="36">
        <f t="shared" si="2"/>
        <v>76673.401240985782</v>
      </c>
      <c r="D19" s="36">
        <f t="shared" si="3"/>
        <v>2715028</v>
      </c>
      <c r="E19" s="36" t="str">
        <f t="shared" si="3"/>
        <v>2 CCPR, 60% of AL tonnage WMT</v>
      </c>
      <c r="F19" s="36">
        <f t="shared" ref="F19:G19" si="9">F7/1000</f>
        <v>47307.091648721595</v>
      </c>
      <c r="G19" s="36">
        <f t="shared" si="9"/>
        <v>12166.631837831843</v>
      </c>
      <c r="H19" s="39">
        <f t="shared" si="5"/>
        <v>0.15868125896217797</v>
      </c>
    </row>
    <row r="20" spans="1:8" x14ac:dyDescent="0.25">
      <c r="A20" s="41">
        <f t="shared" ref="A20:B20" si="10">A8</f>
        <v>2029</v>
      </c>
      <c r="B20" s="36">
        <f t="shared" si="10"/>
        <v>4400000</v>
      </c>
      <c r="C20" s="36">
        <f t="shared" si="2"/>
        <v>76673.401240985782</v>
      </c>
      <c r="D20" s="36">
        <f t="shared" si="3"/>
        <v>2640000</v>
      </c>
      <c r="E20" s="36" t="str">
        <f t="shared" si="3"/>
        <v>60% of AL tonnage WMT</v>
      </c>
      <c r="F20" s="36">
        <f t="shared" ref="F20:G20" si="11">F8/1000</f>
        <v>45999.670751378711</v>
      </c>
      <c r="G20" s="36">
        <f t="shared" si="11"/>
        <v>12065.769196800002</v>
      </c>
      <c r="H20" s="39">
        <f t="shared" si="5"/>
        <v>0.15736577485166059</v>
      </c>
    </row>
    <row r="21" spans="1:8" x14ac:dyDescent="0.25">
      <c r="A21" s="41">
        <f t="shared" ref="A21:B21" si="12">A9</f>
        <v>2030</v>
      </c>
      <c r="B21" s="36">
        <f t="shared" si="12"/>
        <v>4400000</v>
      </c>
      <c r="C21" s="36">
        <f t="shared" si="2"/>
        <v>76673.401240985782</v>
      </c>
      <c r="D21" s="36">
        <f t="shared" si="3"/>
        <v>2640000</v>
      </c>
      <c r="E21" s="36" t="str">
        <f t="shared" si="3"/>
        <v>60% of AL tonnage WMT</v>
      </c>
      <c r="F21" s="36">
        <f t="shared" ref="F21:G21" si="13">F9/1000</f>
        <v>45999.670751378711</v>
      </c>
      <c r="G21" s="36">
        <f t="shared" si="13"/>
        <v>12065.769196800002</v>
      </c>
      <c r="H21" s="39">
        <f t="shared" si="5"/>
        <v>0.15736577485166059</v>
      </c>
    </row>
    <row r="22" spans="1:8" x14ac:dyDescent="0.25">
      <c r="A22" s="48" t="str">
        <f t="shared" ref="A22:B22" si="14">A10</f>
        <v>Total</v>
      </c>
      <c r="B22" s="43">
        <f t="shared" si="14"/>
        <v>26400000</v>
      </c>
      <c r="C22" s="43">
        <f>SUM(C16:C21)</f>
        <v>460040.40744591469</v>
      </c>
      <c r="D22" s="43">
        <f t="shared" si="3"/>
        <v>14305084</v>
      </c>
      <c r="E22" s="43" t="str">
        <f t="shared" si="3"/>
        <v xml:space="preserve"> - </v>
      </c>
      <c r="F22" s="43">
        <f t="shared" ref="F22:G22" si="15">F10/1000</f>
        <v>249253.84003271515</v>
      </c>
      <c r="G22" s="43">
        <f t="shared" si="15"/>
        <v>66563.648922054737</v>
      </c>
      <c r="H22" s="49">
        <f t="shared" si="5"/>
        <v>0.14469087463774666</v>
      </c>
    </row>
    <row r="26" spans="1:8" x14ac:dyDescent="0.25">
      <c r="A26" s="3" t="s">
        <v>110</v>
      </c>
    </row>
    <row r="27" spans="1:8" x14ac:dyDescent="0.25">
      <c r="A27" s="41" t="s">
        <v>108</v>
      </c>
      <c r="B27" s="66">
        <v>63841735.5800125</v>
      </c>
    </row>
    <row r="28" spans="1:8" x14ac:dyDescent="0.25">
      <c r="A28" s="41" t="s">
        <v>109</v>
      </c>
      <c r="B28" s="36">
        <f>G22</f>
        <v>66563.648922054737</v>
      </c>
    </row>
    <row r="29" spans="1:8" x14ac:dyDescent="0.25">
      <c r="A29" s="44" t="s">
        <v>107</v>
      </c>
      <c r="B29" s="67">
        <f>B27/B28</f>
        <v>959.10811101672675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E2403-B8C5-4C18-998C-FFC79F22EC90}">
  <sheetPr>
    <tabColor theme="9" tint="0.79998168889431442"/>
  </sheetPr>
  <dimension ref="A1:J61"/>
  <sheetViews>
    <sheetView showGridLines="0" tabSelected="1" workbookViewId="0"/>
  </sheetViews>
  <sheetFormatPr defaultRowHeight="15" outlineLevelRow="1" outlineLevelCol="1" x14ac:dyDescent="0.25"/>
  <cols>
    <col min="1" max="1" width="8.5703125" style="1" customWidth="1"/>
    <col min="2" max="2" width="17.140625" style="35" customWidth="1"/>
    <col min="3" max="3" width="20" style="35" customWidth="1"/>
    <col min="4" max="4" width="15" style="35" customWidth="1"/>
    <col min="5" max="5" width="37" style="35" bestFit="1" customWidth="1" outlineLevel="1"/>
    <col min="6" max="7" width="19.85546875" style="35" customWidth="1"/>
    <col min="8" max="8" width="14.28515625" style="35" customWidth="1"/>
    <col min="9" max="16384" width="9.140625" style="1"/>
  </cols>
  <sheetData>
    <row r="1" spans="1:10" outlineLevel="1" x14ac:dyDescent="0.25">
      <c r="A1" s="34" t="s">
        <v>71</v>
      </c>
    </row>
    <row r="2" spans="1:10" outlineLevel="1" x14ac:dyDescent="0.25"/>
    <row r="3" spans="1:10" ht="34.5" customHeight="1" outlineLevel="1" x14ac:dyDescent="0.25">
      <c r="A3" s="37" t="s">
        <v>60</v>
      </c>
      <c r="B3" s="38" t="s">
        <v>61</v>
      </c>
      <c r="C3" s="38" t="s">
        <v>62</v>
      </c>
      <c r="D3" s="38" t="s">
        <v>63</v>
      </c>
      <c r="E3" s="38" t="s">
        <v>67</v>
      </c>
      <c r="F3" s="38" t="s">
        <v>64</v>
      </c>
      <c r="G3" s="38" t="s">
        <v>65</v>
      </c>
      <c r="H3" s="38" t="s">
        <v>66</v>
      </c>
    </row>
    <row r="4" spans="1:10" outlineLevel="1" x14ac:dyDescent="0.25">
      <c r="A4" s="42">
        <f>'GHG Reductions 2025-2030'!A4</f>
        <v>2025</v>
      </c>
      <c r="B4" s="36">
        <f>'GHG Reductions 2025-2030'!B4</f>
        <v>4400000</v>
      </c>
      <c r="C4" s="36">
        <f>'GHG Reductions 2025-2030'!C4</f>
        <v>76673401.240985781</v>
      </c>
      <c r="D4" s="36">
        <f>'GHG Reductions 2025-2030'!D4</f>
        <v>1577514</v>
      </c>
      <c r="E4" s="36" t="str">
        <f>'GHG Reductions 2025-2030'!E4</f>
        <v>1 CCPR, 35% of AL tonnage WMT</v>
      </c>
      <c r="F4" s="36">
        <f>'GHG Reductions 2025-2030'!F4</f>
        <v>27486851.720309027</v>
      </c>
      <c r="G4" s="36">
        <f>'GHG Reductions 2025-2030'!G4</f>
        <v>8144517.2017555209</v>
      </c>
      <c r="H4" s="39">
        <f>G4/C4</f>
        <v>0.10622350215242399</v>
      </c>
    </row>
    <row r="5" spans="1:10" outlineLevel="1" x14ac:dyDescent="0.25">
      <c r="A5" s="42">
        <f>'GHG Reductions 2025-2030'!A5</f>
        <v>2026</v>
      </c>
      <c r="B5" s="36">
        <f>'GHG Reductions 2025-2030'!B5</f>
        <v>4400000</v>
      </c>
      <c r="C5" s="36">
        <f>'GHG Reductions 2025-2030'!C5</f>
        <v>76673401.240985781</v>
      </c>
      <c r="D5" s="36">
        <f>'GHG Reductions 2025-2030'!D5</f>
        <v>2017514</v>
      </c>
      <c r="E5" s="36" t="str">
        <f>'GHG Reductions 2025-2030'!E5</f>
        <v>1 CCPR, 45% of AL tonnage WMT</v>
      </c>
      <c r="F5" s="36">
        <f>'GHG Reductions 2025-2030'!F5</f>
        <v>35153463.512205474</v>
      </c>
      <c r="G5" s="36">
        <f>'GHG Reductions 2025-2030'!G5</f>
        <v>9954329.6510355193</v>
      </c>
      <c r="H5" s="39">
        <f t="shared" ref="H5:H9" si="0">G5/C5</f>
        <v>0.12982767804637876</v>
      </c>
    </row>
    <row r="6" spans="1:10" outlineLevel="1" x14ac:dyDescent="0.25">
      <c r="A6" s="42">
        <f>'GHG Reductions 2025-2030'!A6</f>
        <v>2027</v>
      </c>
      <c r="B6" s="36">
        <f>'GHG Reductions 2025-2030'!B6</f>
        <v>4400000</v>
      </c>
      <c r="C6" s="36">
        <f>'GHG Reductions 2025-2030'!C6</f>
        <v>76673401.240985781</v>
      </c>
      <c r="D6" s="36">
        <f>'GHG Reductions 2025-2030'!D6</f>
        <v>2715028</v>
      </c>
      <c r="E6" s="36" t="str">
        <f>'GHG Reductions 2025-2030'!E6</f>
        <v>2 CCPR, 60% of AL tonnage WMT</v>
      </c>
      <c r="F6" s="36">
        <f>'GHG Reductions 2025-2030'!F6</f>
        <v>47307091.648721598</v>
      </c>
      <c r="G6" s="36">
        <f>'GHG Reductions 2025-2030'!G6</f>
        <v>12166631.837831844</v>
      </c>
      <c r="H6" s="39">
        <f t="shared" si="0"/>
        <v>0.158681258962178</v>
      </c>
    </row>
    <row r="7" spans="1:10" s="57" customFormat="1" outlineLevel="1" x14ac:dyDescent="0.25">
      <c r="A7" s="42">
        <f>'GHG Reductions 2025-2030'!A7</f>
        <v>2028</v>
      </c>
      <c r="B7" s="36">
        <f>'GHG Reductions 2025-2030'!B7</f>
        <v>4400000</v>
      </c>
      <c r="C7" s="36">
        <f>'GHG Reductions 2025-2030'!C7</f>
        <v>76673401.240985781</v>
      </c>
      <c r="D7" s="36">
        <f>'GHG Reductions 2025-2030'!D7</f>
        <v>2715028</v>
      </c>
      <c r="E7" s="36" t="str">
        <f>'GHG Reductions 2025-2030'!E7</f>
        <v>2 CCPR, 60% of AL tonnage WMT</v>
      </c>
      <c r="F7" s="36">
        <f>'GHG Reductions 2025-2030'!F7</f>
        <v>47307091.648721598</v>
      </c>
      <c r="G7" s="36">
        <f>'GHG Reductions 2025-2030'!G7</f>
        <v>12166631.837831844</v>
      </c>
      <c r="H7" s="39">
        <f t="shared" si="0"/>
        <v>0.158681258962178</v>
      </c>
    </row>
    <row r="8" spans="1:10" s="58" customFormat="1" outlineLevel="1" x14ac:dyDescent="0.25">
      <c r="A8" s="42">
        <f>'GHG Reductions 2025-2030'!A8</f>
        <v>2029</v>
      </c>
      <c r="B8" s="36">
        <f>'GHG Reductions 2025-2030'!B8</f>
        <v>4400000</v>
      </c>
      <c r="C8" s="36">
        <f>'GHG Reductions 2025-2030'!C8</f>
        <v>76673401.240985781</v>
      </c>
      <c r="D8" s="36">
        <f>'GHG Reductions 2025-2030'!D8</f>
        <v>2640000</v>
      </c>
      <c r="E8" s="36" t="str">
        <f>'GHG Reductions 2025-2030'!E8</f>
        <v>60% of AL tonnage WMT</v>
      </c>
      <c r="F8" s="36">
        <f>'GHG Reductions 2025-2030'!F8</f>
        <v>45999670.751378715</v>
      </c>
      <c r="G8" s="36">
        <f>'GHG Reductions 2025-2030'!G8</f>
        <v>12065769.196800001</v>
      </c>
      <c r="H8" s="39">
        <f t="shared" si="0"/>
        <v>0.15736577485166059</v>
      </c>
    </row>
    <row r="9" spans="1:10" s="58" customFormat="1" outlineLevel="1" x14ac:dyDescent="0.25">
      <c r="A9" s="42">
        <f>'GHG Reductions 2025-2030'!A9</f>
        <v>2030</v>
      </c>
      <c r="B9" s="36">
        <f>'GHG Reductions 2025-2030'!B9</f>
        <v>4400000</v>
      </c>
      <c r="C9" s="36">
        <f>'GHG Reductions 2025-2030'!C9</f>
        <v>76673401.240985781</v>
      </c>
      <c r="D9" s="36">
        <f>'GHG Reductions 2025-2030'!D9</f>
        <v>2640000</v>
      </c>
      <c r="E9" s="36" t="str">
        <f>'GHG Reductions 2025-2030'!E9</f>
        <v>60% of AL tonnage WMT</v>
      </c>
      <c r="F9" s="36">
        <f>'GHG Reductions 2025-2030'!F9</f>
        <v>45999670.751378715</v>
      </c>
      <c r="G9" s="36">
        <f>'GHG Reductions 2025-2030'!G9</f>
        <v>12065769.196800001</v>
      </c>
      <c r="H9" s="39">
        <f t="shared" si="0"/>
        <v>0.15736577485166059</v>
      </c>
      <c r="J9" s="65"/>
    </row>
    <row r="10" spans="1:10" s="57" customFormat="1" outlineLevel="1" x14ac:dyDescent="0.25">
      <c r="A10" s="42">
        <v>2031</v>
      </c>
      <c r="B10" s="36">
        <f>B9</f>
        <v>4400000</v>
      </c>
      <c r="C10" s="36">
        <f>C9</f>
        <v>76673401.240985781</v>
      </c>
      <c r="D10" s="36">
        <f>'CCPR Calculations'!B5+'WMA Analysis (Trial %)'!B95</f>
        <v>2677514</v>
      </c>
      <c r="E10" s="36" t="s">
        <v>82</v>
      </c>
      <c r="F10" s="36">
        <f>'CCPR Calculations'!B32+'WMA Analysis (Trial %)'!B122</f>
        <v>46653381.200050153</v>
      </c>
      <c r="G10" s="36">
        <f>'CCPR Calculations'!J8+'WMA Analysis (Trial %)'!F132</f>
        <v>12669048.324955521</v>
      </c>
      <c r="H10" s="39">
        <f>H9</f>
        <v>0.15736577485166059</v>
      </c>
    </row>
    <row r="11" spans="1:10" s="58" customFormat="1" outlineLevel="1" x14ac:dyDescent="0.25">
      <c r="A11" s="42">
        <v>2032</v>
      </c>
      <c r="B11" s="36">
        <v>4400000</v>
      </c>
      <c r="C11" s="36">
        <v>76673401.240985781</v>
      </c>
      <c r="D11" s="36">
        <v>2640000</v>
      </c>
      <c r="E11" s="36" t="s">
        <v>68</v>
      </c>
      <c r="F11" s="36">
        <v>45999670.751378715</v>
      </c>
      <c r="G11" s="36">
        <v>12065769.196800001</v>
      </c>
      <c r="H11" s="39">
        <v>0.15736577485166059</v>
      </c>
    </row>
    <row r="12" spans="1:10" s="58" customFormat="1" outlineLevel="1" x14ac:dyDescent="0.25">
      <c r="A12" s="42">
        <v>2033</v>
      </c>
      <c r="B12" s="36">
        <v>4400000</v>
      </c>
      <c r="C12" s="36">
        <v>76673401.240985781</v>
      </c>
      <c r="D12" s="36">
        <v>2640000</v>
      </c>
      <c r="E12" s="36" t="s">
        <v>68</v>
      </c>
      <c r="F12" s="36">
        <v>45999670.751378715</v>
      </c>
      <c r="G12" s="36">
        <v>12065769.196800001</v>
      </c>
      <c r="H12" s="39">
        <v>0.15736577485166059</v>
      </c>
    </row>
    <row r="13" spans="1:10" s="58" customFormat="1" outlineLevel="1" x14ac:dyDescent="0.25">
      <c r="A13" s="42">
        <v>2034</v>
      </c>
      <c r="B13" s="36">
        <v>4400000</v>
      </c>
      <c r="C13" s="36">
        <v>76673401.240985781</v>
      </c>
      <c r="D13" s="36">
        <v>2677514</v>
      </c>
      <c r="E13" s="36" t="s">
        <v>82</v>
      </c>
      <c r="F13" s="36">
        <v>46653381.200050153</v>
      </c>
      <c r="G13" s="36">
        <v>12669048.324955521</v>
      </c>
      <c r="H13" s="39">
        <v>0.15736577485166059</v>
      </c>
    </row>
    <row r="14" spans="1:10" s="58" customFormat="1" outlineLevel="1" x14ac:dyDescent="0.25">
      <c r="A14" s="42">
        <v>2035</v>
      </c>
      <c r="B14" s="36">
        <v>4400000</v>
      </c>
      <c r="C14" s="36">
        <v>76673401.240985781</v>
      </c>
      <c r="D14" s="36">
        <v>2640000</v>
      </c>
      <c r="E14" s="36" t="s">
        <v>68</v>
      </c>
      <c r="F14" s="36">
        <v>45999670.751378715</v>
      </c>
      <c r="G14" s="36">
        <v>12065769.196800001</v>
      </c>
      <c r="H14" s="39">
        <v>0.15736577485166059</v>
      </c>
    </row>
    <row r="15" spans="1:10" outlineLevel="1" x14ac:dyDescent="0.25">
      <c r="A15" s="42">
        <v>2036</v>
      </c>
      <c r="B15" s="36">
        <v>4400000</v>
      </c>
      <c r="C15" s="36">
        <v>76673401.240985781</v>
      </c>
      <c r="D15" s="36">
        <v>2640000</v>
      </c>
      <c r="E15" s="36" t="s">
        <v>68</v>
      </c>
      <c r="F15" s="36">
        <v>45999670.751378715</v>
      </c>
      <c r="G15" s="36">
        <v>12065769.196800001</v>
      </c>
      <c r="H15" s="39">
        <v>0.15736577485166059</v>
      </c>
    </row>
    <row r="16" spans="1:10" outlineLevel="1" x14ac:dyDescent="0.25">
      <c r="A16" s="42">
        <v>2037</v>
      </c>
      <c r="B16" s="36">
        <v>4400000</v>
      </c>
      <c r="C16" s="36">
        <v>76673401.240985781</v>
      </c>
      <c r="D16" s="36">
        <v>2677514</v>
      </c>
      <c r="E16" s="36" t="s">
        <v>82</v>
      </c>
      <c r="F16" s="36">
        <v>46653381.200050153</v>
      </c>
      <c r="G16" s="36">
        <v>12669048.324955521</v>
      </c>
      <c r="H16" s="39">
        <v>0.15736577485166059</v>
      </c>
    </row>
    <row r="17" spans="1:8" outlineLevel="1" x14ac:dyDescent="0.25">
      <c r="A17" s="42">
        <v>2038</v>
      </c>
      <c r="B17" s="36">
        <v>4400000</v>
      </c>
      <c r="C17" s="36">
        <v>76673401.240985781</v>
      </c>
      <c r="D17" s="36">
        <v>2640000</v>
      </c>
      <c r="E17" s="36" t="s">
        <v>68</v>
      </c>
      <c r="F17" s="36">
        <v>45999670.751378715</v>
      </c>
      <c r="G17" s="36">
        <v>12065769.196800001</v>
      </c>
      <c r="H17" s="39">
        <v>0.15736577485166059</v>
      </c>
    </row>
    <row r="18" spans="1:8" outlineLevel="1" x14ac:dyDescent="0.25">
      <c r="A18" s="42">
        <v>2039</v>
      </c>
      <c r="B18" s="36">
        <v>4400000</v>
      </c>
      <c r="C18" s="36">
        <v>76673401.240985781</v>
      </c>
      <c r="D18" s="36">
        <v>2640000</v>
      </c>
      <c r="E18" s="36" t="s">
        <v>68</v>
      </c>
      <c r="F18" s="36">
        <v>45999670.751378715</v>
      </c>
      <c r="G18" s="36">
        <v>12065769.196800001</v>
      </c>
      <c r="H18" s="39">
        <v>0.15736577485166059</v>
      </c>
    </row>
    <row r="19" spans="1:8" outlineLevel="1" x14ac:dyDescent="0.25">
      <c r="A19" s="42">
        <v>2040</v>
      </c>
      <c r="B19" s="36">
        <v>4400000</v>
      </c>
      <c r="C19" s="36">
        <v>76673401.240985781</v>
      </c>
      <c r="D19" s="36">
        <v>2677514</v>
      </c>
      <c r="E19" s="36" t="s">
        <v>82</v>
      </c>
      <c r="F19" s="36">
        <v>46653381.200050153</v>
      </c>
      <c r="G19" s="36">
        <v>12669048.324955521</v>
      </c>
      <c r="H19" s="39">
        <v>0.15736577485166059</v>
      </c>
    </row>
    <row r="20" spans="1:8" outlineLevel="1" x14ac:dyDescent="0.25">
      <c r="A20" s="42">
        <v>2041</v>
      </c>
      <c r="B20" s="36">
        <v>4400000</v>
      </c>
      <c r="C20" s="36">
        <v>76673401.240985781</v>
      </c>
      <c r="D20" s="36">
        <v>2640000</v>
      </c>
      <c r="E20" s="36" t="s">
        <v>68</v>
      </c>
      <c r="F20" s="36">
        <v>45999670.751378715</v>
      </c>
      <c r="G20" s="36">
        <v>12065769.196800001</v>
      </c>
      <c r="H20" s="39">
        <v>0.15736577485166059</v>
      </c>
    </row>
    <row r="21" spans="1:8" outlineLevel="1" x14ac:dyDescent="0.25">
      <c r="A21" s="42">
        <v>2042</v>
      </c>
      <c r="B21" s="36">
        <v>4400000</v>
      </c>
      <c r="C21" s="36">
        <v>76673401.240985781</v>
      </c>
      <c r="D21" s="36">
        <v>2640000</v>
      </c>
      <c r="E21" s="36" t="s">
        <v>68</v>
      </c>
      <c r="F21" s="36">
        <v>45999670.751378715</v>
      </c>
      <c r="G21" s="36">
        <v>12065769.196800001</v>
      </c>
      <c r="H21" s="39">
        <v>0.15736577485166059</v>
      </c>
    </row>
    <row r="22" spans="1:8" outlineLevel="1" x14ac:dyDescent="0.25">
      <c r="A22" s="42">
        <v>2043</v>
      </c>
      <c r="B22" s="36">
        <v>4400000</v>
      </c>
      <c r="C22" s="36">
        <v>76673401.240985781</v>
      </c>
      <c r="D22" s="36">
        <v>2677514</v>
      </c>
      <c r="E22" s="36" t="s">
        <v>82</v>
      </c>
      <c r="F22" s="36">
        <v>46653381.200050153</v>
      </c>
      <c r="G22" s="36">
        <v>12669048.324955521</v>
      </c>
      <c r="H22" s="39">
        <v>0.15736577485166059</v>
      </c>
    </row>
    <row r="23" spans="1:8" outlineLevel="1" x14ac:dyDescent="0.25">
      <c r="A23" s="42">
        <v>2044</v>
      </c>
      <c r="B23" s="36">
        <v>4400000</v>
      </c>
      <c r="C23" s="36">
        <v>76673401.240985781</v>
      </c>
      <c r="D23" s="36">
        <v>2640000</v>
      </c>
      <c r="E23" s="36" t="s">
        <v>68</v>
      </c>
      <c r="F23" s="36">
        <v>45999670.751378715</v>
      </c>
      <c r="G23" s="36">
        <v>12065769.196800001</v>
      </c>
      <c r="H23" s="39">
        <v>0.15736577485166059</v>
      </c>
    </row>
    <row r="24" spans="1:8" outlineLevel="1" x14ac:dyDescent="0.25">
      <c r="A24" s="42">
        <v>2045</v>
      </c>
      <c r="B24" s="36">
        <v>4400000</v>
      </c>
      <c r="C24" s="36">
        <v>76673401.240985781</v>
      </c>
      <c r="D24" s="36">
        <v>2640000</v>
      </c>
      <c r="E24" s="36" t="s">
        <v>68</v>
      </c>
      <c r="F24" s="36">
        <v>45999670.751378715</v>
      </c>
      <c r="G24" s="36">
        <v>12065769.196800001</v>
      </c>
      <c r="H24" s="39">
        <v>0.15736577485166059</v>
      </c>
    </row>
    <row r="25" spans="1:8" outlineLevel="1" x14ac:dyDescent="0.25">
      <c r="A25" s="42">
        <v>2046</v>
      </c>
      <c r="B25" s="36">
        <v>4400000</v>
      </c>
      <c r="C25" s="36">
        <v>76673401.240985781</v>
      </c>
      <c r="D25" s="36">
        <v>2677514</v>
      </c>
      <c r="E25" s="36" t="s">
        <v>82</v>
      </c>
      <c r="F25" s="36">
        <v>46653381.200050153</v>
      </c>
      <c r="G25" s="36">
        <v>12669048.324955521</v>
      </c>
      <c r="H25" s="39">
        <v>0.15736577485166059</v>
      </c>
    </row>
    <row r="26" spans="1:8" outlineLevel="1" x14ac:dyDescent="0.25">
      <c r="A26" s="42">
        <v>2047</v>
      </c>
      <c r="B26" s="36">
        <v>4400000</v>
      </c>
      <c r="C26" s="36">
        <v>76673401.240985781</v>
      </c>
      <c r="D26" s="36">
        <v>2640000</v>
      </c>
      <c r="E26" s="36" t="s">
        <v>68</v>
      </c>
      <c r="F26" s="36">
        <v>45999670.751378715</v>
      </c>
      <c r="G26" s="36">
        <v>12065769.196800001</v>
      </c>
      <c r="H26" s="39">
        <v>0.15736577485166059</v>
      </c>
    </row>
    <row r="27" spans="1:8" outlineLevel="1" x14ac:dyDescent="0.25">
      <c r="A27" s="42">
        <v>2048</v>
      </c>
      <c r="B27" s="36">
        <v>4400000</v>
      </c>
      <c r="C27" s="36">
        <v>76673401.240985781</v>
      </c>
      <c r="D27" s="36">
        <v>2640000</v>
      </c>
      <c r="E27" s="36" t="s">
        <v>68</v>
      </c>
      <c r="F27" s="36">
        <v>45999670.751378715</v>
      </c>
      <c r="G27" s="36">
        <v>12065769.196800001</v>
      </c>
      <c r="H27" s="39">
        <v>0.15736577485166059</v>
      </c>
    </row>
    <row r="28" spans="1:8" outlineLevel="1" x14ac:dyDescent="0.25">
      <c r="A28" s="42">
        <v>2049</v>
      </c>
      <c r="B28" s="36">
        <v>4400000</v>
      </c>
      <c r="C28" s="36">
        <v>76673401.240985781</v>
      </c>
      <c r="D28" s="36">
        <v>2677514</v>
      </c>
      <c r="E28" s="36" t="s">
        <v>82</v>
      </c>
      <c r="F28" s="36">
        <v>46653381.200050153</v>
      </c>
      <c r="G28" s="36">
        <v>12669048.324955521</v>
      </c>
      <c r="H28" s="39">
        <v>0.15736577485166059</v>
      </c>
    </row>
    <row r="29" spans="1:8" outlineLevel="1" x14ac:dyDescent="0.25">
      <c r="A29" s="42">
        <v>2050</v>
      </c>
      <c r="B29" s="36">
        <v>4400000</v>
      </c>
      <c r="C29" s="36">
        <v>76673401.240985781</v>
      </c>
      <c r="D29" s="36">
        <v>2640000</v>
      </c>
      <c r="E29" s="36" t="s">
        <v>68</v>
      </c>
      <c r="F29" s="36">
        <v>45999670.751378715</v>
      </c>
      <c r="G29" s="36">
        <v>12065769.196800001</v>
      </c>
      <c r="H29" s="39">
        <v>0.15736577485166059</v>
      </c>
    </row>
    <row r="30" spans="1:8" s="3" customFormat="1" outlineLevel="1" x14ac:dyDescent="0.25">
      <c r="A30" s="44" t="s">
        <v>72</v>
      </c>
      <c r="B30" s="45">
        <f>SUM(B4:B29)</f>
        <v>114400000</v>
      </c>
      <c r="C30" s="45">
        <f>SUM(C4:C29)</f>
        <v>1993508432.265631</v>
      </c>
      <c r="D30" s="45">
        <f>SUM(D4:D29)</f>
        <v>67367682</v>
      </c>
      <c r="E30" s="45" t="s">
        <v>70</v>
      </c>
      <c r="F30" s="45">
        <f>SUM(F4:F29)</f>
        <v>1173823228.20099</v>
      </c>
      <c r="G30" s="45">
        <f>SUM(G4:G29)</f>
        <v>312101986.75514334</v>
      </c>
      <c r="H30" s="46">
        <f>G30/C30</f>
        <v>0.15655915054266317</v>
      </c>
    </row>
    <row r="31" spans="1:8" outlineLevel="1" x14ac:dyDescent="0.25"/>
    <row r="32" spans="1:8" outlineLevel="1" x14ac:dyDescent="0.25"/>
    <row r="33" spans="1:8" x14ac:dyDescent="0.25">
      <c r="A33" s="47" t="s">
        <v>73</v>
      </c>
    </row>
    <row r="34" spans="1:8" ht="45" x14ac:dyDescent="0.25">
      <c r="A34" s="37" t="s">
        <v>60</v>
      </c>
      <c r="B34" s="38" t="s">
        <v>61</v>
      </c>
      <c r="C34" s="38" t="s">
        <v>77</v>
      </c>
      <c r="D34" s="38" t="s">
        <v>63</v>
      </c>
      <c r="E34" s="38" t="s">
        <v>67</v>
      </c>
      <c r="F34" s="38" t="s">
        <v>78</v>
      </c>
      <c r="G34" s="38" t="s">
        <v>79</v>
      </c>
      <c r="H34" s="38" t="s">
        <v>80</v>
      </c>
    </row>
    <row r="35" spans="1:8" x14ac:dyDescent="0.25">
      <c r="A35" s="42">
        <f>A4</f>
        <v>2025</v>
      </c>
      <c r="B35" s="36">
        <f>B4</f>
        <v>4400000</v>
      </c>
      <c r="C35" s="36">
        <f>C4/1000</f>
        <v>76673.401240985782</v>
      </c>
      <c r="D35" s="36">
        <f>D4</f>
        <v>1577514</v>
      </c>
      <c r="E35" s="36" t="str">
        <f>E4</f>
        <v>1 CCPR, 35% of AL tonnage WMT</v>
      </c>
      <c r="F35" s="36">
        <f>F4/1000</f>
        <v>27486.851720309027</v>
      </c>
      <c r="G35" s="36">
        <f>G4/1000</f>
        <v>8144.5172017555205</v>
      </c>
      <c r="H35" s="39">
        <f>G35/C35</f>
        <v>0.10622350215242397</v>
      </c>
    </row>
    <row r="36" spans="1:8" x14ac:dyDescent="0.25">
      <c r="A36" s="42">
        <f t="shared" ref="A36:B51" si="1">A5</f>
        <v>2026</v>
      </c>
      <c r="B36" s="36">
        <f t="shared" si="1"/>
        <v>4400000</v>
      </c>
      <c r="C36" s="36">
        <f t="shared" ref="C36:C61" si="2">C5/1000</f>
        <v>76673.401240985782</v>
      </c>
      <c r="D36" s="36">
        <f t="shared" ref="D36:E51" si="3">D5</f>
        <v>2017514</v>
      </c>
      <c r="E36" s="36" t="str">
        <f t="shared" si="3"/>
        <v>1 CCPR, 45% of AL tonnage WMT</v>
      </c>
      <c r="F36" s="36">
        <f t="shared" ref="F36:G51" si="4">F5/1000</f>
        <v>35153.463512205475</v>
      </c>
      <c r="G36" s="36">
        <f t="shared" si="4"/>
        <v>9954.3296510355194</v>
      </c>
      <c r="H36" s="39">
        <f t="shared" ref="H36:H61" si="5">G36/C36</f>
        <v>0.12982767804637876</v>
      </c>
    </row>
    <row r="37" spans="1:8" x14ac:dyDescent="0.25">
      <c r="A37" s="42">
        <f t="shared" si="1"/>
        <v>2027</v>
      </c>
      <c r="B37" s="36">
        <f t="shared" si="1"/>
        <v>4400000</v>
      </c>
      <c r="C37" s="36">
        <f t="shared" si="2"/>
        <v>76673.401240985782</v>
      </c>
      <c r="D37" s="36">
        <f t="shared" si="3"/>
        <v>2715028</v>
      </c>
      <c r="E37" s="36" t="str">
        <f t="shared" si="3"/>
        <v>2 CCPR, 60% of AL tonnage WMT</v>
      </c>
      <c r="F37" s="36">
        <f t="shared" si="4"/>
        <v>47307.091648721595</v>
      </c>
      <c r="G37" s="36">
        <f t="shared" si="4"/>
        <v>12166.631837831843</v>
      </c>
      <c r="H37" s="39">
        <f t="shared" si="5"/>
        <v>0.15868125896217797</v>
      </c>
    </row>
    <row r="38" spans="1:8" x14ac:dyDescent="0.25">
      <c r="A38" s="42">
        <f t="shared" si="1"/>
        <v>2028</v>
      </c>
      <c r="B38" s="36">
        <f t="shared" si="1"/>
        <v>4400000</v>
      </c>
      <c r="C38" s="36">
        <f t="shared" si="2"/>
        <v>76673.401240985782</v>
      </c>
      <c r="D38" s="36">
        <f t="shared" si="3"/>
        <v>2715028</v>
      </c>
      <c r="E38" s="36" t="str">
        <f t="shared" si="3"/>
        <v>2 CCPR, 60% of AL tonnage WMT</v>
      </c>
      <c r="F38" s="36">
        <f t="shared" si="4"/>
        <v>47307.091648721595</v>
      </c>
      <c r="G38" s="36">
        <f t="shared" si="4"/>
        <v>12166.631837831843</v>
      </c>
      <c r="H38" s="39">
        <f t="shared" si="5"/>
        <v>0.15868125896217797</v>
      </c>
    </row>
    <row r="39" spans="1:8" x14ac:dyDescent="0.25">
      <c r="A39" s="42">
        <f t="shared" si="1"/>
        <v>2029</v>
      </c>
      <c r="B39" s="36">
        <f t="shared" si="1"/>
        <v>4400000</v>
      </c>
      <c r="C39" s="36">
        <f t="shared" si="2"/>
        <v>76673.401240985782</v>
      </c>
      <c r="D39" s="36">
        <f t="shared" si="3"/>
        <v>2640000</v>
      </c>
      <c r="E39" s="36" t="str">
        <f t="shared" si="3"/>
        <v>60% of AL tonnage WMT</v>
      </c>
      <c r="F39" s="36">
        <f t="shared" si="4"/>
        <v>45999.670751378711</v>
      </c>
      <c r="G39" s="36">
        <f t="shared" si="4"/>
        <v>12065.769196800002</v>
      </c>
      <c r="H39" s="39">
        <f t="shared" si="5"/>
        <v>0.15736577485166059</v>
      </c>
    </row>
    <row r="40" spans="1:8" x14ac:dyDescent="0.25">
      <c r="A40" s="42">
        <f t="shared" si="1"/>
        <v>2030</v>
      </c>
      <c r="B40" s="36">
        <f t="shared" si="1"/>
        <v>4400000</v>
      </c>
      <c r="C40" s="36">
        <f t="shared" si="2"/>
        <v>76673.401240985782</v>
      </c>
      <c r="D40" s="36">
        <f t="shared" si="3"/>
        <v>2640000</v>
      </c>
      <c r="E40" s="36" t="str">
        <f t="shared" si="3"/>
        <v>60% of AL tonnage WMT</v>
      </c>
      <c r="F40" s="36">
        <f t="shared" si="4"/>
        <v>45999.670751378711</v>
      </c>
      <c r="G40" s="36">
        <f t="shared" si="4"/>
        <v>12065.769196800002</v>
      </c>
      <c r="H40" s="39">
        <f t="shared" si="5"/>
        <v>0.15736577485166059</v>
      </c>
    </row>
    <row r="41" spans="1:8" x14ac:dyDescent="0.25">
      <c r="A41" s="42">
        <f t="shared" si="1"/>
        <v>2031</v>
      </c>
      <c r="B41" s="36">
        <f t="shared" si="1"/>
        <v>4400000</v>
      </c>
      <c r="C41" s="36">
        <f t="shared" si="2"/>
        <v>76673.401240985782</v>
      </c>
      <c r="D41" s="36">
        <f t="shared" si="3"/>
        <v>2677514</v>
      </c>
      <c r="E41" s="36" t="str">
        <f t="shared" si="3"/>
        <v>1 CCPR, 60% of AL tonnage WMT</v>
      </c>
      <c r="F41" s="36">
        <f t="shared" si="4"/>
        <v>46653.381200050149</v>
      </c>
      <c r="G41" s="36">
        <f t="shared" si="4"/>
        <v>12669.048324955522</v>
      </c>
      <c r="H41" s="39">
        <f t="shared" si="5"/>
        <v>0.16523394188731097</v>
      </c>
    </row>
    <row r="42" spans="1:8" x14ac:dyDescent="0.25">
      <c r="A42" s="42">
        <f t="shared" si="1"/>
        <v>2032</v>
      </c>
      <c r="B42" s="36">
        <f t="shared" si="1"/>
        <v>4400000</v>
      </c>
      <c r="C42" s="36">
        <f t="shared" si="2"/>
        <v>76673.401240985782</v>
      </c>
      <c r="D42" s="36">
        <f t="shared" si="3"/>
        <v>2640000</v>
      </c>
      <c r="E42" s="36" t="str">
        <f t="shared" si="3"/>
        <v>60% of AL tonnage WMT</v>
      </c>
      <c r="F42" s="36">
        <f t="shared" si="4"/>
        <v>45999.670751378711</v>
      </c>
      <c r="G42" s="36">
        <f t="shared" si="4"/>
        <v>12065.769196800002</v>
      </c>
      <c r="H42" s="39">
        <f t="shared" si="5"/>
        <v>0.15736577485166059</v>
      </c>
    </row>
    <row r="43" spans="1:8" x14ac:dyDescent="0.25">
      <c r="A43" s="42">
        <f t="shared" si="1"/>
        <v>2033</v>
      </c>
      <c r="B43" s="36">
        <f t="shared" si="1"/>
        <v>4400000</v>
      </c>
      <c r="C43" s="36">
        <f t="shared" si="2"/>
        <v>76673.401240985782</v>
      </c>
      <c r="D43" s="36">
        <f t="shared" si="3"/>
        <v>2640000</v>
      </c>
      <c r="E43" s="36" t="str">
        <f t="shared" si="3"/>
        <v>60% of AL tonnage WMT</v>
      </c>
      <c r="F43" s="36">
        <f t="shared" si="4"/>
        <v>45999.670751378711</v>
      </c>
      <c r="G43" s="36">
        <f t="shared" si="4"/>
        <v>12065.769196800002</v>
      </c>
      <c r="H43" s="39">
        <f t="shared" si="5"/>
        <v>0.15736577485166059</v>
      </c>
    </row>
    <row r="44" spans="1:8" x14ac:dyDescent="0.25">
      <c r="A44" s="42">
        <f t="shared" si="1"/>
        <v>2034</v>
      </c>
      <c r="B44" s="36">
        <f t="shared" si="1"/>
        <v>4400000</v>
      </c>
      <c r="C44" s="36">
        <f t="shared" si="2"/>
        <v>76673.401240985782</v>
      </c>
      <c r="D44" s="36">
        <f t="shared" si="3"/>
        <v>2677514</v>
      </c>
      <c r="E44" s="36" t="str">
        <f t="shared" si="3"/>
        <v>1 CCPR, 60% of AL tonnage WMT</v>
      </c>
      <c r="F44" s="36">
        <f t="shared" si="4"/>
        <v>46653.381200050149</v>
      </c>
      <c r="G44" s="36">
        <f t="shared" si="4"/>
        <v>12669.048324955522</v>
      </c>
      <c r="H44" s="39">
        <f t="shared" si="5"/>
        <v>0.16523394188731097</v>
      </c>
    </row>
    <row r="45" spans="1:8" x14ac:dyDescent="0.25">
      <c r="A45" s="42">
        <f t="shared" si="1"/>
        <v>2035</v>
      </c>
      <c r="B45" s="36">
        <f t="shared" si="1"/>
        <v>4400000</v>
      </c>
      <c r="C45" s="36">
        <f t="shared" si="2"/>
        <v>76673.401240985782</v>
      </c>
      <c r="D45" s="36">
        <f t="shared" si="3"/>
        <v>2640000</v>
      </c>
      <c r="E45" s="36" t="str">
        <f t="shared" si="3"/>
        <v>60% of AL tonnage WMT</v>
      </c>
      <c r="F45" s="36">
        <f t="shared" si="4"/>
        <v>45999.670751378711</v>
      </c>
      <c r="G45" s="36">
        <f t="shared" si="4"/>
        <v>12065.769196800002</v>
      </c>
      <c r="H45" s="39">
        <f t="shared" si="5"/>
        <v>0.15736577485166059</v>
      </c>
    </row>
    <row r="46" spans="1:8" x14ac:dyDescent="0.25">
      <c r="A46" s="42">
        <f t="shared" si="1"/>
        <v>2036</v>
      </c>
      <c r="B46" s="36">
        <f t="shared" si="1"/>
        <v>4400000</v>
      </c>
      <c r="C46" s="36">
        <f t="shared" si="2"/>
        <v>76673.401240985782</v>
      </c>
      <c r="D46" s="36">
        <f t="shared" si="3"/>
        <v>2640000</v>
      </c>
      <c r="E46" s="36" t="str">
        <f t="shared" si="3"/>
        <v>60% of AL tonnage WMT</v>
      </c>
      <c r="F46" s="36">
        <f t="shared" si="4"/>
        <v>45999.670751378711</v>
      </c>
      <c r="G46" s="36">
        <f t="shared" si="4"/>
        <v>12065.769196800002</v>
      </c>
      <c r="H46" s="39">
        <f t="shared" si="5"/>
        <v>0.15736577485166059</v>
      </c>
    </row>
    <row r="47" spans="1:8" x14ac:dyDescent="0.25">
      <c r="A47" s="42">
        <f t="shared" si="1"/>
        <v>2037</v>
      </c>
      <c r="B47" s="36">
        <f t="shared" si="1"/>
        <v>4400000</v>
      </c>
      <c r="C47" s="36">
        <f t="shared" si="2"/>
        <v>76673.401240985782</v>
      </c>
      <c r="D47" s="36">
        <f t="shared" si="3"/>
        <v>2677514</v>
      </c>
      <c r="E47" s="36" t="str">
        <f t="shared" si="3"/>
        <v>1 CCPR, 60% of AL tonnage WMT</v>
      </c>
      <c r="F47" s="36">
        <f t="shared" si="4"/>
        <v>46653.381200050149</v>
      </c>
      <c r="G47" s="36">
        <f t="shared" si="4"/>
        <v>12669.048324955522</v>
      </c>
      <c r="H47" s="39">
        <f t="shared" si="5"/>
        <v>0.16523394188731097</v>
      </c>
    </row>
    <row r="48" spans="1:8" x14ac:dyDescent="0.25">
      <c r="A48" s="42">
        <f t="shared" si="1"/>
        <v>2038</v>
      </c>
      <c r="B48" s="36">
        <f t="shared" si="1"/>
        <v>4400000</v>
      </c>
      <c r="C48" s="36">
        <f t="shared" si="2"/>
        <v>76673.401240985782</v>
      </c>
      <c r="D48" s="36">
        <f t="shared" si="3"/>
        <v>2640000</v>
      </c>
      <c r="E48" s="36" t="str">
        <f t="shared" si="3"/>
        <v>60% of AL tonnage WMT</v>
      </c>
      <c r="F48" s="36">
        <f t="shared" si="4"/>
        <v>45999.670751378711</v>
      </c>
      <c r="G48" s="36">
        <f t="shared" si="4"/>
        <v>12065.769196800002</v>
      </c>
      <c r="H48" s="39">
        <f t="shared" si="5"/>
        <v>0.15736577485166059</v>
      </c>
    </row>
    <row r="49" spans="1:8" x14ac:dyDescent="0.25">
      <c r="A49" s="42">
        <f t="shared" si="1"/>
        <v>2039</v>
      </c>
      <c r="B49" s="36">
        <f t="shared" si="1"/>
        <v>4400000</v>
      </c>
      <c r="C49" s="36">
        <f t="shared" si="2"/>
        <v>76673.401240985782</v>
      </c>
      <c r="D49" s="36">
        <f t="shared" si="3"/>
        <v>2640000</v>
      </c>
      <c r="E49" s="36" t="str">
        <f t="shared" si="3"/>
        <v>60% of AL tonnage WMT</v>
      </c>
      <c r="F49" s="36">
        <f t="shared" si="4"/>
        <v>45999.670751378711</v>
      </c>
      <c r="G49" s="36">
        <f t="shared" si="4"/>
        <v>12065.769196800002</v>
      </c>
      <c r="H49" s="39">
        <f t="shared" si="5"/>
        <v>0.15736577485166059</v>
      </c>
    </row>
    <row r="50" spans="1:8" x14ac:dyDescent="0.25">
      <c r="A50" s="42">
        <f t="shared" si="1"/>
        <v>2040</v>
      </c>
      <c r="B50" s="36">
        <f t="shared" si="1"/>
        <v>4400000</v>
      </c>
      <c r="C50" s="36">
        <f t="shared" si="2"/>
        <v>76673.401240985782</v>
      </c>
      <c r="D50" s="36">
        <f t="shared" si="3"/>
        <v>2677514</v>
      </c>
      <c r="E50" s="36" t="str">
        <f t="shared" si="3"/>
        <v>1 CCPR, 60% of AL tonnage WMT</v>
      </c>
      <c r="F50" s="36">
        <f t="shared" si="4"/>
        <v>46653.381200050149</v>
      </c>
      <c r="G50" s="36">
        <f t="shared" si="4"/>
        <v>12669.048324955522</v>
      </c>
      <c r="H50" s="39">
        <f t="shared" si="5"/>
        <v>0.16523394188731097</v>
      </c>
    </row>
    <row r="51" spans="1:8" x14ac:dyDescent="0.25">
      <c r="A51" s="42">
        <f t="shared" si="1"/>
        <v>2041</v>
      </c>
      <c r="B51" s="36">
        <f t="shared" si="1"/>
        <v>4400000</v>
      </c>
      <c r="C51" s="36">
        <f t="shared" si="2"/>
        <v>76673.401240985782</v>
      </c>
      <c r="D51" s="36">
        <f t="shared" si="3"/>
        <v>2640000</v>
      </c>
      <c r="E51" s="36" t="str">
        <f t="shared" si="3"/>
        <v>60% of AL tonnage WMT</v>
      </c>
      <c r="F51" s="36">
        <f t="shared" si="4"/>
        <v>45999.670751378711</v>
      </c>
      <c r="G51" s="36">
        <f t="shared" si="4"/>
        <v>12065.769196800002</v>
      </c>
      <c r="H51" s="39">
        <f t="shared" si="5"/>
        <v>0.15736577485166059</v>
      </c>
    </row>
    <row r="52" spans="1:8" x14ac:dyDescent="0.25">
      <c r="A52" s="42">
        <f t="shared" ref="A52:B61" si="6">A21</f>
        <v>2042</v>
      </c>
      <c r="B52" s="36">
        <f t="shared" si="6"/>
        <v>4400000</v>
      </c>
      <c r="C52" s="36">
        <f t="shared" si="2"/>
        <v>76673.401240985782</v>
      </c>
      <c r="D52" s="36">
        <f t="shared" ref="D52:E61" si="7">D21</f>
        <v>2640000</v>
      </c>
      <c r="E52" s="36" t="str">
        <f t="shared" si="7"/>
        <v>60% of AL tonnage WMT</v>
      </c>
      <c r="F52" s="36">
        <f t="shared" ref="F52:G61" si="8">F21/1000</f>
        <v>45999.670751378711</v>
      </c>
      <c r="G52" s="36">
        <f t="shared" si="8"/>
        <v>12065.769196800002</v>
      </c>
      <c r="H52" s="39">
        <f t="shared" si="5"/>
        <v>0.15736577485166059</v>
      </c>
    </row>
    <row r="53" spans="1:8" x14ac:dyDescent="0.25">
      <c r="A53" s="42">
        <f t="shared" si="6"/>
        <v>2043</v>
      </c>
      <c r="B53" s="36">
        <f t="shared" si="6"/>
        <v>4400000</v>
      </c>
      <c r="C53" s="36">
        <f t="shared" si="2"/>
        <v>76673.401240985782</v>
      </c>
      <c r="D53" s="36">
        <f t="shared" si="7"/>
        <v>2677514</v>
      </c>
      <c r="E53" s="36" t="str">
        <f t="shared" si="7"/>
        <v>1 CCPR, 60% of AL tonnage WMT</v>
      </c>
      <c r="F53" s="36">
        <f t="shared" si="8"/>
        <v>46653.381200050149</v>
      </c>
      <c r="G53" s="36">
        <f t="shared" si="8"/>
        <v>12669.048324955522</v>
      </c>
      <c r="H53" s="39">
        <f t="shared" si="5"/>
        <v>0.16523394188731097</v>
      </c>
    </row>
    <row r="54" spans="1:8" x14ac:dyDescent="0.25">
      <c r="A54" s="42">
        <f t="shared" si="6"/>
        <v>2044</v>
      </c>
      <c r="B54" s="36">
        <f t="shared" si="6"/>
        <v>4400000</v>
      </c>
      <c r="C54" s="36">
        <f t="shared" si="2"/>
        <v>76673.401240985782</v>
      </c>
      <c r="D54" s="36">
        <f t="shared" si="7"/>
        <v>2640000</v>
      </c>
      <c r="E54" s="36" t="str">
        <f t="shared" si="7"/>
        <v>60% of AL tonnage WMT</v>
      </c>
      <c r="F54" s="36">
        <f t="shared" si="8"/>
        <v>45999.670751378711</v>
      </c>
      <c r="G54" s="36">
        <f t="shared" si="8"/>
        <v>12065.769196800002</v>
      </c>
      <c r="H54" s="39">
        <f t="shared" si="5"/>
        <v>0.15736577485166059</v>
      </c>
    </row>
    <row r="55" spans="1:8" x14ac:dyDescent="0.25">
      <c r="A55" s="42">
        <f t="shared" si="6"/>
        <v>2045</v>
      </c>
      <c r="B55" s="36">
        <f t="shared" si="6"/>
        <v>4400000</v>
      </c>
      <c r="C55" s="36">
        <f t="shared" si="2"/>
        <v>76673.401240985782</v>
      </c>
      <c r="D55" s="36">
        <f t="shared" si="7"/>
        <v>2640000</v>
      </c>
      <c r="E55" s="36" t="str">
        <f t="shared" si="7"/>
        <v>60% of AL tonnage WMT</v>
      </c>
      <c r="F55" s="36">
        <f t="shared" si="8"/>
        <v>45999.670751378711</v>
      </c>
      <c r="G55" s="36">
        <f t="shared" si="8"/>
        <v>12065.769196800002</v>
      </c>
      <c r="H55" s="39">
        <f t="shared" si="5"/>
        <v>0.15736577485166059</v>
      </c>
    </row>
    <row r="56" spans="1:8" x14ac:dyDescent="0.25">
      <c r="A56" s="42">
        <f t="shared" si="6"/>
        <v>2046</v>
      </c>
      <c r="B56" s="36">
        <f t="shared" si="6"/>
        <v>4400000</v>
      </c>
      <c r="C56" s="36">
        <f t="shared" si="2"/>
        <v>76673.401240985782</v>
      </c>
      <c r="D56" s="36">
        <f t="shared" si="7"/>
        <v>2677514</v>
      </c>
      <c r="E56" s="36" t="str">
        <f t="shared" si="7"/>
        <v>1 CCPR, 60% of AL tonnage WMT</v>
      </c>
      <c r="F56" s="36">
        <f t="shared" si="8"/>
        <v>46653.381200050149</v>
      </c>
      <c r="G56" s="36">
        <f t="shared" si="8"/>
        <v>12669.048324955522</v>
      </c>
      <c r="H56" s="39">
        <f t="shared" si="5"/>
        <v>0.16523394188731097</v>
      </c>
    </row>
    <row r="57" spans="1:8" x14ac:dyDescent="0.25">
      <c r="A57" s="42">
        <f t="shared" si="6"/>
        <v>2047</v>
      </c>
      <c r="B57" s="36">
        <f t="shared" si="6"/>
        <v>4400000</v>
      </c>
      <c r="C57" s="36">
        <f t="shared" si="2"/>
        <v>76673.401240985782</v>
      </c>
      <c r="D57" s="36">
        <f t="shared" si="7"/>
        <v>2640000</v>
      </c>
      <c r="E57" s="36" t="str">
        <f t="shared" si="7"/>
        <v>60% of AL tonnage WMT</v>
      </c>
      <c r="F57" s="36">
        <f t="shared" si="8"/>
        <v>45999.670751378711</v>
      </c>
      <c r="G57" s="36">
        <f t="shared" si="8"/>
        <v>12065.769196800002</v>
      </c>
      <c r="H57" s="39">
        <f t="shared" si="5"/>
        <v>0.15736577485166059</v>
      </c>
    </row>
    <row r="58" spans="1:8" x14ac:dyDescent="0.25">
      <c r="A58" s="42">
        <f t="shared" si="6"/>
        <v>2048</v>
      </c>
      <c r="B58" s="36">
        <f t="shared" si="6"/>
        <v>4400000</v>
      </c>
      <c r="C58" s="36">
        <f t="shared" si="2"/>
        <v>76673.401240985782</v>
      </c>
      <c r="D58" s="36">
        <f t="shared" si="7"/>
        <v>2640000</v>
      </c>
      <c r="E58" s="36" t="str">
        <f t="shared" si="7"/>
        <v>60% of AL tonnage WMT</v>
      </c>
      <c r="F58" s="36">
        <f t="shared" si="8"/>
        <v>45999.670751378711</v>
      </c>
      <c r="G58" s="36">
        <f t="shared" si="8"/>
        <v>12065.769196800002</v>
      </c>
      <c r="H58" s="39">
        <f t="shared" si="5"/>
        <v>0.15736577485166059</v>
      </c>
    </row>
    <row r="59" spans="1:8" x14ac:dyDescent="0.25">
      <c r="A59" s="42">
        <f t="shared" si="6"/>
        <v>2049</v>
      </c>
      <c r="B59" s="36">
        <f t="shared" si="6"/>
        <v>4400000</v>
      </c>
      <c r="C59" s="36">
        <f t="shared" si="2"/>
        <v>76673.401240985782</v>
      </c>
      <c r="D59" s="36">
        <f t="shared" si="7"/>
        <v>2677514</v>
      </c>
      <c r="E59" s="36" t="str">
        <f t="shared" si="7"/>
        <v>1 CCPR, 60% of AL tonnage WMT</v>
      </c>
      <c r="F59" s="36">
        <f t="shared" si="8"/>
        <v>46653.381200050149</v>
      </c>
      <c r="G59" s="36">
        <f t="shared" si="8"/>
        <v>12669.048324955522</v>
      </c>
      <c r="H59" s="39">
        <f t="shared" si="5"/>
        <v>0.16523394188731097</v>
      </c>
    </row>
    <row r="60" spans="1:8" x14ac:dyDescent="0.25">
      <c r="A60" s="42">
        <f t="shared" si="6"/>
        <v>2050</v>
      </c>
      <c r="B60" s="36">
        <f t="shared" si="6"/>
        <v>4400000</v>
      </c>
      <c r="C60" s="36">
        <f t="shared" si="2"/>
        <v>76673.401240985782</v>
      </c>
      <c r="D60" s="36">
        <f t="shared" si="7"/>
        <v>2640000</v>
      </c>
      <c r="E60" s="36" t="str">
        <f t="shared" si="7"/>
        <v>60% of AL tonnage WMT</v>
      </c>
      <c r="F60" s="36">
        <f t="shared" si="8"/>
        <v>45999.670751378711</v>
      </c>
      <c r="G60" s="36">
        <f t="shared" si="8"/>
        <v>12065.769196800002</v>
      </c>
      <c r="H60" s="39">
        <f t="shared" si="5"/>
        <v>0.15736577485166059</v>
      </c>
    </row>
    <row r="61" spans="1:8" x14ac:dyDescent="0.25">
      <c r="A61" s="52" t="str">
        <f t="shared" si="6"/>
        <v>Total</v>
      </c>
      <c r="B61" s="43">
        <f t="shared" si="6"/>
        <v>114400000</v>
      </c>
      <c r="C61" s="43">
        <f t="shared" si="2"/>
        <v>1993508.4322656309</v>
      </c>
      <c r="D61" s="43">
        <f t="shared" si="7"/>
        <v>67367682</v>
      </c>
      <c r="E61" s="43" t="str">
        <f t="shared" si="7"/>
        <v xml:space="preserve"> - </v>
      </c>
      <c r="F61" s="43">
        <f t="shared" si="8"/>
        <v>1173823.22820099</v>
      </c>
      <c r="G61" s="43">
        <f t="shared" si="8"/>
        <v>312101.98675514333</v>
      </c>
      <c r="H61" s="49">
        <f t="shared" si="5"/>
        <v>0.15655915054266314</v>
      </c>
    </row>
  </sheetData>
  <pageMargins left="0.7" right="0.7" top="0.75" bottom="0.75" header="0.3" footer="0.3"/>
  <pageSetup orientation="portrait" r:id="rId1"/>
  <ignoredErrors>
    <ignoredError sqref="C35:C6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CEBA5-72EB-4DDA-B552-73657A86CC9D}">
  <dimension ref="A1:D10"/>
  <sheetViews>
    <sheetView showGridLines="0" workbookViewId="0"/>
  </sheetViews>
  <sheetFormatPr defaultRowHeight="15" x14ac:dyDescent="0.25"/>
  <cols>
    <col min="1" max="1" width="36" style="1" customWidth="1"/>
    <col min="2" max="2" width="16.28515625" style="19" customWidth="1"/>
    <col min="3" max="3" width="16.7109375" style="19" customWidth="1"/>
    <col min="4" max="16384" width="9.140625" style="1"/>
  </cols>
  <sheetData>
    <row r="1" spans="1:4" ht="15.75" thickBot="1" x14ac:dyDescent="0.3">
      <c r="A1" s="3" t="s">
        <v>102</v>
      </c>
    </row>
    <row r="2" spans="1:4" x14ac:dyDescent="0.25">
      <c r="B2" s="26" t="s">
        <v>96</v>
      </c>
      <c r="C2" s="27" t="s">
        <v>97</v>
      </c>
      <c r="D2" s="3"/>
    </row>
    <row r="3" spans="1:4" x14ac:dyDescent="0.25">
      <c r="A3" s="62" t="s">
        <v>94</v>
      </c>
      <c r="B3" s="14">
        <v>32.6</v>
      </c>
      <c r="C3" s="10" t="s">
        <v>95</v>
      </c>
      <c r="D3" s="3"/>
    </row>
    <row r="4" spans="1:4" x14ac:dyDescent="0.25">
      <c r="A4" s="62" t="s">
        <v>98</v>
      </c>
      <c r="B4" s="14">
        <v>135.30000000000001</v>
      </c>
      <c r="C4" s="10" t="s">
        <v>95</v>
      </c>
    </row>
    <row r="5" spans="1:4" x14ac:dyDescent="0.25">
      <c r="B5" s="14"/>
      <c r="C5" s="10"/>
    </row>
    <row r="6" spans="1:4" x14ac:dyDescent="0.25">
      <c r="A6" s="12" t="s">
        <v>99</v>
      </c>
      <c r="B6" s="63">
        <f>B3/B4</f>
        <v>0.2409460458240946</v>
      </c>
      <c r="C6" s="10"/>
    </row>
    <row r="7" spans="1:4" x14ac:dyDescent="0.25">
      <c r="B7" s="14"/>
      <c r="C7" s="10"/>
    </row>
    <row r="8" spans="1:4" x14ac:dyDescent="0.25">
      <c r="A8" s="1" t="s">
        <v>101</v>
      </c>
      <c r="B8" s="14">
        <v>16.3</v>
      </c>
      <c r="C8" s="10" t="s">
        <v>95</v>
      </c>
    </row>
    <row r="9" spans="1:4" ht="15.75" thickBot="1" x14ac:dyDescent="0.3">
      <c r="A9" s="12" t="s">
        <v>100</v>
      </c>
      <c r="B9" s="64">
        <f>B8/B3</f>
        <v>0.5</v>
      </c>
      <c r="C9" s="17"/>
    </row>
    <row r="10" spans="1:4" x14ac:dyDescent="0.25">
      <c r="B10" s="60" t="s">
        <v>92</v>
      </c>
      <c r="C10" s="61" t="s">
        <v>93</v>
      </c>
    </row>
  </sheetData>
  <hyperlinks>
    <hyperlink ref="C10" r:id="rId1" display="https://www.epa.gov/system/files/documents/2024-03/alabama-pcap.pdf" xr:uid="{543DD269-9DC4-4765-A1BB-9E3041549798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87DEA-F31A-40C7-834B-0A58FF3DE8C0}">
  <dimension ref="A1:L90"/>
  <sheetViews>
    <sheetView showGridLines="0" zoomScaleNormal="100" workbookViewId="0">
      <pane ySplit="6" topLeftCell="A22" activePane="bottomLeft" state="frozen"/>
      <selection pane="bottomLeft" activeCell="B51" sqref="B51"/>
    </sheetView>
  </sheetViews>
  <sheetFormatPr defaultRowHeight="15" x14ac:dyDescent="0.25"/>
  <cols>
    <col min="1" max="1" width="34.5703125" style="3" customWidth="1"/>
    <col min="2" max="2" width="27.28515625" style="1" customWidth="1"/>
    <col min="3" max="4" width="16.140625" style="1" customWidth="1"/>
    <col min="5" max="5" width="32" style="1" bestFit="1" customWidth="1"/>
    <col min="6" max="6" width="21.7109375" style="1" bestFit="1" customWidth="1"/>
    <col min="7" max="7" width="20.5703125" style="1" customWidth="1"/>
    <col min="8" max="8" width="10.28515625" style="1" customWidth="1"/>
    <col min="9" max="9" width="35.28515625" style="1" customWidth="1"/>
    <col min="10" max="12" width="9.140625" style="1" customWidth="1"/>
    <col min="13" max="16384" width="9.140625" style="1"/>
  </cols>
  <sheetData>
    <row r="1" spans="1:9" x14ac:dyDescent="0.25">
      <c r="A1" s="4" t="s">
        <v>57</v>
      </c>
    </row>
    <row r="2" spans="1:9" x14ac:dyDescent="0.25">
      <c r="A2" s="5" t="s">
        <v>21</v>
      </c>
    </row>
    <row r="4" spans="1:9" x14ac:dyDescent="0.25">
      <c r="A4" s="40" t="s">
        <v>86</v>
      </c>
      <c r="B4" s="59"/>
      <c r="E4" s="25" t="s">
        <v>56</v>
      </c>
    </row>
    <row r="5" spans="1:9" ht="15.75" thickBot="1" x14ac:dyDescent="0.3">
      <c r="A5" s="6" t="s">
        <v>22</v>
      </c>
      <c r="E5" s="6" t="s">
        <v>58</v>
      </c>
    </row>
    <row r="6" spans="1:9" x14ac:dyDescent="0.25">
      <c r="A6" s="1"/>
      <c r="B6" s="7" t="s">
        <v>23</v>
      </c>
      <c r="C6" s="8" t="s">
        <v>0</v>
      </c>
      <c r="E6" s="3"/>
      <c r="F6" s="26" t="s">
        <v>55</v>
      </c>
      <c r="G6" s="27" t="s">
        <v>0</v>
      </c>
    </row>
    <row r="7" spans="1:9" x14ac:dyDescent="0.25">
      <c r="A7" s="1" t="s">
        <v>25</v>
      </c>
      <c r="B7" s="9">
        <f>B51*0.6</f>
        <v>3540000</v>
      </c>
      <c r="C7" s="10" t="s">
        <v>2</v>
      </c>
      <c r="D7" s="19"/>
      <c r="E7" s="1" t="s">
        <v>25</v>
      </c>
      <c r="F7" s="28">
        <f>B7</f>
        <v>3540000</v>
      </c>
      <c r="G7" s="10" t="s">
        <v>2</v>
      </c>
    </row>
    <row r="8" spans="1:9" x14ac:dyDescent="0.25">
      <c r="A8" s="1" t="s">
        <v>27</v>
      </c>
      <c r="B8" s="9">
        <v>289000</v>
      </c>
      <c r="C8" s="10" t="s">
        <v>1</v>
      </c>
      <c r="D8" s="19"/>
      <c r="E8" s="1" t="s">
        <v>54</v>
      </c>
      <c r="F8" s="9">
        <v>289000</v>
      </c>
      <c r="G8" s="10" t="s">
        <v>1</v>
      </c>
      <c r="H8" s="3"/>
      <c r="I8" s="3"/>
    </row>
    <row r="9" spans="1:9" x14ac:dyDescent="0.25">
      <c r="A9" s="1" t="s">
        <v>28</v>
      </c>
      <c r="B9" s="11">
        <f>B8*B7</f>
        <v>1023060000000</v>
      </c>
      <c r="C9" s="10" t="s">
        <v>11</v>
      </c>
      <c r="D9" s="19"/>
      <c r="E9" s="1" t="s">
        <v>53</v>
      </c>
      <c r="F9" s="29">
        <v>340</v>
      </c>
      <c r="G9" s="10" t="s">
        <v>50</v>
      </c>
      <c r="H9" s="21"/>
      <c r="I9" s="21"/>
    </row>
    <row r="10" spans="1:9" x14ac:dyDescent="0.25">
      <c r="A10" s="12" t="s">
        <v>29</v>
      </c>
      <c r="B10" s="13">
        <f>B9/1000000</f>
        <v>1023060</v>
      </c>
      <c r="C10" s="10" t="s">
        <v>12</v>
      </c>
      <c r="D10" s="19"/>
      <c r="E10" s="1" t="s">
        <v>3</v>
      </c>
      <c r="F10" s="9">
        <v>1089530.0803347388</v>
      </c>
      <c r="G10" s="10" t="s">
        <v>3</v>
      </c>
      <c r="H10" s="22"/>
    </row>
    <row r="11" spans="1:9" x14ac:dyDescent="0.25">
      <c r="B11" s="14"/>
      <c r="C11" s="10"/>
      <c r="D11" s="19"/>
      <c r="F11" s="14"/>
      <c r="G11" s="10"/>
      <c r="H11" s="23"/>
    </row>
    <row r="12" spans="1:9" x14ac:dyDescent="0.25">
      <c r="A12" s="1" t="s">
        <v>4</v>
      </c>
      <c r="B12" s="15" t="s">
        <v>16</v>
      </c>
      <c r="C12" s="10"/>
      <c r="D12" s="19"/>
      <c r="E12" s="1" t="s">
        <v>52</v>
      </c>
      <c r="F12" s="29">
        <v>260</v>
      </c>
      <c r="G12" s="10" t="s">
        <v>50</v>
      </c>
    </row>
    <row r="13" spans="1:9" x14ac:dyDescent="0.25">
      <c r="A13" s="1" t="s">
        <v>8</v>
      </c>
      <c r="B13" s="11">
        <f>B10*53.06</f>
        <v>54283563.600000001</v>
      </c>
      <c r="C13" s="10" t="s">
        <v>5</v>
      </c>
      <c r="D13" s="19"/>
      <c r="E13" s="12" t="s">
        <v>51</v>
      </c>
      <c r="F13" s="30">
        <f>F9-F12</f>
        <v>80</v>
      </c>
      <c r="G13" s="10" t="s">
        <v>50</v>
      </c>
    </row>
    <row r="14" spans="1:9" x14ac:dyDescent="0.25">
      <c r="A14" s="1" t="s">
        <v>9</v>
      </c>
      <c r="B14" s="11">
        <f>B10*1</f>
        <v>1023060</v>
      </c>
      <c r="C14" s="10" t="s">
        <v>6</v>
      </c>
      <c r="D14" s="19"/>
      <c r="E14" s="1" t="s">
        <v>49</v>
      </c>
      <c r="F14" s="31">
        <f>(F12-F9)/F9</f>
        <v>-0.23529411764705882</v>
      </c>
      <c r="G14" s="10"/>
    </row>
    <row r="15" spans="1:9" x14ac:dyDescent="0.25">
      <c r="A15" s="1" t="s">
        <v>10</v>
      </c>
      <c r="B15" s="11">
        <f>B10*0.1</f>
        <v>102306</v>
      </c>
      <c r="C15" s="10" t="s">
        <v>7</v>
      </c>
      <c r="D15" s="19"/>
      <c r="F15" s="14"/>
      <c r="G15" s="10"/>
    </row>
    <row r="16" spans="1:9" x14ac:dyDescent="0.25">
      <c r="A16" s="12" t="s">
        <v>14</v>
      </c>
      <c r="B16" s="13">
        <f>0.88*(B13+(0.025*B14) + (0.298*B15))</f>
        <v>47818872.013440005</v>
      </c>
      <c r="C16" s="10" t="s">
        <v>3</v>
      </c>
      <c r="D16" s="19"/>
      <c r="E16" s="1" t="s">
        <v>48</v>
      </c>
      <c r="F16" s="11">
        <v>1100</v>
      </c>
      <c r="G16" s="10" t="s">
        <v>47</v>
      </c>
    </row>
    <row r="17" spans="1:7" x14ac:dyDescent="0.25">
      <c r="A17" s="1"/>
      <c r="B17" s="14"/>
      <c r="C17" s="10"/>
      <c r="D17" s="19"/>
      <c r="E17" s="1" t="s">
        <v>46</v>
      </c>
      <c r="F17" s="11">
        <f>F13*F16</f>
        <v>88000</v>
      </c>
      <c r="G17" s="10" t="s">
        <v>1</v>
      </c>
    </row>
    <row r="18" spans="1:7" x14ac:dyDescent="0.25">
      <c r="A18" s="1" t="s">
        <v>4</v>
      </c>
      <c r="B18" s="15" t="s">
        <v>13</v>
      </c>
      <c r="C18" s="10"/>
      <c r="D18" s="19"/>
      <c r="E18" s="1" t="s">
        <v>45</v>
      </c>
      <c r="F18" s="31">
        <f>F17/F8</f>
        <v>0.30449826989619377</v>
      </c>
      <c r="G18" s="10" t="s">
        <v>1</v>
      </c>
    </row>
    <row r="19" spans="1:7" x14ac:dyDescent="0.25">
      <c r="A19" s="1" t="s">
        <v>8</v>
      </c>
      <c r="B19" s="11">
        <f>B10*73.96</f>
        <v>75665517.599999994</v>
      </c>
      <c r="C19" s="10" t="s">
        <v>5</v>
      </c>
      <c r="D19" s="19"/>
      <c r="E19" s="1" t="s">
        <v>44</v>
      </c>
      <c r="F19" s="11">
        <f>F17*F7</f>
        <v>311520000000</v>
      </c>
      <c r="G19" s="10" t="s">
        <v>11</v>
      </c>
    </row>
    <row r="20" spans="1:7" x14ac:dyDescent="0.25">
      <c r="A20" s="1" t="s">
        <v>9</v>
      </c>
      <c r="B20" s="11">
        <f>B10*3</f>
        <v>3069180</v>
      </c>
      <c r="C20" s="10" t="s">
        <v>6</v>
      </c>
      <c r="D20" s="19"/>
      <c r="E20" s="12" t="s">
        <v>43</v>
      </c>
      <c r="F20" s="13">
        <f>F19/1000000</f>
        <v>311520</v>
      </c>
      <c r="G20" s="10" t="s">
        <v>12</v>
      </c>
    </row>
    <row r="21" spans="1:7" x14ac:dyDescent="0.25">
      <c r="A21" s="1" t="s">
        <v>10</v>
      </c>
      <c r="B21" s="11">
        <f>B10*0.6</f>
        <v>613836</v>
      </c>
      <c r="C21" s="10" t="s">
        <v>7</v>
      </c>
      <c r="D21" s="19"/>
      <c r="E21" s="3"/>
      <c r="F21" s="14"/>
      <c r="G21" s="10"/>
    </row>
    <row r="22" spans="1:7" x14ac:dyDescent="0.25">
      <c r="A22" s="12" t="s">
        <v>15</v>
      </c>
      <c r="B22" s="13">
        <f>0.12*(B19+(0.025*B20) + (0.298*B21))</f>
        <v>9111020.4273600001</v>
      </c>
      <c r="C22" s="10" t="s">
        <v>3</v>
      </c>
      <c r="D22" s="19"/>
      <c r="E22" s="1" t="s">
        <v>4</v>
      </c>
      <c r="F22" s="15" t="s">
        <v>16</v>
      </c>
      <c r="G22" s="10"/>
    </row>
    <row r="23" spans="1:7" x14ac:dyDescent="0.25">
      <c r="A23" s="1"/>
      <c r="B23" s="14"/>
      <c r="C23" s="10"/>
      <c r="D23" s="19"/>
      <c r="E23" s="1" t="s">
        <v>8</v>
      </c>
      <c r="F23" s="11">
        <f>F20*53.06</f>
        <v>16529251.200000001</v>
      </c>
      <c r="G23" s="10" t="s">
        <v>5</v>
      </c>
    </row>
    <row r="24" spans="1:7" x14ac:dyDescent="0.25">
      <c r="A24" s="1" t="s">
        <v>26</v>
      </c>
      <c r="B24" s="9">
        <v>11320</v>
      </c>
      <c r="C24" s="10"/>
      <c r="D24" s="19"/>
      <c r="E24" s="1" t="s">
        <v>9</v>
      </c>
      <c r="F24" s="11">
        <f>F20*1</f>
        <v>311520</v>
      </c>
      <c r="G24" s="10" t="s">
        <v>6</v>
      </c>
    </row>
    <row r="25" spans="1:7" x14ac:dyDescent="0.25">
      <c r="A25" s="1" t="s">
        <v>30</v>
      </c>
      <c r="B25" s="11">
        <f>B24*B7</f>
        <v>40072800000</v>
      </c>
      <c r="C25" s="10" t="s">
        <v>11</v>
      </c>
      <c r="D25" s="19"/>
      <c r="E25" s="1" t="s">
        <v>10</v>
      </c>
      <c r="F25" s="11">
        <f>F20*0.1</f>
        <v>31152</v>
      </c>
      <c r="G25" s="10" t="s">
        <v>7</v>
      </c>
    </row>
    <row r="26" spans="1:7" x14ac:dyDescent="0.25">
      <c r="A26" s="12" t="s">
        <v>31</v>
      </c>
      <c r="B26" s="13">
        <f>B25/1000000</f>
        <v>40072.800000000003</v>
      </c>
      <c r="C26" s="10" t="s">
        <v>12</v>
      </c>
      <c r="D26" s="19"/>
      <c r="E26" s="12" t="s">
        <v>14</v>
      </c>
      <c r="F26" s="13">
        <f>0.88*(F23+(0.025*F24) + (0.298*F25))</f>
        <v>14560763.796480002</v>
      </c>
      <c r="G26" s="10" t="s">
        <v>3</v>
      </c>
    </row>
    <row r="27" spans="1:7" x14ac:dyDescent="0.25">
      <c r="A27" s="1"/>
      <c r="B27" s="11"/>
      <c r="C27" s="10"/>
      <c r="D27" s="19"/>
      <c r="F27" s="14"/>
      <c r="G27" s="10"/>
    </row>
    <row r="28" spans="1:7" x14ac:dyDescent="0.25">
      <c r="A28" s="1" t="s">
        <v>19</v>
      </c>
      <c r="B28" s="14" t="s">
        <v>18</v>
      </c>
      <c r="C28" s="10"/>
      <c r="D28" s="19"/>
      <c r="E28" s="1" t="s">
        <v>4</v>
      </c>
      <c r="F28" s="15" t="s">
        <v>13</v>
      </c>
      <c r="G28" s="10"/>
    </row>
    <row r="29" spans="1:7" x14ac:dyDescent="0.25">
      <c r="A29" s="1" t="s">
        <v>8</v>
      </c>
      <c r="B29" s="11">
        <f>B26*(1/3.412)*891.9*(1/2.2046)</f>
        <v>4751459.4497554349</v>
      </c>
      <c r="C29" s="10" t="s">
        <v>5</v>
      </c>
      <c r="D29" s="19"/>
      <c r="E29" s="1" t="s">
        <v>8</v>
      </c>
      <c r="F29" s="11">
        <f>$F$20*73.96</f>
        <v>23040019.199999999</v>
      </c>
      <c r="G29" s="10" t="s">
        <v>5</v>
      </c>
    </row>
    <row r="30" spans="1:7" x14ac:dyDescent="0.25">
      <c r="A30" s="1" t="s">
        <v>9</v>
      </c>
      <c r="B30" s="11">
        <f>B26*(1/3.412)*0.067*(1/2.2046)</f>
        <v>356.93214837270347</v>
      </c>
      <c r="C30" s="10" t="s">
        <v>6</v>
      </c>
      <c r="D30" s="19"/>
      <c r="E30" s="1" t="s">
        <v>9</v>
      </c>
      <c r="F30" s="11">
        <f>$F$20*3</f>
        <v>934560</v>
      </c>
      <c r="G30" s="10" t="s">
        <v>6</v>
      </c>
    </row>
    <row r="31" spans="1:7" x14ac:dyDescent="0.25">
      <c r="A31" s="1" t="s">
        <v>10</v>
      </c>
      <c r="B31" s="11">
        <f>B26*(1/3.412)*0.01*(1/2.2046)</f>
        <v>53.273454981000512</v>
      </c>
      <c r="C31" s="10" t="s">
        <v>7</v>
      </c>
      <c r="D31" s="19"/>
      <c r="E31" s="1" t="s">
        <v>10</v>
      </c>
      <c r="F31" s="11">
        <f>$F$20*0.6</f>
        <v>186912</v>
      </c>
      <c r="G31" s="10" t="s">
        <v>7</v>
      </c>
    </row>
    <row r="32" spans="1:7" x14ac:dyDescent="0.25">
      <c r="A32" s="12" t="s">
        <v>20</v>
      </c>
      <c r="B32" s="13">
        <f>B29+(0.025*B30) + (0.298*B31)</f>
        <v>4751484.2485487284</v>
      </c>
      <c r="C32" s="10" t="s">
        <v>3</v>
      </c>
      <c r="D32" s="19"/>
      <c r="E32" s="12" t="s">
        <v>15</v>
      </c>
      <c r="F32" s="13">
        <f>0.12*(F29+(0.025*F30) + (0.298*F31))</f>
        <v>2774289.9571199999</v>
      </c>
      <c r="G32" s="10" t="s">
        <v>3</v>
      </c>
    </row>
    <row r="33" spans="1:12" x14ac:dyDescent="0.25">
      <c r="B33" s="14"/>
      <c r="C33" s="10"/>
      <c r="D33" s="19"/>
      <c r="F33" s="11"/>
      <c r="G33" s="10"/>
    </row>
    <row r="34" spans="1:12" ht="15.75" thickBot="1" x14ac:dyDescent="0.3">
      <c r="A34" s="12" t="s">
        <v>17</v>
      </c>
      <c r="B34" s="16">
        <f>B16+B22+B32</f>
        <v>61681376.689348735</v>
      </c>
      <c r="C34" s="17" t="s">
        <v>3</v>
      </c>
      <c r="D34" s="19"/>
      <c r="E34" s="1" t="s">
        <v>26</v>
      </c>
      <c r="F34" s="11">
        <v>11320</v>
      </c>
      <c r="G34" s="10"/>
    </row>
    <row r="35" spans="1:12" x14ac:dyDescent="0.25">
      <c r="A35" s="1"/>
      <c r="E35" s="1" t="s">
        <v>11</v>
      </c>
      <c r="F35" s="11">
        <f>F34*F7</f>
        <v>40072800000</v>
      </c>
      <c r="G35" s="10" t="s">
        <v>11</v>
      </c>
    </row>
    <row r="36" spans="1:12" x14ac:dyDescent="0.25">
      <c r="A36" s="1"/>
      <c r="E36" s="1" t="s">
        <v>12</v>
      </c>
      <c r="F36" s="11">
        <f>F35/1000000</f>
        <v>40072.800000000003</v>
      </c>
      <c r="G36" s="10" t="s">
        <v>12</v>
      </c>
    </row>
    <row r="37" spans="1:12" x14ac:dyDescent="0.25">
      <c r="A37" s="1"/>
      <c r="F37" s="11"/>
      <c r="G37" s="10"/>
    </row>
    <row r="38" spans="1:12" x14ac:dyDescent="0.25">
      <c r="A38" s="1"/>
      <c r="E38" s="1" t="s">
        <v>19</v>
      </c>
      <c r="F38" s="15" t="s">
        <v>18</v>
      </c>
      <c r="G38" s="10"/>
    </row>
    <row r="39" spans="1:12" x14ac:dyDescent="0.25">
      <c r="A39" s="1"/>
      <c r="E39" s="1" t="s">
        <v>8</v>
      </c>
      <c r="F39" s="11">
        <f>F36*(1/3.412)*891.9*(1/2.2046)</f>
        <v>4751459.4497554349</v>
      </c>
      <c r="G39" s="10" t="s">
        <v>5</v>
      </c>
    </row>
    <row r="40" spans="1:12" x14ac:dyDescent="0.25">
      <c r="A40" s="1"/>
      <c r="E40" s="1" t="s">
        <v>9</v>
      </c>
      <c r="F40" s="11">
        <f>F36*(1/3.412)*0.067*(1/2.2046)</f>
        <v>356.93214837270347</v>
      </c>
      <c r="G40" s="10" t="s">
        <v>6</v>
      </c>
    </row>
    <row r="41" spans="1:12" x14ac:dyDescent="0.25">
      <c r="A41" s="1"/>
      <c r="E41" s="1" t="s">
        <v>10</v>
      </c>
      <c r="F41" s="11">
        <f>F36*(1/3.412)*0.01*(1/2.2046)</f>
        <v>53.273454981000512</v>
      </c>
      <c r="G41" s="10" t="s">
        <v>7</v>
      </c>
    </row>
    <row r="42" spans="1:12" x14ac:dyDescent="0.25">
      <c r="A42" s="1"/>
      <c r="E42" s="12" t="s">
        <v>20</v>
      </c>
      <c r="F42" s="13">
        <f>F39 + (0.025*F40) + (0.298*F41)</f>
        <v>4751484.2485487284</v>
      </c>
      <c r="G42" s="10" t="s">
        <v>3</v>
      </c>
    </row>
    <row r="43" spans="1:12" x14ac:dyDescent="0.25">
      <c r="A43" s="1"/>
      <c r="F43" s="14"/>
      <c r="G43" s="10"/>
      <c r="L43" s="24"/>
    </row>
    <row r="44" spans="1:12" x14ac:dyDescent="0.25">
      <c r="A44" s="1"/>
      <c r="E44" s="12" t="s">
        <v>42</v>
      </c>
      <c r="F44" s="13">
        <f>F26+F32</f>
        <v>17335053.753600001</v>
      </c>
      <c r="G44" s="10" t="s">
        <v>3</v>
      </c>
      <c r="L44" s="24"/>
    </row>
    <row r="45" spans="1:12" x14ac:dyDescent="0.25">
      <c r="A45" s="1"/>
      <c r="E45" s="12" t="s">
        <v>41</v>
      </c>
      <c r="F45" s="32">
        <f>F44/F10</f>
        <v>15.910578391992733</v>
      </c>
      <c r="G45" s="10"/>
    </row>
    <row r="46" spans="1:12" ht="15.75" thickBot="1" x14ac:dyDescent="0.3">
      <c r="E46" s="12" t="s">
        <v>40</v>
      </c>
      <c r="F46" s="33">
        <f>F44/F7</f>
        <v>4.8969078400000008</v>
      </c>
      <c r="G46" s="17" t="s">
        <v>39</v>
      </c>
    </row>
    <row r="48" spans="1:12" x14ac:dyDescent="0.25">
      <c r="A48" s="40" t="s">
        <v>87</v>
      </c>
    </row>
    <row r="49" spans="1:7" ht="15.75" thickBot="1" x14ac:dyDescent="0.3">
      <c r="A49" s="6" t="s">
        <v>22</v>
      </c>
      <c r="E49" s="6" t="s">
        <v>58</v>
      </c>
    </row>
    <row r="50" spans="1:7" x14ac:dyDescent="0.25">
      <c r="A50" s="1"/>
      <c r="B50" s="7" t="s">
        <v>23</v>
      </c>
      <c r="C50" s="8" t="s">
        <v>0</v>
      </c>
      <c r="E50" s="3"/>
      <c r="F50" s="26" t="s">
        <v>55</v>
      </c>
      <c r="G50" s="27" t="s">
        <v>0</v>
      </c>
    </row>
    <row r="51" spans="1:7" x14ac:dyDescent="0.25">
      <c r="A51" s="1" t="s">
        <v>25</v>
      </c>
      <c r="B51" s="9">
        <v>5900000</v>
      </c>
      <c r="C51" s="10" t="s">
        <v>2</v>
      </c>
      <c r="D51" s="19"/>
      <c r="E51" s="1" t="s">
        <v>25</v>
      </c>
      <c r="F51" s="28">
        <f>B51</f>
        <v>5900000</v>
      </c>
      <c r="G51" s="10" t="s">
        <v>2</v>
      </c>
    </row>
    <row r="52" spans="1:7" x14ac:dyDescent="0.25">
      <c r="A52" s="1" t="s">
        <v>27</v>
      </c>
      <c r="B52" s="9">
        <v>289000</v>
      </c>
      <c r="C52" s="10" t="s">
        <v>1</v>
      </c>
      <c r="D52" s="19"/>
      <c r="E52" s="1" t="s">
        <v>54</v>
      </c>
      <c r="F52" s="9">
        <v>289000</v>
      </c>
      <c r="G52" s="10" t="s">
        <v>1</v>
      </c>
    </row>
    <row r="53" spans="1:7" x14ac:dyDescent="0.25">
      <c r="A53" s="1" t="s">
        <v>28</v>
      </c>
      <c r="B53" s="11">
        <f>B52*B51</f>
        <v>1705100000000</v>
      </c>
      <c r="C53" s="10" t="s">
        <v>11</v>
      </c>
      <c r="D53" s="19"/>
      <c r="E53" s="1" t="s">
        <v>53</v>
      </c>
      <c r="F53" s="29">
        <v>340</v>
      </c>
      <c r="G53" s="10" t="s">
        <v>50</v>
      </c>
    </row>
    <row r="54" spans="1:7" x14ac:dyDescent="0.25">
      <c r="A54" s="12" t="s">
        <v>29</v>
      </c>
      <c r="B54" s="13">
        <f>B53/1000000</f>
        <v>1705100</v>
      </c>
      <c r="C54" s="10" t="s">
        <v>12</v>
      </c>
      <c r="D54" s="19"/>
      <c r="E54" s="1" t="s">
        <v>3</v>
      </c>
      <c r="F54" s="9">
        <v>1089530.0803347388</v>
      </c>
      <c r="G54" s="10" t="s">
        <v>3</v>
      </c>
    </row>
    <row r="55" spans="1:7" x14ac:dyDescent="0.25">
      <c r="B55" s="14"/>
      <c r="C55" s="10"/>
      <c r="D55" s="19"/>
      <c r="F55" s="14"/>
      <c r="G55" s="10"/>
    </row>
    <row r="56" spans="1:7" x14ac:dyDescent="0.25">
      <c r="A56" s="1" t="s">
        <v>4</v>
      </c>
      <c r="B56" s="15" t="s">
        <v>16</v>
      </c>
      <c r="C56" s="10"/>
      <c r="D56" s="19"/>
      <c r="E56" s="1" t="s">
        <v>52</v>
      </c>
      <c r="F56" s="29">
        <v>260</v>
      </c>
      <c r="G56" s="10" t="s">
        <v>50</v>
      </c>
    </row>
    <row r="57" spans="1:7" x14ac:dyDescent="0.25">
      <c r="A57" s="1" t="s">
        <v>8</v>
      </c>
      <c r="B57" s="11">
        <f>B54*53.06</f>
        <v>90472606</v>
      </c>
      <c r="C57" s="10" t="s">
        <v>5</v>
      </c>
      <c r="D57" s="19"/>
      <c r="E57" s="12" t="s">
        <v>51</v>
      </c>
      <c r="F57" s="30">
        <f>F53-F56</f>
        <v>80</v>
      </c>
      <c r="G57" s="10" t="s">
        <v>50</v>
      </c>
    </row>
    <row r="58" spans="1:7" x14ac:dyDescent="0.25">
      <c r="A58" s="1" t="s">
        <v>9</v>
      </c>
      <c r="B58" s="11">
        <f>B54*1</f>
        <v>1705100</v>
      </c>
      <c r="C58" s="10" t="s">
        <v>6</v>
      </c>
      <c r="D58" s="19"/>
      <c r="E58" s="1" t="s">
        <v>49</v>
      </c>
      <c r="F58" s="31">
        <f>(F56-F53)/F53</f>
        <v>-0.23529411764705882</v>
      </c>
      <c r="G58" s="10"/>
    </row>
    <row r="59" spans="1:7" x14ac:dyDescent="0.25">
      <c r="A59" s="1" t="s">
        <v>10</v>
      </c>
      <c r="B59" s="11">
        <f>B54*0.1</f>
        <v>170510</v>
      </c>
      <c r="C59" s="10" t="s">
        <v>7</v>
      </c>
      <c r="D59" s="19"/>
      <c r="F59" s="14"/>
      <c r="G59" s="10"/>
    </row>
    <row r="60" spans="1:7" x14ac:dyDescent="0.25">
      <c r="A60" s="12" t="s">
        <v>14</v>
      </c>
      <c r="B60" s="13">
        <f>0.88*(B57+(0.025*B58) + (0.298*B59))</f>
        <v>79698120.022400007</v>
      </c>
      <c r="C60" s="10" t="s">
        <v>3</v>
      </c>
      <c r="D60" s="19"/>
      <c r="E60" s="1" t="s">
        <v>48</v>
      </c>
      <c r="F60" s="11">
        <v>1100</v>
      </c>
      <c r="G60" s="10" t="s">
        <v>47</v>
      </c>
    </row>
    <row r="61" spans="1:7" x14ac:dyDescent="0.25">
      <c r="A61" s="1"/>
      <c r="B61" s="14"/>
      <c r="C61" s="10"/>
      <c r="D61" s="19"/>
      <c r="E61" s="1" t="s">
        <v>46</v>
      </c>
      <c r="F61" s="11">
        <f>F57*F60</f>
        <v>88000</v>
      </c>
      <c r="G61" s="10" t="s">
        <v>1</v>
      </c>
    </row>
    <row r="62" spans="1:7" x14ac:dyDescent="0.25">
      <c r="A62" s="1" t="s">
        <v>4</v>
      </c>
      <c r="B62" s="15" t="s">
        <v>13</v>
      </c>
      <c r="C62" s="10"/>
      <c r="D62" s="19"/>
      <c r="E62" s="1" t="s">
        <v>45</v>
      </c>
      <c r="F62" s="31">
        <f>F61/F52</f>
        <v>0.30449826989619377</v>
      </c>
      <c r="G62" s="10" t="s">
        <v>1</v>
      </c>
    </row>
    <row r="63" spans="1:7" x14ac:dyDescent="0.25">
      <c r="A63" s="1" t="s">
        <v>8</v>
      </c>
      <c r="B63" s="11">
        <f>B54*73.96</f>
        <v>126109195.99999999</v>
      </c>
      <c r="C63" s="10" t="s">
        <v>5</v>
      </c>
      <c r="D63" s="19"/>
      <c r="E63" s="1" t="s">
        <v>44</v>
      </c>
      <c r="F63" s="11">
        <f>F61*F51</f>
        <v>519200000000</v>
      </c>
      <c r="G63" s="10" t="s">
        <v>11</v>
      </c>
    </row>
    <row r="64" spans="1:7" x14ac:dyDescent="0.25">
      <c r="A64" s="1" t="s">
        <v>9</v>
      </c>
      <c r="B64" s="11">
        <f>B54*3</f>
        <v>5115300</v>
      </c>
      <c r="C64" s="10" t="s">
        <v>6</v>
      </c>
      <c r="D64" s="19"/>
      <c r="E64" s="12" t="s">
        <v>43</v>
      </c>
      <c r="F64" s="13">
        <f>F63/1000000</f>
        <v>519200</v>
      </c>
      <c r="G64" s="10" t="s">
        <v>12</v>
      </c>
    </row>
    <row r="65" spans="1:7" x14ac:dyDescent="0.25">
      <c r="A65" s="1" t="s">
        <v>10</v>
      </c>
      <c r="B65" s="11">
        <f>B54*0.6</f>
        <v>1023060</v>
      </c>
      <c r="C65" s="10" t="s">
        <v>7</v>
      </c>
      <c r="D65" s="19"/>
      <c r="E65" s="3"/>
      <c r="F65" s="14"/>
      <c r="G65" s="10"/>
    </row>
    <row r="66" spans="1:7" x14ac:dyDescent="0.25">
      <c r="A66" s="12" t="s">
        <v>15</v>
      </c>
      <c r="B66" s="13">
        <f>0.12*(B63+(0.025*B64) + (0.298*B65))</f>
        <v>15185034.045599997</v>
      </c>
      <c r="C66" s="10" t="s">
        <v>3</v>
      </c>
      <c r="D66" s="19"/>
      <c r="E66" s="1" t="s">
        <v>4</v>
      </c>
      <c r="F66" s="15" t="s">
        <v>16</v>
      </c>
      <c r="G66" s="10"/>
    </row>
    <row r="67" spans="1:7" x14ac:dyDescent="0.25">
      <c r="A67" s="1"/>
      <c r="B67" s="14"/>
      <c r="C67" s="10"/>
      <c r="D67" s="19"/>
      <c r="E67" s="1" t="s">
        <v>8</v>
      </c>
      <c r="F67" s="11">
        <f>F64*53.06</f>
        <v>27548752</v>
      </c>
      <c r="G67" s="10" t="s">
        <v>5</v>
      </c>
    </row>
    <row r="68" spans="1:7" x14ac:dyDescent="0.25">
      <c r="A68" s="1" t="s">
        <v>26</v>
      </c>
      <c r="B68" s="9">
        <v>11320</v>
      </c>
      <c r="C68" s="10"/>
      <c r="D68" s="19"/>
      <c r="E68" s="1" t="s">
        <v>9</v>
      </c>
      <c r="F68" s="11">
        <f>F64*1</f>
        <v>519200</v>
      </c>
      <c r="G68" s="10" t="s">
        <v>6</v>
      </c>
    </row>
    <row r="69" spans="1:7" x14ac:dyDescent="0.25">
      <c r="A69" s="1" t="s">
        <v>30</v>
      </c>
      <c r="B69" s="11">
        <f>B68*B51</f>
        <v>66788000000</v>
      </c>
      <c r="C69" s="10" t="s">
        <v>11</v>
      </c>
      <c r="D69" s="19"/>
      <c r="E69" s="1" t="s">
        <v>10</v>
      </c>
      <c r="F69" s="11">
        <f>F64*0.1</f>
        <v>51920</v>
      </c>
      <c r="G69" s="10" t="s">
        <v>7</v>
      </c>
    </row>
    <row r="70" spans="1:7" x14ac:dyDescent="0.25">
      <c r="A70" s="12" t="s">
        <v>31</v>
      </c>
      <c r="B70" s="13">
        <f>B69/1000000</f>
        <v>66788</v>
      </c>
      <c r="C70" s="10" t="s">
        <v>12</v>
      </c>
      <c r="D70" s="19"/>
      <c r="E70" s="12" t="s">
        <v>14</v>
      </c>
      <c r="F70" s="13">
        <f>0.88*(F67+(0.025*F68) + (0.298*F69))</f>
        <v>24267939.660799999</v>
      </c>
      <c r="G70" s="10" t="s">
        <v>3</v>
      </c>
    </row>
    <row r="71" spans="1:7" x14ac:dyDescent="0.25">
      <c r="A71" s="1"/>
      <c r="B71" s="11"/>
      <c r="C71" s="10"/>
      <c r="D71" s="19"/>
      <c r="F71" s="14"/>
      <c r="G71" s="10"/>
    </row>
    <row r="72" spans="1:7" x14ac:dyDescent="0.25">
      <c r="A72" s="1" t="s">
        <v>19</v>
      </c>
      <c r="B72" s="14" t="s">
        <v>18</v>
      </c>
      <c r="C72" s="10"/>
      <c r="D72" s="19"/>
      <c r="E72" s="1" t="s">
        <v>4</v>
      </c>
      <c r="F72" s="15" t="s">
        <v>13</v>
      </c>
      <c r="G72" s="10"/>
    </row>
    <row r="73" spans="1:7" x14ac:dyDescent="0.25">
      <c r="A73" s="1" t="s">
        <v>8</v>
      </c>
      <c r="B73" s="11">
        <f>B70*(1/3.412)*891.9*(1/2.2046)</f>
        <v>7919099.0829257257</v>
      </c>
      <c r="C73" s="10" t="s">
        <v>5</v>
      </c>
      <c r="D73" s="19"/>
      <c r="E73" s="1" t="s">
        <v>8</v>
      </c>
      <c r="F73" s="11">
        <f>$F$20*73.96</f>
        <v>23040019.199999999</v>
      </c>
      <c r="G73" s="10" t="s">
        <v>5</v>
      </c>
    </row>
    <row r="74" spans="1:7" x14ac:dyDescent="0.25">
      <c r="A74" s="1" t="s">
        <v>9</v>
      </c>
      <c r="B74" s="11">
        <f>B70*(1/3.412)*0.067*(1/2.2046)</f>
        <v>594.88691395450564</v>
      </c>
      <c r="C74" s="10" t="s">
        <v>6</v>
      </c>
      <c r="D74" s="19"/>
      <c r="E74" s="1" t="s">
        <v>9</v>
      </c>
      <c r="F74" s="11">
        <f>$F$20*3</f>
        <v>934560</v>
      </c>
      <c r="G74" s="10" t="s">
        <v>6</v>
      </c>
    </row>
    <row r="75" spans="1:7" x14ac:dyDescent="0.25">
      <c r="A75" s="1" t="s">
        <v>10</v>
      </c>
      <c r="B75" s="11">
        <f>B70*(1/3.412)*0.01*(1/2.2046)</f>
        <v>88.789091635000844</v>
      </c>
      <c r="C75" s="10" t="s">
        <v>7</v>
      </c>
      <c r="D75" s="19"/>
      <c r="E75" s="1" t="s">
        <v>10</v>
      </c>
      <c r="F75" s="11">
        <f>$F$20*0.6</f>
        <v>186912</v>
      </c>
      <c r="G75" s="10" t="s">
        <v>7</v>
      </c>
    </row>
    <row r="76" spans="1:7" x14ac:dyDescent="0.25">
      <c r="A76" s="12" t="s">
        <v>20</v>
      </c>
      <c r="B76" s="13">
        <f>B73+(0.025*B74) + (0.298*B75)</f>
        <v>7919140.4142478826</v>
      </c>
      <c r="C76" s="10" t="s">
        <v>3</v>
      </c>
      <c r="D76" s="19"/>
      <c r="E76" s="12" t="s">
        <v>15</v>
      </c>
      <c r="F76" s="13">
        <f>0.12*(F73+(0.025*F74) + (0.298*F75))</f>
        <v>2774289.9571199999</v>
      </c>
      <c r="G76" s="10" t="s">
        <v>3</v>
      </c>
    </row>
    <row r="77" spans="1:7" x14ac:dyDescent="0.25">
      <c r="B77" s="14"/>
      <c r="C77" s="10"/>
      <c r="D77" s="19"/>
      <c r="F77" s="11"/>
      <c r="G77" s="10"/>
    </row>
    <row r="78" spans="1:7" ht="15.75" thickBot="1" x14ac:dyDescent="0.3">
      <c r="A78" s="12" t="s">
        <v>17</v>
      </c>
      <c r="B78" s="16">
        <f>B60+B66+B76</f>
        <v>102802294.48224789</v>
      </c>
      <c r="C78" s="17" t="s">
        <v>3</v>
      </c>
      <c r="D78" s="19"/>
      <c r="E78" s="1" t="s">
        <v>26</v>
      </c>
      <c r="F78" s="11">
        <v>11320</v>
      </c>
      <c r="G78" s="10"/>
    </row>
    <row r="79" spans="1:7" x14ac:dyDescent="0.25">
      <c r="A79" s="1"/>
      <c r="E79" s="1" t="s">
        <v>11</v>
      </c>
      <c r="F79" s="11">
        <f>F78*F51</f>
        <v>66788000000</v>
      </c>
      <c r="G79" s="10" t="s">
        <v>11</v>
      </c>
    </row>
    <row r="80" spans="1:7" x14ac:dyDescent="0.25">
      <c r="A80" s="1"/>
      <c r="E80" s="1" t="s">
        <v>12</v>
      </c>
      <c r="F80" s="11">
        <f>F79/1000000</f>
        <v>66788</v>
      </c>
      <c r="G80" s="10" t="s">
        <v>12</v>
      </c>
    </row>
    <row r="81" spans="1:7" x14ac:dyDescent="0.25">
      <c r="A81" s="1"/>
      <c r="F81" s="11"/>
      <c r="G81" s="10"/>
    </row>
    <row r="82" spans="1:7" x14ac:dyDescent="0.25">
      <c r="A82" s="1"/>
      <c r="E82" s="1" t="s">
        <v>19</v>
      </c>
      <c r="F82" s="15" t="s">
        <v>18</v>
      </c>
      <c r="G82" s="10"/>
    </row>
    <row r="83" spans="1:7" x14ac:dyDescent="0.25">
      <c r="A83" s="1"/>
      <c r="E83" s="1" t="s">
        <v>8</v>
      </c>
      <c r="F83" s="11">
        <f>F80*(1/3.412)*891.9*(1/2.2046)</f>
        <v>7919099.0829257257</v>
      </c>
      <c r="G83" s="10" t="s">
        <v>5</v>
      </c>
    </row>
    <row r="84" spans="1:7" x14ac:dyDescent="0.25">
      <c r="A84" s="1"/>
      <c r="E84" s="1" t="s">
        <v>9</v>
      </c>
      <c r="F84" s="11">
        <f>F80*(1/3.412)*0.067*(1/2.2046)</f>
        <v>594.88691395450564</v>
      </c>
      <c r="G84" s="10" t="s">
        <v>6</v>
      </c>
    </row>
    <row r="85" spans="1:7" x14ac:dyDescent="0.25">
      <c r="A85" s="1"/>
      <c r="E85" s="1" t="s">
        <v>10</v>
      </c>
      <c r="F85" s="11">
        <f>F80*(1/3.412)*0.01*(1/2.2046)</f>
        <v>88.789091635000844</v>
      </c>
      <c r="G85" s="10" t="s">
        <v>7</v>
      </c>
    </row>
    <row r="86" spans="1:7" x14ac:dyDescent="0.25">
      <c r="A86" s="1"/>
      <c r="E86" s="12" t="s">
        <v>20</v>
      </c>
      <c r="F86" s="13">
        <f>F83 + (0.025*F84) + (0.298*F85)</f>
        <v>7919140.4142478826</v>
      </c>
      <c r="G86" s="10" t="s">
        <v>3</v>
      </c>
    </row>
    <row r="87" spans="1:7" x14ac:dyDescent="0.25">
      <c r="A87" s="1"/>
      <c r="F87" s="14"/>
      <c r="G87" s="10"/>
    </row>
    <row r="88" spans="1:7" x14ac:dyDescent="0.25">
      <c r="A88" s="1"/>
      <c r="E88" s="12" t="s">
        <v>42</v>
      </c>
      <c r="F88" s="13">
        <f>F70+F76</f>
        <v>27042229.61792</v>
      </c>
      <c r="G88" s="10" t="s">
        <v>3</v>
      </c>
    </row>
    <row r="89" spans="1:7" x14ac:dyDescent="0.25">
      <c r="A89" s="1"/>
      <c r="E89" s="12" t="s">
        <v>41</v>
      </c>
      <c r="F89" s="32">
        <f>F88/F54</f>
        <v>24.820085379938988</v>
      </c>
      <c r="G89" s="10"/>
    </row>
    <row r="90" spans="1:7" ht="15.75" thickBot="1" x14ac:dyDescent="0.3">
      <c r="E90" s="12" t="s">
        <v>40</v>
      </c>
      <c r="F90" s="33">
        <f>F88/F51</f>
        <v>4.5834287488000003</v>
      </c>
      <c r="G90" s="17" t="s">
        <v>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83CCB-2440-4F10-832D-2BD93658E270}">
  <dimension ref="A1:H29"/>
  <sheetViews>
    <sheetView showGridLines="0" workbookViewId="0">
      <selection activeCell="B29" sqref="B29"/>
    </sheetView>
  </sheetViews>
  <sheetFormatPr defaultRowHeight="15" outlineLevelRow="1" outlineLevelCol="1" x14ac:dyDescent="0.25"/>
  <cols>
    <col min="1" max="1" width="18.7109375" style="1" customWidth="1"/>
    <col min="2" max="2" width="17.140625" style="35" customWidth="1"/>
    <col min="3" max="3" width="22.140625" style="35" bestFit="1" customWidth="1"/>
    <col min="4" max="4" width="15" style="35" customWidth="1"/>
    <col min="5" max="5" width="39" style="35" customWidth="1" outlineLevel="1"/>
    <col min="6" max="7" width="19.85546875" style="35" customWidth="1"/>
    <col min="8" max="8" width="18.42578125" style="35" customWidth="1"/>
    <col min="9" max="16384" width="9.140625" style="1"/>
  </cols>
  <sheetData>
    <row r="1" spans="1:8" outlineLevel="1" x14ac:dyDescent="0.25">
      <c r="A1" s="34" t="s">
        <v>85</v>
      </c>
    </row>
    <row r="2" spans="1:8" outlineLevel="1" x14ac:dyDescent="0.25"/>
    <row r="3" spans="1:8" ht="34.5" customHeight="1" outlineLevel="1" x14ac:dyDescent="0.25">
      <c r="A3" s="37" t="s">
        <v>60</v>
      </c>
      <c r="B3" s="38" t="s">
        <v>61</v>
      </c>
      <c r="C3" s="38" t="s">
        <v>62</v>
      </c>
      <c r="D3" s="38" t="s">
        <v>63</v>
      </c>
      <c r="E3" s="38" t="s">
        <v>67</v>
      </c>
      <c r="F3" s="38" t="s">
        <v>64</v>
      </c>
      <c r="G3" s="38" t="s">
        <v>65</v>
      </c>
      <c r="H3" s="38" t="s">
        <v>66</v>
      </c>
    </row>
    <row r="4" spans="1:8" outlineLevel="1" x14ac:dyDescent="0.25">
      <c r="A4" s="41">
        <v>2025</v>
      </c>
      <c r="B4" s="36">
        <v>4400000</v>
      </c>
      <c r="C4" s="36">
        <v>76673401.240985796</v>
      </c>
      <c r="D4" s="36">
        <v>1577514</v>
      </c>
      <c r="E4" s="36" t="s">
        <v>105</v>
      </c>
      <c r="F4" s="56">
        <v>27486851.720309027</v>
      </c>
      <c r="G4" s="56">
        <v>8144517.2017555209</v>
      </c>
      <c r="H4" s="39">
        <v>0.10622350215242399</v>
      </c>
    </row>
    <row r="5" spans="1:8" outlineLevel="1" x14ac:dyDescent="0.25">
      <c r="A5" s="41">
        <v>2026</v>
      </c>
      <c r="B5" s="36">
        <v>4400000</v>
      </c>
      <c r="C5" s="36">
        <v>76673401.240985781</v>
      </c>
      <c r="D5" s="36">
        <v>2017514</v>
      </c>
      <c r="E5" s="36" t="s">
        <v>106</v>
      </c>
      <c r="F5" s="56">
        <v>35153463.512205474</v>
      </c>
      <c r="G5" s="56">
        <v>9954329.6510355193</v>
      </c>
      <c r="H5" s="39">
        <v>0.12982767804637876</v>
      </c>
    </row>
    <row r="6" spans="1:8" outlineLevel="1" x14ac:dyDescent="0.25">
      <c r="A6" s="41">
        <v>2027</v>
      </c>
      <c r="B6" s="36">
        <v>4400000</v>
      </c>
      <c r="C6" s="36">
        <v>76673401.240985781</v>
      </c>
      <c r="D6" s="36">
        <v>2715028</v>
      </c>
      <c r="E6" s="36" t="s">
        <v>81</v>
      </c>
      <c r="F6" s="56">
        <v>47307091.648721598</v>
      </c>
      <c r="G6" s="56">
        <v>12166631.837831844</v>
      </c>
      <c r="H6" s="39">
        <v>0.158681258962178</v>
      </c>
    </row>
    <row r="7" spans="1:8" outlineLevel="1" x14ac:dyDescent="0.25">
      <c r="A7" s="41">
        <v>2028</v>
      </c>
      <c r="B7" s="36">
        <v>5900000</v>
      </c>
      <c r="C7" s="36">
        <f>'Expansion - Local Agency'!B78</f>
        <v>102802294.48224789</v>
      </c>
      <c r="D7" s="36">
        <f>(2*'CCPR Calculations'!B5)+'Expansion - Local Agency'!B7</f>
        <v>3615028</v>
      </c>
      <c r="E7" s="36" t="s">
        <v>88</v>
      </c>
      <c r="F7" s="56">
        <f>(2*'CCPR Calculations'!B32)+'Expansion - Local Agency'!B34</f>
        <v>62988797.586691618</v>
      </c>
      <c r="G7" s="56">
        <f>(2*'CCPR Calculations'!J8)+'Expansion - Local Agency'!F44</f>
        <v>18541612.009911042</v>
      </c>
      <c r="H7" s="39">
        <f t="shared" ref="H7:H9" si="0">G7/C7</f>
        <v>0.18036184993042975</v>
      </c>
    </row>
    <row r="8" spans="1:8" outlineLevel="1" x14ac:dyDescent="0.25">
      <c r="A8" s="41">
        <v>2029</v>
      </c>
      <c r="B8" s="36">
        <v>5900000</v>
      </c>
      <c r="C8" s="36">
        <f>'Expansion - Local Agency'!B78</f>
        <v>102802294.48224789</v>
      </c>
      <c r="D8" s="36">
        <f>'Expansion - Local Agency'!B7</f>
        <v>3540000</v>
      </c>
      <c r="E8" s="36" t="s">
        <v>89</v>
      </c>
      <c r="F8" s="68">
        <f>'Expansion - Local Agency'!B34</f>
        <v>61681376.689348735</v>
      </c>
      <c r="G8" s="56">
        <f>'Expansion - Local Agency'!F44</f>
        <v>17335053.753600001</v>
      </c>
      <c r="H8" s="39">
        <f t="shared" si="0"/>
        <v>0.16862516387310258</v>
      </c>
    </row>
    <row r="9" spans="1:8" outlineLevel="1" x14ac:dyDescent="0.25">
      <c r="A9" s="41">
        <v>2030</v>
      </c>
      <c r="B9" s="36">
        <v>5900000</v>
      </c>
      <c r="C9" s="36">
        <f>'Expansion - Local Agency'!B78</f>
        <v>102802294.48224789</v>
      </c>
      <c r="D9" s="36">
        <f>'Expansion - Local Agency'!B7</f>
        <v>3540000</v>
      </c>
      <c r="E9" s="36" t="s">
        <v>89</v>
      </c>
      <c r="F9" s="56">
        <f>'Expansion - Local Agency'!B34</f>
        <v>61681376.689348735</v>
      </c>
      <c r="G9" s="56">
        <f>'Expansion - Local Agency'!F44</f>
        <v>17335053.753600001</v>
      </c>
      <c r="H9" s="39">
        <f t="shared" si="0"/>
        <v>0.16862516387310258</v>
      </c>
    </row>
    <row r="10" spans="1:8" s="3" customFormat="1" outlineLevel="1" x14ac:dyDescent="0.25">
      <c r="A10" s="44" t="s">
        <v>72</v>
      </c>
      <c r="B10" s="45">
        <f>SUM(B4:B9)</f>
        <v>30900000</v>
      </c>
      <c r="C10" s="45">
        <f>SUM(C4:C9)</f>
        <v>538427087.16970098</v>
      </c>
      <c r="D10" s="45">
        <f>SUM(D4:D9)</f>
        <v>17005084</v>
      </c>
      <c r="E10" s="45" t="s">
        <v>70</v>
      </c>
      <c r="F10" s="45">
        <f>SUM(F4:F9)</f>
        <v>296298957.84662521</v>
      </c>
      <c r="G10" s="45">
        <f>SUM(G4:G9)</f>
        <v>83477198.207733929</v>
      </c>
      <c r="H10" s="46">
        <f>G10/C10</f>
        <v>0.15503900193160911</v>
      </c>
    </row>
    <row r="11" spans="1:8" outlineLevel="1" x14ac:dyDescent="0.25"/>
    <row r="12" spans="1:8" outlineLevel="1" x14ac:dyDescent="0.25"/>
    <row r="13" spans="1:8" outlineLevel="1" x14ac:dyDescent="0.25"/>
    <row r="14" spans="1:8" x14ac:dyDescent="0.25">
      <c r="A14" s="47" t="s">
        <v>73</v>
      </c>
    </row>
    <row r="15" spans="1:8" ht="33.75" customHeight="1" x14ac:dyDescent="0.25">
      <c r="A15" s="37" t="s">
        <v>60</v>
      </c>
      <c r="B15" s="38" t="s">
        <v>61</v>
      </c>
      <c r="C15" s="38" t="s">
        <v>77</v>
      </c>
      <c r="D15" s="38" t="s">
        <v>63</v>
      </c>
      <c r="E15" s="38" t="s">
        <v>67</v>
      </c>
      <c r="F15" s="38" t="s">
        <v>78</v>
      </c>
      <c r="G15" s="38" t="s">
        <v>79</v>
      </c>
      <c r="H15" s="38" t="s">
        <v>80</v>
      </c>
    </row>
    <row r="16" spans="1:8" x14ac:dyDescent="0.25">
      <c r="A16" s="41">
        <f>A4</f>
        <v>2025</v>
      </c>
      <c r="B16" s="36">
        <f>B4</f>
        <v>4400000</v>
      </c>
      <c r="C16" s="36">
        <f>C4/1000</f>
        <v>76673.401240985797</v>
      </c>
      <c r="D16" s="36">
        <f>D4</f>
        <v>1577514</v>
      </c>
      <c r="E16" s="36" t="str">
        <f>E4</f>
        <v>1 CCPR, 35% of AL tonnage WMT</v>
      </c>
      <c r="F16" s="36">
        <f>F4/1000</f>
        <v>27486.851720309027</v>
      </c>
      <c r="G16" s="36">
        <f>G4/1000</f>
        <v>8144.5172017555205</v>
      </c>
      <c r="H16" s="39">
        <f>G16/C16</f>
        <v>0.10622350215242396</v>
      </c>
    </row>
    <row r="17" spans="1:8" x14ac:dyDescent="0.25">
      <c r="A17" s="41">
        <f t="shared" ref="A17:B22" si="1">A5</f>
        <v>2026</v>
      </c>
      <c r="B17" s="36">
        <f t="shared" si="1"/>
        <v>4400000</v>
      </c>
      <c r="C17" s="36">
        <f t="shared" ref="C17:C21" si="2">C5/1000</f>
        <v>76673.401240985782</v>
      </c>
      <c r="D17" s="36">
        <f t="shared" ref="D17:E22" si="3">D5</f>
        <v>2017514</v>
      </c>
      <c r="E17" s="36" t="str">
        <f t="shared" si="3"/>
        <v>1 CCPR, 45% of AL tonnage WMT</v>
      </c>
      <c r="F17" s="36">
        <f t="shared" ref="F17:G22" si="4">F5/1000</f>
        <v>35153.463512205475</v>
      </c>
      <c r="G17" s="36">
        <f t="shared" si="4"/>
        <v>9954.3296510355194</v>
      </c>
      <c r="H17" s="39">
        <f t="shared" ref="H17:H22" si="5">G17/C17</f>
        <v>0.12982767804637876</v>
      </c>
    </row>
    <row r="18" spans="1:8" x14ac:dyDescent="0.25">
      <c r="A18" s="41">
        <f t="shared" si="1"/>
        <v>2027</v>
      </c>
      <c r="B18" s="36">
        <f t="shared" si="1"/>
        <v>4400000</v>
      </c>
      <c r="C18" s="36">
        <f t="shared" si="2"/>
        <v>76673.401240985782</v>
      </c>
      <c r="D18" s="36">
        <f t="shared" si="3"/>
        <v>2715028</v>
      </c>
      <c r="E18" s="36" t="str">
        <f t="shared" si="3"/>
        <v>2 CCPR, 60% of AL tonnage WMT</v>
      </c>
      <c r="F18" s="36">
        <f t="shared" si="4"/>
        <v>47307.091648721595</v>
      </c>
      <c r="G18" s="36">
        <f t="shared" si="4"/>
        <v>12166.631837831843</v>
      </c>
      <c r="H18" s="39">
        <f t="shared" si="5"/>
        <v>0.15868125896217797</v>
      </c>
    </row>
    <row r="19" spans="1:8" x14ac:dyDescent="0.25">
      <c r="A19" s="41">
        <f t="shared" si="1"/>
        <v>2028</v>
      </c>
      <c r="B19" s="36">
        <f t="shared" si="1"/>
        <v>5900000</v>
      </c>
      <c r="C19" s="36">
        <f t="shared" si="2"/>
        <v>102802.29448224789</v>
      </c>
      <c r="D19" s="36">
        <f t="shared" si="3"/>
        <v>3615028</v>
      </c>
      <c r="E19" s="36" t="str">
        <f t="shared" si="3"/>
        <v>2 CCPR, 60% of AL &amp; Agency tonnage WMT</v>
      </c>
      <c r="F19" s="36">
        <f t="shared" si="4"/>
        <v>62988.797586691617</v>
      </c>
      <c r="G19" s="36">
        <f t="shared" si="4"/>
        <v>18541.612009911041</v>
      </c>
      <c r="H19" s="39">
        <f t="shared" si="5"/>
        <v>0.18036184993042975</v>
      </c>
    </row>
    <row r="20" spans="1:8" x14ac:dyDescent="0.25">
      <c r="A20" s="41">
        <f t="shared" si="1"/>
        <v>2029</v>
      </c>
      <c r="B20" s="36">
        <f t="shared" si="1"/>
        <v>5900000</v>
      </c>
      <c r="C20" s="36">
        <f t="shared" si="2"/>
        <v>102802.29448224789</v>
      </c>
      <c r="D20" s="36">
        <f t="shared" si="3"/>
        <v>3540000</v>
      </c>
      <c r="E20" s="36" t="str">
        <f t="shared" si="3"/>
        <v>60% of AL &amp; Agency tonnage WMT</v>
      </c>
      <c r="F20" s="36">
        <f t="shared" si="4"/>
        <v>61681.376689348734</v>
      </c>
      <c r="G20" s="36">
        <f t="shared" si="4"/>
        <v>17335.053753600001</v>
      </c>
      <c r="H20" s="39">
        <f t="shared" si="5"/>
        <v>0.16862516387310258</v>
      </c>
    </row>
    <row r="21" spans="1:8" x14ac:dyDescent="0.25">
      <c r="A21" s="41">
        <f t="shared" si="1"/>
        <v>2030</v>
      </c>
      <c r="B21" s="36">
        <f t="shared" si="1"/>
        <v>5900000</v>
      </c>
      <c r="C21" s="36">
        <f t="shared" si="2"/>
        <v>102802.29448224789</v>
      </c>
      <c r="D21" s="36">
        <f t="shared" si="3"/>
        <v>3540000</v>
      </c>
      <c r="E21" s="36" t="str">
        <f t="shared" si="3"/>
        <v>60% of AL &amp; Agency tonnage WMT</v>
      </c>
      <c r="F21" s="36">
        <f t="shared" si="4"/>
        <v>61681.376689348734</v>
      </c>
      <c r="G21" s="36">
        <f t="shared" si="4"/>
        <v>17335.053753600001</v>
      </c>
      <c r="H21" s="39">
        <f t="shared" si="5"/>
        <v>0.16862516387310258</v>
      </c>
    </row>
    <row r="22" spans="1:8" x14ac:dyDescent="0.25">
      <c r="A22" s="48" t="str">
        <f t="shared" si="1"/>
        <v>Total</v>
      </c>
      <c r="B22" s="43">
        <f t="shared" si="1"/>
        <v>30900000</v>
      </c>
      <c r="C22" s="43">
        <f>SUM(C16:C21)</f>
        <v>538427.087169701</v>
      </c>
      <c r="D22" s="43">
        <f t="shared" si="3"/>
        <v>17005084</v>
      </c>
      <c r="E22" s="43" t="str">
        <f t="shared" si="3"/>
        <v xml:space="preserve"> - </v>
      </c>
      <c r="F22" s="43">
        <f t="shared" si="4"/>
        <v>296298.95784662518</v>
      </c>
      <c r="G22" s="43">
        <f t="shared" si="4"/>
        <v>83477.198207733934</v>
      </c>
      <c r="H22" s="49">
        <f t="shared" si="5"/>
        <v>0.15503900193160911</v>
      </c>
    </row>
    <row r="26" spans="1:8" x14ac:dyDescent="0.25">
      <c r="A26" s="3" t="s">
        <v>110</v>
      </c>
    </row>
    <row r="27" spans="1:8" x14ac:dyDescent="0.25">
      <c r="A27" s="41" t="s">
        <v>108</v>
      </c>
      <c r="B27" s="66">
        <v>63841735.5800125</v>
      </c>
    </row>
    <row r="28" spans="1:8" x14ac:dyDescent="0.25">
      <c r="A28" s="41" t="s">
        <v>109</v>
      </c>
      <c r="B28" s="36">
        <f>G22</f>
        <v>83477.198207733934</v>
      </c>
    </row>
    <row r="29" spans="1:8" x14ac:dyDescent="0.25">
      <c r="A29" s="44" t="s">
        <v>107</v>
      </c>
      <c r="B29" s="67">
        <f>B27/B28</f>
        <v>764.7805263078144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3F909E15FACB42A3DB3F5822986AF3" ma:contentTypeVersion="10" ma:contentTypeDescription="Create a new document." ma:contentTypeScope="" ma:versionID="909c756f7ae168a8c1386d906c5952c9">
  <xsd:schema xmlns:xsd="http://www.w3.org/2001/XMLSchema" xmlns:xs="http://www.w3.org/2001/XMLSchema" xmlns:p="http://schemas.microsoft.com/office/2006/metadata/properties" xmlns:ns2="98364b2a-b1d6-4af5-be67-16f96b3a0a46" xmlns:ns3="ce6d8e51-f846-445b-9b22-0bd60a6405d4" targetNamespace="http://schemas.microsoft.com/office/2006/metadata/properties" ma:root="true" ma:fieldsID="2519d985ed3784fe77d8774b6b5fec18" ns2:_="" ns3:_="">
    <xsd:import namespace="98364b2a-b1d6-4af5-be67-16f96b3a0a46"/>
    <xsd:import namespace="ce6d8e51-f846-445b-9b22-0bd60a640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64b2a-b1d6-4af5-be67-16f96b3a0a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d8e51-f846-445b-9b22-0bd60a6405d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01515A-5D27-43B7-A78C-311F3E1E653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F2A4AA7-98E5-4318-B4E0-3E8524FE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364b2a-b1d6-4af5-be67-16f96b3a0a46"/>
    <ds:schemaRef ds:uri="ce6d8e51-f846-445b-9b22-0bd60a6405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FE2576-7325-40EE-9E49-D05DAC80D0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Baseline HMA Calculations</vt:lpstr>
      <vt:lpstr>CCPR Calculations</vt:lpstr>
      <vt:lpstr>WMT Analysis</vt:lpstr>
      <vt:lpstr>WMA Analysis (Trial %)</vt:lpstr>
      <vt:lpstr>GHG Reductions 2025-2030</vt:lpstr>
      <vt:lpstr>GHG Reductions 2025-2050</vt:lpstr>
      <vt:lpstr>Industry Sector GHG</vt:lpstr>
      <vt:lpstr>Expansion - Local Agency</vt:lpstr>
      <vt:lpstr>Local Expansion Cost Eff.</vt:lpstr>
      <vt:lpstr>Expansion - National</vt:lpstr>
      <vt:lpstr>National Expansion Cost Eff.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Laurel McCarthy</dc:creator>
  <cp:lastModifiedBy>Laurel McCarthy</cp:lastModifiedBy>
  <dcterms:created xsi:type="dcterms:W3CDTF">2024-02-12T13:08:22Z</dcterms:created>
  <dcterms:modified xsi:type="dcterms:W3CDTF">2024-03-28T20:02:40Z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0x010100603F909E15FACB42A3DB3F5822986AF3</vt:lpwstr>
  </property>
</Properties>
</file>