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0" yWindow="0" windowWidth="19155" windowHeight="6285" tabRatio="979" firstSheet="2" activeTab="2"/>
  </bookViews>
  <sheets>
    <sheet name="Overview" sheetId="26" r:id="rId1"/>
    <sheet name="Consolidated Budget" sheetId="30" r:id="rId2"/>
    <sheet name="Dixon Diversion Budget" sheetId="16" r:id="rId3"/>
  </sheets>
  <definedNames>
    <definedName name="_xlnm._FilterDatabase" localSheetId="1" hidden="1">'Consolidated Budget'!#REF!</definedName>
    <definedName name="_xlnm._FilterDatabase" localSheetId="2" hidden="1">'Dixon Diversion Budget'!#REF!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16" l="1"/>
  <c r="J66" i="16" l="1"/>
  <c r="D66" i="16"/>
  <c r="J64" i="16"/>
  <c r="E64" i="16"/>
  <c r="F64" i="16"/>
  <c r="G64" i="16"/>
  <c r="H64" i="16"/>
  <c r="I30" i="16" l="1"/>
  <c r="E30" i="16"/>
  <c r="F30" i="16"/>
  <c r="G30" i="16"/>
  <c r="H30" i="16"/>
  <c r="D30" i="16"/>
  <c r="J15" i="16"/>
  <c r="J16" i="16"/>
  <c r="J17" i="16"/>
  <c r="J14" i="16"/>
  <c r="J8" i="16"/>
  <c r="J30" i="16" l="1"/>
  <c r="E18" i="16"/>
  <c r="F18" i="16"/>
  <c r="F66" i="16" s="1"/>
  <c r="G18" i="16"/>
  <c r="G66" i="16" s="1"/>
  <c r="H18" i="16"/>
  <c r="H66" i="16" s="1"/>
  <c r="D18" i="16"/>
  <c r="J9" i="16"/>
  <c r="J10" i="16"/>
  <c r="J11" i="16"/>
  <c r="J12" i="16"/>
  <c r="J13" i="16"/>
  <c r="E51" i="16"/>
  <c r="G51" i="16"/>
  <c r="H51" i="16"/>
  <c r="D51" i="16"/>
  <c r="J55" i="16"/>
  <c r="J56" i="16"/>
  <c r="E33" i="16"/>
  <c r="F33" i="16"/>
  <c r="G33" i="16"/>
  <c r="H33" i="16"/>
  <c r="D33" i="16"/>
  <c r="E50" i="16"/>
  <c r="G50" i="16"/>
  <c r="H50" i="16"/>
  <c r="D50" i="16"/>
  <c r="J46" i="16"/>
  <c r="J47" i="16"/>
  <c r="J48" i="16"/>
  <c r="E49" i="16"/>
  <c r="E52" i="16" s="1"/>
  <c r="E59" i="16" s="1"/>
  <c r="E60" i="16" s="1"/>
  <c r="G49" i="16"/>
  <c r="H49" i="16"/>
  <c r="D49" i="16"/>
  <c r="J45" i="16"/>
  <c r="J44" i="16"/>
  <c r="F41" i="16"/>
  <c r="J32" i="16"/>
  <c r="E66" i="16"/>
  <c r="J65" i="16"/>
  <c r="E53" i="16"/>
  <c r="E39" i="16"/>
  <c r="F39" i="16"/>
  <c r="G39" i="16"/>
  <c r="H39" i="16"/>
  <c r="D39" i="16"/>
  <c r="J38" i="16"/>
  <c r="J41" i="16"/>
  <c r="J42" i="16"/>
  <c r="J43" i="16"/>
  <c r="J57" i="16"/>
  <c r="J58" i="16"/>
  <c r="E36" i="16"/>
  <c r="F36" i="16"/>
  <c r="G36" i="16"/>
  <c r="H36" i="16"/>
  <c r="D36" i="16"/>
  <c r="J35" i="16"/>
  <c r="J36" i="16" s="1"/>
  <c r="J18" i="16" l="1"/>
  <c r="H52" i="16"/>
  <c r="H59" i="16" s="1"/>
  <c r="H60" i="16" s="1"/>
  <c r="H61" i="16" s="1"/>
  <c r="H53" i="16"/>
  <c r="H12" i="30" s="1"/>
  <c r="G52" i="16"/>
  <c r="G59" i="16" s="1"/>
  <c r="G60" i="16" s="1"/>
  <c r="F51" i="16"/>
  <c r="J51" i="16" s="1"/>
  <c r="F50" i="16"/>
  <c r="J50" i="16" s="1"/>
  <c r="F49" i="16"/>
  <c r="J49" i="16" s="1"/>
  <c r="D52" i="16"/>
  <c r="J39" i="16"/>
  <c r="E10" i="30"/>
  <c r="G10" i="30"/>
  <c r="J33" i="16"/>
  <c r="E9" i="30"/>
  <c r="F9" i="30"/>
  <c r="H11" i="30"/>
  <c r="F11" i="30"/>
  <c r="F16" i="30"/>
  <c r="E11" i="30"/>
  <c r="F10" i="30"/>
  <c r="G16" i="30"/>
  <c r="E16" i="30"/>
  <c r="H16" i="30"/>
  <c r="H10" i="30"/>
  <c r="E7" i="30"/>
  <c r="D10" i="30"/>
  <c r="J10" i="30" s="1"/>
  <c r="E8" i="30"/>
  <c r="H13" i="30"/>
  <c r="E12" i="30"/>
  <c r="G11" i="30"/>
  <c r="H8" i="30"/>
  <c r="D8" i="30"/>
  <c r="F8" i="30"/>
  <c r="G8" i="30"/>
  <c r="G7" i="30"/>
  <c r="F7" i="30"/>
  <c r="D7" i="30"/>
  <c r="E13" i="30"/>
  <c r="G13" i="30"/>
  <c r="H9" i="30"/>
  <c r="G9" i="30"/>
  <c r="D9" i="30"/>
  <c r="H7" i="30"/>
  <c r="D11" i="30"/>
  <c r="E61" i="16"/>
  <c r="H68" i="16" l="1"/>
  <c r="D16" i="30"/>
  <c r="J16" i="30" s="1"/>
  <c r="G53" i="16"/>
  <c r="G12" i="30" s="1"/>
  <c r="D59" i="16"/>
  <c r="D53" i="16"/>
  <c r="D12" i="30" s="1"/>
  <c r="J12" i="30" s="1"/>
  <c r="F52" i="16"/>
  <c r="E68" i="16"/>
  <c r="J11" i="30"/>
  <c r="E14" i="30"/>
  <c r="E18" i="30" s="1"/>
  <c r="J9" i="30"/>
  <c r="J8" i="30"/>
  <c r="D25" i="30"/>
  <c r="G14" i="30"/>
  <c r="G18" i="30" s="1"/>
  <c r="J7" i="30"/>
  <c r="H14" i="30"/>
  <c r="H18" i="30" s="1"/>
  <c r="D26" i="30"/>
  <c r="D24" i="30"/>
  <c r="G61" i="16" l="1"/>
  <c r="G68" i="16" s="1"/>
  <c r="F59" i="16"/>
  <c r="F60" i="16" s="1"/>
  <c r="J52" i="16"/>
  <c r="J53" i="16" s="1"/>
  <c r="F53" i="16"/>
  <c r="F12" i="30" s="1"/>
  <c r="D60" i="16"/>
  <c r="D61" i="16" s="1"/>
  <c r="J59" i="16" l="1"/>
  <c r="J60" i="16" s="1"/>
  <c r="D13" i="30"/>
  <c r="F13" i="30"/>
  <c r="F14" i="30" s="1"/>
  <c r="F18" i="30" s="1"/>
  <c r="F61" i="16"/>
  <c r="F68" i="16" s="1"/>
  <c r="J61" i="16" l="1"/>
  <c r="J68" i="16" s="1"/>
  <c r="D23" i="30" s="1"/>
  <c r="D14" i="30"/>
  <c r="J13" i="30"/>
  <c r="D68" i="16"/>
  <c r="D29" i="30" l="1"/>
  <c r="E23" i="30" s="1"/>
  <c r="E29" i="30" s="1"/>
  <c r="J14" i="30"/>
  <c r="J18" i="30" s="1"/>
  <c r="D18" i="30"/>
  <c r="E24" i="30" l="1"/>
  <c r="E25" i="30"/>
  <c r="E26" i="30"/>
  <c r="E27" i="30"/>
</calcChain>
</file>

<file path=xl/sharedStrings.xml><?xml version="1.0" encoding="utf-8"?>
<sst xmlns="http://schemas.openxmlformats.org/spreadsheetml/2006/main" count="123" uniqueCount="84">
  <si>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</si>
  <si>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</si>
  <si>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</si>
  <si>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</si>
  <si>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</si>
  <si>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</si>
  <si>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</si>
  <si>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</si>
  <si>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</si>
  <si>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</si>
  <si>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</si>
  <si>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</si>
  <si>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</si>
  <si>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</si>
  <si>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</si>
  <si>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</si>
  <si>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</si>
  <si>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</si>
  <si>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</si>
  <si>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</si>
  <si>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</si>
  <si>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</si>
  <si>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</si>
  <si>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</si>
  <si>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</si>
  <si>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</si>
  <si>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</si>
  <si>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</si>
  <si>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</si>
  <si>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</si>
  <si>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</si>
  <si>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</si>
  <si>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</si>
  <si>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</si>
  <si>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</si>
  <si>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</si>
  <si>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</si>
  <si>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</si>
  <si>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Infrastructure Engineer @975hrs/yr</t>
  </si>
  <si>
    <t xml:space="preserve"> Fringe Benefits </t>
  </si>
  <si>
    <t>Contracting Officer @56.93%</t>
  </si>
  <si>
    <t>Executive Director @43.61%</t>
  </si>
  <si>
    <t>Communications Director @50.33%</t>
  </si>
  <si>
    <t>Owned Assets Director @45.14%</t>
  </si>
  <si>
    <t>Infrastructure Engineer @52.04%</t>
  </si>
  <si>
    <t xml:space="preserve"> Travel </t>
  </si>
  <si>
    <t xml:space="preserve"> Equipment </t>
  </si>
  <si>
    <t xml:space="preserve"> Supplies </t>
  </si>
  <si>
    <t xml:space="preserve"> Contractual </t>
  </si>
  <si>
    <t>Mobilization (3 construction seasons, temporary housing)</t>
  </si>
  <si>
    <t>Site Development and Access (clearing and grubbing, airstrip improvements)</t>
  </si>
  <si>
    <t>Electrical Upgrades (3 phase power  install to run Tunnel Boring Machine (TBM))</t>
  </si>
  <si>
    <t>Tunnel Construction (Access road, TBM mob and setup, 4.7 mile/14ft tunnel drill)</t>
  </si>
  <si>
    <t>Diversion Dam and Intake Structure</t>
  </si>
  <si>
    <t>Bradley Dam Raise (14 feet)</t>
  </si>
  <si>
    <t>SCADA and Instrumentation</t>
  </si>
  <si>
    <t>Site Restoration</t>
  </si>
  <si>
    <t>Unlisted Items @7%</t>
  </si>
  <si>
    <t>Bonds and Insurance @4.4%</t>
  </si>
  <si>
    <t>Escalation to construction midpoint @6%</t>
  </si>
  <si>
    <t>Contingengy @25%</t>
  </si>
  <si>
    <t>OTHER</t>
  </si>
  <si>
    <t>FERC Licensing</t>
  </si>
  <si>
    <t>Geologic and Hydrology Studies</t>
  </si>
  <si>
    <t>Feasibility Design</t>
  </si>
  <si>
    <t>Final Design</t>
  </si>
  <si>
    <t>Construction Administration</t>
  </si>
  <si>
    <t>Indirect Costs</t>
  </si>
  <si>
    <t>Infrastructure Engineer @1950hrs/yr</t>
  </si>
  <si>
    <t>Director of Planning @487.5hrs/yr</t>
  </si>
  <si>
    <t>Contracting Officer @585hrs/yr</t>
  </si>
  <si>
    <t>Contracting Officer @585 hrs/yr</t>
  </si>
  <si>
    <t>Executive Director @390hrs/yr</t>
  </si>
  <si>
    <t>Communications Director @585hrs/yr</t>
  </si>
  <si>
    <t>Owned Assets Director @975hrs/yr</t>
  </si>
  <si>
    <t>General Counsel @390 hrs/yr</t>
  </si>
  <si>
    <t>Director of Planning @50.65%</t>
  </si>
  <si>
    <t>General Counsel @43.61%</t>
  </si>
  <si>
    <t>GIS Program Manager @195 hrs/yr</t>
  </si>
  <si>
    <t>GIS Specialist @52.04</t>
  </si>
  <si>
    <t xml:space="preserve">AEA Project Manager RT site visits to Homer and chartered flights to Bradley from ANC </t>
  </si>
  <si>
    <t>New Staff Office Setup</t>
  </si>
  <si>
    <t xml:space="preserve">Misc. Supplies </t>
  </si>
  <si>
    <t>Indirect Rate of 31.86% (calculated in direct personell, fringe, travel, and supplies)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</si>
</sst>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6" fontId="8" fillId="4" borderId="4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6" fontId="8" fillId="0" borderId="1" xfId="0" applyNumberFormat="1" applyFont="1" applyBorder="1" applyAlignment="1">
      <alignment wrapText="1"/>
    </xf>
    <xf numFmtId="6" fontId="8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9" fillId="0" borderId="11" xfId="0" applyFont="1" applyBorder="1" applyAlignment="1">
      <alignment wrapText="1"/>
    </xf>
    <xf numFmtId="6" fontId="10" fillId="0" borderId="12" xfId="0" applyNumberFormat="1" applyFont="1" applyBorder="1" applyAlignment="1">
      <alignment wrapText="1"/>
    </xf>
    <xf numFmtId="0" fontId="11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8" fillId="0" borderId="1" xfId="0" applyFont="1" applyBorder="1" applyAlignment="1">
      <alignment horizontal="left" wrapText="1" indent="4"/>
    </xf>
    <xf numFmtId="0" fontId="13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6" fontId="6" fillId="0" borderId="0" xfId="0" applyNumberFormat="1" applyFont="1"/>
    <xf numFmtId="0" fontId="12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2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wrapText="1"/>
    </xf>
    <xf numFmtId="0" fontId="6" fillId="8" borderId="0" xfId="0" applyFont="1" applyFill="1"/>
    <xf numFmtId="6" fontId="9" fillId="0" borderId="19" xfId="0" applyNumberFormat="1" applyFont="1" applyBorder="1" applyAlignment="1">
      <alignment wrapText="1"/>
    </xf>
    <xf numFmtId="0" fontId="9" fillId="0" borderId="0" xfId="0" applyFont="1"/>
    <xf numFmtId="0" fontId="9" fillId="3" borderId="20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horizontal="left" vertical="top" wrapText="1"/>
    </xf>
    <xf numFmtId="6" fontId="8" fillId="7" borderId="8" xfId="0" applyNumberFormat="1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8" fontId="8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9" fontId="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8"/>
  <sheetViews>
    <sheetView showGridLines="0" topLeftCell="A35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0"/>
      <c r="K2" s="3"/>
    </row>
    <row r="3" spans="4:11" x14ac:dyDescent="0.25">
      <c r="D3" s="3"/>
      <c r="E3" s="3"/>
      <c r="J3" s="28"/>
      <c r="K3" s="29"/>
    </row>
    <row r="4" spans="4:11" x14ac:dyDescent="0.25">
      <c r="D4" s="4"/>
      <c r="E4" s="3"/>
    </row>
    <row r="9" spans="4:11" x14ac:dyDescent="0.25">
      <c r="J9" s="20"/>
    </row>
    <row r="17" spans="5:18" x14ac:dyDescent="0.25">
      <c r="E17" s="31"/>
      <c r="F17" s="31"/>
      <c r="G17" s="31"/>
      <c r="H17" s="31"/>
      <c r="I17" s="31"/>
    </row>
    <row r="18" spans="5:18" x14ac:dyDescent="0.25">
      <c r="E18" s="31"/>
      <c r="F18" s="31"/>
      <c r="G18" s="31"/>
      <c r="H18" s="31"/>
      <c r="I18" s="31"/>
    </row>
    <row r="27" spans="5:18" ht="23.25" x14ac:dyDescent="0.35">
      <c r="Q27" s="27"/>
    </row>
    <row r="28" spans="5:18" x14ac:dyDescent="0.25">
      <c r="Q28" s="56"/>
      <c r="R28" s="5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AM30"/>
  <sheetViews>
    <sheetView showGridLines="0" topLeftCell="A22" zoomScale="83" zoomScaleNormal="85" workbookViewId="0">
      <selection activeCell="D7" sqref="D7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27" t="s">
        <v>0</v>
      </c>
    </row>
    <row r="3" spans="2:39" ht="26.45" customHeight="1" x14ac:dyDescent="0.25">
      <c r="B3" s="65" t="s">
        <v>1</v>
      </c>
      <c r="C3" s="65"/>
      <c r="D3" s="65"/>
      <c r="E3" s="65"/>
      <c r="F3" s="65"/>
      <c r="G3" s="65"/>
      <c r="H3" s="65"/>
      <c r="I3" s="65"/>
      <c r="J3" s="65"/>
    </row>
    <row r="4" spans="2:39" ht="15" customHeight="1" x14ac:dyDescent="0.25">
      <c r="B4" s="5"/>
    </row>
    <row r="5" spans="2:39" ht="18.75" x14ac:dyDescent="0.3">
      <c r="B5" s="41" t="s">
        <v>2</v>
      </c>
      <c r="C5" s="42"/>
      <c r="D5" s="42"/>
      <c r="E5" s="42"/>
      <c r="F5" s="42"/>
      <c r="G5" s="42"/>
      <c r="H5" s="42"/>
      <c r="I5" s="42"/>
      <c r="J5" s="60"/>
    </row>
    <row r="6" spans="2:39" ht="17.100000000000001" customHeight="1" x14ac:dyDescent="0.25">
      <c r="B6" s="43" t="s">
        <v>3</v>
      </c>
      <c r="C6" s="43" t="s">
        <v>4</v>
      </c>
      <c r="D6" s="43" t="s">
        <v>5</v>
      </c>
      <c r="E6" s="44" t="s">
        <v>6</v>
      </c>
      <c r="F6" s="44" t="s">
        <v>7</v>
      </c>
      <c r="G6" s="44" t="s">
        <v>8</v>
      </c>
      <c r="H6" s="45" t="s">
        <v>9</v>
      </c>
      <c r="I6" s="46"/>
      <c r="J6" s="61" t="s">
        <v>10</v>
      </c>
    </row>
    <row r="7" spans="2:39" s="5" customFormat="1" x14ac:dyDescent="0.25">
      <c r="B7" s="21" t="s">
        <v>11</v>
      </c>
      <c r="C7" s="47" t="s">
        <v>12</v>
      </c>
      <c r="D7" s="48" t="e">
        <f>'Dixon Diversion Budget'!D18+#REF!+#REF!+#REF!+#REF!</f>
        <v>#REF!</v>
      </c>
      <c r="E7" s="48" t="e">
        <f>'Dixon Diversion Budget'!E18+#REF!+#REF!+#REF!+#REF!</f>
        <v>#REF!</v>
      </c>
      <c r="F7" s="48" t="e">
        <f>'Dixon Diversion Budget'!F18+#REF!+#REF!+#REF!+#REF!</f>
        <v>#REF!</v>
      </c>
      <c r="G7" s="48" t="e">
        <f>'Dixon Diversion Budget'!G18+#REF!+#REF!+#REF!+#REF!</f>
        <v>#REF!</v>
      </c>
      <c r="H7" s="48" t="e">
        <f>'Dixon Diversion Budget'!H18+#REF!+#REF!+#REF!+#REF!</f>
        <v>#REF!</v>
      </c>
      <c r="I7" s="49"/>
      <c r="J7" s="48" t="e">
        <f>SUM(D7:I7)</f>
        <v>#REF!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2"/>
      <c r="C8" s="47" t="s">
        <v>13</v>
      </c>
      <c r="D8" s="48" t="e">
        <f>'Dixon Diversion Budget'!D30+#REF!+#REF!+#REF!+#REF!</f>
        <v>#REF!</v>
      </c>
      <c r="E8" s="48" t="e">
        <f>'Dixon Diversion Budget'!E30+#REF!+#REF!+#REF!</f>
        <v>#REF!</v>
      </c>
      <c r="F8" s="48" t="e">
        <f>'Dixon Diversion Budget'!F30+#REF!+#REF!+#REF!</f>
        <v>#REF!</v>
      </c>
      <c r="G8" s="48" t="e">
        <f>'Dixon Diversion Budget'!G30+#REF!+#REF!+#REF!</f>
        <v>#REF!</v>
      </c>
      <c r="H8" s="48" t="e">
        <f>'Dixon Diversion Budget'!H30+#REF!+#REF!+#REF!</f>
        <v>#REF!</v>
      </c>
      <c r="I8" s="49"/>
      <c r="J8" s="48" t="e">
        <f t="shared" ref="J8:J14" si="0">SUM(D8:I8)</f>
        <v>#REF!</v>
      </c>
    </row>
    <row r="9" spans="2:39" x14ac:dyDescent="0.25">
      <c r="B9" s="22"/>
      <c r="C9" s="47" t="s">
        <v>14</v>
      </c>
      <c r="D9" s="48" t="e">
        <f>'Dixon Diversion Budget'!D33+#REF!+#REF!+#REF!+#REF!</f>
        <v>#REF!</v>
      </c>
      <c r="E9" s="48" t="e">
        <f>'Dixon Diversion Budget'!E33+#REF!+#REF!+#REF!</f>
        <v>#REF!</v>
      </c>
      <c r="F9" s="48" t="e">
        <f>'Dixon Diversion Budget'!F33+#REF!+#REF!+#REF!</f>
        <v>#REF!</v>
      </c>
      <c r="G9" s="48" t="e">
        <f>'Dixon Diversion Budget'!G33+#REF!+#REF!+#REF!</f>
        <v>#REF!</v>
      </c>
      <c r="H9" s="48" t="e">
        <f>'Dixon Diversion Budget'!H33+#REF!+#REF!+#REF!</f>
        <v>#REF!</v>
      </c>
      <c r="I9" s="49"/>
      <c r="J9" s="48" t="e">
        <f t="shared" si="0"/>
        <v>#REF!</v>
      </c>
    </row>
    <row r="10" spans="2:39" x14ac:dyDescent="0.25">
      <c r="B10" s="22"/>
      <c r="C10" s="47" t="s">
        <v>15</v>
      </c>
      <c r="D10" s="48" t="e">
        <f>'Dixon Diversion Budget'!D36+#REF!+#REF!+#REF!+#REF!</f>
        <v>#REF!</v>
      </c>
      <c r="E10" s="48" t="e">
        <f>'Dixon Diversion Budget'!E36+#REF!+#REF!+#REF!</f>
        <v>#REF!</v>
      </c>
      <c r="F10" s="48" t="e">
        <f>'Dixon Diversion Budget'!F36+#REF!+#REF!+#REF!</f>
        <v>#REF!</v>
      </c>
      <c r="G10" s="48" t="e">
        <f>'Dixon Diversion Budget'!G36+#REF!+#REF!+#REF!</f>
        <v>#REF!</v>
      </c>
      <c r="H10" s="48" t="e">
        <f>'Dixon Diversion Budget'!H36+#REF!+#REF!+#REF!</f>
        <v>#REF!</v>
      </c>
      <c r="I10" s="49"/>
      <c r="J10" s="48" t="e">
        <f t="shared" si="0"/>
        <v>#REF!</v>
      </c>
    </row>
    <row r="11" spans="2:39" x14ac:dyDescent="0.25">
      <c r="B11" s="22"/>
      <c r="C11" s="47" t="s">
        <v>16</v>
      </c>
      <c r="D11" s="48" t="e">
        <f>'Dixon Diversion Budget'!D39+#REF!+#REF!+#REF!+#REF!</f>
        <v>#REF!</v>
      </c>
      <c r="E11" s="48" t="e">
        <f>'Dixon Diversion Budget'!E39+#REF!+#REF!+#REF!</f>
        <v>#REF!</v>
      </c>
      <c r="F11" s="48" t="e">
        <f>'Dixon Diversion Budget'!F39+#REF!+#REF!+#REF!</f>
        <v>#REF!</v>
      </c>
      <c r="G11" s="48" t="e">
        <f>'Dixon Diversion Budget'!G39+#REF!+#REF!+#REF!</f>
        <v>#REF!</v>
      </c>
      <c r="H11" s="48" t="e">
        <f>'Dixon Diversion Budget'!H39+#REF!+#REF!+#REF!</f>
        <v>#REF!</v>
      </c>
      <c r="I11" s="49"/>
      <c r="J11" s="48" t="e">
        <f t="shared" si="0"/>
        <v>#REF!</v>
      </c>
    </row>
    <row r="12" spans="2:39" x14ac:dyDescent="0.25">
      <c r="B12" s="22"/>
      <c r="C12" s="47" t="s">
        <v>17</v>
      </c>
      <c r="D12" s="48" t="e">
        <f>'Dixon Diversion Budget'!D53+#REF!+#REF!+#REF!+#REF!</f>
        <v>#REF!</v>
      </c>
      <c r="E12" s="48" t="e">
        <f>'Dixon Diversion Budget'!E53+#REF!+#REF!+#REF!</f>
        <v>#REF!</v>
      </c>
      <c r="F12" s="48" t="e">
        <f>'Dixon Diversion Budget'!F53+#REF!+#REF!+#REF!</f>
        <v>#REF!</v>
      </c>
      <c r="G12" s="48" t="e">
        <f>'Dixon Diversion Budget'!G53+#REF!+#REF!+#REF!</f>
        <v>#REF!</v>
      </c>
      <c r="H12" s="48" t="e">
        <f>'Dixon Diversion Budget'!H53+#REF!+#REF!+#REF!</f>
        <v>#REF!</v>
      </c>
      <c r="I12" s="49"/>
      <c r="J12" s="48" t="e">
        <f t="shared" si="0"/>
        <v>#REF!</v>
      </c>
    </row>
    <row r="13" spans="2:39" x14ac:dyDescent="0.25">
      <c r="B13" s="22"/>
      <c r="C13" s="47" t="s">
        <v>18</v>
      </c>
      <c r="D13" s="48" t="e">
        <f>'Dixon Diversion Budget'!D60+#REF!+#REF!+#REF!+#REF!</f>
        <v>#REF!</v>
      </c>
      <c r="E13" s="48" t="e">
        <f>'Dixon Diversion Budget'!E60+#REF!+#REF!+#REF!</f>
        <v>#REF!</v>
      </c>
      <c r="F13" s="48" t="e">
        <f>'Dixon Diversion Budget'!F60+#REF!+#REF!+#REF!</f>
        <v>#REF!</v>
      </c>
      <c r="G13" s="48" t="e">
        <f>'Dixon Diversion Budget'!G60+#REF!+#REF!+#REF!</f>
        <v>#REF!</v>
      </c>
      <c r="H13" s="48" t="e">
        <f>'Dixon Diversion Budget'!H60+#REF!+#REF!+#REF!</f>
        <v>#REF!</v>
      </c>
      <c r="I13" s="49"/>
      <c r="J13" s="48" t="e">
        <f t="shared" si="0"/>
        <v>#REF!</v>
      </c>
    </row>
    <row r="14" spans="2:39" x14ac:dyDescent="0.25">
      <c r="B14" s="23"/>
      <c r="C14" s="9" t="s">
        <v>19</v>
      </c>
      <c r="D14" s="15" t="e">
        <f>D13+D12+D11+D10+D9+D8+D7</f>
        <v>#REF!</v>
      </c>
      <c r="E14" s="15" t="e">
        <f>E13+E12+E11+E10+E9+E8+E7</f>
        <v>#REF!</v>
      </c>
      <c r="F14" s="15" t="e">
        <f>F13+F12+F11+F10+F9+F8+F7</f>
        <v>#REF!</v>
      </c>
      <c r="G14" s="15" t="e">
        <f>G13+G12+G11+G10+G9+G8+G7</f>
        <v>#REF!</v>
      </c>
      <c r="H14" s="15" t="e">
        <f>H13+H12+H11+H10+H9+H8+H7</f>
        <v>#REF!</v>
      </c>
      <c r="J14" s="15" t="e">
        <f t="shared" si="0"/>
        <v>#REF!</v>
      </c>
    </row>
    <row r="15" spans="2:39" x14ac:dyDescent="0.25">
      <c r="B15" s="59"/>
      <c r="D15"/>
      <c r="E15"/>
      <c r="H15"/>
      <c r="I15"/>
      <c r="J15" s="17" t="s">
        <v>20</v>
      </c>
    </row>
    <row r="16" spans="2:39" ht="20.100000000000001" customHeight="1" x14ac:dyDescent="0.25">
      <c r="B16" s="59"/>
      <c r="C16" s="9" t="s">
        <v>21</v>
      </c>
      <c r="D16" s="55" t="e">
        <f>'Dixon Diversion Budget'!D66+#REF!+#REF!+#REF!+#REF!</f>
        <v>#REF!</v>
      </c>
      <c r="E16" s="55" t="e">
        <f>'Dixon Diversion Budget'!E66+#REF!+#REF!+#REF!</f>
        <v>#REF!</v>
      </c>
      <c r="F16" s="55" t="e">
        <f>'Dixon Diversion Budget'!F66+#REF!+#REF!+#REF!</f>
        <v>#REF!</v>
      </c>
      <c r="G16" s="55" t="e">
        <f>'Dixon Diversion Budget'!G66+#REF!+#REF!+#REF!</f>
        <v>#REF!</v>
      </c>
      <c r="H16" s="55" t="e">
        <f>'Dixon Diversion Budget'!H66+#REF!+#REF!+#REF!</f>
        <v>#REF!</v>
      </c>
      <c r="J16" s="9" t="e">
        <f>SUM(D16:H16)</f>
        <v>#REF!</v>
      </c>
    </row>
    <row r="17" spans="2:10" ht="15.75" thickBot="1" x14ac:dyDescent="0.3">
      <c r="B17" s="59"/>
      <c r="D17"/>
      <c r="E17"/>
      <c r="H17"/>
      <c r="I17"/>
      <c r="J17" s="17" t="s">
        <v>20</v>
      </c>
    </row>
    <row r="18" spans="2:10" ht="30.95" customHeight="1" thickBot="1" x14ac:dyDescent="0.3">
      <c r="B18" s="58" t="s">
        <v>22</v>
      </c>
      <c r="C18" s="18"/>
      <c r="D18" s="50" t="e">
        <f>D14+D16</f>
        <v>#REF!</v>
      </c>
      <c r="E18" s="50" t="e">
        <f>E14+E16</f>
        <v>#REF!</v>
      </c>
      <c r="F18" s="50" t="e">
        <f>F14+F16</f>
        <v>#REF!</v>
      </c>
      <c r="G18" s="50" t="e">
        <f>G14+G16</f>
        <v>#REF!</v>
      </c>
      <c r="H18" s="50" t="e">
        <f>H14+H16</f>
        <v>#REF!</v>
      </c>
      <c r="I18" s="51"/>
      <c r="J18" s="62" t="e">
        <f>J14+J16</f>
        <v>#REF!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1" t="s">
        <v>23</v>
      </c>
      <c r="C21" s="42"/>
      <c r="D21" s="42"/>
      <c r="E21" s="67"/>
      <c r="F21" s="67"/>
      <c r="H21"/>
      <c r="I21"/>
    </row>
    <row r="22" spans="2:10" ht="29.1" customHeight="1" x14ac:dyDescent="0.25">
      <c r="B22" s="43" t="s">
        <v>24</v>
      </c>
      <c r="C22" s="43" t="s">
        <v>25</v>
      </c>
      <c r="D22" s="52" t="s">
        <v>26</v>
      </c>
      <c r="E22" s="68" t="s">
        <v>27</v>
      </c>
      <c r="F22" s="68"/>
      <c r="H22"/>
      <c r="I22"/>
    </row>
    <row r="23" spans="2:10" ht="15" customHeight="1" x14ac:dyDescent="0.25">
      <c r="B23" s="47">
        <v>1</v>
      </c>
      <c r="C23" s="53" t="s">
        <v>28</v>
      </c>
      <c r="D23" s="54">
        <f>'Dixon Diversion Budget'!J68</f>
        <v>348415151.03818381</v>
      </c>
      <c r="E23" s="66" t="e">
        <f>D23/D$29</f>
        <v>#REF!</v>
      </c>
      <c r="F23" s="66"/>
      <c r="H23"/>
      <c r="I23"/>
    </row>
    <row r="24" spans="2:10" ht="15" customHeight="1" x14ac:dyDescent="0.25">
      <c r="B24" s="47">
        <v>2</v>
      </c>
      <c r="C24" s="48" t="s">
        <v>29</v>
      </c>
      <c r="D24" s="54" t="e">
        <f>#REF!</f>
        <v>#REF!</v>
      </c>
      <c r="E24" s="66" t="e">
        <f t="shared" ref="E24:E27" si="1">D24/D$29</f>
        <v>#REF!</v>
      </c>
      <c r="F24" s="66"/>
      <c r="H24"/>
      <c r="I24"/>
    </row>
    <row r="25" spans="2:10" ht="15" customHeight="1" x14ac:dyDescent="0.25">
      <c r="B25" s="47">
        <v>3</v>
      </c>
      <c r="C25" s="48" t="s">
        <v>30</v>
      </c>
      <c r="D25" s="54" t="e">
        <f>#REF!</f>
        <v>#REF!</v>
      </c>
      <c r="E25" s="66" t="e">
        <f t="shared" si="1"/>
        <v>#REF!</v>
      </c>
      <c r="F25" s="66"/>
      <c r="H25"/>
      <c r="I25"/>
    </row>
    <row r="26" spans="2:10" ht="15" customHeight="1" x14ac:dyDescent="0.25">
      <c r="B26" s="47">
        <v>4</v>
      </c>
      <c r="C26" s="48" t="s">
        <v>31</v>
      </c>
      <c r="D26" s="54" t="e">
        <f>#REF!</f>
        <v>#REF!</v>
      </c>
      <c r="E26" s="66" t="e">
        <f t="shared" si="1"/>
        <v>#REF!</v>
      </c>
      <c r="F26" s="66"/>
      <c r="H26"/>
      <c r="I26"/>
    </row>
    <row r="27" spans="2:10" ht="15" customHeight="1" x14ac:dyDescent="0.25">
      <c r="B27" s="47">
        <v>5</v>
      </c>
      <c r="C27" s="48" t="s">
        <v>32</v>
      </c>
      <c r="D27" s="54">
        <v>0</v>
      </c>
      <c r="E27" s="66" t="e">
        <f t="shared" si="1"/>
        <v>#REF!</v>
      </c>
      <c r="F27" s="66"/>
      <c r="H27"/>
      <c r="I27"/>
    </row>
    <row r="28" spans="2:10" ht="15" customHeight="1" x14ac:dyDescent="0.25">
      <c r="B28" s="47"/>
      <c r="C28" s="48"/>
      <c r="D28" s="54"/>
      <c r="E28" s="66"/>
      <c r="F28" s="66"/>
      <c r="H28"/>
      <c r="I28"/>
    </row>
    <row r="29" spans="2:10" ht="15" customHeight="1" x14ac:dyDescent="0.25">
      <c r="B29" s="47" t="s">
        <v>33</v>
      </c>
      <c r="C29" s="48"/>
      <c r="D29" s="54" t="e">
        <f>SUM(D23:D28)</f>
        <v>#REF!</v>
      </c>
      <c r="E29" s="66" t="e">
        <f t="shared" ref="E29" si="2">SUM(E23:E28)</f>
        <v>#REF!</v>
      </c>
      <c r="F29" s="66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39997558519241921"/>
    <pageSetUpPr fitToPage="1"/>
  </sheetPr>
  <dimension ref="B2:AM83"/>
  <sheetViews>
    <sheetView showGridLines="0" tabSelected="1" topLeftCell="B43" zoomScale="85" zoomScaleNormal="85" workbookViewId="0">
      <selection activeCell="D65" sqref="D65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4" style="6" customWidth="1"/>
    <col min="5" max="5" width="14.28515625" style="2" customWidth="1"/>
    <col min="6" max="6" width="14.5703125" customWidth="1"/>
    <col min="7" max="7" width="14.85546875" customWidth="1"/>
    <col min="8" max="8" width="13.285156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27" t="s">
        <v>34</v>
      </c>
    </row>
    <row r="3" spans="2:39" x14ac:dyDescent="0.25">
      <c r="B3" s="5" t="s">
        <v>35</v>
      </c>
    </row>
    <row r="4" spans="2:39" x14ac:dyDescent="0.25">
      <c r="B4" s="5"/>
    </row>
    <row r="5" spans="2:39" ht="18.75" x14ac:dyDescent="0.3">
      <c r="B5" s="33" t="s">
        <v>2</v>
      </c>
      <c r="C5" s="34"/>
      <c r="D5" s="34"/>
      <c r="E5" s="34"/>
      <c r="F5" s="34"/>
      <c r="G5" s="34"/>
      <c r="H5" s="34"/>
      <c r="I5" s="34"/>
      <c r="J5" s="35"/>
    </row>
    <row r="6" spans="2:39" ht="30" x14ac:dyDescent="0.25">
      <c r="B6" s="36" t="s">
        <v>3</v>
      </c>
      <c r="C6" s="36" t="s">
        <v>4</v>
      </c>
      <c r="D6" s="36" t="s">
        <v>5</v>
      </c>
      <c r="E6" s="37" t="s">
        <v>6</v>
      </c>
      <c r="F6" s="37" t="s">
        <v>7</v>
      </c>
      <c r="G6" s="37" t="s">
        <v>8</v>
      </c>
      <c r="H6" s="38" t="s">
        <v>9</v>
      </c>
      <c r="I6" s="39"/>
      <c r="J6" s="40" t="s">
        <v>10</v>
      </c>
    </row>
    <row r="7" spans="2:39" s="5" customFormat="1" ht="30" x14ac:dyDescent="0.25">
      <c r="B7" s="63" t="s">
        <v>11</v>
      </c>
      <c r="C7" s="25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2"/>
      <c r="C8" s="24" t="s">
        <v>70</v>
      </c>
      <c r="D8" s="14">
        <v>31642.65</v>
      </c>
      <c r="E8" s="14">
        <v>32908.356</v>
      </c>
      <c r="F8" s="14">
        <v>34224.690240000004</v>
      </c>
      <c r="G8" s="14">
        <v>35593.677849600004</v>
      </c>
      <c r="H8" s="14">
        <v>37017.42496358401</v>
      </c>
      <c r="I8" s="32"/>
      <c r="J8" s="14">
        <f>SUM(D8:H8)</f>
        <v>171386.79905318399</v>
      </c>
    </row>
    <row r="9" spans="2:39" x14ac:dyDescent="0.25">
      <c r="B9" s="22"/>
      <c r="C9" s="24" t="s">
        <v>71</v>
      </c>
      <c r="D9" s="14">
        <v>31642.65</v>
      </c>
      <c r="E9" s="14">
        <v>32908.356</v>
      </c>
      <c r="F9" s="14">
        <v>34224.690240000004</v>
      </c>
      <c r="G9" s="14">
        <v>35593.677849600004</v>
      </c>
      <c r="H9" s="14">
        <v>37017.42496358401</v>
      </c>
      <c r="J9" s="14">
        <f t="shared" ref="J9:J13" si="0">SUM(D9:H9)</f>
        <v>171386.79905318399</v>
      </c>
    </row>
    <row r="10" spans="2:39" x14ac:dyDescent="0.25">
      <c r="B10" s="22"/>
      <c r="C10" s="24" t="s">
        <v>72</v>
      </c>
      <c r="D10" s="14">
        <v>49857.599999999999</v>
      </c>
      <c r="E10" s="14">
        <v>51851.903999999995</v>
      </c>
      <c r="F10" s="14">
        <v>53925.980160000006</v>
      </c>
      <c r="G10" s="14">
        <v>56083.019366400003</v>
      </c>
      <c r="H10" s="14">
        <v>58326.340141056004</v>
      </c>
      <c r="J10" s="14">
        <f t="shared" si="0"/>
        <v>270044.84366745601</v>
      </c>
    </row>
    <row r="11" spans="2:39" ht="15" customHeight="1" x14ac:dyDescent="0.25">
      <c r="B11" s="22"/>
      <c r="C11" s="24" t="s">
        <v>73</v>
      </c>
      <c r="D11" s="14">
        <v>43951.049999999996</v>
      </c>
      <c r="E11" s="14">
        <v>45709.091999999997</v>
      </c>
      <c r="F11" s="14">
        <v>47537.455680000006</v>
      </c>
      <c r="G11" s="14">
        <v>49438.953907200004</v>
      </c>
      <c r="H11" s="14">
        <v>51416.512063488008</v>
      </c>
      <c r="J11" s="14">
        <f t="shared" si="0"/>
        <v>238053.06365068804</v>
      </c>
    </row>
    <row r="12" spans="2:39" x14ac:dyDescent="0.25">
      <c r="B12" s="22"/>
      <c r="C12" s="24" t="s">
        <v>74</v>
      </c>
      <c r="D12" s="14">
        <v>111471.75</v>
      </c>
      <c r="E12" s="14">
        <v>115930.62</v>
      </c>
      <c r="F12" s="14">
        <v>120567.84480000001</v>
      </c>
      <c r="G12" s="14">
        <v>125390.55859200002</v>
      </c>
      <c r="H12" s="14">
        <v>130406.18093568002</v>
      </c>
      <c r="J12" s="14">
        <f t="shared" si="0"/>
        <v>603766.95432768005</v>
      </c>
    </row>
    <row r="13" spans="2:39" ht="16.5" customHeight="1" x14ac:dyDescent="0.25">
      <c r="B13" s="22"/>
      <c r="C13" s="24" t="s">
        <v>68</v>
      </c>
      <c r="D13" s="14">
        <v>131371.5</v>
      </c>
      <c r="E13" s="14">
        <v>136626.36000000002</v>
      </c>
      <c r="F13" s="14">
        <v>142091.41440000001</v>
      </c>
      <c r="G13" s="14">
        <v>147775.07097600005</v>
      </c>
      <c r="H13" s="14">
        <v>153686.07381504003</v>
      </c>
      <c r="J13" s="14">
        <f t="shared" si="0"/>
        <v>711550.4191910401</v>
      </c>
    </row>
    <row r="14" spans="2:39" x14ac:dyDescent="0.25">
      <c r="B14" s="22"/>
      <c r="C14" s="24" t="s">
        <v>38</v>
      </c>
      <c r="D14" s="14">
        <v>65685.75</v>
      </c>
      <c r="E14" s="14">
        <v>68313.180000000008</v>
      </c>
      <c r="F14" s="14">
        <v>71045.707200000004</v>
      </c>
      <c r="G14" s="14">
        <v>73887.535488000023</v>
      </c>
      <c r="H14" s="14">
        <v>76843.036907520014</v>
      </c>
      <c r="J14" s="14">
        <f>SUM(D14:H14)</f>
        <v>355775.20959552005</v>
      </c>
    </row>
    <row r="15" spans="2:39" x14ac:dyDescent="0.25">
      <c r="B15" s="22"/>
      <c r="C15" s="24" t="s">
        <v>69</v>
      </c>
      <c r="D15" s="14">
        <v>35948.25</v>
      </c>
      <c r="E15" s="14">
        <v>37386.18</v>
      </c>
      <c r="F15" s="14">
        <v>38881.627199999995</v>
      </c>
      <c r="G15" s="14">
        <v>40436.892287999995</v>
      </c>
      <c r="H15" s="14">
        <v>42054.367979520001</v>
      </c>
      <c r="J15" s="14">
        <f t="shared" ref="J15:J17" si="1">SUM(D15:H15)</f>
        <v>194707.31746751998</v>
      </c>
    </row>
    <row r="16" spans="2:39" x14ac:dyDescent="0.25">
      <c r="B16" s="22"/>
      <c r="C16" s="24" t="s">
        <v>75</v>
      </c>
      <c r="D16" s="14">
        <v>43668.3</v>
      </c>
      <c r="E16" s="14">
        <v>45415.031999999999</v>
      </c>
      <c r="F16" s="14">
        <v>47231.633280000009</v>
      </c>
      <c r="G16" s="14">
        <v>49120.898611200006</v>
      </c>
      <c r="H16" s="14">
        <v>51085.734555648007</v>
      </c>
      <c r="J16" s="14">
        <f t="shared" si="1"/>
        <v>236521.59844684802</v>
      </c>
    </row>
    <row r="17" spans="2:10" x14ac:dyDescent="0.25">
      <c r="B17" s="22"/>
      <c r="C17" s="24" t="s">
        <v>78</v>
      </c>
      <c r="D17" s="14">
        <v>10522.2</v>
      </c>
      <c r="E17" s="14">
        <v>10943.088</v>
      </c>
      <c r="F17" s="14">
        <v>11380.811520000001</v>
      </c>
      <c r="G17" s="14">
        <v>11836.043980800001</v>
      </c>
      <c r="H17" s="14">
        <v>12309.485740032002</v>
      </c>
      <c r="J17" s="14">
        <f t="shared" si="1"/>
        <v>56991.629240832008</v>
      </c>
    </row>
    <row r="18" spans="2:10" x14ac:dyDescent="0.25">
      <c r="B18" s="22"/>
      <c r="C18" s="9" t="s">
        <v>12</v>
      </c>
      <c r="D18" s="15">
        <f>SUM(D8:D17)</f>
        <v>555761.69999999995</v>
      </c>
      <c r="E18" s="15">
        <f>SUM(E8:E17)</f>
        <v>577992.16799999995</v>
      </c>
      <c r="F18" s="15">
        <f>SUM(F8:F17)</f>
        <v>601111.85471999994</v>
      </c>
      <c r="G18" s="15">
        <f>SUM(G8:G17)</f>
        <v>625156.32890880003</v>
      </c>
      <c r="H18" s="15">
        <f>SUM(H8:H17)</f>
        <v>650162.58206515224</v>
      </c>
      <c r="J18" s="15">
        <f>SUM(J8:J17)</f>
        <v>3010184.6336939516</v>
      </c>
    </row>
    <row r="19" spans="2:10" x14ac:dyDescent="0.25">
      <c r="B19" s="22"/>
      <c r="C19" s="13" t="s">
        <v>39</v>
      </c>
      <c r="D19" s="12" t="s">
        <v>37</v>
      </c>
      <c r="E19" s="10"/>
      <c r="F19" s="10"/>
      <c r="G19" s="10"/>
      <c r="H19" s="10"/>
      <c r="J19" s="8" t="s">
        <v>37</v>
      </c>
    </row>
    <row r="20" spans="2:10" x14ac:dyDescent="0.25">
      <c r="B20" s="22"/>
      <c r="C20" s="24" t="s">
        <v>40</v>
      </c>
      <c r="D20" s="14">
        <v>18014.160645</v>
      </c>
      <c r="E20" s="14">
        <v>18734.7270708</v>
      </c>
      <c r="F20" s="14">
        <v>19484.116153632003</v>
      </c>
      <c r="G20" s="14">
        <v>20263.480799777284</v>
      </c>
      <c r="H20" s="14">
        <v>21074.020031768378</v>
      </c>
      <c r="J20" s="14">
        <v>97570.504700977661</v>
      </c>
    </row>
    <row r="21" spans="2:10" x14ac:dyDescent="0.25">
      <c r="B21" s="22"/>
      <c r="C21" s="24" t="s">
        <v>40</v>
      </c>
      <c r="D21" s="14">
        <v>18014.160645</v>
      </c>
      <c r="E21" s="14">
        <v>18734.7270708</v>
      </c>
      <c r="F21" s="14">
        <v>19484.116153632003</v>
      </c>
      <c r="G21" s="14">
        <v>20263.480799777284</v>
      </c>
      <c r="H21" s="14">
        <v>21074.020031768378</v>
      </c>
      <c r="J21" s="14">
        <v>97570.504700977661</v>
      </c>
    </row>
    <row r="22" spans="2:10" x14ac:dyDescent="0.25">
      <c r="B22" s="22"/>
      <c r="C22" s="24" t="s">
        <v>41</v>
      </c>
      <c r="D22" s="14">
        <v>21742.899359999999</v>
      </c>
      <c r="E22" s="14">
        <v>22612.615334399998</v>
      </c>
      <c r="F22" s="14">
        <v>23517.119947776002</v>
      </c>
      <c r="G22" s="14">
        <v>24457.804745687041</v>
      </c>
      <c r="H22" s="14">
        <v>25436.116935514521</v>
      </c>
      <c r="J22" s="14">
        <v>117766.55632337758</v>
      </c>
    </row>
    <row r="23" spans="2:10" x14ac:dyDescent="0.25">
      <c r="B23" s="22"/>
      <c r="C23" s="24" t="s">
        <v>42</v>
      </c>
      <c r="D23" s="14">
        <v>22120.563464999996</v>
      </c>
      <c r="E23" s="14">
        <v>23005.386003599997</v>
      </c>
      <c r="F23" s="14">
        <v>23925.601443744003</v>
      </c>
      <c r="G23" s="14">
        <v>24882.62550149376</v>
      </c>
      <c r="H23" s="14">
        <v>25877.930521553513</v>
      </c>
      <c r="J23" s="14">
        <v>119812.10693539128</v>
      </c>
    </row>
    <row r="24" spans="2:10" x14ac:dyDescent="0.25">
      <c r="B24" s="22"/>
      <c r="C24" s="24" t="s">
        <v>43</v>
      </c>
      <c r="D24" s="14">
        <v>50318.347950000003</v>
      </c>
      <c r="E24" s="14">
        <v>52331.081868000001</v>
      </c>
      <c r="F24" s="14">
        <v>54424.325142720008</v>
      </c>
      <c r="G24" s="14">
        <v>56601.29814842881</v>
      </c>
      <c r="H24" s="14">
        <v>58865.350074365968</v>
      </c>
      <c r="J24" s="14">
        <v>272540.40318351483</v>
      </c>
    </row>
    <row r="25" spans="2:10" x14ac:dyDescent="0.25">
      <c r="B25" s="22"/>
      <c r="C25" s="24" t="s">
        <v>44</v>
      </c>
      <c r="D25" s="14">
        <v>68365.728600000002</v>
      </c>
      <c r="E25" s="14">
        <v>71100.357744000008</v>
      </c>
      <c r="F25" s="14">
        <v>73944.372053760002</v>
      </c>
      <c r="G25" s="14">
        <v>76902.146935910423</v>
      </c>
      <c r="H25" s="14">
        <v>79978.232813346825</v>
      </c>
      <c r="J25" s="14">
        <v>370290.83814701723</v>
      </c>
    </row>
    <row r="26" spans="2:10" x14ac:dyDescent="0.25">
      <c r="B26" s="22"/>
      <c r="C26" s="24" t="s">
        <v>44</v>
      </c>
      <c r="D26" s="14">
        <v>34182.864300000001</v>
      </c>
      <c r="E26" s="14">
        <v>35550.178872000004</v>
      </c>
      <c r="F26" s="14">
        <v>36972.186026880001</v>
      </c>
      <c r="G26" s="14">
        <v>38451.073467955212</v>
      </c>
      <c r="H26" s="14">
        <v>39989.116406673413</v>
      </c>
      <c r="J26" s="14">
        <v>185145.41907350862</v>
      </c>
    </row>
    <row r="27" spans="2:10" x14ac:dyDescent="0.25">
      <c r="B27" s="22"/>
      <c r="C27" s="24" t="s">
        <v>76</v>
      </c>
      <c r="D27" s="14">
        <v>18207.788624999997</v>
      </c>
      <c r="E27" s="14">
        <v>18936.100169999998</v>
      </c>
      <c r="F27" s="14">
        <v>19693.544176799995</v>
      </c>
      <c r="G27" s="14">
        <v>20481.285943871997</v>
      </c>
      <c r="H27" s="14">
        <v>21300.537381626877</v>
      </c>
      <c r="J27" s="14">
        <v>98619.256297298853</v>
      </c>
    </row>
    <row r="28" spans="2:10" x14ac:dyDescent="0.25">
      <c r="B28" s="22"/>
      <c r="C28" s="24" t="s">
        <v>77</v>
      </c>
      <c r="D28" s="14">
        <v>19043.745630000001</v>
      </c>
      <c r="E28" s="14">
        <v>19805.495455199998</v>
      </c>
      <c r="F28" s="14">
        <v>20597.715273408005</v>
      </c>
      <c r="G28" s="14">
        <v>21421.623884344321</v>
      </c>
      <c r="H28" s="14">
        <v>22278.488839718095</v>
      </c>
      <c r="J28" s="14">
        <v>103147.06908267042</v>
      </c>
    </row>
    <row r="29" spans="2:10" x14ac:dyDescent="0.25">
      <c r="B29" s="22"/>
      <c r="C29" s="24" t="s">
        <v>79</v>
      </c>
      <c r="D29" s="14">
        <v>5475.75288</v>
      </c>
      <c r="E29" s="14">
        <v>5694.7829951999993</v>
      </c>
      <c r="F29" s="14">
        <v>5922.5743150080007</v>
      </c>
      <c r="G29" s="14">
        <v>6159.4772876083198</v>
      </c>
      <c r="H29" s="14">
        <v>6405.8563791126535</v>
      </c>
      <c r="J29" s="14">
        <v>29658.443856928974</v>
      </c>
    </row>
    <row r="30" spans="2:10" x14ac:dyDescent="0.25">
      <c r="B30" s="22"/>
      <c r="C30" s="9" t="s">
        <v>13</v>
      </c>
      <c r="D30" s="15">
        <f t="shared" ref="D30:J30" si="2">SUM(D20:D29)</f>
        <v>275486.01209999999</v>
      </c>
      <c r="E30" s="15">
        <f t="shared" si="2"/>
        <v>286505.45258400007</v>
      </c>
      <c r="F30" s="15">
        <f t="shared" si="2"/>
        <v>297965.67068735999</v>
      </c>
      <c r="G30" s="15">
        <f t="shared" si="2"/>
        <v>309884.29751485441</v>
      </c>
      <c r="H30" s="15">
        <f t="shared" si="2"/>
        <v>322279.66941544862</v>
      </c>
      <c r="I30" s="7">
        <f t="shared" si="2"/>
        <v>0</v>
      </c>
      <c r="J30" s="15">
        <f t="shared" si="2"/>
        <v>1492121.102301663</v>
      </c>
    </row>
    <row r="31" spans="2:10" x14ac:dyDescent="0.25">
      <c r="B31" s="22"/>
      <c r="C31" s="13" t="s">
        <v>45</v>
      </c>
      <c r="D31" s="12" t="s">
        <v>37</v>
      </c>
      <c r="E31" s="10"/>
      <c r="F31" s="10"/>
      <c r="G31" s="10"/>
      <c r="H31" s="10"/>
      <c r="J31" s="8" t="s">
        <v>37</v>
      </c>
    </row>
    <row r="32" spans="2:10" ht="45" x14ac:dyDescent="0.25">
      <c r="B32" s="22"/>
      <c r="C32" s="26" t="s">
        <v>80</v>
      </c>
      <c r="D32" s="14">
        <v>39160</v>
      </c>
      <c r="E32" s="14">
        <v>39160</v>
      </c>
      <c r="F32" s="14">
        <v>55680</v>
      </c>
      <c r="G32" s="14">
        <v>55680</v>
      </c>
      <c r="H32" s="14">
        <v>55680</v>
      </c>
      <c r="J32" s="14">
        <f>SUM(D32:H32)</f>
        <v>245360</v>
      </c>
    </row>
    <row r="33" spans="2:10" x14ac:dyDescent="0.25">
      <c r="B33" s="22"/>
      <c r="C33" s="9" t="s">
        <v>14</v>
      </c>
      <c r="D33" s="15">
        <f>SUM(D32)</f>
        <v>39160</v>
      </c>
      <c r="E33" s="15">
        <f t="shared" ref="E33:H33" si="3">SUM(E32)</f>
        <v>39160</v>
      </c>
      <c r="F33" s="15">
        <f t="shared" si="3"/>
        <v>55680</v>
      </c>
      <c r="G33" s="15">
        <f t="shared" si="3"/>
        <v>55680</v>
      </c>
      <c r="H33" s="15">
        <f t="shared" si="3"/>
        <v>55680</v>
      </c>
      <c r="J33" s="15">
        <f>SUM(J32:J32)</f>
        <v>245360</v>
      </c>
    </row>
    <row r="34" spans="2:10" x14ac:dyDescent="0.25">
      <c r="B34" s="22"/>
      <c r="C34" s="13" t="s">
        <v>46</v>
      </c>
      <c r="D34" s="14"/>
      <c r="E34" s="10"/>
      <c r="F34" s="10"/>
      <c r="G34" s="10"/>
      <c r="H34" s="10"/>
      <c r="J34" s="14" t="s">
        <v>20</v>
      </c>
    </row>
    <row r="35" spans="2:10" x14ac:dyDescent="0.25">
      <c r="B35" s="22"/>
      <c r="C35" s="24" t="s">
        <v>81</v>
      </c>
      <c r="D35" s="14">
        <v>80000</v>
      </c>
      <c r="E35" s="14">
        <v>0</v>
      </c>
      <c r="F35" s="14">
        <v>0</v>
      </c>
      <c r="G35" s="14">
        <v>0</v>
      </c>
      <c r="H35" s="14">
        <v>0</v>
      </c>
      <c r="J35" s="14">
        <f>SUM(D35:H35)</f>
        <v>80000</v>
      </c>
    </row>
    <row r="36" spans="2:10" x14ac:dyDescent="0.25">
      <c r="B36" s="22"/>
      <c r="C36" s="9" t="s">
        <v>15</v>
      </c>
      <c r="D36" s="11">
        <f>SUM(D35:D35)</f>
        <v>80000</v>
      </c>
      <c r="E36" s="11">
        <f>SUM(E35:E35)</f>
        <v>0</v>
      </c>
      <c r="F36" s="11">
        <f>SUM(F35:F35)</f>
        <v>0</v>
      </c>
      <c r="G36" s="11">
        <f>SUM(G35:G35)</f>
        <v>0</v>
      </c>
      <c r="H36" s="11">
        <f>SUM(H35:H35)</f>
        <v>0</v>
      </c>
      <c r="J36" s="15">
        <f>SUM(J35:J35)</f>
        <v>80000</v>
      </c>
    </row>
    <row r="37" spans="2:10" x14ac:dyDescent="0.25">
      <c r="B37" s="22"/>
      <c r="C37" s="13" t="s">
        <v>47</v>
      </c>
      <c r="D37" s="12" t="s">
        <v>37</v>
      </c>
      <c r="E37" s="10"/>
      <c r="F37" s="10"/>
      <c r="G37" s="10"/>
      <c r="H37" s="10"/>
      <c r="J37" s="14"/>
    </row>
    <row r="38" spans="2:10" x14ac:dyDescent="0.25">
      <c r="B38" s="22"/>
      <c r="C38" s="24" t="s">
        <v>82</v>
      </c>
      <c r="D38" s="14">
        <v>40000</v>
      </c>
      <c r="E38" s="14">
        <v>40000</v>
      </c>
      <c r="F38" s="14">
        <v>40000</v>
      </c>
      <c r="G38" s="14">
        <v>40000</v>
      </c>
      <c r="H38" s="14">
        <v>40000</v>
      </c>
      <c r="I38" s="32"/>
      <c r="J38" s="14">
        <f t="shared" ref="J38:J59" si="4">SUM(D38:H38)</f>
        <v>200000</v>
      </c>
    </row>
    <row r="39" spans="2:10" x14ac:dyDescent="0.25">
      <c r="B39" s="22"/>
      <c r="C39" s="9" t="s">
        <v>16</v>
      </c>
      <c r="D39" s="15">
        <f>SUM(D38:D38)</f>
        <v>40000</v>
      </c>
      <c r="E39" s="15">
        <f>SUM(E38:E38)</f>
        <v>40000</v>
      </c>
      <c r="F39" s="15">
        <f>SUM(F38:F38)</f>
        <v>40000</v>
      </c>
      <c r="G39" s="15">
        <f>SUM(G38:G38)</f>
        <v>40000</v>
      </c>
      <c r="H39" s="15">
        <f>SUM(H38:H38)</f>
        <v>40000</v>
      </c>
      <c r="J39" s="15">
        <f>SUM(J38:J38)</f>
        <v>200000</v>
      </c>
    </row>
    <row r="40" spans="2:10" x14ac:dyDescent="0.25">
      <c r="B40" s="22"/>
      <c r="C40" s="13" t="s">
        <v>48</v>
      </c>
      <c r="D40" s="12" t="s">
        <v>37</v>
      </c>
      <c r="E40" s="10"/>
      <c r="F40" s="10"/>
      <c r="G40" s="10"/>
      <c r="H40" s="10"/>
      <c r="J40" s="14"/>
    </row>
    <row r="41" spans="2:10" ht="30" x14ac:dyDescent="0.25">
      <c r="B41" s="22"/>
      <c r="C41" s="24" t="s">
        <v>49</v>
      </c>
      <c r="D41" s="14"/>
      <c r="E41" s="14"/>
      <c r="F41" s="14">
        <f>8264366+4926313</f>
        <v>13190679</v>
      </c>
      <c r="G41" s="14">
        <v>2428111</v>
      </c>
      <c r="H41" s="14">
        <v>2428111</v>
      </c>
      <c r="I41" s="32"/>
      <c r="J41" s="14">
        <f t="shared" si="4"/>
        <v>18046901</v>
      </c>
    </row>
    <row r="42" spans="2:10" ht="45" x14ac:dyDescent="0.25">
      <c r="B42" s="22"/>
      <c r="C42" s="24" t="s">
        <v>50</v>
      </c>
      <c r="D42" s="14"/>
      <c r="E42" s="14"/>
      <c r="F42" s="14">
        <v>1639477</v>
      </c>
      <c r="G42" s="14"/>
      <c r="H42" s="14"/>
      <c r="I42" s="32"/>
      <c r="J42" s="14">
        <f t="shared" si="4"/>
        <v>1639477</v>
      </c>
    </row>
    <row r="43" spans="2:10" ht="45" x14ac:dyDescent="0.25">
      <c r="B43" s="22"/>
      <c r="C43" s="24" t="s">
        <v>51</v>
      </c>
      <c r="D43" s="14"/>
      <c r="E43" s="14"/>
      <c r="F43" s="14">
        <v>18892488</v>
      </c>
      <c r="G43" s="14"/>
      <c r="H43" s="14"/>
      <c r="I43" s="32"/>
      <c r="J43" s="14">
        <f t="shared" si="4"/>
        <v>18892488</v>
      </c>
    </row>
    <row r="44" spans="2:10" ht="45" x14ac:dyDescent="0.25">
      <c r="B44" s="22"/>
      <c r="C44" s="24" t="s">
        <v>52</v>
      </c>
      <c r="D44" s="14"/>
      <c r="E44" s="14"/>
      <c r="F44" s="14">
        <v>2222715</v>
      </c>
      <c r="G44" s="14">
        <v>94563268</v>
      </c>
      <c r="H44" s="14">
        <v>31521089</v>
      </c>
      <c r="I44" s="32"/>
      <c r="J44" s="14">
        <f t="shared" si="4"/>
        <v>128307072</v>
      </c>
    </row>
    <row r="45" spans="2:10" x14ac:dyDescent="0.25">
      <c r="B45" s="22"/>
      <c r="C45" s="24" t="s">
        <v>53</v>
      </c>
      <c r="D45" s="14"/>
      <c r="E45" s="14"/>
      <c r="F45" s="14">
        <v>9194501</v>
      </c>
      <c r="G45" s="14">
        <v>1507891</v>
      </c>
      <c r="H45" s="14">
        <v>1457336</v>
      </c>
      <c r="I45" s="32"/>
      <c r="J45" s="14">
        <f t="shared" si="4"/>
        <v>12159728</v>
      </c>
    </row>
    <row r="46" spans="2:10" x14ac:dyDescent="0.25">
      <c r="B46" s="22"/>
      <c r="C46" s="24" t="s">
        <v>54</v>
      </c>
      <c r="D46" s="14"/>
      <c r="E46" s="14"/>
      <c r="F46" s="14">
        <v>26901055</v>
      </c>
      <c r="G46" s="14"/>
      <c r="H46" s="14"/>
      <c r="I46" s="32"/>
      <c r="J46" s="14">
        <f t="shared" si="4"/>
        <v>26901055</v>
      </c>
    </row>
    <row r="47" spans="2:10" x14ac:dyDescent="0.25">
      <c r="B47" s="22"/>
      <c r="C47" s="24" t="s">
        <v>55</v>
      </c>
      <c r="D47" s="14"/>
      <c r="E47" s="14"/>
      <c r="F47" s="14"/>
      <c r="G47" s="14"/>
      <c r="H47" s="14">
        <v>359720</v>
      </c>
      <c r="I47" s="32"/>
      <c r="J47" s="14">
        <f t="shared" si="4"/>
        <v>359720</v>
      </c>
    </row>
    <row r="48" spans="2:10" x14ac:dyDescent="0.25">
      <c r="B48" s="22"/>
      <c r="C48" s="24" t="s">
        <v>56</v>
      </c>
      <c r="D48" s="14"/>
      <c r="E48" s="14"/>
      <c r="F48" s="14"/>
      <c r="G48" s="14"/>
      <c r="H48" s="14">
        <v>244338</v>
      </c>
      <c r="I48" s="32"/>
      <c r="J48" s="14">
        <f t="shared" si="4"/>
        <v>244338</v>
      </c>
    </row>
    <row r="49" spans="2:10" x14ac:dyDescent="0.25">
      <c r="B49" s="22"/>
      <c r="C49" s="24" t="s">
        <v>57</v>
      </c>
      <c r="D49" s="14">
        <f>0.07*SUM(D41:D48)</f>
        <v>0</v>
      </c>
      <c r="E49" s="14">
        <f t="shared" ref="E49:H49" si="5">0.07*SUM(E41:E48)</f>
        <v>0</v>
      </c>
      <c r="F49" s="14">
        <f t="shared" si="5"/>
        <v>5042864.0500000007</v>
      </c>
      <c r="G49" s="14">
        <f t="shared" si="5"/>
        <v>6894948.9000000004</v>
      </c>
      <c r="H49" s="14">
        <f t="shared" si="5"/>
        <v>2520741.58</v>
      </c>
      <c r="I49" s="32"/>
      <c r="J49" s="14">
        <f t="shared" si="4"/>
        <v>14458554.530000001</v>
      </c>
    </row>
    <row r="50" spans="2:10" x14ac:dyDescent="0.25">
      <c r="B50" s="22"/>
      <c r="C50" s="24" t="s">
        <v>58</v>
      </c>
      <c r="D50" s="14">
        <f>0.044*SUM(D41:D48)</f>
        <v>0</v>
      </c>
      <c r="E50" s="14">
        <f t="shared" ref="E50:H50" si="6">0.044*SUM(E41:E48)</f>
        <v>0</v>
      </c>
      <c r="F50" s="14">
        <f t="shared" si="6"/>
        <v>3169800.26</v>
      </c>
      <c r="G50" s="14">
        <f t="shared" si="6"/>
        <v>4333967.88</v>
      </c>
      <c r="H50" s="14">
        <f t="shared" si="6"/>
        <v>1584466.1359999999</v>
      </c>
      <c r="I50" s="32"/>
      <c r="J50" s="14">
        <f t="shared" si="4"/>
        <v>9088234.2760000005</v>
      </c>
    </row>
    <row r="51" spans="2:10" ht="30" x14ac:dyDescent="0.25">
      <c r="B51" s="22"/>
      <c r="C51" s="24" t="s">
        <v>59</v>
      </c>
      <c r="D51" s="14">
        <f>0.067*SUM(D41:D48)</f>
        <v>0</v>
      </c>
      <c r="E51" s="14">
        <f t="shared" ref="E51:H51" si="7">0.067*SUM(E41:E48)</f>
        <v>0</v>
      </c>
      <c r="F51" s="14">
        <f t="shared" si="7"/>
        <v>4826741.3050000006</v>
      </c>
      <c r="G51" s="14">
        <f t="shared" si="7"/>
        <v>6599451.0900000008</v>
      </c>
      <c r="H51" s="14">
        <f t="shared" si="7"/>
        <v>2412709.798</v>
      </c>
      <c r="I51" s="32"/>
      <c r="J51" s="14">
        <f t="shared" si="4"/>
        <v>13838902.193000002</v>
      </c>
    </row>
    <row r="52" spans="2:10" x14ac:dyDescent="0.25">
      <c r="B52" s="22"/>
      <c r="C52" s="24" t="s">
        <v>60</v>
      </c>
      <c r="D52" s="14">
        <f>0.25*SUM(D41:D51)</f>
        <v>0</v>
      </c>
      <c r="E52" s="14">
        <f t="shared" ref="E52:H52" si="8">0.25*SUM(E41:E51)</f>
        <v>0</v>
      </c>
      <c r="F52" s="14">
        <f t="shared" si="8"/>
        <v>21270080.153750002</v>
      </c>
      <c r="G52" s="14">
        <f t="shared" si="8"/>
        <v>29081909.467500001</v>
      </c>
      <c r="H52" s="14">
        <f t="shared" si="8"/>
        <v>10632127.8785</v>
      </c>
      <c r="J52" s="14">
        <f t="shared" si="4"/>
        <v>60984117.499750003</v>
      </c>
    </row>
    <row r="53" spans="2:10" x14ac:dyDescent="0.25">
      <c r="B53" s="22"/>
      <c r="C53" s="9" t="s">
        <v>17</v>
      </c>
      <c r="D53" s="15">
        <f>SUM(D41:D52)</f>
        <v>0</v>
      </c>
      <c r="E53" s="15">
        <f t="shared" ref="E53:H53" si="9">SUM(E41:E52)</f>
        <v>0</v>
      </c>
      <c r="F53" s="15">
        <f t="shared" si="9"/>
        <v>106350400.76875001</v>
      </c>
      <c r="G53" s="15">
        <f t="shared" si="9"/>
        <v>145409547.33750001</v>
      </c>
      <c r="H53" s="15">
        <f t="shared" si="9"/>
        <v>53160639.392499998</v>
      </c>
      <c r="J53" s="15">
        <f>SUM(J41:J52)</f>
        <v>304920587.49874997</v>
      </c>
    </row>
    <row r="54" spans="2:10" x14ac:dyDescent="0.25">
      <c r="B54" s="22"/>
      <c r="C54" s="13" t="s">
        <v>61</v>
      </c>
      <c r="D54" s="14" t="s">
        <v>37</v>
      </c>
      <c r="E54" s="14"/>
      <c r="F54" s="14"/>
      <c r="G54" s="14"/>
      <c r="H54" s="14"/>
      <c r="J54" s="14"/>
    </row>
    <row r="55" spans="2:10" x14ac:dyDescent="0.25">
      <c r="B55" s="22"/>
      <c r="C55" s="24" t="s">
        <v>62</v>
      </c>
      <c r="D55" s="14"/>
      <c r="E55" s="14">
        <v>7500000</v>
      </c>
      <c r="F55" s="14"/>
      <c r="G55" s="14"/>
      <c r="H55" s="14"/>
      <c r="J55" s="14">
        <f>SUM(D55:H55)</f>
        <v>7500000</v>
      </c>
    </row>
    <row r="56" spans="2:10" x14ac:dyDescent="0.25">
      <c r="B56" s="22"/>
      <c r="C56" s="24" t="s">
        <v>63</v>
      </c>
      <c r="D56" s="14">
        <v>5000000</v>
      </c>
      <c r="E56" s="14"/>
      <c r="F56" s="14"/>
      <c r="G56" s="14"/>
      <c r="H56" s="14"/>
      <c r="J56" s="14">
        <f>SUM(D56:H56)</f>
        <v>5000000</v>
      </c>
    </row>
    <row r="57" spans="2:10" x14ac:dyDescent="0.25">
      <c r="B57" s="22"/>
      <c r="C57" s="24" t="s">
        <v>64</v>
      </c>
      <c r="D57" s="14">
        <v>6096874</v>
      </c>
      <c r="E57" s="14"/>
      <c r="F57" s="14"/>
      <c r="G57" s="14"/>
      <c r="H57" s="14"/>
      <c r="J57" s="14">
        <f t="shared" si="4"/>
        <v>6096874</v>
      </c>
    </row>
    <row r="58" spans="2:10" x14ac:dyDescent="0.25">
      <c r="B58" s="22"/>
      <c r="C58" s="24" t="s">
        <v>65</v>
      </c>
      <c r="D58" s="14"/>
      <c r="E58" s="14">
        <v>6096874</v>
      </c>
      <c r="F58" s="14"/>
      <c r="G58" s="14"/>
      <c r="H58" s="14"/>
      <c r="J58" s="14">
        <f t="shared" si="4"/>
        <v>6096874</v>
      </c>
    </row>
    <row r="59" spans="2:10" x14ac:dyDescent="0.25">
      <c r="B59" s="22"/>
      <c r="C59" s="24" t="s">
        <v>66</v>
      </c>
      <c r="D59" s="14">
        <f>0.04*SUM(D41:D52)</f>
        <v>0</v>
      </c>
      <c r="E59" s="14">
        <f t="shared" ref="E59:H59" si="10">0.04*SUM(E41:E52)</f>
        <v>0</v>
      </c>
      <c r="F59" s="14">
        <f t="shared" si="10"/>
        <v>4254016.0307500008</v>
      </c>
      <c r="G59" s="14">
        <f t="shared" si="10"/>
        <v>5816381.8935000002</v>
      </c>
      <c r="H59" s="14">
        <f t="shared" si="10"/>
        <v>2126425.5756999999</v>
      </c>
      <c r="J59" s="14">
        <f t="shared" si="4"/>
        <v>12196823.499950001</v>
      </c>
    </row>
    <row r="60" spans="2:10" x14ac:dyDescent="0.25">
      <c r="B60" s="23"/>
      <c r="C60" s="9" t="s">
        <v>18</v>
      </c>
      <c r="D60" s="15">
        <f>SUM(D55:D59)</f>
        <v>11096874</v>
      </c>
      <c r="E60" s="15">
        <f>SUM(E55:E59)</f>
        <v>13596874</v>
      </c>
      <c r="F60" s="15">
        <f>SUM(F55:F59)</f>
        <v>4254016.0307500008</v>
      </c>
      <c r="G60" s="15">
        <f>SUM(G55:G59)</f>
        <v>5816381.8935000002</v>
      </c>
      <c r="H60" s="15">
        <f>SUM(H55:H59)</f>
        <v>2126425.5756999999</v>
      </c>
      <c r="J60" s="15">
        <f>SUM(J55:J59)</f>
        <v>36890571.499949999</v>
      </c>
    </row>
    <row r="61" spans="2:10" x14ac:dyDescent="0.25">
      <c r="B61" s="23"/>
      <c r="C61" s="9" t="s">
        <v>19</v>
      </c>
      <c r="D61" s="15">
        <f>SUM(D60,D53,D39,D36,D33,D30,D18)</f>
        <v>12087281.712099999</v>
      </c>
      <c r="E61" s="15">
        <f>SUM(E60,E53,E39,E36,E33,E30,E18)</f>
        <v>14540531.620584</v>
      </c>
      <c r="F61" s="15">
        <f>SUM(F60,F53,F39,F36,F33,F30,F18)</f>
        <v>111599174.32490738</v>
      </c>
      <c r="G61" s="15">
        <f>SUM(G60,G53,G39,G36,G33,G30,G18)</f>
        <v>152256649.85742366</v>
      </c>
      <c r="H61" s="15">
        <f>SUM(H60,H53,H39,H36,H33,H30,H18)</f>
        <v>56355187.2196806</v>
      </c>
      <c r="J61" s="15">
        <f>SUM(D61:H61)</f>
        <v>346838824.73469561</v>
      </c>
    </row>
    <row r="62" spans="2:10" x14ac:dyDescent="0.25">
      <c r="B62" s="6"/>
      <c r="D62"/>
      <c r="E62"/>
      <c r="H62"/>
      <c r="I62"/>
      <c r="J62" t="s">
        <v>20</v>
      </c>
    </row>
    <row r="63" spans="2:10" ht="30" x14ac:dyDescent="0.25">
      <c r="B63" s="63" t="s">
        <v>67</v>
      </c>
      <c r="C63" s="16" t="s">
        <v>67</v>
      </c>
      <c r="D63" s="17"/>
      <c r="E63" s="17"/>
      <c r="F63" s="17"/>
      <c r="G63" s="17"/>
      <c r="H63" s="17"/>
      <c r="I63"/>
      <c r="J63" s="17" t="s">
        <v>20</v>
      </c>
    </row>
    <row r="64" spans="2:10" ht="45" x14ac:dyDescent="0.25">
      <c r="B64" s="22"/>
      <c r="C64" s="24" t="s">
        <v>83</v>
      </c>
      <c r="D64" s="64">
        <f>0.3186*(D18+D30+D33+D39)</f>
        <v>290055.89707505994</v>
      </c>
      <c r="E64" s="64">
        <f t="shared" ref="E64:H64" si="11">0.3186*(E18+E30+E33+E39)</f>
        <v>300649.31791806238</v>
      </c>
      <c r="F64" s="64">
        <f t="shared" si="11"/>
        <v>316929.74759478489</v>
      </c>
      <c r="G64" s="64">
        <f t="shared" si="11"/>
        <v>328387.59157857631</v>
      </c>
      <c r="H64" s="64">
        <f t="shared" si="11"/>
        <v>340303.7493217194</v>
      </c>
      <c r="J64" s="14">
        <f>SUM(D64:H64)</f>
        <v>1576326.3034882029</v>
      </c>
    </row>
    <row r="65" spans="2:10" x14ac:dyDescent="0.25">
      <c r="B65" s="22"/>
      <c r="C65" s="24"/>
      <c r="D65" s="12"/>
      <c r="E65" s="10"/>
      <c r="F65" s="10"/>
      <c r="G65" s="10"/>
      <c r="H65" s="10"/>
      <c r="J65" s="14">
        <f t="shared" ref="J65" si="12">SUM(D65:H65)</f>
        <v>0</v>
      </c>
    </row>
    <row r="66" spans="2:10" x14ac:dyDescent="0.25">
      <c r="B66" s="23"/>
      <c r="C66" s="9" t="s">
        <v>21</v>
      </c>
      <c r="D66" s="15">
        <f>SUM(D64:D65)</f>
        <v>290055.89707505994</v>
      </c>
      <c r="E66" s="15">
        <f t="shared" ref="E66:H66" si="13">SUM(E64:E65)</f>
        <v>300649.31791806238</v>
      </c>
      <c r="F66" s="15">
        <f t="shared" si="13"/>
        <v>316929.74759478489</v>
      </c>
      <c r="G66" s="15">
        <f t="shared" si="13"/>
        <v>328387.59157857631</v>
      </c>
      <c r="H66" s="15">
        <f t="shared" si="13"/>
        <v>340303.7493217194</v>
      </c>
      <c r="J66" s="15">
        <f>SUM(J64:J65)</f>
        <v>1576326.3034882029</v>
      </c>
    </row>
    <row r="67" spans="2:10" ht="15.75" thickBot="1" x14ac:dyDescent="0.3">
      <c r="B67" s="6"/>
      <c r="D67"/>
      <c r="E67"/>
      <c r="H67"/>
      <c r="I67"/>
      <c r="J67" t="s">
        <v>20</v>
      </c>
    </row>
    <row r="68" spans="2:10" s="1" customFormat="1" ht="30.75" thickBot="1" x14ac:dyDescent="0.3">
      <c r="B68" s="18" t="s">
        <v>22</v>
      </c>
      <c r="C68" s="18"/>
      <c r="D68" s="19">
        <f>SUM(D66,D61)</f>
        <v>12377337.60917506</v>
      </c>
      <c r="E68" s="19">
        <f t="shared" ref="E68:J68" si="14">SUM(E66,E61)</f>
        <v>14841180.938502062</v>
      </c>
      <c r="F68" s="19">
        <f t="shared" si="14"/>
        <v>111916104.07250217</v>
      </c>
      <c r="G68" s="19">
        <f t="shared" si="14"/>
        <v>152585037.44900224</v>
      </c>
      <c r="H68" s="19">
        <f t="shared" si="14"/>
        <v>56695490.969002321</v>
      </c>
      <c r="I68" s="7"/>
      <c r="J68" s="19">
        <f t="shared" si="14"/>
        <v>348415151.03818381</v>
      </c>
    </row>
    <row r="69" spans="2:10" x14ac:dyDescent="0.25">
      <c r="B69" s="6"/>
    </row>
    <row r="70" spans="2:10" x14ac:dyDescent="0.25">
      <c r="B70" s="6"/>
    </row>
    <row r="71" spans="2:10" x14ac:dyDescent="0.25">
      <c r="B71" s="6"/>
    </row>
    <row r="72" spans="2:10" x14ac:dyDescent="0.25">
      <c r="B72" s="6"/>
    </row>
    <row r="73" spans="2:10" x14ac:dyDescent="0.25">
      <c r="B73" s="6"/>
    </row>
    <row r="74" spans="2:10" x14ac:dyDescent="0.25">
      <c r="B74" s="6"/>
    </row>
    <row r="75" spans="2:10" x14ac:dyDescent="0.25">
      <c r="B75" s="6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</sheetData>
  <pageMargins left="0.7" right="0.7" top="0.75" bottom="0.75" header="0.3" footer="0.3"/>
  <pageSetup scale="97" fitToHeight="0" orientation="landscape" r:id="rId1"/>
  <ignoredErrors>
    <ignoredError sqref="J38 J41:J43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1DDE7ACE83BF44BE05A3AB8C8B24C2" ma:contentTypeVersion="4" ma:contentTypeDescription="Create a new document." ma:contentTypeScope="" ma:versionID="5fda42166eabc9907146ca23fef6da0e">
  <xsd:schema xmlns:xsd="http://www.w3.org/2001/XMLSchema" xmlns:xs="http://www.w3.org/2001/XMLSchema" xmlns:p="http://schemas.microsoft.com/office/2006/metadata/properties" xmlns:ns2="f8718970-9991-4cd2-86a3-63f1c16bf1e3" targetNamespace="http://schemas.microsoft.com/office/2006/metadata/properties" ma:root="true" ma:fieldsID="2994a10d4eafb8cdad891a34a34ea040" ns2:_="">
    <xsd:import namespace="f8718970-9991-4cd2-86a3-63f1c16bf1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18970-9991-4cd2-86a3-63f1c16bf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f8718970-9991-4cd2-86a3-63f1c16bf1e3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ACD14B8-B0ED-4862-AB93-824DFD2A61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718970-9991-4cd2-86a3-63f1c16bf1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Consolidated Budget</vt:lpstr>
      <vt:lpstr>Dixon Diversion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2024-03-29T19:55:24Z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0x010100AA1DDE7ACE83BF44BE05A3AB8C8B24C2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Jet Reports Function Literals">
    <vt:lpwstr>,	;	,	{	}	[@[{0}]]	1033	1033</vt:lpwstr>
  </property>
</Properties>
</file>