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Z:\7. Amy\OPDvcas 24-448.Fritze.EPA (3-25 &amp; 4-1)\"/>
    </mc:Choice>
  </mc:AlternateContent>
  <xr:revisionPtr revIDLastSave="0" documentId="8_{1537804A-5839-46E3-AA89-FACFE02FB140}" xr6:coauthVersionLast="47" xr6:coauthVersionMax="47" xr10:uidLastSave="{00000000-0000-0000-0000-000000000000}"/>
  <bookViews>
    <workbookView xWindow="582" yWindow="1002" windowWidth="22212" windowHeight="11040" tabRatio="597" firstSheet="1" activeTab="1" xr2:uid="{4F173A5D-EC27-467C-B282-9357377048E2}"/>
  </bookViews>
  <sheets>
    <sheet name="Total and 5- and 25-year" sheetId="9" r:id="rId1"/>
    <sheet name="Measure 1" sheetId="1" r:id="rId2"/>
    <sheet name="Measure 2" sheetId="2" r:id="rId3"/>
    <sheet name="Measure 3" sheetId="3" r:id="rId4"/>
    <sheet name="Measure 4" sheetId="4" r:id="rId5"/>
    <sheet name="Measure 5" sheetId="5" r:id="rId6"/>
    <sheet name="Measure 6" sheetId="6" r:id="rId7"/>
    <sheet name="Measure 7" sheetId="7" r:id="rId8"/>
    <sheet name="Measure 8" sheetId="8" r:id="rId9"/>
    <sheet name="Sheet16" sheetId="16" r:id="rId10"/>
  </sheets>
  <definedNames>
    <definedName name="_Hlk162287639" localSheetId="6">'Measure 6'!$A$1</definedName>
    <definedName name="_Hlk162590868" localSheetId="7">'Measure 8'!$A$1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8" l="1"/>
  <c r="H4" i="8"/>
  <c r="C6" i="8"/>
  <c r="E6" i="8"/>
  <c r="B6" i="8"/>
  <c r="D5" i="8"/>
  <c r="F5" i="8" s="1"/>
  <c r="G5" i="8" s="1"/>
  <c r="I5" i="8" s="1"/>
  <c r="D4" i="8"/>
  <c r="D6" i="8" s="1"/>
  <c r="F5" i="7"/>
  <c r="F4" i="7"/>
  <c r="E5" i="7"/>
  <c r="E4" i="7"/>
  <c r="D5" i="7"/>
  <c r="D4" i="7"/>
  <c r="C6" i="7"/>
  <c r="B6" i="7"/>
  <c r="H15" i="6"/>
  <c r="G15" i="6"/>
  <c r="C13" i="6"/>
  <c r="D13" i="6"/>
  <c r="E13" i="6"/>
  <c r="B13" i="6"/>
  <c r="C9" i="6"/>
  <c r="D9" i="6"/>
  <c r="E9" i="6"/>
  <c r="B9" i="6"/>
  <c r="C5" i="6"/>
  <c r="D5" i="6"/>
  <c r="E5" i="6"/>
  <c r="B5" i="6"/>
  <c r="E8" i="6"/>
  <c r="E4" i="6"/>
  <c r="E12" i="6"/>
  <c r="D4" i="4"/>
  <c r="C6" i="4"/>
  <c r="C5" i="4"/>
  <c r="D5" i="4" s="1"/>
  <c r="C4" i="4"/>
  <c r="B6" i="4"/>
  <c r="F4" i="5"/>
  <c r="G4" i="5"/>
  <c r="G6" i="5" s="1"/>
  <c r="F5" i="5"/>
  <c r="G5" i="5" s="1"/>
  <c r="H5" i="5" s="1"/>
  <c r="E6" i="5"/>
  <c r="K11" i="3"/>
  <c r="L11" i="3"/>
  <c r="K5" i="3"/>
  <c r="L5" i="3"/>
  <c r="K6" i="3"/>
  <c r="L6" i="3"/>
  <c r="K7" i="3"/>
  <c r="L7" i="3"/>
  <c r="K8" i="3"/>
  <c r="L8" i="3"/>
  <c r="K9" i="3"/>
  <c r="L9" i="3"/>
  <c r="K10" i="3"/>
  <c r="L10" i="3"/>
  <c r="K4" i="3"/>
  <c r="L4" i="3"/>
  <c r="I4" i="9"/>
  <c r="B11" i="3"/>
  <c r="I4" i="3"/>
  <c r="I5" i="3"/>
  <c r="I6" i="3"/>
  <c r="I7" i="3"/>
  <c r="I8" i="3"/>
  <c r="I9" i="3"/>
  <c r="I10" i="3"/>
  <c r="H5" i="3"/>
  <c r="H6" i="3"/>
  <c r="H7" i="3"/>
  <c r="H8" i="3"/>
  <c r="H9" i="3"/>
  <c r="H10" i="3"/>
  <c r="H4" i="3"/>
  <c r="E5" i="3"/>
  <c r="F5" i="3" s="1"/>
  <c r="E6" i="3"/>
  <c r="F6" i="3" s="1"/>
  <c r="E7" i="3"/>
  <c r="F7" i="3" s="1"/>
  <c r="E8" i="3"/>
  <c r="F8" i="3" s="1"/>
  <c r="E9" i="3"/>
  <c r="F9" i="3" s="1"/>
  <c r="E10" i="3"/>
  <c r="J10" i="3" s="1"/>
  <c r="M10" i="3" s="1"/>
  <c r="N10" i="3" s="1"/>
  <c r="E4" i="3"/>
  <c r="F4" i="3" s="1"/>
  <c r="C5" i="2"/>
  <c r="D4" i="2"/>
  <c r="E4" i="2" s="1"/>
  <c r="F4" i="2" s="1"/>
  <c r="D3" i="2"/>
  <c r="E3" i="2" s="1"/>
  <c r="F3" i="2" s="1"/>
  <c r="C5" i="1"/>
  <c r="D5" i="1" s="1"/>
  <c r="C4" i="1"/>
  <c r="C6" i="1" s="1"/>
  <c r="I7" i="9"/>
  <c r="J7" i="9"/>
  <c r="K7" i="9"/>
  <c r="I8" i="9"/>
  <c r="J8" i="9"/>
  <c r="K8" i="9"/>
  <c r="I9" i="9"/>
  <c r="J9" i="9"/>
  <c r="K9" i="9"/>
  <c r="I10" i="9"/>
  <c r="J10" i="9"/>
  <c r="K10" i="9"/>
  <c r="I11" i="9"/>
  <c r="J11" i="9"/>
  <c r="K11" i="9"/>
  <c r="K2" i="9"/>
  <c r="J2" i="9"/>
  <c r="I2" i="9"/>
  <c r="B6" i="1"/>
  <c r="H10" i="9"/>
  <c r="G10" i="9"/>
  <c r="G3" i="9"/>
  <c r="H3" i="9" s="1"/>
  <c r="K3" i="9" s="1"/>
  <c r="G4" i="9"/>
  <c r="H4" i="9" s="1"/>
  <c r="K4" i="9" s="1"/>
  <c r="G5" i="9"/>
  <c r="H5" i="9" s="1"/>
  <c r="K5" i="9" s="1"/>
  <c r="G7" i="9"/>
  <c r="H7" i="9"/>
  <c r="G8" i="9"/>
  <c r="H8" i="9"/>
  <c r="G9" i="9"/>
  <c r="H9" i="9" s="1"/>
  <c r="G11" i="9"/>
  <c r="H11" i="9"/>
  <c r="H2" i="9"/>
  <c r="G2" i="9"/>
  <c r="D13" i="9"/>
  <c r="C13" i="9"/>
  <c r="E3" i="9"/>
  <c r="I3" i="9" s="1"/>
  <c r="E5" i="9"/>
  <c r="I5" i="9" s="1"/>
  <c r="E6" i="9"/>
  <c r="I6" i="9" s="1"/>
  <c r="E7" i="9"/>
  <c r="E8" i="9"/>
  <c r="E9" i="9"/>
  <c r="E10" i="9"/>
  <c r="E11" i="9"/>
  <c r="E12" i="9"/>
  <c r="G12" i="9" s="1"/>
  <c r="E2" i="9"/>
  <c r="D6" i="4" l="1"/>
  <c r="H12" i="9"/>
  <c r="K12" i="9" s="1"/>
  <c r="K13" i="9" s="1"/>
  <c r="N14" i="9" s="1"/>
  <c r="J12" i="9"/>
  <c r="I12" i="9"/>
  <c r="H6" i="8"/>
  <c r="F4" i="8"/>
  <c r="G4" i="8" s="1"/>
  <c r="G6" i="8" s="1"/>
  <c r="F6" i="8"/>
  <c r="F6" i="7"/>
  <c r="E6" i="7"/>
  <c r="D6" i="7"/>
  <c r="D5" i="2"/>
  <c r="D4" i="1"/>
  <c r="D6" i="1" s="1"/>
  <c r="G13" i="6"/>
  <c r="H13" i="6" s="1"/>
  <c r="G5" i="6"/>
  <c r="G9" i="6"/>
  <c r="H9" i="6" s="1"/>
  <c r="J5" i="9"/>
  <c r="J13" i="9" s="1"/>
  <c r="M14" i="9" s="1"/>
  <c r="G6" i="9"/>
  <c r="H6" i="9" s="1"/>
  <c r="K6" i="9" s="1"/>
  <c r="E13" i="9"/>
  <c r="J6" i="9"/>
  <c r="F6" i="5"/>
  <c r="H4" i="5"/>
  <c r="H6" i="5" s="1"/>
  <c r="J4" i="9"/>
  <c r="J7" i="3"/>
  <c r="M7" i="3" s="1"/>
  <c r="N7" i="3" s="1"/>
  <c r="J5" i="3"/>
  <c r="M5" i="3" s="1"/>
  <c r="N5" i="3" s="1"/>
  <c r="H11" i="3"/>
  <c r="J6" i="3"/>
  <c r="M6" i="3" s="1"/>
  <c r="N6" i="3" s="1"/>
  <c r="J4" i="3"/>
  <c r="M4" i="3" s="1"/>
  <c r="N4" i="3" s="1"/>
  <c r="F10" i="3"/>
  <c r="I11" i="3"/>
  <c r="J8" i="3"/>
  <c r="M8" i="3" s="1"/>
  <c r="N8" i="3" s="1"/>
  <c r="J9" i="3"/>
  <c r="I13" i="9"/>
  <c r="J3" i="9"/>
  <c r="F5" i="2"/>
  <c r="E5" i="2"/>
  <c r="G13" i="9"/>
  <c r="H13" i="9"/>
  <c r="I4" i="8" l="1"/>
  <c r="I6" i="8" s="1"/>
  <c r="H5" i="6"/>
  <c r="H14" i="6" s="1"/>
  <c r="G14" i="6"/>
  <c r="M9" i="3"/>
  <c r="J11" i="3"/>
  <c r="N9" i="3" l="1"/>
  <c r="N11" i="3" s="1"/>
  <c r="M11" i="3"/>
</calcChain>
</file>

<file path=xl/sharedStrings.xml><?xml version="1.0" encoding="utf-8"?>
<sst xmlns="http://schemas.openxmlformats.org/spreadsheetml/2006/main" count="177" uniqueCount="159">
  <si>
    <t>Measure 2</t>
  </si>
  <si>
    <t>Measure 1: Seward Marine Center Seawater Heat Pump</t>
  </si>
  <si>
    <t>Current heating fuel usage*</t>
  </si>
  <si>
    <t>after they installed a similar heating system in 2012.  ASLC is located immediately adjacent to the Seward Marine Center.</t>
  </si>
  <si>
    <t>CO2 emission in metric tons/year</t>
  </si>
  <si>
    <t>Projected heating fuel usage**</t>
  </si>
  <si>
    <t>**Based on the proportional reduction in the use of heating fuel, 79%, experienced by the Alaska SeaLife Center (ASLC)</t>
  </si>
  <si>
    <t>CO2 emission in kg/year***</t>
  </si>
  <si>
    <t>Annual metric tons</t>
  </si>
  <si>
    <t>Total metric tons 2025-2030</t>
  </si>
  <si>
    <t>Total metric tons 2025-2050</t>
  </si>
  <si>
    <t>Measure 1</t>
  </si>
  <si>
    <t>Measure 3</t>
  </si>
  <si>
    <t>Measure 4</t>
  </si>
  <si>
    <t>Kodiak Ventilation</t>
  </si>
  <si>
    <t>Measure 5</t>
  </si>
  <si>
    <t>Kuskokwim Lights and Motors</t>
  </si>
  <si>
    <t>Measure 6</t>
  </si>
  <si>
    <t>Eielson</t>
  </si>
  <si>
    <t>Patty</t>
  </si>
  <si>
    <t>Bunnell</t>
  </si>
  <si>
    <t>Measure 7</t>
  </si>
  <si>
    <t>Rasmuson Hall Boiler</t>
  </si>
  <si>
    <t>Measure 8</t>
  </si>
  <si>
    <t>Microturbine CHP</t>
  </si>
  <si>
    <t>Current kg/year</t>
  </si>
  <si>
    <t>Predicted kg/yr</t>
  </si>
  <si>
    <t>Change kg/yr</t>
  </si>
  <si>
    <t>kg 2025-2030</t>
  </si>
  <si>
    <t>kg 2025-2050</t>
  </si>
  <si>
    <t>TOTAL EPA Funding Request</t>
  </si>
  <si>
    <t>TOTAL</t>
  </si>
  <si>
    <t>COSTS</t>
  </si>
  <si>
    <t>Troth Yeddha' Campus Lighting</t>
  </si>
  <si>
    <t>Seward Seawater Heat Pump</t>
  </si>
  <si>
    <t>Troth Yeddha' Campus ULT Freezers</t>
  </si>
  <si>
    <t>Measure Number</t>
  </si>
  <si>
    <t>Description</t>
  </si>
  <si>
    <t>*Based on Seward Marine Center purchasing records.</t>
  </si>
  <si>
    <t>Cost/ Emission reduction 2025-2030</t>
  </si>
  <si>
    <t>Cost/ Emission reduction 2025-2050</t>
  </si>
  <si>
    <t>https://www.eia.gov/environment/emissions/co2_vol_mass.php</t>
  </si>
  <si>
    <t>Gallons of Diesel Heating Fuel used per year</t>
  </si>
  <si>
    <t>Reduction</t>
  </si>
  <si>
    <t>Measure 2.  Replace Inefficient Ultra Low Temperature Freezers.</t>
  </si>
  <si>
    <t>Current Freezers</t>
  </si>
  <si>
    <t>New Freezers</t>
  </si>
  <si>
    <t>Mechanical, -80 C chest freezer, 27 cubic feet</t>
  </si>
  <si>
    <t>of CO2 emitted per kWh generated.  https://www.eia.gov/tools/faqs/faq.php?id=74&amp;t=11</t>
  </si>
  <si>
    <t>UAF power plant actuals were about 3.0 lb CO2 per kWh in 2023, so using the EIA value is conservative.</t>
  </si>
  <si>
    <t>CO2 emission in kg/year**</t>
  </si>
  <si>
    <t>Measure. Pathways and Parking Lots LED Lighting Conversion</t>
  </si>
  <si>
    <t>Number of lights</t>
  </si>
  <si>
    <t>Non-LED average wattage</t>
  </si>
  <si>
    <t>LED average wattage</t>
  </si>
  <si>
    <t>Wattage difference per light</t>
  </si>
  <si>
    <t>Total wattage difference for all lights</t>
  </si>
  <si>
    <t>Other flood lights</t>
  </si>
  <si>
    <t>Shoebox lights</t>
  </si>
  <si>
    <t>Canopy lights</t>
  </si>
  <si>
    <t>Bollard lights</t>
  </si>
  <si>
    <t>Gold-pan lights</t>
  </si>
  <si>
    <t>LED average kWh**</t>
  </si>
  <si>
    <t>and checked against metering data.  The several lighting circuits on campus are metered and controlled centrally.</t>
  </si>
  <si>
    <t>*Non-LED (current) consumption in kWh/day is based on of lamp manufacturer specifications and data on hours of operation by UA facilities staff</t>
  </si>
  <si>
    <t>**LED consumption in kWhr/day is based on manufacturer data and hours of operation, using the same hours as for current lamps.</t>
  </si>
  <si>
    <t>kWh difference</t>
  </si>
  <si>
    <t>Non-LED average kWh*/year</t>
  </si>
  <si>
    <t>Annual average daily hours of operation</t>
  </si>
  <si>
    <t>Ski trail flood lights****</t>
  </si>
  <si>
    <t>****Winter use only.</t>
  </si>
  <si>
    <t>Total CO2 emission reduction in kg/year**</t>
  </si>
  <si>
    <t>Total CO2 emission reduction in metric tons/year</t>
  </si>
  <si>
    <t>Total CO2  emission in kg/year**</t>
  </si>
  <si>
    <t>Years Measure complete during 2025-2030</t>
  </si>
  <si>
    <t>of CO2 emitted per kWh generated from coal.  https://www.eia.gov/tools/faqs/faq.php?id=74&amp;t=11</t>
  </si>
  <si>
    <t>of CO2 emitted per kWh generated from petroleum.  https://www.eia.gov/tools/faqs/faq.php?id=74&amp;t=11</t>
  </si>
  <si>
    <t xml:space="preserve">***Calculated using the EIA table "U.S. electricity net generation and resulting CO2 emissions by fuel in 2022", which shows 2.38 pounds (1.08 kg) </t>
  </si>
  <si>
    <t xml:space="preserve">***Calculated using the EIA table "U.S. electricity net generation and resulting CO2 emissions by fuel in 2022", which shows 2.3 pounds (1.04 kg) </t>
  </si>
  <si>
    <t>Current lights</t>
  </si>
  <si>
    <t>New lights</t>
  </si>
  <si>
    <t>T8  fluorescent</t>
  </si>
  <si>
    <t>LED</t>
  </si>
  <si>
    <t>Watts</t>
  </si>
  <si>
    <t>Number of Tubes</t>
  </si>
  <si>
    <t>kWh/day</t>
  </si>
  <si>
    <t>Metric tons CO2/year</t>
  </si>
  <si>
    <t>Hours of Operation**</t>
  </si>
  <si>
    <t>**Hours of operation were reduced because of the new controls.</t>
  </si>
  <si>
    <t>kg CO2/year**</t>
  </si>
  <si>
    <t>The Bethel power plant has diesel engine generators.</t>
  </si>
  <si>
    <t>Measure 5.Kuskokwim Campus Lighting Conversion to LED and Motor Replacement*</t>
  </si>
  <si>
    <t>Measure 4: Kodiak Laboratory Ventilation Upgrade</t>
  </si>
  <si>
    <t xml:space="preserve">Current energy loss due to ventilation </t>
  </si>
  <si>
    <t>Energy loss due to ventilation after renovation is complete</t>
  </si>
  <si>
    <t>MBTU/year*</t>
  </si>
  <si>
    <t>**Calculated using the EIA crbon dioxide coefficient for diesel and home heating fuel, 10.19 kg CO2 per gallon, and the net heating value of diesel fuel, 128,450 Btu/gallon.</t>
  </si>
  <si>
    <t>Year 1</t>
  </si>
  <si>
    <t>Year 2</t>
  </si>
  <si>
    <t>Year 3</t>
  </si>
  <si>
    <t>Total in pounds/year</t>
  </si>
  <si>
    <t>Average</t>
  </si>
  <si>
    <t xml:space="preserve">Measure 6. Exterior Wall Replacements to Reduce Heat Loss.  </t>
  </si>
  <si>
    <t>Eielson Building steam use*</t>
  </si>
  <si>
    <t>Patty Center steam use*</t>
  </si>
  <si>
    <t>Bunnell Building steam use*</t>
  </si>
  <si>
    <t>CO2 in kg/year**</t>
  </si>
  <si>
    <t>**Calculated from the carbon content of coal (0.268 lbs. C per lb. coal)and the results of UAF Power Plant efficiency testing</t>
  </si>
  <si>
    <t>The efficiency testing result was 137 lb. of CO2 emitted per 1000 lbs. of steam.</t>
  </si>
  <si>
    <t>Envelope loss of CO2 in kg/year</t>
  </si>
  <si>
    <t>TOTAL in metric tons/year</t>
  </si>
  <si>
    <t>TOTAL CO2 in kg/year</t>
  </si>
  <si>
    <t xml:space="preserve">*CO2 emission reduction is calculated based on the lighting only and so is a conservative estimate.  We have no systematic information on the energy consumption. </t>
  </si>
  <si>
    <t>of the motors.   Low wattage LEDs used for replacements because of the very high power cost.</t>
  </si>
  <si>
    <t>Estimated loss  through envelope (%)***</t>
  </si>
  <si>
    <t xml:space="preserve">***Most of the heat loss from a typical UAF building is due to ventilation, which must meet code requirements.  </t>
  </si>
  <si>
    <t>Quantitative heat loss studies have not been done for these buildings, but since the studied buildings are better insulated, this is a conservative assumption.</t>
  </si>
  <si>
    <t>Further, the envelope heat loss reduction is expected to be better than 50%, so this is also a conservative assumption.</t>
  </si>
  <si>
    <t>Reduction in envelope loss due to curtain wall replacement @ 50%, kg of CO2/year***</t>
  </si>
  <si>
    <t>Weil McClain 1188 non-condensing</t>
  </si>
  <si>
    <t>Aerco BMK 3000 (condensing)</t>
  </si>
  <si>
    <t>Boiler Model, Type</t>
  </si>
  <si>
    <t>Troth Yeddha' Campus Building Envelopes Subtotal</t>
  </si>
  <si>
    <t>Metal halide lights</t>
  </si>
  <si>
    <t>*Steam use is monitored via a meter for each building.</t>
  </si>
  <si>
    <t xml:space="preserve">CO2 Emissions kg/year </t>
  </si>
  <si>
    <t xml:space="preserve">CO2 Emissions metric tons/year </t>
  </si>
  <si>
    <t>This document was uploaded as an optional attachment in the "other attachments" section of the application package.</t>
  </si>
  <si>
    <t xml:space="preserve">*The ventilation energy loss reduction is included in a 2010 Schematic Design Report by the Bell Design Group.  </t>
  </si>
  <si>
    <t>*Power consumption was reported in “Research and Academic Sample Preservation”, which has been uploaded as an optional appendix.</t>
  </si>
  <si>
    <t>Power consumption, kWh per day per freezer*</t>
  </si>
  <si>
    <t>Power consumption, kWh per year per 38 freezers**</t>
  </si>
  <si>
    <t>Total CO2 emission in kg/year***</t>
  </si>
  <si>
    <t>**Assumes based on the list price and funding requested that at least 38 freezers will be purchased.</t>
  </si>
  <si>
    <t xml:space="preserve">***Calculated using an estimate from the EIA table "U.S. electricity net generation and resulting CO2 emissions by fuel in 2022", which shows 2.3 pounds (1.04kg) </t>
  </si>
  <si>
    <t>Natural Gas Consumption/year (ccf)**</t>
  </si>
  <si>
    <t>Measure 7: Rasmuson Hall Boiler Replacement*</t>
  </si>
  <si>
    <t xml:space="preserve">**AKWarm software (https://www.analysisnorth.com/AkWarm/AkWarm2downloadPublic.html) was used to calculate the natural gas consumption from </t>
  </si>
  <si>
    <t>manufacturer information about the two boilers and the design data for Rasmuson Hall.</t>
  </si>
  <si>
    <t>Greenhouse Gas Emissions Reduction Analysis."  This document was uploaded as an optional attachment in the "other attachments" section of the application package.</t>
  </si>
  <si>
    <t xml:space="preserve">*The information presented in the first three columns of the table is from a contractor report, "University of Alaska Anchorage, Boiler Replacement Upgrades, </t>
  </si>
  <si>
    <t xml:space="preserve">CO2 Emissions lb/year*** </t>
  </si>
  <si>
    <t>***The EIA ratio of 117 lbs. of CO2 per million Btu was used to calculate CO2 emissions.  https://www.eia.gov/energyexplained/natural-gas/natural-gas-and-the-environment.php</t>
  </si>
  <si>
    <t>Heating Capacity (MMBtu)</t>
  </si>
  <si>
    <t>Existing Energy Consumption</t>
  </si>
  <si>
    <t>Energy Consumption with CHP</t>
  </si>
  <si>
    <t>Utility Power/year</t>
  </si>
  <si>
    <t>Natural Gas/year</t>
  </si>
  <si>
    <t>Measure 8: Conoco Phillips Integrated Science Building Combined Heat and Power (CHP) Plant*</t>
  </si>
  <si>
    <t>Combined Heat and Power Upgrades, Greenhouse Gas Emissions Reduction Analysis." This document was uploaded as an optional attachment in the "other attachments" section of the application package.</t>
  </si>
  <si>
    <t xml:space="preserve">*The information presented in the first five columns of the table is from a contractor report, "University of Alaska Anchorage, ConocoPhillips Integrated Science Building, </t>
  </si>
  <si>
    <t>**The ratio 0.0071 MMBtu/kWh was used.</t>
  </si>
  <si>
    <t>CO2 Emissions (lbs/year)</t>
  </si>
  <si>
    <t>Total MMBtu/year</t>
  </si>
  <si>
    <t>Equivalent Heating Capacity (Gas) (MMBtu/year)</t>
  </si>
  <si>
    <t>Equivalent Btu Energy Load (Power) (MMBtu/year)**</t>
  </si>
  <si>
    <t>CO2 Emissions (metric tons/year)</t>
  </si>
  <si>
    <t>Change</t>
  </si>
  <si>
    <t>***Calculated using the EIA crbon dioxide coefficient for diesel and home heating fuel, 10.19 kg CO2 per gallon, and the net heating value of diesel fuel, 128,450 Btu/gallon.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</si>
</sst>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&quot;$&quot;#,##0"/>
    <numFmt numFmtId="167" formatCode="0.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"/>
      <name val="Aptos Narrow"/>
      <family val="2"/>
      <scheme val="minor"/>
    </font>
    <font>
      <u/>
      <sz val="11"/>
      <color theme="1"/>
      <name val="Calibri"/>
      <family val="2"/>
    </font>
    <font>
      <u/>
      <sz val="11"/>
      <color rgb="FF000000"/>
      <name val="Calibri"/>
      <family val="2"/>
    </font>
    <font>
      <vertAlign val="superscript"/>
      <sz val="11"/>
      <color theme="1"/>
      <name val="Calibri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165" fontId="0" fillId="0" borderId="0" xfId="1" applyNumberFormat="1" applyFont="1"/>
    <xf numFmtId="165" fontId="0" fillId="0" borderId="0" xfId="0" applyNumberFormat="1"/>
    <xf numFmtId="165" fontId="0" fillId="2" borderId="0" xfId="1" applyNumberFormat="1" applyFont="1" applyFill="1"/>
    <xf numFmtId="165" fontId="0" fillId="0" borderId="0" xfId="1" applyNumberFormat="1" applyFont="1" applyFill="1"/>
    <xf numFmtId="1" fontId="0" fillId="0" borderId="0" xfId="1" applyNumberFormat="1" applyFont="1" applyFill="1" applyAlignment="1">
      <alignment horizontal="right"/>
    </xf>
    <xf numFmtId="0" fontId="0" fillId="2" borderId="0" xfId="0" applyFill="1"/>
    <xf numFmtId="164" fontId="0" fillId="0" borderId="0" xfId="0" applyNumberFormat="1"/>
    <xf numFmtId="166" fontId="0" fillId="0" borderId="0" xfId="1" applyNumberFormat="1" applyFont="1" applyFill="1"/>
    <xf numFmtId="166" fontId="0" fillId="0" borderId="0" xfId="1" applyNumberFormat="1" applyFont="1" applyFill="1" applyAlignment="1">
      <alignment wrapText="1"/>
    </xf>
    <xf numFmtId="0" fontId="0" fillId="3" borderId="0" xfId="0" applyFill="1"/>
    <xf numFmtId="165" fontId="0" fillId="3" borderId="0" xfId="1" applyNumberFormat="1" applyFont="1" applyFill="1"/>
    <xf numFmtId="165" fontId="0" fillId="3" borderId="0" xfId="0" applyNumberFormat="1" applyFill="1"/>
    <xf numFmtId="164" fontId="0" fillId="0" borderId="0" xfId="1" applyNumberFormat="1" applyFont="1" applyAlignment="1">
      <alignment wrapText="1"/>
    </xf>
    <xf numFmtId="164" fontId="0" fillId="0" borderId="0" xfId="1" applyNumberFormat="1" applyFont="1" applyAlignment="1">
      <alignment horizontal="right"/>
    </xf>
    <xf numFmtId="164" fontId="0" fillId="0" borderId="0" xfId="1" applyNumberFormat="1" applyFont="1" applyFill="1" applyAlignment="1">
      <alignment horizontal="right"/>
    </xf>
    <xf numFmtId="165" fontId="0" fillId="0" borderId="0" xfId="1" applyNumberFormat="1" applyFont="1" applyAlignment="1">
      <alignment wrapText="1"/>
    </xf>
    <xf numFmtId="165" fontId="0" fillId="4" borderId="0" xfId="1" applyNumberFormat="1" applyFont="1" applyFill="1"/>
    <xf numFmtId="1" fontId="0" fillId="4" borderId="0" xfId="1" applyNumberFormat="1" applyFont="1" applyFill="1" applyAlignment="1">
      <alignment horizontal="right"/>
    </xf>
    <xf numFmtId="165" fontId="0" fillId="4" borderId="0" xfId="0" applyNumberFormat="1" applyFill="1"/>
    <xf numFmtId="164" fontId="0" fillId="4" borderId="0" xfId="0" applyNumberFormat="1" applyFill="1"/>
    <xf numFmtId="0" fontId="0" fillId="4" borderId="0" xfId="0" applyFill="1"/>
    <xf numFmtId="166" fontId="0" fillId="4" borderId="0" xfId="0" applyNumberFormat="1" applyFill="1"/>
    <xf numFmtId="0" fontId="2" fillId="3" borderId="0" xfId="0" applyFont="1" applyFill="1" applyAlignment="1">
      <alignment horizontal="left" indent="1"/>
    </xf>
    <xf numFmtId="165" fontId="2" fillId="4" borderId="0" xfId="1" applyNumberFormat="1" applyFont="1" applyFill="1" applyAlignment="1"/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wrapText="1"/>
    </xf>
    <xf numFmtId="165" fontId="0" fillId="0" borderId="0" xfId="0" applyNumberFormat="1" applyAlignment="1">
      <alignment wrapText="1"/>
    </xf>
    <xf numFmtId="165" fontId="0" fillId="2" borderId="0" xfId="1" applyNumberFormat="1" applyFont="1" applyFill="1" applyAlignment="1">
      <alignment wrapText="1"/>
    </xf>
    <xf numFmtId="165" fontId="0" fillId="0" borderId="0" xfId="1" applyNumberFormat="1" applyFont="1" applyFill="1" applyAlignment="1">
      <alignment wrapText="1"/>
    </xf>
    <xf numFmtId="164" fontId="0" fillId="2" borderId="0" xfId="1" applyNumberFormat="1" applyFont="1" applyFill="1" applyAlignment="1">
      <alignment horizontal="right"/>
    </xf>
    <xf numFmtId="0" fontId="0" fillId="5" borderId="0" xfId="0" applyFill="1"/>
    <xf numFmtId="165" fontId="0" fillId="5" borderId="0" xfId="1" applyNumberFormat="1" applyFont="1" applyFill="1"/>
    <xf numFmtId="43" fontId="0" fillId="0" borderId="0" xfId="0" applyNumberFormat="1"/>
    <xf numFmtId="167" fontId="0" fillId="0" borderId="0" xfId="0" applyNumberFormat="1"/>
    <xf numFmtId="1" fontId="0" fillId="0" borderId="0" xfId="0" applyNumberFormat="1"/>
    <xf numFmtId="43" fontId="0" fillId="0" borderId="0" xfId="1" applyFont="1"/>
    <xf numFmtId="43" fontId="0" fillId="0" borderId="0" xfId="1" applyFont="1" applyFill="1"/>
    <xf numFmtId="165" fontId="2" fillId="5" borderId="0" xfId="1" applyNumberFormat="1" applyFont="1" applyFill="1"/>
    <xf numFmtId="0" fontId="4" fillId="0" borderId="0" xfId="0" applyFont="1" applyAlignment="1">
      <alignment vertical="center"/>
    </xf>
    <xf numFmtId="165" fontId="0" fillId="5" borderId="0" xfId="0" applyNumberFormat="1" applyFill="1"/>
    <xf numFmtId="165" fontId="2" fillId="5" borderId="0" xfId="0" applyNumberFormat="1" applyFont="1" applyFill="1"/>
    <xf numFmtId="0" fontId="5" fillId="0" borderId="0" xfId="0" applyFont="1" applyAlignment="1">
      <alignment vertical="center"/>
    </xf>
    <xf numFmtId="1" fontId="0" fillId="5" borderId="0" xfId="0" applyNumberFormat="1" applyFill="1"/>
    <xf numFmtId="167" fontId="2" fillId="5" borderId="0" xfId="0" applyNumberFormat="1" applyFont="1" applyFill="1"/>
    <xf numFmtId="165" fontId="0" fillId="3" borderId="0" xfId="1" applyNumberFormat="1" applyFont="1" applyFill="1" applyAlignment="1">
      <alignment wrapText="1"/>
    </xf>
    <xf numFmtId="164" fontId="0" fillId="3" borderId="0" xfId="1" applyNumberFormat="1" applyFont="1" applyFill="1" applyAlignment="1">
      <alignment horizontal="right"/>
    </xf>
    <xf numFmtId="165" fontId="2" fillId="0" borderId="0" xfId="1" applyNumberFormat="1" applyFont="1" applyFill="1"/>
    <xf numFmtId="0" fontId="6" fillId="0" borderId="0" xfId="0" applyFont="1"/>
    <xf numFmtId="0" fontId="7" fillId="0" borderId="0" xfId="0" applyFont="1" applyAlignment="1">
      <alignment vertical="center"/>
    </xf>
    <xf numFmtId="3" fontId="0" fillId="0" borderId="0" xfId="0" applyNumberFormat="1"/>
    <xf numFmtId="165" fontId="1" fillId="5" borderId="0" xfId="1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5315D-A96F-42AD-A5D6-A6405219820D}">
  <dimension ref="A1:O29"/>
  <sheetViews>
    <sheetView topLeftCell="C1" zoomScale="84" zoomScaleNormal="84" workbookViewId="0">
      <selection activeCell="N5" sqref="N5"/>
    </sheetView>
  </sheetViews>
  <sheetFormatPr defaultRowHeight="14.4" x14ac:dyDescent="0.55000000000000004"/>
  <cols>
    <col min="1" max="1" width="12.3671875" customWidth="1"/>
    <col min="2" max="2" width="42" customWidth="1"/>
    <col min="3" max="3" width="10.62890625" customWidth="1"/>
    <col min="4" max="4" width="11.47265625" customWidth="1"/>
    <col min="5" max="5" width="12.05078125" customWidth="1"/>
    <col min="6" max="6" width="13.20703125" customWidth="1"/>
    <col min="7" max="8" width="12.15625" customWidth="1"/>
    <col min="9" max="10" width="9.3125" bestFit="1" customWidth="1"/>
    <col min="11" max="11" width="10.15625" bestFit="1" customWidth="1"/>
    <col min="12" max="12" width="12.5234375" customWidth="1"/>
    <col min="13" max="14" width="9.3125" bestFit="1" customWidth="1"/>
  </cols>
  <sheetData>
    <row r="1" spans="1:15" s="2" customFormat="1" ht="57.6" x14ac:dyDescent="0.55000000000000004">
      <c r="A1" s="29" t="s">
        <v>36</v>
      </c>
      <c r="B1" s="29" t="s">
        <v>37</v>
      </c>
      <c r="C1" s="29" t="s">
        <v>25</v>
      </c>
      <c r="D1" s="29" t="s">
        <v>26</v>
      </c>
      <c r="E1" s="29" t="s">
        <v>27</v>
      </c>
      <c r="F1" s="29" t="s">
        <v>74</v>
      </c>
      <c r="G1" s="29" t="s">
        <v>28</v>
      </c>
      <c r="H1" s="29" t="s">
        <v>29</v>
      </c>
      <c r="I1" s="29" t="s">
        <v>8</v>
      </c>
      <c r="J1" s="29" t="s">
        <v>9</v>
      </c>
      <c r="K1" s="29" t="s">
        <v>10</v>
      </c>
      <c r="L1" s="29" t="s">
        <v>30</v>
      </c>
      <c r="M1" s="29" t="s">
        <v>39</v>
      </c>
      <c r="N1" s="29" t="s">
        <v>40</v>
      </c>
    </row>
    <row r="2" spans="1:15" x14ac:dyDescent="0.55000000000000004">
      <c r="A2" s="27" t="s">
        <v>11</v>
      </c>
      <c r="B2" t="s">
        <v>34</v>
      </c>
      <c r="C2" s="18">
        <v>80051.950998185115</v>
      </c>
      <c r="D2" s="18">
        <v>16562.477313974588</v>
      </c>
      <c r="E2" s="18">
        <f>C2-D2</f>
        <v>63489.473684210527</v>
      </c>
      <c r="F2" s="15">
        <v>4</v>
      </c>
      <c r="G2" s="18">
        <f>E2*F2</f>
        <v>253957.89473684211</v>
      </c>
      <c r="H2" s="18">
        <f>G2+E2*20</f>
        <v>1523747.3684210526</v>
      </c>
      <c r="I2" s="18">
        <f>E2/1000</f>
        <v>63.489473684210523</v>
      </c>
      <c r="J2" s="18">
        <f>G2/1000</f>
        <v>253.95789473684209</v>
      </c>
      <c r="K2" s="18">
        <f>H2/1000</f>
        <v>1523.7473684210527</v>
      </c>
      <c r="L2" s="2"/>
      <c r="M2" s="2"/>
      <c r="N2" s="2"/>
      <c r="O2" s="2"/>
    </row>
    <row r="3" spans="1:15" x14ac:dyDescent="0.55000000000000004">
      <c r="A3" s="27" t="s">
        <v>0</v>
      </c>
      <c r="B3" t="s">
        <v>35</v>
      </c>
      <c r="C3" s="3">
        <v>504868</v>
      </c>
      <c r="D3" s="3">
        <v>77894</v>
      </c>
      <c r="E3" s="18">
        <f t="shared" ref="E3:E12" si="0">C3-D3</f>
        <v>426974</v>
      </c>
      <c r="F3" s="16">
        <v>4</v>
      </c>
      <c r="G3" s="18">
        <f t="shared" ref="G3:G12" si="1">E3*F3</f>
        <v>1707896</v>
      </c>
      <c r="H3" s="18">
        <f t="shared" ref="H3:H12" si="2">G3+E3*20</f>
        <v>10247376</v>
      </c>
      <c r="I3" s="18">
        <f t="shared" ref="I3:I12" si="3">E3/1000</f>
        <v>426.97399999999999</v>
      </c>
      <c r="J3" s="18">
        <f t="shared" ref="J3:J12" si="4">G3/1000</f>
        <v>1707.896</v>
      </c>
      <c r="K3" s="18">
        <f t="shared" ref="K3:K12" si="5">H3/1000</f>
        <v>10247.376</v>
      </c>
      <c r="L3" s="4"/>
    </row>
    <row r="4" spans="1:15" x14ac:dyDescent="0.55000000000000004">
      <c r="A4" s="27" t="s">
        <v>12</v>
      </c>
      <c r="B4" t="s">
        <v>33</v>
      </c>
      <c r="C4" s="3">
        <v>342775.76319999999</v>
      </c>
      <c r="D4" s="3">
        <v>214622.80319999999</v>
      </c>
      <c r="E4" s="18">
        <v>128152.96000000002</v>
      </c>
      <c r="F4" s="16">
        <v>3</v>
      </c>
      <c r="G4" s="18">
        <f t="shared" si="1"/>
        <v>384458.88000000006</v>
      </c>
      <c r="H4" s="18">
        <f t="shared" si="2"/>
        <v>2947518.08</v>
      </c>
      <c r="I4" s="18">
        <f t="shared" si="3"/>
        <v>128.15296000000001</v>
      </c>
      <c r="J4" s="18">
        <f t="shared" si="4"/>
        <v>384.45888000000008</v>
      </c>
      <c r="K4" s="18">
        <f t="shared" si="5"/>
        <v>2947.5180800000003</v>
      </c>
      <c r="L4" s="4"/>
    </row>
    <row r="5" spans="1:15" x14ac:dyDescent="0.55000000000000004">
      <c r="A5" s="27" t="s">
        <v>13</v>
      </c>
      <c r="B5" t="s">
        <v>14</v>
      </c>
      <c r="C5" s="3">
        <v>337623</v>
      </c>
      <c r="D5" s="3">
        <v>265178</v>
      </c>
      <c r="E5" s="18">
        <f t="shared" si="0"/>
        <v>72445</v>
      </c>
      <c r="F5" s="16">
        <v>3.5</v>
      </c>
      <c r="G5" s="18">
        <f t="shared" si="1"/>
        <v>253557.5</v>
      </c>
      <c r="H5" s="18">
        <f t="shared" si="2"/>
        <v>1702457.5</v>
      </c>
      <c r="I5" s="18">
        <f t="shared" si="3"/>
        <v>72.444999999999993</v>
      </c>
      <c r="J5" s="18">
        <f t="shared" si="4"/>
        <v>253.5575</v>
      </c>
      <c r="K5" s="18">
        <f t="shared" si="5"/>
        <v>1702.4575</v>
      </c>
      <c r="L5" s="4"/>
    </row>
    <row r="6" spans="1:15" x14ac:dyDescent="0.55000000000000004">
      <c r="A6" s="27" t="s">
        <v>15</v>
      </c>
      <c r="B6" t="s">
        <v>16</v>
      </c>
      <c r="C6" s="3">
        <v>88301</v>
      </c>
      <c r="D6" s="3">
        <v>25229</v>
      </c>
      <c r="E6" s="18">
        <f t="shared" si="0"/>
        <v>63072</v>
      </c>
      <c r="F6" s="16">
        <v>3</v>
      </c>
      <c r="G6" s="18">
        <f t="shared" si="1"/>
        <v>189216</v>
      </c>
      <c r="H6" s="18">
        <f t="shared" si="2"/>
        <v>1450656</v>
      </c>
      <c r="I6" s="18">
        <f t="shared" si="3"/>
        <v>63.072000000000003</v>
      </c>
      <c r="J6" s="18">
        <f t="shared" si="4"/>
        <v>189.21600000000001</v>
      </c>
      <c r="K6" s="18">
        <f t="shared" si="5"/>
        <v>1450.6559999999999</v>
      </c>
      <c r="L6" s="4"/>
    </row>
    <row r="7" spans="1:15" x14ac:dyDescent="0.55000000000000004">
      <c r="A7" s="27" t="s">
        <v>17</v>
      </c>
      <c r="B7" s="8" t="s">
        <v>18</v>
      </c>
      <c r="C7" s="5">
        <v>37642.729786751355</v>
      </c>
      <c r="D7" s="5">
        <v>18821.364893375678</v>
      </c>
      <c r="E7" s="31">
        <f t="shared" si="0"/>
        <v>18821.364893375678</v>
      </c>
      <c r="F7" s="33">
        <v>4</v>
      </c>
      <c r="G7" s="31">
        <f t="shared" si="1"/>
        <v>75285.459573502711</v>
      </c>
      <c r="H7" s="31">
        <f t="shared" si="2"/>
        <v>451712.75744101626</v>
      </c>
      <c r="I7" s="31">
        <f t="shared" si="3"/>
        <v>18.821364893375677</v>
      </c>
      <c r="J7" s="31">
        <f t="shared" si="4"/>
        <v>75.285459573502706</v>
      </c>
      <c r="K7" s="31">
        <f t="shared" si="5"/>
        <v>451.71275744101627</v>
      </c>
      <c r="L7" s="4"/>
    </row>
    <row r="8" spans="1:15" x14ac:dyDescent="0.55000000000000004">
      <c r="A8" s="27"/>
      <c r="B8" s="8" t="s">
        <v>19</v>
      </c>
      <c r="C8" s="5">
        <v>217791.71550967934</v>
      </c>
      <c r="D8" s="5">
        <v>108895.85775483967</v>
      </c>
      <c r="E8" s="31">
        <f t="shared" si="0"/>
        <v>108895.85775483967</v>
      </c>
      <c r="F8" s="33">
        <v>3</v>
      </c>
      <c r="G8" s="31">
        <f t="shared" si="1"/>
        <v>326687.57326451899</v>
      </c>
      <c r="H8" s="31">
        <f t="shared" si="2"/>
        <v>2504604.7283613123</v>
      </c>
      <c r="I8" s="31">
        <f t="shared" si="3"/>
        <v>108.89585775483967</v>
      </c>
      <c r="J8" s="31">
        <f t="shared" si="4"/>
        <v>326.68757326451896</v>
      </c>
      <c r="K8" s="31">
        <f t="shared" si="5"/>
        <v>2504.6047283613125</v>
      </c>
      <c r="L8" s="4"/>
    </row>
    <row r="9" spans="1:15" x14ac:dyDescent="0.55000000000000004">
      <c r="A9" s="27"/>
      <c r="B9" s="8" t="s">
        <v>20</v>
      </c>
      <c r="C9" s="5">
        <v>283539.88787810039</v>
      </c>
      <c r="D9" s="5">
        <v>141769.94393905019</v>
      </c>
      <c r="E9" s="31">
        <f t="shared" si="0"/>
        <v>141769.94393905019</v>
      </c>
      <c r="F9" s="33">
        <v>2</v>
      </c>
      <c r="G9" s="31">
        <f t="shared" si="1"/>
        <v>283539.88787810039</v>
      </c>
      <c r="H9" s="31">
        <f t="shared" si="2"/>
        <v>3118938.7666591043</v>
      </c>
      <c r="I9" s="31">
        <f t="shared" si="3"/>
        <v>141.76994393905019</v>
      </c>
      <c r="J9" s="31">
        <f t="shared" si="4"/>
        <v>283.53988787810039</v>
      </c>
      <c r="K9" s="31">
        <f t="shared" si="5"/>
        <v>3118.9387666591042</v>
      </c>
      <c r="L9" s="4"/>
    </row>
    <row r="10" spans="1:15" x14ac:dyDescent="0.55000000000000004">
      <c r="A10" s="28"/>
      <c r="B10" s="12" t="s">
        <v>122</v>
      </c>
      <c r="C10" s="13">
        <v>538974.33317453112</v>
      </c>
      <c r="D10" s="13">
        <v>269487.16658726556</v>
      </c>
      <c r="E10" s="48">
        <f t="shared" si="0"/>
        <v>269487.16658726556</v>
      </c>
      <c r="F10" s="49"/>
      <c r="G10" s="48">
        <f>SUM(G7:G9)</f>
        <v>685512.92071612203</v>
      </c>
      <c r="H10" s="48">
        <f>SUM(H7:H9)</f>
        <v>6075256.2524614334</v>
      </c>
      <c r="I10" s="48">
        <f t="shared" si="3"/>
        <v>269.48716658726556</v>
      </c>
      <c r="J10" s="48">
        <f t="shared" si="4"/>
        <v>685.51292071612204</v>
      </c>
      <c r="K10" s="48">
        <f t="shared" si="5"/>
        <v>6075.2562524614332</v>
      </c>
      <c r="L10" s="4"/>
    </row>
    <row r="11" spans="1:15" x14ac:dyDescent="0.55000000000000004">
      <c r="A11" s="27" t="s">
        <v>21</v>
      </c>
      <c r="B11" t="s">
        <v>22</v>
      </c>
      <c r="C11" s="6">
        <v>935601.63339382934</v>
      </c>
      <c r="D11" s="6">
        <v>850075.77132486377</v>
      </c>
      <c r="E11" s="18">
        <f t="shared" si="0"/>
        <v>85525.862068965565</v>
      </c>
      <c r="F11" s="17">
        <v>5</v>
      </c>
      <c r="G11" s="18">
        <f t="shared" si="1"/>
        <v>427629.31034482783</v>
      </c>
      <c r="H11" s="18">
        <f t="shared" si="2"/>
        <v>2138146.5517241391</v>
      </c>
      <c r="I11" s="18">
        <f t="shared" si="3"/>
        <v>85.525862068965566</v>
      </c>
      <c r="J11" s="18">
        <f t="shared" si="4"/>
        <v>427.62931034482784</v>
      </c>
      <c r="K11" s="18">
        <f t="shared" si="5"/>
        <v>2138.146551724139</v>
      </c>
      <c r="L11" s="4"/>
    </row>
    <row r="12" spans="1:15" x14ac:dyDescent="0.55000000000000004">
      <c r="A12" s="27" t="s">
        <v>23</v>
      </c>
      <c r="B12" t="s">
        <v>24</v>
      </c>
      <c r="C12" s="6">
        <v>2205179.7958257711</v>
      </c>
      <c r="D12" s="38">
        <v>2038803.1415607983</v>
      </c>
      <c r="E12" s="18">
        <f t="shared" si="0"/>
        <v>166376.65426497278</v>
      </c>
      <c r="F12" s="17">
        <v>5</v>
      </c>
      <c r="G12" s="18">
        <f t="shared" si="1"/>
        <v>831883.27132486389</v>
      </c>
      <c r="H12" s="18">
        <f t="shared" si="2"/>
        <v>4159416.3566243192</v>
      </c>
      <c r="I12" s="18">
        <f t="shared" si="3"/>
        <v>166.37665426497279</v>
      </c>
      <c r="J12" s="18">
        <f t="shared" si="4"/>
        <v>831.88327132486393</v>
      </c>
      <c r="K12" s="18">
        <f t="shared" si="5"/>
        <v>4159.4163566243196</v>
      </c>
      <c r="L12" s="4"/>
    </row>
    <row r="13" spans="1:15" x14ac:dyDescent="0.55000000000000004">
      <c r="A13" s="25" t="s">
        <v>31</v>
      </c>
      <c r="B13" s="12"/>
      <c r="C13" s="13">
        <f>SUM(C2:C12)-C10</f>
        <v>5033375.4765923163</v>
      </c>
      <c r="D13" s="13">
        <f t="shared" ref="D13:G13" si="6">SUM(D2:D12)-D10</f>
        <v>3757852.3599869017</v>
      </c>
      <c r="E13" s="13">
        <f t="shared" si="6"/>
        <v>1275523.1166054145</v>
      </c>
      <c r="F13" s="14"/>
      <c r="G13" s="13">
        <f t="shared" si="6"/>
        <v>4734111.7771226559</v>
      </c>
      <c r="H13" s="13">
        <f t="shared" ref="H13" si="7">SUM(H2:H12)-H10</f>
        <v>30244574.109230943</v>
      </c>
      <c r="I13" s="13">
        <f t="shared" ref="I13" si="8">SUM(I2:I12)-I10</f>
        <v>1275.5231166054143</v>
      </c>
      <c r="J13" s="13">
        <f t="shared" ref="J13" si="9">SUM(J2:J12)-J10</f>
        <v>4734.1117771226554</v>
      </c>
      <c r="K13" s="13">
        <f t="shared" ref="K13" si="10">SUM(K2:K12)-K10</f>
        <v>30244.57410923094</v>
      </c>
    </row>
    <row r="14" spans="1:15" x14ac:dyDescent="0.55000000000000004">
      <c r="A14" s="26" t="s">
        <v>32</v>
      </c>
      <c r="B14" s="19"/>
      <c r="C14" s="19"/>
      <c r="D14" s="20"/>
      <c r="E14" s="19"/>
      <c r="F14" s="21"/>
      <c r="G14" s="22"/>
      <c r="H14" s="21"/>
      <c r="I14" s="21"/>
      <c r="J14" s="23"/>
      <c r="K14" s="23"/>
      <c r="L14" s="24">
        <v>33592654</v>
      </c>
      <c r="M14" s="24">
        <f>L14/J13</f>
        <v>7095.8725905743759</v>
      </c>
      <c r="N14" s="24">
        <f>L14/K13</f>
        <v>1110.7001830700997</v>
      </c>
    </row>
    <row r="15" spans="1:15" x14ac:dyDescent="0.55000000000000004">
      <c r="E15" s="32"/>
      <c r="G15" s="4"/>
      <c r="H15" s="4"/>
      <c r="I15" s="9"/>
      <c r="J15" s="10"/>
      <c r="K15" s="10"/>
    </row>
    <row r="16" spans="1:15" x14ac:dyDescent="0.55000000000000004">
      <c r="A16" s="2"/>
      <c r="B16" s="2"/>
      <c r="C16" s="2"/>
      <c r="D16" s="32"/>
      <c r="E16" s="6"/>
      <c r="F16" s="4"/>
      <c r="G16" s="30"/>
      <c r="H16" s="30"/>
      <c r="I16" s="2"/>
      <c r="J16" s="11"/>
      <c r="K16" s="2"/>
      <c r="L16" s="2"/>
      <c r="M16" s="2"/>
    </row>
    <row r="17" spans="1:11" x14ac:dyDescent="0.55000000000000004">
      <c r="E17" s="6"/>
      <c r="F17" s="4"/>
      <c r="G17" s="6"/>
      <c r="H17" s="4"/>
      <c r="I17" s="9"/>
      <c r="J17" s="4"/>
      <c r="K17" s="4"/>
    </row>
    <row r="18" spans="1:11" x14ac:dyDescent="0.55000000000000004">
      <c r="E18" s="6"/>
      <c r="F18" s="7"/>
      <c r="G18" s="6"/>
      <c r="H18" s="4"/>
      <c r="I18" s="9"/>
      <c r="J18" s="4"/>
      <c r="K18" s="4"/>
    </row>
    <row r="19" spans="1:11" x14ac:dyDescent="0.55000000000000004">
      <c r="E19" s="6"/>
      <c r="F19" s="7"/>
      <c r="G19" s="6"/>
      <c r="H19" s="4"/>
      <c r="I19" s="9"/>
      <c r="J19" s="4"/>
      <c r="K19" s="4"/>
    </row>
    <row r="20" spans="1:11" x14ac:dyDescent="0.55000000000000004">
      <c r="E20" s="6"/>
      <c r="F20" s="7"/>
      <c r="G20" s="6"/>
      <c r="H20" s="4"/>
      <c r="I20" s="9"/>
      <c r="J20" s="4"/>
      <c r="K20" s="4"/>
    </row>
    <row r="21" spans="1:11" x14ac:dyDescent="0.55000000000000004">
      <c r="E21" s="6"/>
      <c r="F21" s="7"/>
      <c r="G21" s="6"/>
      <c r="H21" s="4"/>
      <c r="I21" s="9"/>
      <c r="J21" s="4"/>
      <c r="K21" s="4"/>
    </row>
    <row r="22" spans="1:11" x14ac:dyDescent="0.55000000000000004">
      <c r="E22" s="6"/>
      <c r="F22" s="7"/>
      <c r="G22" s="6"/>
      <c r="H22" s="4"/>
      <c r="I22" s="9"/>
      <c r="J22" s="4"/>
      <c r="K22" s="4"/>
    </row>
    <row r="23" spans="1:11" x14ac:dyDescent="0.55000000000000004">
      <c r="E23" s="6"/>
      <c r="F23" s="7"/>
      <c r="G23" s="6"/>
      <c r="H23" s="4"/>
      <c r="I23" s="9"/>
      <c r="J23" s="4"/>
      <c r="K23" s="4"/>
    </row>
    <row r="24" spans="1:11" x14ac:dyDescent="0.55000000000000004">
      <c r="E24" s="6"/>
      <c r="F24" s="7"/>
      <c r="G24" s="6"/>
      <c r="H24" s="4"/>
      <c r="I24" s="9"/>
      <c r="J24" s="4"/>
      <c r="K24" s="4"/>
    </row>
    <row r="25" spans="1:11" x14ac:dyDescent="0.55000000000000004">
      <c r="E25" s="6"/>
      <c r="F25" s="7"/>
      <c r="G25" s="6"/>
      <c r="H25" s="6"/>
      <c r="I25" s="6"/>
      <c r="J25" s="6"/>
      <c r="K25" s="6"/>
    </row>
    <row r="26" spans="1:11" x14ac:dyDescent="0.55000000000000004">
      <c r="E26" s="4"/>
      <c r="F26" s="7"/>
      <c r="G26" s="6"/>
      <c r="H26" s="6"/>
      <c r="I26" s="9"/>
      <c r="J26" s="4"/>
      <c r="K26" s="4"/>
    </row>
    <row r="27" spans="1:11" x14ac:dyDescent="0.55000000000000004">
      <c r="F27" s="4"/>
      <c r="G27" s="9"/>
      <c r="H27" s="4"/>
      <c r="I27" s="4"/>
      <c r="J27" s="4"/>
    </row>
    <row r="28" spans="1:11" x14ac:dyDescent="0.55000000000000004">
      <c r="A28" s="6"/>
      <c r="B28" s="6"/>
      <c r="C28" s="6"/>
      <c r="D28" s="7"/>
      <c r="E28" s="6"/>
      <c r="F28" s="4"/>
      <c r="G28" s="9"/>
      <c r="H28" s="4"/>
      <c r="I28" s="4"/>
    </row>
    <row r="29" spans="1:11" x14ac:dyDescent="0.55000000000000004">
      <c r="G29" s="9"/>
      <c r="H29" s="9"/>
      <c r="I29" s="9"/>
      <c r="J29" s="10"/>
      <c r="K29" s="10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F2E8A-DB57-4316-B195-F0B5DB63C53B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3E553-8265-4FF2-BCF6-B0F02DDD6251}">
  <dimension ref="A1:E13"/>
  <sheetViews>
    <sheetView tabSelected="1" workbookViewId="0">
      <selection activeCell="H6" sqref="H6"/>
    </sheetView>
  </sheetViews>
  <sheetFormatPr defaultRowHeight="14.4" x14ac:dyDescent="0.55000000000000004"/>
  <cols>
    <col min="1" max="1" width="25.3671875" customWidth="1"/>
    <col min="2" max="2" width="15.20703125" customWidth="1"/>
    <col min="3" max="3" width="14.83984375" customWidth="1"/>
    <col min="4" max="4" width="16.47265625" customWidth="1"/>
    <col min="7" max="7" width="10.83984375" bestFit="1" customWidth="1"/>
  </cols>
  <sheetData>
    <row r="1" spans="1:5" x14ac:dyDescent="0.55000000000000004">
      <c r="A1" s="1" t="s">
        <v>1</v>
      </c>
      <c r="B1" s="1"/>
      <c r="C1" s="1"/>
      <c r="D1" s="1"/>
      <c r="E1" s="1"/>
    </row>
    <row r="3" spans="1:5" s="2" customFormat="1" ht="30.45" customHeight="1" x14ac:dyDescent="0.55000000000000004">
      <c r="B3" s="2" t="s">
        <v>42</v>
      </c>
      <c r="C3" s="2" t="s">
        <v>7</v>
      </c>
      <c r="D3" s="2" t="s">
        <v>4</v>
      </c>
    </row>
    <row r="4" spans="1:5" x14ac:dyDescent="0.55000000000000004">
      <c r="A4" t="s">
        <v>2</v>
      </c>
      <c r="B4" s="3">
        <v>7859</v>
      </c>
      <c r="C4" s="3">
        <f>B4*10.19</f>
        <v>80083.209999999992</v>
      </c>
      <c r="D4" s="3">
        <f>C4/1000</f>
        <v>80.083209999999994</v>
      </c>
    </row>
    <row r="5" spans="1:5" x14ac:dyDescent="0.55000000000000004">
      <c r="A5" t="s">
        <v>5</v>
      </c>
      <c r="B5" s="3">
        <v>1626</v>
      </c>
      <c r="C5" s="3">
        <f>B5*10.19</f>
        <v>16568.939999999999</v>
      </c>
      <c r="D5" s="3">
        <f>C5/1000</f>
        <v>16.568939999999998</v>
      </c>
    </row>
    <row r="6" spans="1:5" x14ac:dyDescent="0.55000000000000004">
      <c r="A6" s="34" t="s">
        <v>43</v>
      </c>
      <c r="B6" s="35">
        <f>B4-B5</f>
        <v>6233</v>
      </c>
      <c r="C6" s="35">
        <f t="shared" ref="C6:D6" si="0">C4-C5</f>
        <v>63514.26999999999</v>
      </c>
      <c r="D6" s="41">
        <f t="shared" si="0"/>
        <v>63.514269999999996</v>
      </c>
    </row>
    <row r="9" spans="1:5" x14ac:dyDescent="0.55000000000000004">
      <c r="A9" t="s">
        <v>38</v>
      </c>
    </row>
    <row r="10" spans="1:5" x14ac:dyDescent="0.55000000000000004">
      <c r="A10" t="s">
        <v>6</v>
      </c>
    </row>
    <row r="11" spans="1:5" x14ac:dyDescent="0.55000000000000004">
      <c r="A11" t="s">
        <v>3</v>
      </c>
    </row>
    <row r="12" spans="1:5" x14ac:dyDescent="0.55000000000000004">
      <c r="A12" t="s">
        <v>158</v>
      </c>
    </row>
    <row r="13" spans="1:5" x14ac:dyDescent="0.55000000000000004">
      <c r="A1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0F561-463B-40FC-A0A1-9EAD041B0359}">
  <dimension ref="A1:F12"/>
  <sheetViews>
    <sheetView workbookViewId="0">
      <selection activeCell="D3" sqref="D3"/>
    </sheetView>
  </sheetViews>
  <sheetFormatPr defaultRowHeight="14.4" x14ac:dyDescent="0.55000000000000004"/>
  <cols>
    <col min="1" max="1" width="14.89453125" customWidth="1"/>
    <col min="2" max="2" width="38.05078125" customWidth="1"/>
    <col min="3" max="4" width="19.47265625" customWidth="1"/>
    <col min="5" max="5" width="12.89453125" customWidth="1"/>
    <col min="6" max="6" width="11.89453125" customWidth="1"/>
  </cols>
  <sheetData>
    <row r="1" spans="1:6" x14ac:dyDescent="0.55000000000000004">
      <c r="A1" s="1" t="s">
        <v>44</v>
      </c>
    </row>
    <row r="2" spans="1:6" ht="41.2" customHeight="1" x14ac:dyDescent="0.55000000000000004">
      <c r="A2" s="1"/>
      <c r="C2" s="2" t="s">
        <v>130</v>
      </c>
      <c r="D2" s="2" t="s">
        <v>131</v>
      </c>
      <c r="E2" s="2" t="s">
        <v>132</v>
      </c>
      <c r="F2" s="2" t="s">
        <v>4</v>
      </c>
    </row>
    <row r="3" spans="1:6" x14ac:dyDescent="0.55000000000000004">
      <c r="A3" t="s">
        <v>45</v>
      </c>
      <c r="B3" t="s">
        <v>47</v>
      </c>
      <c r="C3">
        <v>35</v>
      </c>
      <c r="D3" s="3">
        <f>C3*365*38</f>
        <v>485450</v>
      </c>
      <c r="E3" s="4">
        <f>D3*1.04</f>
        <v>504868</v>
      </c>
      <c r="F3" s="4">
        <f>E3/1000</f>
        <v>504.86799999999999</v>
      </c>
    </row>
    <row r="4" spans="1:6" x14ac:dyDescent="0.55000000000000004">
      <c r="A4" t="s">
        <v>46</v>
      </c>
      <c r="B4" t="s">
        <v>47</v>
      </c>
      <c r="C4">
        <v>5.4</v>
      </c>
      <c r="D4" s="3">
        <f>C4*365*38</f>
        <v>74898.000000000015</v>
      </c>
      <c r="E4" s="4">
        <f>D4*1.04</f>
        <v>77893.920000000013</v>
      </c>
      <c r="F4" s="4">
        <f>E4/1000</f>
        <v>77.893920000000008</v>
      </c>
    </row>
    <row r="5" spans="1:6" ht="14.2" customHeight="1" x14ac:dyDescent="0.55000000000000004">
      <c r="A5" s="34" t="s">
        <v>43</v>
      </c>
      <c r="B5" s="34"/>
      <c r="C5" s="34">
        <f>C3-C4</f>
        <v>29.6</v>
      </c>
      <c r="D5" s="35">
        <f t="shared" ref="D5:F5" si="0">D3-D4</f>
        <v>410552</v>
      </c>
      <c r="E5" s="35">
        <f t="shared" si="0"/>
        <v>426974.07999999996</v>
      </c>
      <c r="F5" s="41">
        <f t="shared" si="0"/>
        <v>426.97407999999996</v>
      </c>
    </row>
    <row r="6" spans="1:6" ht="14.2" customHeight="1" x14ac:dyDescent="0.55000000000000004">
      <c r="D6" s="6"/>
      <c r="E6" s="6"/>
      <c r="F6" s="50"/>
    </row>
    <row r="7" spans="1:6" x14ac:dyDescent="0.55000000000000004">
      <c r="A7" t="s">
        <v>129</v>
      </c>
    </row>
    <row r="8" spans="1:6" x14ac:dyDescent="0.55000000000000004">
      <c r="A8" t="s">
        <v>127</v>
      </c>
    </row>
    <row r="9" spans="1:6" x14ac:dyDescent="0.55000000000000004">
      <c r="A9" t="s">
        <v>133</v>
      </c>
    </row>
    <row r="10" spans="1:6" x14ac:dyDescent="0.55000000000000004">
      <c r="A10" t="s">
        <v>134</v>
      </c>
    </row>
    <row r="11" spans="1:6" x14ac:dyDescent="0.55000000000000004">
      <c r="A11" t="s">
        <v>48</v>
      </c>
    </row>
    <row r="12" spans="1:6" x14ac:dyDescent="0.55000000000000004">
      <c r="A12" t="s">
        <v>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45401-9B59-496D-8526-61C1A8BE1B63}">
  <dimension ref="A1:N19"/>
  <sheetViews>
    <sheetView topLeftCell="A8" workbookViewId="0">
      <selection activeCell="A16" sqref="A16:XFD18"/>
    </sheetView>
  </sheetViews>
  <sheetFormatPr defaultRowHeight="14.4" x14ac:dyDescent="0.55000000000000004"/>
  <cols>
    <col min="1" max="1" width="17.47265625" customWidth="1"/>
    <col min="6" max="7" width="13.3671875" customWidth="1"/>
    <col min="8" max="8" width="11.15625" bestFit="1" customWidth="1"/>
    <col min="11" max="11" width="10.47265625" customWidth="1"/>
    <col min="12" max="12" width="10.3671875" customWidth="1"/>
    <col min="13" max="13" width="10.83984375" bestFit="1" customWidth="1"/>
    <col min="14" max="14" width="14.15625" customWidth="1"/>
  </cols>
  <sheetData>
    <row r="1" spans="1:14" x14ac:dyDescent="0.55000000000000004">
      <c r="A1" s="1" t="s">
        <v>51</v>
      </c>
    </row>
    <row r="3" spans="1:14" s="2" customFormat="1" ht="61.3" customHeight="1" x14ac:dyDescent="0.55000000000000004">
      <c r="B3" s="2" t="s">
        <v>52</v>
      </c>
      <c r="C3" s="2" t="s">
        <v>53</v>
      </c>
      <c r="D3" s="2" t="s">
        <v>54</v>
      </c>
      <c r="E3" s="2" t="s">
        <v>55</v>
      </c>
      <c r="F3" s="2" t="s">
        <v>56</v>
      </c>
      <c r="G3" s="2" t="s">
        <v>68</v>
      </c>
      <c r="H3" s="2" t="s">
        <v>67</v>
      </c>
      <c r="I3" s="2" t="s">
        <v>62</v>
      </c>
      <c r="J3" s="2" t="s">
        <v>66</v>
      </c>
      <c r="K3" s="2" t="s">
        <v>73</v>
      </c>
      <c r="L3" s="2" t="s">
        <v>73</v>
      </c>
      <c r="M3" s="2" t="s">
        <v>71</v>
      </c>
      <c r="N3" s="2" t="s">
        <v>72</v>
      </c>
    </row>
    <row r="4" spans="1:14" x14ac:dyDescent="0.55000000000000004">
      <c r="A4" t="s">
        <v>69</v>
      </c>
      <c r="B4">
        <v>83</v>
      </c>
      <c r="C4">
        <v>250</v>
      </c>
      <c r="D4">
        <v>160</v>
      </c>
      <c r="E4">
        <f>C4-D4</f>
        <v>90</v>
      </c>
      <c r="F4" s="3">
        <f>E4*B4</f>
        <v>7470</v>
      </c>
      <c r="G4" s="39">
        <v>7.49</v>
      </c>
      <c r="H4" s="3">
        <f>365*C4*$B4*$G4/1000</f>
        <v>56727.387499999997</v>
      </c>
      <c r="I4" s="6">
        <f>365*D4*$B4*$G4/1000</f>
        <v>36305.527999999998</v>
      </c>
      <c r="J4" s="6">
        <f>365*E4*$B4*$G4/1000</f>
        <v>20421.859499999999</v>
      </c>
      <c r="K4" s="4">
        <f t="shared" ref="K4:L4" si="0">1.04*H4</f>
        <v>58996.483</v>
      </c>
      <c r="L4" s="4">
        <f t="shared" si="0"/>
        <v>37757.74912</v>
      </c>
      <c r="M4" s="4">
        <f>1.04*J4</f>
        <v>21238.73388</v>
      </c>
      <c r="N4" s="36">
        <f>M4/1000</f>
        <v>21.238733879999998</v>
      </c>
    </row>
    <row r="5" spans="1:14" x14ac:dyDescent="0.55000000000000004">
      <c r="A5" t="s">
        <v>57</v>
      </c>
      <c r="B5">
        <v>80</v>
      </c>
      <c r="C5">
        <v>250</v>
      </c>
      <c r="D5">
        <v>160</v>
      </c>
      <c r="E5">
        <f t="shared" ref="E5:E10" si="1">C5-D5</f>
        <v>90</v>
      </c>
      <c r="F5" s="3">
        <f t="shared" ref="F5:F10" si="2">E5*B5</f>
        <v>7200</v>
      </c>
      <c r="G5" s="39">
        <v>11.51</v>
      </c>
      <c r="H5" s="3">
        <f t="shared" ref="H5:I10" si="3">365*C5*$B5*$G5/1000</f>
        <v>84023</v>
      </c>
      <c r="I5" s="3">
        <f t="shared" si="3"/>
        <v>53774.720000000001</v>
      </c>
      <c r="J5" s="6">
        <f t="shared" ref="J5:J10" si="4">365*E5*$B5*$G5/1000</f>
        <v>30248.28</v>
      </c>
      <c r="K5" s="4">
        <f t="shared" ref="K5:K10" si="5">1.04*H5</f>
        <v>87383.92</v>
      </c>
      <c r="L5" s="4">
        <f t="shared" ref="L5:L10" si="6">1.04*I5</f>
        <v>55925.7088</v>
      </c>
      <c r="M5" s="4">
        <f t="shared" ref="M5:M10" si="7">1.04*J5</f>
        <v>31458.211200000002</v>
      </c>
      <c r="N5" s="36">
        <f t="shared" ref="N5:N10" si="8">M5/1000</f>
        <v>31.458211200000001</v>
      </c>
    </row>
    <row r="6" spans="1:14" x14ac:dyDescent="0.55000000000000004">
      <c r="A6" t="s">
        <v>58</v>
      </c>
      <c r="B6">
        <v>122</v>
      </c>
      <c r="C6">
        <v>200</v>
      </c>
      <c r="D6">
        <v>150</v>
      </c>
      <c r="E6">
        <f t="shared" si="1"/>
        <v>50</v>
      </c>
      <c r="F6" s="3">
        <f t="shared" si="2"/>
        <v>6100</v>
      </c>
      <c r="G6" s="39">
        <v>11.51</v>
      </c>
      <c r="H6" s="3">
        <f t="shared" si="3"/>
        <v>102508.06</v>
      </c>
      <c r="I6" s="3">
        <f t="shared" si="3"/>
        <v>76881.044999999998</v>
      </c>
      <c r="J6" s="6">
        <f t="shared" si="4"/>
        <v>25627.014999999999</v>
      </c>
      <c r="K6" s="4">
        <f t="shared" si="5"/>
        <v>106608.3824</v>
      </c>
      <c r="L6" s="4">
        <f t="shared" si="6"/>
        <v>79956.286800000002</v>
      </c>
      <c r="M6" s="4">
        <f t="shared" si="7"/>
        <v>26652.095600000001</v>
      </c>
      <c r="N6" s="36">
        <f t="shared" si="8"/>
        <v>26.652095599999999</v>
      </c>
    </row>
    <row r="7" spans="1:14" x14ac:dyDescent="0.55000000000000004">
      <c r="A7" t="s">
        <v>59</v>
      </c>
      <c r="B7">
        <v>3</v>
      </c>
      <c r="C7">
        <v>150</v>
      </c>
      <c r="D7">
        <v>40</v>
      </c>
      <c r="E7">
        <f t="shared" si="1"/>
        <v>110</v>
      </c>
      <c r="F7" s="3">
        <f t="shared" si="2"/>
        <v>330</v>
      </c>
      <c r="G7" s="39">
        <v>11.51</v>
      </c>
      <c r="H7" s="3">
        <f t="shared" si="3"/>
        <v>1890.5174999999999</v>
      </c>
      <c r="I7" s="3">
        <f t="shared" si="3"/>
        <v>504.13799999999998</v>
      </c>
      <c r="J7" s="6">
        <f t="shared" si="4"/>
        <v>1386.3795</v>
      </c>
      <c r="K7" s="4">
        <f t="shared" si="5"/>
        <v>1966.1382000000001</v>
      </c>
      <c r="L7" s="4">
        <f t="shared" si="6"/>
        <v>524.30352000000005</v>
      </c>
      <c r="M7" s="4">
        <f t="shared" si="7"/>
        <v>1441.8346800000002</v>
      </c>
      <c r="N7" s="36">
        <f t="shared" si="8"/>
        <v>1.4418346800000001</v>
      </c>
    </row>
    <row r="8" spans="1:14" x14ac:dyDescent="0.55000000000000004">
      <c r="A8" t="s">
        <v>60</v>
      </c>
      <c r="B8">
        <v>38</v>
      </c>
      <c r="C8">
        <v>150</v>
      </c>
      <c r="D8">
        <v>40</v>
      </c>
      <c r="E8">
        <f t="shared" si="1"/>
        <v>110</v>
      </c>
      <c r="F8" s="3">
        <f t="shared" si="2"/>
        <v>4180</v>
      </c>
      <c r="G8" s="39">
        <v>11.51</v>
      </c>
      <c r="H8" s="3">
        <f t="shared" si="3"/>
        <v>23946.555</v>
      </c>
      <c r="I8" s="3">
        <f t="shared" si="3"/>
        <v>6385.7479999999996</v>
      </c>
      <c r="J8" s="6">
        <f t="shared" si="4"/>
        <v>17560.807000000001</v>
      </c>
      <c r="K8" s="4">
        <f t="shared" si="5"/>
        <v>24904.4172</v>
      </c>
      <c r="L8" s="4">
        <f t="shared" si="6"/>
        <v>6641.1779200000001</v>
      </c>
      <c r="M8" s="4">
        <f t="shared" si="7"/>
        <v>18263.239280000002</v>
      </c>
      <c r="N8" s="36">
        <f t="shared" si="8"/>
        <v>18.263239280000001</v>
      </c>
    </row>
    <row r="9" spans="1:14" x14ac:dyDescent="0.55000000000000004">
      <c r="A9" t="s">
        <v>61</v>
      </c>
      <c r="B9">
        <v>90</v>
      </c>
      <c r="C9">
        <v>150</v>
      </c>
      <c r="D9">
        <v>80</v>
      </c>
      <c r="E9">
        <f t="shared" si="1"/>
        <v>70</v>
      </c>
      <c r="F9" s="3">
        <f t="shared" si="2"/>
        <v>6300</v>
      </c>
      <c r="G9" s="40">
        <v>11.51</v>
      </c>
      <c r="H9" s="6">
        <f t="shared" si="3"/>
        <v>56715.525000000001</v>
      </c>
      <c r="I9" s="6">
        <f t="shared" si="3"/>
        <v>30248.28</v>
      </c>
      <c r="J9" s="6">
        <f t="shared" si="4"/>
        <v>26467.244999999999</v>
      </c>
      <c r="K9" s="4">
        <f t="shared" si="5"/>
        <v>58984.146000000001</v>
      </c>
      <c r="L9" s="4">
        <f t="shared" si="6"/>
        <v>31458.211200000002</v>
      </c>
      <c r="M9" s="4">
        <f t="shared" si="7"/>
        <v>27525.934799999999</v>
      </c>
      <c r="N9" s="36">
        <f t="shared" si="8"/>
        <v>27.525934799999998</v>
      </c>
    </row>
    <row r="10" spans="1:14" x14ac:dyDescent="0.55000000000000004">
      <c r="A10" t="s">
        <v>123</v>
      </c>
      <c r="B10">
        <v>6</v>
      </c>
      <c r="C10">
        <v>150</v>
      </c>
      <c r="D10">
        <v>90</v>
      </c>
      <c r="E10">
        <f t="shared" si="1"/>
        <v>60</v>
      </c>
      <c r="F10" s="3">
        <f t="shared" si="2"/>
        <v>360</v>
      </c>
      <c r="G10" s="39">
        <v>11.51</v>
      </c>
      <c r="H10" s="3">
        <f t="shared" si="3"/>
        <v>3781.0349999999999</v>
      </c>
      <c r="I10" s="3">
        <f t="shared" si="3"/>
        <v>2268.6210000000001</v>
      </c>
      <c r="J10" s="6">
        <f t="shared" si="4"/>
        <v>1512.414</v>
      </c>
      <c r="K10" s="4">
        <f t="shared" si="5"/>
        <v>3932.2764000000002</v>
      </c>
      <c r="L10" s="4">
        <f t="shared" si="6"/>
        <v>2359.3658400000004</v>
      </c>
      <c r="M10" s="4">
        <f t="shared" si="7"/>
        <v>1572.91056</v>
      </c>
      <c r="N10" s="36">
        <f t="shared" si="8"/>
        <v>1.57291056</v>
      </c>
    </row>
    <row r="11" spans="1:14" x14ac:dyDescent="0.55000000000000004">
      <c r="A11" s="34" t="s">
        <v>31</v>
      </c>
      <c r="B11" s="34">
        <f>SUM(B4:B10)</f>
        <v>422</v>
      </c>
      <c r="C11" s="34"/>
      <c r="D11" s="34"/>
      <c r="E11" s="34"/>
      <c r="F11" s="34"/>
      <c r="G11" s="34"/>
      <c r="H11" s="35">
        <f>SUM(H4:H10)</f>
        <v>329592.08</v>
      </c>
      <c r="I11" s="35">
        <f t="shared" ref="I11:N11" si="9">SUM(I4:I10)</f>
        <v>206368.08000000002</v>
      </c>
      <c r="J11" s="35">
        <f t="shared" si="9"/>
        <v>123224</v>
      </c>
      <c r="K11" s="35">
        <f t="shared" ref="K11" si="10">SUM(K4:K10)</f>
        <v>342775.76319999999</v>
      </c>
      <c r="L11" s="35">
        <f t="shared" ref="L11" si="11">SUM(L4:L10)</f>
        <v>214622.80319999999</v>
      </c>
      <c r="M11" s="35">
        <f t="shared" si="9"/>
        <v>128152.96000000002</v>
      </c>
      <c r="N11" s="41">
        <f t="shared" si="9"/>
        <v>128.15296000000001</v>
      </c>
    </row>
    <row r="13" spans="1:14" x14ac:dyDescent="0.55000000000000004">
      <c r="A13" t="s">
        <v>64</v>
      </c>
    </row>
    <row r="14" spans="1:14" x14ac:dyDescent="0.55000000000000004">
      <c r="A14" t="s">
        <v>63</v>
      </c>
    </row>
    <row r="15" spans="1:14" x14ac:dyDescent="0.55000000000000004">
      <c r="A15" t="s">
        <v>65</v>
      </c>
    </row>
    <row r="16" spans="1:14" x14ac:dyDescent="0.55000000000000004">
      <c r="A16" t="s">
        <v>78</v>
      </c>
    </row>
    <row r="17" spans="1:1" x14ac:dyDescent="0.55000000000000004">
      <c r="A17" t="s">
        <v>75</v>
      </c>
    </row>
    <row r="18" spans="1:1" x14ac:dyDescent="0.55000000000000004">
      <c r="A18" t="s">
        <v>49</v>
      </c>
    </row>
    <row r="19" spans="1:1" x14ac:dyDescent="0.55000000000000004">
      <c r="A19" t="s">
        <v>70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A2A8E-771D-4453-A947-3A8618D41565}">
  <dimension ref="A1:D11"/>
  <sheetViews>
    <sheetView topLeftCell="A3" workbookViewId="0">
      <selection activeCell="A10" sqref="A10:XFD11"/>
    </sheetView>
  </sheetViews>
  <sheetFormatPr defaultRowHeight="14.4" x14ac:dyDescent="0.55000000000000004"/>
  <cols>
    <col min="1" max="1" width="46.83984375" customWidth="1"/>
    <col min="2" max="2" width="11.05078125" customWidth="1"/>
    <col min="3" max="3" width="12.62890625" customWidth="1"/>
    <col min="4" max="4" width="14.734375" customWidth="1"/>
  </cols>
  <sheetData>
    <row r="1" spans="1:4" x14ac:dyDescent="0.55000000000000004">
      <c r="A1" s="42" t="s">
        <v>92</v>
      </c>
    </row>
    <row r="2" spans="1:4" x14ac:dyDescent="0.55000000000000004">
      <c r="A2" s="42"/>
    </row>
    <row r="3" spans="1:4" s="2" customFormat="1" ht="31.75" customHeight="1" x14ac:dyDescent="0.55000000000000004">
      <c r="B3" s="2" t="s">
        <v>95</v>
      </c>
      <c r="C3" s="2" t="s">
        <v>50</v>
      </c>
      <c r="D3" s="2" t="s">
        <v>4</v>
      </c>
    </row>
    <row r="4" spans="1:4" x14ac:dyDescent="0.55000000000000004">
      <c r="A4" t="s">
        <v>93</v>
      </c>
      <c r="B4">
        <v>4255.8999999999996</v>
      </c>
      <c r="C4" s="3">
        <f>B4*10.19*1000000/128450</f>
        <v>337622.58466329303</v>
      </c>
      <c r="D4" s="36">
        <f>C4/1000</f>
        <v>337.62258466329303</v>
      </c>
    </row>
    <row r="5" spans="1:4" x14ac:dyDescent="0.55000000000000004">
      <c r="A5" t="s">
        <v>94</v>
      </c>
      <c r="B5">
        <v>3342.7</v>
      </c>
      <c r="C5" s="3">
        <f>B5*10.19*1000000/128450</f>
        <v>265177.9914363565</v>
      </c>
      <c r="D5" s="36">
        <f>C5/1000</f>
        <v>265.17799143635648</v>
      </c>
    </row>
    <row r="6" spans="1:4" x14ac:dyDescent="0.55000000000000004">
      <c r="A6" s="34" t="s">
        <v>43</v>
      </c>
      <c r="B6" s="34">
        <f>B4-B5</f>
        <v>913.19999999999982</v>
      </c>
      <c r="C6" s="43">
        <f>C4-C5</f>
        <v>72444.593226936529</v>
      </c>
      <c r="D6" s="44">
        <f>D4-D5</f>
        <v>72.444593226936547</v>
      </c>
    </row>
    <row r="8" spans="1:4" x14ac:dyDescent="0.55000000000000004">
      <c r="A8" t="s">
        <v>128</v>
      </c>
    </row>
    <row r="9" spans="1:4" x14ac:dyDescent="0.55000000000000004">
      <c r="A9" t="s">
        <v>127</v>
      </c>
    </row>
    <row r="10" spans="1:4" x14ac:dyDescent="0.55000000000000004">
      <c r="A10" t="s">
        <v>96</v>
      </c>
    </row>
    <row r="11" spans="1:4" x14ac:dyDescent="0.55000000000000004">
      <c r="A11" t="s">
        <v>41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A181B-53F6-4EE7-84D3-B2BDBE0C53E4}">
  <dimension ref="A1:H13"/>
  <sheetViews>
    <sheetView topLeftCell="A5" workbookViewId="0">
      <selection activeCell="A11" sqref="A11:L13"/>
    </sheetView>
  </sheetViews>
  <sheetFormatPr defaultRowHeight="14.4" x14ac:dyDescent="0.55000000000000004"/>
  <cols>
    <col min="1" max="1" width="13.47265625" customWidth="1"/>
    <col min="2" max="2" width="16.734375" customWidth="1"/>
    <col min="7" max="7" width="10.83984375" customWidth="1"/>
  </cols>
  <sheetData>
    <row r="1" spans="1:8" x14ac:dyDescent="0.55000000000000004">
      <c r="A1" s="1" t="s">
        <v>91</v>
      </c>
      <c r="B1" s="1"/>
      <c r="C1" s="1"/>
      <c r="D1" s="1"/>
      <c r="E1" s="1"/>
      <c r="F1" s="1"/>
      <c r="G1" s="1"/>
      <c r="H1" s="1"/>
    </row>
    <row r="2" spans="1:8" x14ac:dyDescent="0.55000000000000004">
      <c r="A2" s="1"/>
      <c r="B2" s="1"/>
      <c r="C2" s="1"/>
      <c r="D2" s="1"/>
      <c r="E2" s="1"/>
      <c r="F2" s="1"/>
      <c r="G2" s="1"/>
      <c r="H2" s="1"/>
    </row>
    <row r="3" spans="1:8" ht="43.2" x14ac:dyDescent="0.55000000000000004">
      <c r="C3" t="s">
        <v>83</v>
      </c>
      <c r="D3" s="2" t="s">
        <v>84</v>
      </c>
      <c r="E3" s="2" t="s">
        <v>87</v>
      </c>
      <c r="F3" t="s">
        <v>85</v>
      </c>
      <c r="G3" t="s">
        <v>89</v>
      </c>
      <c r="H3" s="2" t="s">
        <v>86</v>
      </c>
    </row>
    <row r="4" spans="1:8" x14ac:dyDescent="0.55000000000000004">
      <c r="A4" t="s">
        <v>79</v>
      </c>
      <c r="B4" t="s">
        <v>81</v>
      </c>
      <c r="C4">
        <v>28</v>
      </c>
      <c r="D4">
        <v>800</v>
      </c>
      <c r="E4">
        <v>10</v>
      </c>
      <c r="F4">
        <f>C4*D4*E4/1000</f>
        <v>224</v>
      </c>
      <c r="G4" s="38">
        <f>1.08*365*F4</f>
        <v>88300.800000000017</v>
      </c>
      <c r="H4" s="37">
        <f>G4/1000</f>
        <v>88.300800000000024</v>
      </c>
    </row>
    <row r="5" spans="1:8" x14ac:dyDescent="0.55000000000000004">
      <c r="A5" t="s">
        <v>80</v>
      </c>
      <c r="B5" t="s">
        <v>82</v>
      </c>
      <c r="C5">
        <v>10</v>
      </c>
      <c r="D5">
        <v>800</v>
      </c>
      <c r="E5">
        <v>8</v>
      </c>
      <c r="F5">
        <f>C5*D5*E5/1000</f>
        <v>64</v>
      </c>
      <c r="G5" s="38">
        <f>1.08*365*F5</f>
        <v>25228.800000000003</v>
      </c>
      <c r="H5" s="37">
        <f>G5/1000</f>
        <v>25.228800000000003</v>
      </c>
    </row>
    <row r="6" spans="1:8" x14ac:dyDescent="0.55000000000000004">
      <c r="A6" s="34" t="s">
        <v>43</v>
      </c>
      <c r="B6" s="34"/>
      <c r="C6" s="34"/>
      <c r="D6" s="34"/>
      <c r="E6" s="34">
        <f>E4-E5</f>
        <v>2</v>
      </c>
      <c r="F6" s="34">
        <f>F4-F5</f>
        <v>160</v>
      </c>
      <c r="G6" s="46">
        <f>G4-G5</f>
        <v>63072.000000000015</v>
      </c>
      <c r="H6" s="47">
        <f>H4-H5</f>
        <v>63.072000000000017</v>
      </c>
    </row>
    <row r="8" spans="1:8" x14ac:dyDescent="0.55000000000000004">
      <c r="A8" t="s">
        <v>112</v>
      </c>
    </row>
    <row r="9" spans="1:8" x14ac:dyDescent="0.55000000000000004">
      <c r="A9" t="s">
        <v>113</v>
      </c>
    </row>
    <row r="10" spans="1:8" x14ac:dyDescent="0.55000000000000004">
      <c r="A10" t="s">
        <v>88</v>
      </c>
    </row>
    <row r="11" spans="1:8" x14ac:dyDescent="0.55000000000000004">
      <c r="A11" t="s">
        <v>77</v>
      </c>
    </row>
    <row r="12" spans="1:8" x14ac:dyDescent="0.55000000000000004">
      <c r="A12" t="s">
        <v>76</v>
      </c>
    </row>
    <row r="13" spans="1:8" x14ac:dyDescent="0.55000000000000004">
      <c r="A13" t="s">
        <v>90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8C612-BF4F-415E-8369-FB397B48A1A8}">
  <dimension ref="A1:H23"/>
  <sheetViews>
    <sheetView topLeftCell="A9" workbookViewId="0">
      <selection activeCell="A21" sqref="A21:G23"/>
    </sheetView>
  </sheetViews>
  <sheetFormatPr defaultRowHeight="14.4" x14ac:dyDescent="0.55000000000000004"/>
  <cols>
    <col min="1" max="1" width="25.05078125" customWidth="1"/>
    <col min="2" max="2" width="15.734375" bestFit="1" customWidth="1"/>
    <col min="3" max="5" width="11.15625" bestFit="1" customWidth="1"/>
    <col min="6" max="6" width="13.3125" customWidth="1"/>
    <col min="7" max="7" width="12.62890625" customWidth="1"/>
    <col min="8" max="8" width="14.47265625" customWidth="1"/>
  </cols>
  <sheetData>
    <row r="1" spans="1:8" x14ac:dyDescent="0.55000000000000004">
      <c r="A1" s="45" t="s">
        <v>102</v>
      </c>
    </row>
    <row r="2" spans="1:8" ht="84.9" customHeight="1" x14ac:dyDescent="0.55000000000000004">
      <c r="B2" t="s">
        <v>97</v>
      </c>
      <c r="C2" t="s">
        <v>98</v>
      </c>
      <c r="D2" t="s">
        <v>99</v>
      </c>
      <c r="E2" t="s">
        <v>101</v>
      </c>
      <c r="F2" s="2" t="s">
        <v>114</v>
      </c>
      <c r="G2" s="2" t="s">
        <v>109</v>
      </c>
      <c r="H2" s="2" t="s">
        <v>118</v>
      </c>
    </row>
    <row r="3" spans="1:8" x14ac:dyDescent="0.55000000000000004">
      <c r="A3" t="s">
        <v>103</v>
      </c>
      <c r="B3" s="3"/>
      <c r="C3" s="3"/>
      <c r="D3" s="3"/>
      <c r="E3" s="4"/>
      <c r="F3" s="4"/>
    </row>
    <row r="4" spans="1:8" x14ac:dyDescent="0.55000000000000004">
      <c r="A4" t="s">
        <v>100</v>
      </c>
      <c r="B4" s="3">
        <v>1753472</v>
      </c>
      <c r="C4" s="3">
        <v>1789062</v>
      </c>
      <c r="D4" s="3">
        <v>1648159</v>
      </c>
      <c r="E4" s="4">
        <f t="shared" ref="E4:E8" si="0">AVERAGE(B4:D4)</f>
        <v>1730231</v>
      </c>
      <c r="F4" s="4">
        <v>35</v>
      </c>
    </row>
    <row r="5" spans="1:8" x14ac:dyDescent="0.55000000000000004">
      <c r="A5" t="s">
        <v>106</v>
      </c>
      <c r="B5" s="3">
        <f>137*B4/(2.204*1000)</f>
        <v>108995.31034482758</v>
      </c>
      <c r="C5" s="3">
        <f t="shared" ref="C5:E5" si="1">137*C4/(2.204*1000)</f>
        <v>111207.57441016335</v>
      </c>
      <c r="D5" s="3">
        <f t="shared" si="1"/>
        <v>102449.08484573502</v>
      </c>
      <c r="E5" s="3">
        <f t="shared" si="1"/>
        <v>107550.65653357531</v>
      </c>
      <c r="F5" s="4">
        <v>35</v>
      </c>
      <c r="G5" s="4">
        <f>0.35*E5</f>
        <v>37642.729786751355</v>
      </c>
      <c r="H5" s="4">
        <f>G5*0.5</f>
        <v>18821.364893375678</v>
      </c>
    </row>
    <row r="6" spans="1:8" x14ac:dyDescent="0.55000000000000004">
      <c r="B6" s="3"/>
      <c r="C6" s="3"/>
      <c r="D6" s="3"/>
      <c r="E6" s="4"/>
      <c r="F6" s="4"/>
    </row>
    <row r="7" spans="1:8" x14ac:dyDescent="0.55000000000000004">
      <c r="A7" t="s">
        <v>104</v>
      </c>
      <c r="B7" s="3"/>
      <c r="C7" s="3"/>
      <c r="D7" s="3"/>
      <c r="E7" s="4"/>
      <c r="F7" s="4"/>
    </row>
    <row r="8" spans="1:8" x14ac:dyDescent="0.55000000000000004">
      <c r="A8" t="s">
        <v>100</v>
      </c>
      <c r="B8" s="3">
        <v>9818621</v>
      </c>
      <c r="C8" s="3">
        <v>9746880</v>
      </c>
      <c r="D8" s="3">
        <v>10466594</v>
      </c>
      <c r="E8" s="4">
        <f t="shared" si="0"/>
        <v>10010698.333333334</v>
      </c>
      <c r="F8" s="4">
        <v>35</v>
      </c>
    </row>
    <row r="9" spans="1:8" x14ac:dyDescent="0.55000000000000004">
      <c r="A9" t="s">
        <v>106</v>
      </c>
      <c r="B9" s="3">
        <f>137*B8/(2.204*1000)</f>
        <v>610322.63021778583</v>
      </c>
      <c r="C9" s="3">
        <f t="shared" ref="C9:E9" si="2">137*C8/(2.204*1000)</f>
        <v>605863.23049001815</v>
      </c>
      <c r="D9" s="3">
        <f t="shared" si="2"/>
        <v>650600.44373865693</v>
      </c>
      <c r="E9" s="3">
        <f t="shared" si="2"/>
        <v>622262.10148215375</v>
      </c>
      <c r="F9" s="4">
        <v>35</v>
      </c>
      <c r="G9" s="4">
        <f>0.35*E9</f>
        <v>217791.73551875379</v>
      </c>
      <c r="H9" s="4">
        <f>G9*0.5</f>
        <v>108895.8677593769</v>
      </c>
    </row>
    <row r="10" spans="1:8" x14ac:dyDescent="0.55000000000000004">
      <c r="G10" s="4"/>
      <c r="H10" s="4"/>
    </row>
    <row r="11" spans="1:8" x14ac:dyDescent="0.55000000000000004">
      <c r="A11" t="s">
        <v>105</v>
      </c>
    </row>
    <row r="12" spans="1:8" x14ac:dyDescent="0.55000000000000004">
      <c r="A12" t="s">
        <v>100</v>
      </c>
      <c r="B12" s="3">
        <v>13393365</v>
      </c>
      <c r="C12" s="3">
        <v>12994055</v>
      </c>
      <c r="D12" s="3">
        <v>12710927</v>
      </c>
      <c r="E12" s="4">
        <f>AVERAGE(B12:D12)</f>
        <v>13032782.333333334</v>
      </c>
      <c r="F12" s="4">
        <v>35</v>
      </c>
    </row>
    <row r="13" spans="1:8" x14ac:dyDescent="0.55000000000000004">
      <c r="A13" t="s">
        <v>106</v>
      </c>
      <c r="B13" s="3">
        <f>137*B12/(2.204*1000)</f>
        <v>832527.67921960074</v>
      </c>
      <c r="C13" s="3">
        <f t="shared" ref="C13:E13" si="3">137*C12/(2.204*1000)</f>
        <v>807706.68557168788</v>
      </c>
      <c r="D13" s="3">
        <f t="shared" si="3"/>
        <v>790107.5313067151</v>
      </c>
      <c r="E13" s="3">
        <f t="shared" si="3"/>
        <v>810113.96536600124</v>
      </c>
      <c r="F13" s="4">
        <v>35</v>
      </c>
      <c r="G13" s="4">
        <f>0.35*E13</f>
        <v>283539.88787810039</v>
      </c>
      <c r="H13" s="4">
        <f>G13*0.5</f>
        <v>141769.94393905019</v>
      </c>
    </row>
    <row r="14" spans="1:8" x14ac:dyDescent="0.55000000000000004">
      <c r="A14" s="12" t="s">
        <v>111</v>
      </c>
      <c r="B14" s="12"/>
      <c r="C14" s="12"/>
      <c r="D14" s="12"/>
      <c r="E14" s="12"/>
      <c r="F14" s="12"/>
      <c r="G14" s="14">
        <f>SUM(G4:G13)</f>
        <v>538974.35318360548</v>
      </c>
      <c r="H14" s="14">
        <f>SUM(H4:H13)</f>
        <v>269487.17659180274</v>
      </c>
    </row>
    <row r="15" spans="1:8" x14ac:dyDescent="0.55000000000000004">
      <c r="A15" s="34" t="s">
        <v>110</v>
      </c>
      <c r="B15" s="34"/>
      <c r="C15" s="34"/>
      <c r="D15" s="34"/>
      <c r="E15" s="34"/>
      <c r="F15" s="34"/>
      <c r="G15" s="43">
        <f>G14/1000</f>
        <v>538.97435318360544</v>
      </c>
      <c r="H15" s="44">
        <f>H14/1000</f>
        <v>269.48717659180272</v>
      </c>
    </row>
    <row r="16" spans="1:8" x14ac:dyDescent="0.55000000000000004">
      <c r="G16" s="4"/>
      <c r="H16" s="4"/>
    </row>
    <row r="17" spans="1:8" x14ac:dyDescent="0.55000000000000004">
      <c r="G17" s="4"/>
      <c r="H17" s="4"/>
    </row>
    <row r="18" spans="1:8" x14ac:dyDescent="0.55000000000000004">
      <c r="A18" t="s">
        <v>124</v>
      </c>
      <c r="G18" s="4"/>
      <c r="H18" s="4"/>
    </row>
    <row r="19" spans="1:8" x14ac:dyDescent="0.55000000000000004">
      <c r="A19" t="s">
        <v>107</v>
      </c>
    </row>
    <row r="20" spans="1:8" x14ac:dyDescent="0.55000000000000004">
      <c r="A20" t="s">
        <v>108</v>
      </c>
    </row>
    <row r="21" spans="1:8" x14ac:dyDescent="0.55000000000000004">
      <c r="A21" t="s">
        <v>115</v>
      </c>
    </row>
    <row r="22" spans="1:8" x14ac:dyDescent="0.55000000000000004">
      <c r="A22" t="s">
        <v>116</v>
      </c>
    </row>
    <row r="23" spans="1:8" x14ac:dyDescent="0.55000000000000004">
      <c r="A23" t="s">
        <v>117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3E0DB-35EF-4D85-A206-668995594CFD}">
  <dimension ref="A1:F12"/>
  <sheetViews>
    <sheetView topLeftCell="A5" workbookViewId="0">
      <selection activeCell="A12" sqref="A12"/>
    </sheetView>
  </sheetViews>
  <sheetFormatPr defaultRowHeight="14.4" x14ac:dyDescent="0.55000000000000004"/>
  <cols>
    <col min="1" max="1" width="17.20703125" customWidth="1"/>
    <col min="2" max="2" width="16.20703125" customWidth="1"/>
    <col min="3" max="4" width="10.15625" bestFit="1" customWidth="1"/>
    <col min="5" max="5" width="11.15625" bestFit="1" customWidth="1"/>
  </cols>
  <sheetData>
    <row r="1" spans="1:6" x14ac:dyDescent="0.55000000000000004">
      <c r="A1" s="42" t="s">
        <v>136</v>
      </c>
    </row>
    <row r="2" spans="1:6" ht="19.3" customHeight="1" x14ac:dyDescent="0.55000000000000004"/>
    <row r="3" spans="1:6" ht="55.3" customHeight="1" x14ac:dyDescent="0.55000000000000004">
      <c r="A3" t="s">
        <v>121</v>
      </c>
      <c r="B3" s="2" t="s">
        <v>135</v>
      </c>
      <c r="C3" s="2" t="s">
        <v>143</v>
      </c>
      <c r="D3" s="2" t="s">
        <v>141</v>
      </c>
      <c r="E3" s="2" t="s">
        <v>125</v>
      </c>
      <c r="F3" s="2" t="s">
        <v>126</v>
      </c>
    </row>
    <row r="4" spans="1:6" ht="28.8" x14ac:dyDescent="0.55000000000000004">
      <c r="A4" s="2" t="s">
        <v>119</v>
      </c>
      <c r="B4" s="3">
        <v>176245</v>
      </c>
      <c r="C4" s="3">
        <v>17624</v>
      </c>
      <c r="D4" s="4">
        <f>117*C4</f>
        <v>2062008</v>
      </c>
      <c r="E4" s="4">
        <f>D4/2.204</f>
        <v>935575.31760435563</v>
      </c>
      <c r="F4" s="36">
        <f>E4/1000</f>
        <v>935.57531760435563</v>
      </c>
    </row>
    <row r="5" spans="1:6" ht="28.8" x14ac:dyDescent="0.55000000000000004">
      <c r="A5" s="2" t="s">
        <v>120</v>
      </c>
      <c r="B5" s="3">
        <v>160134</v>
      </c>
      <c r="C5" s="3">
        <v>16013</v>
      </c>
      <c r="D5" s="4">
        <f>117*C5</f>
        <v>1873521</v>
      </c>
      <c r="E5" s="4">
        <f>D5/2.204</f>
        <v>850054.90018148813</v>
      </c>
      <c r="F5" s="36">
        <f>E5/1000</f>
        <v>850.05490018148816</v>
      </c>
    </row>
    <row r="6" spans="1:6" x14ac:dyDescent="0.55000000000000004">
      <c r="A6" s="34" t="s">
        <v>43</v>
      </c>
      <c r="B6" s="43">
        <f>B4-B5</f>
        <v>16111</v>
      </c>
      <c r="C6" s="43">
        <f t="shared" ref="C6:F6" si="0">C4-C5</f>
        <v>1611</v>
      </c>
      <c r="D6" s="43">
        <f t="shared" si="0"/>
        <v>188487</v>
      </c>
      <c r="E6" s="43">
        <f t="shared" si="0"/>
        <v>85520.417422867496</v>
      </c>
      <c r="F6" s="44">
        <f t="shared" si="0"/>
        <v>85.520417422867467</v>
      </c>
    </row>
    <row r="8" spans="1:6" x14ac:dyDescent="0.55000000000000004">
      <c r="A8" t="s">
        <v>140</v>
      </c>
    </row>
    <row r="9" spans="1:6" x14ac:dyDescent="0.55000000000000004">
      <c r="A9" t="s">
        <v>139</v>
      </c>
    </row>
    <row r="10" spans="1:6" x14ac:dyDescent="0.55000000000000004">
      <c r="A10" t="s">
        <v>137</v>
      </c>
    </row>
    <row r="11" spans="1:6" x14ac:dyDescent="0.55000000000000004">
      <c r="A11" t="s">
        <v>138</v>
      </c>
    </row>
    <row r="12" spans="1:6" x14ac:dyDescent="0.55000000000000004">
      <c r="A12" s="52" t="s">
        <v>142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D3159-6519-46AA-AE4D-BC8E78BF3A45}">
  <dimension ref="A1:I12"/>
  <sheetViews>
    <sheetView topLeftCell="A3" workbookViewId="0">
      <selection activeCell="B4" sqref="B4"/>
    </sheetView>
  </sheetViews>
  <sheetFormatPr defaultRowHeight="14.4" x14ac:dyDescent="0.55000000000000004"/>
  <cols>
    <col min="1" max="1" width="25.3671875" customWidth="1"/>
    <col min="2" max="2" width="15.20703125" customWidth="1"/>
    <col min="3" max="3" width="14.83984375" customWidth="1"/>
    <col min="4" max="4" width="16.47265625" customWidth="1"/>
    <col min="5" max="5" width="13.3671875" customWidth="1"/>
    <col min="6" max="6" width="11.20703125" customWidth="1"/>
    <col min="7" max="7" width="11.47265625" customWidth="1"/>
    <col min="8" max="8" width="10.15625" bestFit="1" customWidth="1"/>
  </cols>
  <sheetData>
    <row r="1" spans="1:9" x14ac:dyDescent="0.55000000000000004">
      <c r="A1" s="42" t="s">
        <v>148</v>
      </c>
    </row>
    <row r="3" spans="1:9" s="2" customFormat="1" ht="45.45" customHeight="1" x14ac:dyDescent="0.55000000000000004">
      <c r="B3" s="2" t="s">
        <v>146</v>
      </c>
      <c r="C3" s="2" t="s">
        <v>147</v>
      </c>
      <c r="D3" s="2" t="s">
        <v>155</v>
      </c>
      <c r="E3" s="2" t="s">
        <v>154</v>
      </c>
      <c r="F3" s="2" t="s">
        <v>153</v>
      </c>
      <c r="G3" s="2" t="s">
        <v>152</v>
      </c>
      <c r="H3" s="2" t="s">
        <v>156</v>
      </c>
      <c r="I3" s="2" t="s">
        <v>156</v>
      </c>
    </row>
    <row r="4" spans="1:9" x14ac:dyDescent="0.55000000000000004">
      <c r="A4" t="s">
        <v>144</v>
      </c>
      <c r="B4" s="3">
        <v>3876100</v>
      </c>
      <c r="C4" s="3">
        <v>133524</v>
      </c>
      <c r="D4" s="3">
        <f>0.0071*B4</f>
        <v>27520.31</v>
      </c>
      <c r="E4">
        <v>14020</v>
      </c>
      <c r="F4" s="4">
        <f>D4+E4</f>
        <v>41540.31</v>
      </c>
      <c r="G4" s="4">
        <f>117*F4</f>
        <v>4860216.2699999996</v>
      </c>
      <c r="H4" s="4">
        <f>G4/(2.204)</f>
        <v>2205179.7958257711</v>
      </c>
      <c r="I4" s="4">
        <f>G4/(2.204*1000)</f>
        <v>2205.1797958257712</v>
      </c>
    </row>
    <row r="5" spans="1:9" x14ac:dyDescent="0.55000000000000004">
      <c r="A5" t="s">
        <v>145</v>
      </c>
      <c r="B5" s="3">
        <v>2129320</v>
      </c>
      <c r="C5" s="3">
        <v>221790</v>
      </c>
      <c r="D5" s="3">
        <f>0.0071*B5</f>
        <v>15118.172</v>
      </c>
      <c r="E5" s="53">
        <v>23288</v>
      </c>
      <c r="F5" s="4">
        <f>D5+E5</f>
        <v>38406.171999999999</v>
      </c>
      <c r="G5" s="4">
        <f>117*F5</f>
        <v>4493522.1239999998</v>
      </c>
      <c r="H5" s="4">
        <f>G5/(2.204)</f>
        <v>2038803.1415607983</v>
      </c>
      <c r="I5" s="4">
        <f>G5/(2.204*1000)</f>
        <v>2038.8031415607984</v>
      </c>
    </row>
    <row r="6" spans="1:9" x14ac:dyDescent="0.55000000000000004">
      <c r="A6" s="34" t="s">
        <v>157</v>
      </c>
      <c r="B6" s="35">
        <f>B4-B5</f>
        <v>1746780</v>
      </c>
      <c r="C6" s="35">
        <f t="shared" ref="C6:G6" si="0">C4-C5</f>
        <v>-88266</v>
      </c>
      <c r="D6" s="35">
        <f t="shared" si="0"/>
        <v>12402.138000000001</v>
      </c>
      <c r="E6" s="35">
        <f t="shared" si="0"/>
        <v>-9268</v>
      </c>
      <c r="F6" s="35">
        <f t="shared" si="0"/>
        <v>3134.137999999999</v>
      </c>
      <c r="G6" s="35">
        <f t="shared" si="0"/>
        <v>366694.14599999972</v>
      </c>
      <c r="H6" s="54">
        <f>H4-H5</f>
        <v>166376.65426497278</v>
      </c>
      <c r="I6" s="41">
        <f>I4-I5</f>
        <v>166.37665426497279</v>
      </c>
    </row>
    <row r="7" spans="1:9" x14ac:dyDescent="0.55000000000000004">
      <c r="B7" s="3"/>
      <c r="C7" s="3"/>
      <c r="D7" s="3"/>
    </row>
    <row r="8" spans="1:9" x14ac:dyDescent="0.55000000000000004">
      <c r="A8" t="s">
        <v>150</v>
      </c>
    </row>
    <row r="9" spans="1:9" x14ac:dyDescent="0.55000000000000004">
      <c r="A9" t="s">
        <v>149</v>
      </c>
    </row>
    <row r="10" spans="1:9" x14ac:dyDescent="0.55000000000000004">
      <c r="A10" t="s">
        <v>151</v>
      </c>
    </row>
    <row r="11" spans="1:9" x14ac:dyDescent="0.55000000000000004">
      <c r="A11" s="52" t="s">
        <v>142</v>
      </c>
    </row>
    <row r="12" spans="1:9" ht="16.5" x14ac:dyDescent="0.55000000000000004">
      <c r="A12" s="5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Total and 5- and 25-year</vt:lpstr>
      <vt:lpstr>Measure 1</vt:lpstr>
      <vt:lpstr>Measure 2</vt:lpstr>
      <vt:lpstr>Measure 3</vt:lpstr>
      <vt:lpstr>Measure 4</vt:lpstr>
      <vt:lpstr>Measure 5</vt:lpstr>
      <vt:lpstr>Measure 6</vt:lpstr>
      <vt:lpstr>Measure 7</vt:lpstr>
      <vt:lpstr>Measure 8</vt:lpstr>
      <vt:lpstr>Sheet16</vt:lpstr>
      <vt:lpstr>'Measure 6'!_Hlk162287639</vt:lpstr>
      <vt:lpstr>'Measure 7'!_Hlk162590868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Henrichs</dc:creator>
  <cp:lastModifiedBy>Amy Korhonen</cp:lastModifiedBy>
  <dcterms:created xsi:type="dcterms:W3CDTF">2024-03-30T14:51:54Z</dcterms:created>
  <dcterms:modified xsi:type="dcterms:W3CDTF">2024-04-01T21:36:32Z</dcterms:modified>
</cp:coreProperties>
</file>