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198" documentId="8_{04201104-4EC1-4936-A9DD-8D2F06016A87}" xr6:coauthVersionLast="47" xr6:coauthVersionMax="47" xr10:uidLastSave="{7C7C7908-9390-449E-BAF3-7A247B0EFB10}"/>
  <bookViews>
    <workbookView xWindow="30405" yWindow="1020" windowWidth="21600" windowHeight="11385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28" l="1"/>
  <c r="F47" i="28"/>
  <c r="E47" i="28"/>
  <c r="D47" i="28"/>
  <c r="G46" i="28"/>
  <c r="F46" i="28"/>
  <c r="E46" i="28"/>
  <c r="D46" i="28"/>
  <c r="G45" i="28"/>
  <c r="F45" i="28"/>
  <c r="E45" i="28"/>
  <c r="E50" i="28" s="1"/>
  <c r="D45" i="28"/>
  <c r="F45" i="27"/>
  <c r="E45" i="27"/>
  <c r="G45" i="27"/>
  <c r="G50" i="27" s="1"/>
  <c r="D45" i="27"/>
  <c r="E44" i="27"/>
  <c r="G44" i="27"/>
  <c r="D44" i="27"/>
  <c r="F44" i="27"/>
  <c r="F50" i="27" s="1"/>
  <c r="G44" i="28"/>
  <c r="F44" i="28"/>
  <c r="E44" i="28"/>
  <c r="D44" i="28"/>
  <c r="D33" i="29"/>
  <c r="J18" i="31"/>
  <c r="J19" i="31"/>
  <c r="J18" i="29"/>
  <c r="J19" i="29"/>
  <c r="J18" i="28"/>
  <c r="J19" i="28"/>
  <c r="J37" i="27"/>
  <c r="J42" i="27" s="1"/>
  <c r="J38" i="27"/>
  <c r="J39" i="27"/>
  <c r="J40" i="27"/>
  <c r="J27" i="27"/>
  <c r="J18" i="27"/>
  <c r="J19" i="27"/>
  <c r="J10" i="16"/>
  <c r="J18" i="16"/>
  <c r="J26" i="16" s="1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J11" i="29" s="1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4" i="29"/>
  <c r="J33" i="29"/>
  <c r="H31" i="29"/>
  <c r="G31" i="29"/>
  <c r="F31" i="29"/>
  <c r="E31" i="29"/>
  <c r="D31" i="29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I58" i="28"/>
  <c r="H56" i="28"/>
  <c r="G56" i="28"/>
  <c r="D56" i="28"/>
  <c r="J55" i="28"/>
  <c r="H50" i="28"/>
  <c r="J49" i="28"/>
  <c r="J48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D16" i="30" s="1"/>
  <c r="J55" i="27"/>
  <c r="J54" i="27"/>
  <c r="H50" i="27"/>
  <c r="J49" i="27"/>
  <c r="J48" i="27"/>
  <c r="J47" i="27"/>
  <c r="J46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J35" i="27" s="1"/>
  <c r="H31" i="27"/>
  <c r="G31" i="27"/>
  <c r="F31" i="27"/>
  <c r="E31" i="27"/>
  <c r="D31" i="27"/>
  <c r="J30" i="27"/>
  <c r="J29" i="27"/>
  <c r="J31" i="27" s="1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1" i="16"/>
  <c r="F51" i="16"/>
  <c r="G51" i="16"/>
  <c r="H51" i="16"/>
  <c r="D51" i="16"/>
  <c r="J50" i="16"/>
  <c r="J49" i="16"/>
  <c r="J51" i="16" s="1"/>
  <c r="E45" i="16"/>
  <c r="F45" i="16"/>
  <c r="G45" i="16"/>
  <c r="H45" i="16"/>
  <c r="D45" i="16"/>
  <c r="E40" i="16"/>
  <c r="F40" i="16"/>
  <c r="G40" i="16"/>
  <c r="H40" i="16"/>
  <c r="D40" i="16"/>
  <c r="J39" i="16"/>
  <c r="E34" i="16"/>
  <c r="F34" i="16"/>
  <c r="G34" i="16"/>
  <c r="H34" i="16"/>
  <c r="D34" i="16"/>
  <c r="J32" i="16"/>
  <c r="J34" i="16" s="1"/>
  <c r="J33" i="16"/>
  <c r="J36" i="16"/>
  <c r="J40" i="16" s="1"/>
  <c r="J37" i="16"/>
  <c r="J38" i="16"/>
  <c r="J42" i="16"/>
  <c r="J45" i="16" s="1"/>
  <c r="J43" i="16"/>
  <c r="J44" i="16"/>
  <c r="E30" i="16"/>
  <c r="F30" i="16"/>
  <c r="G30" i="16"/>
  <c r="H30" i="16"/>
  <c r="D30" i="16"/>
  <c r="J29" i="16"/>
  <c r="J28" i="16"/>
  <c r="J30" i="16" s="1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G50" i="28" l="1"/>
  <c r="J47" i="28"/>
  <c r="D50" i="28"/>
  <c r="F50" i="28"/>
  <c r="J46" i="28"/>
  <c r="J45" i="28"/>
  <c r="J45" i="27"/>
  <c r="J44" i="27"/>
  <c r="E50" i="27"/>
  <c r="E51" i="27" s="1"/>
  <c r="E58" i="27" s="1"/>
  <c r="D50" i="27"/>
  <c r="D51" i="27" s="1"/>
  <c r="D58" i="27" s="1"/>
  <c r="J35" i="29"/>
  <c r="J31" i="29"/>
  <c r="E10" i="30"/>
  <c r="G10" i="30"/>
  <c r="D46" i="16"/>
  <c r="D53" i="16" s="1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J56" i="28"/>
  <c r="J54" i="28"/>
  <c r="H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F51" i="27"/>
  <c r="F58" i="27" s="1"/>
  <c r="H46" i="16"/>
  <c r="H53" i="16" s="1"/>
  <c r="J11" i="16"/>
  <c r="J13" i="16"/>
  <c r="J16" i="16" s="1"/>
  <c r="J55" i="29"/>
  <c r="J49" i="29"/>
  <c r="J56" i="27"/>
  <c r="E46" i="16"/>
  <c r="E53" i="16" s="1"/>
  <c r="G46" i="16"/>
  <c r="G53" i="16" s="1"/>
  <c r="F46" i="16"/>
  <c r="F53" i="16" s="1"/>
  <c r="J50" i="28" l="1"/>
  <c r="F13" i="30"/>
  <c r="F14" i="30" s="1"/>
  <c r="F18" i="30" s="1"/>
  <c r="J50" i="27"/>
  <c r="D13" i="30"/>
  <c r="D14" i="30" s="1"/>
  <c r="J16" i="30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J9" i="30"/>
  <c r="J8" i="30"/>
  <c r="J51" i="28"/>
  <c r="J58" i="28" s="1"/>
  <c r="D25" i="30" s="1"/>
  <c r="G14" i="30"/>
  <c r="G18" i="30" s="1"/>
  <c r="J7" i="30"/>
  <c r="F58" i="28"/>
  <c r="H14" i="30"/>
  <c r="H18" i="30" s="1"/>
  <c r="J50" i="31"/>
  <c r="J57" i="31" s="1"/>
  <c r="J50" i="29"/>
  <c r="J57" i="29" s="1"/>
  <c r="D26" i="30" s="1"/>
  <c r="J51" i="27"/>
  <c r="J58" i="27" s="1"/>
  <c r="D24" i="30" s="1"/>
  <c r="J46" i="16"/>
  <c r="J53" i="16" s="1"/>
  <c r="D23" i="30" s="1"/>
  <c r="J13" i="30" l="1"/>
  <c r="J14" i="30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<sst xmlns="http://schemas.openxmlformats.org/spreadsheetml/2006/main" count="531" uniqueCount="93">
  <si>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</si>
  <si>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</si>
  <si>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</si>
  <si>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</si>
  <si>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</si>
  <si>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</si>
  <si>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</si>
  <si>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</si>
  <si>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</si>
  <si>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</si>
  <si>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</si>
  <si>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</si>
  <si>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</si>
  <si>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</si>
  <si>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</si>
  <si>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</si>
  <si>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</si>
  <si>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</si>
  <si>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</si>
  <si>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</si>
  <si>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</si>
  <si>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</si>
  <si>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</si>
  <si>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</si>
  <si>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</si>
  <si>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</si>
  <si>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</si>
  <si>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</si>
  <si>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</si>
  <si>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</si>
  <si>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</si>
  <si>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</si>
  <si>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</si>
  <si>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</si>
  <si>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</si>
  <si>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</si>
  <si>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</si>
  <si>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</si>
  <si>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</si>
  <si>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</si>
  <si>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</si>
  <si>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</si>
  <si>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</si>
  <si>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</si>
  <si>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</si>
  <si>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</si>
  <si>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</si>
  <si>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</si>
  <si>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</si>
  <si>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</si>
  <si>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</si>
  <si>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</si>
  <si>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</si>
  <si>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</si>
  <si>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</si>
  <si>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</si>
  <si>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</si>
  <si>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</si>
  <si>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</si>
  <si>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</si>
  <si>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</si>
  <si>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</si>
  <si>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</si>
  <si>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</si>
  <si>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</si>
  <si>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</si>
  <si>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</si>
  <si>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</si>
  <si>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</si>
  <si>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</si>
  <si>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</si>
  <si>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</si>
  <si>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</si>
  <si>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</si>
  <si>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</si>
  <si>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</si>
  <si>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Not applicable</t>
  </si>
  <si>
    <t>Measure One - Resident Advisory Council</t>
  </si>
  <si>
    <t>Participant Support Cost @$5,000 per adivsor per year for 10 individuals</t>
  </si>
  <si>
    <t>Measure Four: Sustained Public Engagement</t>
  </si>
  <si>
    <t>Public engagement and meeting supplies estimated at $200/meeting * 15 meetings per year</t>
  </si>
  <si>
    <t>Measure Two: Energy Efficiency Fund</t>
  </si>
  <si>
    <t>Air handler and associated equipment to connect to geothermal system - 200 units at $20,000 per unit</t>
  </si>
  <si>
    <t>Measure Three: Appliance Replacement Fund</t>
  </si>
  <si>
    <t>Insulation and air sealing for 550 homes at $6,500 per home</t>
  </si>
  <si>
    <t>Replacement of failing and warped windows at $5,000 for 110 units</t>
  </si>
  <si>
    <t>Replacement of fossil gas water heaters with heat pump water heaters. $4,000 per unit x 200 units</t>
  </si>
  <si>
    <t>Replacement of fossil gas dryers with heat pump washer/dryer dual units. $2,500 per unit x 220 units</t>
  </si>
  <si>
    <t>Upgrading of 100amp service to 200 amp service. Estimated at $1,500 per home x 100 homes</t>
  </si>
  <si>
    <t>Resident Advisory Council</t>
  </si>
  <si>
    <t>Energy Efficiency Fund</t>
  </si>
  <si>
    <t>Appliance Replacement Fund</t>
  </si>
  <si>
    <t>Sustained Public 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</si>
</sst>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30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25">
      <c r="B13" s="23"/>
      <c r="C13" s="25" t="s">
        <v>45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25">
      <c r="B18" s="23"/>
      <c r="C18" s="25" t="s">
        <v>61</v>
      </c>
      <c r="D18" s="13"/>
      <c r="E18" s="10"/>
      <c r="F18" s="10"/>
      <c r="G18" s="10"/>
      <c r="H18" s="10"/>
      <c r="J18" s="15" t="s">
        <v>32</v>
      </c>
    </row>
    <row r="19" spans="2:10" x14ac:dyDescent="0.25">
      <c r="B19" s="23"/>
      <c r="C19" s="29" t="s">
        <v>46</v>
      </c>
      <c r="D19" s="15" t="s">
        <v>36</v>
      </c>
      <c r="E19" s="11" t="s">
        <v>36</v>
      </c>
      <c r="F19" s="11" t="s">
        <v>36</v>
      </c>
      <c r="G19" s="11"/>
      <c r="H19" s="11"/>
      <c r="J19" s="15"/>
    </row>
    <row r="20" spans="2:10" x14ac:dyDescent="0.25">
      <c r="B20" s="23"/>
      <c r="C20" s="29" t="s">
        <v>47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48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67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50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35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36</v>
      </c>
      <c r="C30" s="28" t="s">
        <v>36</v>
      </c>
      <c r="D30" s="13" t="s">
        <v>32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37</v>
      </c>
      <c r="D32" s="13" t="s">
        <v>32</v>
      </c>
      <c r="E32" s="10"/>
      <c r="F32" s="10"/>
      <c r="G32" s="10"/>
      <c r="H32" s="10"/>
      <c r="J32" s="15"/>
    </row>
    <row r="33" spans="2:10" x14ac:dyDescent="0.25">
      <c r="B33" s="23"/>
      <c r="C33" s="25" t="s">
        <v>55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38</v>
      </c>
      <c r="D36" s="13" t="s">
        <v>32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68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69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70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71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72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39</v>
      </c>
      <c r="D43" s="13" t="s">
        <v>32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73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40</v>
      </c>
      <c r="C53" s="17" t="s">
        <v>40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74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topLeftCell="A3" zoomScale="83" zoomScaleNormal="85" workbookViewId="0">
      <selection activeCell="M25" sqref="M25:M26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2" t="s">
        <v>1</v>
      </c>
      <c r="C3" s="72"/>
      <c r="D3" s="72"/>
      <c r="E3" s="72"/>
      <c r="F3" s="72"/>
      <c r="G3" s="72"/>
      <c r="H3" s="72"/>
      <c r="I3" s="72"/>
      <c r="J3" s="72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0</v>
      </c>
      <c r="E7" s="52">
        <f>'Measure 1 Budget'!E11+'Measure 2 Budget'!E11+'Measure 3 Budget'!E11+'Measure 4 Budget'!E11+'Measure 5 Budget'!E11</f>
        <v>0</v>
      </c>
      <c r="F7" s="52">
        <f>'Measure 1 Budget'!F11+'Measure 2 Budget'!F11+'Measure 3 Budget'!F11+'Measure 4 Budget'!F11+'Measure 5 Budget'!F11</f>
        <v>0</v>
      </c>
      <c r="G7" s="52">
        <f>'Measure 1 Budget'!G11+'Measure 2 Budget'!G11+'Measure 3 Budget'!G11+'Measure 4 Budget'!G11+'Measure 5 Budget'!G11</f>
        <v>0</v>
      </c>
      <c r="H7" s="52">
        <f>'Measure 1 Budget'!H11+'Measure 2 Budget'!H11+'Measure 3 Budget'!H11+'Measure 4 Budget'!H11+'Measure 5 Budget'!H11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Budget'!D16+'Measure 3 Budget'!D16+'Measure 4 Budget'!D16+'Measure 5 Budget'!D16</f>
        <v>0</v>
      </c>
      <c r="E8" s="52">
        <f>'Measure 1 Budget'!E16+'Measure 2 Budget'!E16+'Measure 3 Budget'!E16+'Measure 4 Budget'!E16</f>
        <v>0</v>
      </c>
      <c r="F8" s="52">
        <f>'Measure 1 Budget'!F16+'Measure 2 Budget'!F16+'Measure 3 Budget'!F16+'Measure 4 Budget'!F16</f>
        <v>0</v>
      </c>
      <c r="G8" s="52">
        <f>'Measure 1 Budget'!G16+'Measure 2 Budget'!G16+'Measure 3 Budget'!G16+'Measure 4 Budget'!G16</f>
        <v>0</v>
      </c>
      <c r="H8" s="52">
        <f>'Measure 1 Budget'!H16+'Measure 2 Budget'!H16+'Measure 3 Budget'!H16+'Measure 4 Budget'!H16</f>
        <v>0</v>
      </c>
      <c r="I8" s="53"/>
      <c r="J8" s="52">
        <f t="shared" ref="J8:J14" si="0">SUM(D8:I8)</f>
        <v>0</v>
      </c>
    </row>
    <row r="9" spans="2:39" x14ac:dyDescent="0.25">
      <c r="B9" s="23"/>
      <c r="C9" s="51" t="s">
        <v>14</v>
      </c>
      <c r="D9" s="52">
        <f>'Measure 1 Budget'!D26+'Measure 2 Budget'!D27+'Measure 3 Budget'!D27+'Measure 4 Budget'!D27+'Measure 5 Budget'!D27</f>
        <v>0</v>
      </c>
      <c r="E9" s="52">
        <f>'Measure 1 Budget'!E26+'Measure 2 Budget'!E27+'Measure 3 Budget'!E27+'Measure 4 Budget'!E27</f>
        <v>0</v>
      </c>
      <c r="F9" s="52">
        <f>'Measure 1 Budget'!F26+'Measure 2 Budget'!F27+'Measure 3 Budget'!F27+'Measure 4 Budget'!F27</f>
        <v>0</v>
      </c>
      <c r="G9" s="52">
        <f>'Measure 1 Budget'!G26+'Measure 2 Budget'!G27+'Measure 3 Budget'!G27+'Measure 4 Budget'!G27</f>
        <v>0</v>
      </c>
      <c r="H9" s="52">
        <f>'Measure 1 Budget'!H26+'Measure 2 Budget'!H27+'Measure 3 Budget'!H27+'Measure 4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Budget'!D30+'Measure 2 Budget'!D31+'Measure 3 Budget'!D31+'Measure 4 Budget'!D31+'Measure 5 Budget'!D31</f>
        <v>0</v>
      </c>
      <c r="E10" s="52">
        <f>'Measure 1 Budget'!E30+'Measure 2 Budget'!E31+'Measure 3 Budget'!E31+'Measure 4 Budget'!E31</f>
        <v>0</v>
      </c>
      <c r="F10" s="52">
        <f>'Measure 1 Budget'!F30+'Measure 2 Budget'!F31+'Measure 3 Budget'!F31+'Measure 4 Budget'!F31</f>
        <v>0</v>
      </c>
      <c r="G10" s="52">
        <f>'Measure 1 Budget'!G30+'Measure 2 Budget'!G31+'Measure 3 Budget'!G31+'Measure 4 Budget'!G31</f>
        <v>0</v>
      </c>
      <c r="H10" s="52">
        <f>'Measure 1 Budget'!H30+'Measure 2 Budget'!H31+'Measure 3 Budget'!H31+'Measure 4 Budget'!H31</f>
        <v>0</v>
      </c>
      <c r="I10" s="53"/>
      <c r="J10" s="52">
        <f t="shared" si="0"/>
        <v>0</v>
      </c>
    </row>
    <row r="11" spans="2:39" x14ac:dyDescent="0.25">
      <c r="B11" s="23"/>
      <c r="C11" s="51" t="s">
        <v>16</v>
      </c>
      <c r="D11" s="52">
        <f>'Measure 1 Budget'!D34+'Measure 2 Budget'!D35+'Measure 3 Budget'!D35+'Measure 4 Budget'!D35+'Measure 5 Budget'!D35</f>
        <v>3000</v>
      </c>
      <c r="E11" s="52">
        <f>'Measure 1 Budget'!E34+'Measure 2 Budget'!E35+'Measure 3 Budget'!E35+'Measure 4 Budget'!E35</f>
        <v>3000</v>
      </c>
      <c r="F11" s="52">
        <f>'Measure 1 Budget'!F34+'Measure 2 Budget'!F35+'Measure 3 Budget'!F35+'Measure 4 Budget'!F35</f>
        <v>3000</v>
      </c>
      <c r="G11" s="52">
        <f>'Measure 1 Budget'!G34+'Measure 2 Budget'!G35+'Measure 3 Budget'!G35+'Measure 4 Budget'!G35</f>
        <v>3000</v>
      </c>
      <c r="H11" s="52">
        <f>'Measure 1 Budget'!H34+'Measure 2 Budget'!H35+'Measure 3 Budget'!H35+'Measure 4 Budget'!H35</f>
        <v>0</v>
      </c>
      <c r="I11" s="53"/>
      <c r="J11" s="52">
        <f t="shared" si="0"/>
        <v>12000</v>
      </c>
    </row>
    <row r="12" spans="2:39" x14ac:dyDescent="0.25">
      <c r="B12" s="23"/>
      <c r="C12" s="51" t="s">
        <v>17</v>
      </c>
      <c r="D12" s="52">
        <f>'Measure 1 Budget'!D40+'Measure 2 Budget'!D42+'Measure 3 Budget'!D42+'Measure 4 Budget'!D41+'Measure 5 Budget'!D41</f>
        <v>0</v>
      </c>
      <c r="E12" s="52">
        <f>'Measure 1 Budget'!E40+'Measure 2 Budget'!E42+'Measure 3 Budget'!E42+'Measure 4 Budget'!E41</f>
        <v>0</v>
      </c>
      <c r="F12" s="52">
        <f>'Measure 1 Budget'!F40+'Measure 2 Budget'!F42+'Measure 3 Budget'!F42+'Measure 4 Budget'!F41</f>
        <v>0</v>
      </c>
      <c r="G12" s="52">
        <f>'Measure 1 Budget'!G40+'Measure 2 Budget'!G42+'Measure 3 Budget'!G42+'Measure 4 Budget'!G41</f>
        <v>0</v>
      </c>
      <c r="H12" s="52">
        <f>'Measure 1 Budget'!H40+'Measure 2 Budget'!H42+'Measure 3 Budget'!H42+'Measure 4 Budget'!H41</f>
        <v>0</v>
      </c>
      <c r="I12" s="53"/>
      <c r="J12" s="52">
        <f t="shared" si="0"/>
        <v>0</v>
      </c>
    </row>
    <row r="13" spans="2:39" x14ac:dyDescent="0.25">
      <c r="B13" s="23"/>
      <c r="C13" s="51" t="s">
        <v>18</v>
      </c>
      <c r="D13" s="52">
        <f>'Measure 1 Budget'!D45+'Measure 2 Budget'!D50+'Measure 3 Budget'!D50+'Measure 4 Budget'!D49+'Measure 5 Budget'!D49</f>
        <v>1292500</v>
      </c>
      <c r="E13" s="52">
        <f>'Measure 1 Budget'!E45+'Measure 2 Budget'!E50+'Measure 3 Budget'!E50+'Measure 4 Budget'!E49</f>
        <v>2942500</v>
      </c>
      <c r="F13" s="52">
        <f>'Measure 1 Budget'!F45+'Measure 2 Budget'!F50+'Measure 3 Budget'!F50+'Measure 4 Budget'!F49</f>
        <v>3377500</v>
      </c>
      <c r="G13" s="52">
        <f>'Measure 1 Budget'!G45+'Measure 2 Budget'!G50+'Measure 3 Budget'!G50+'Measure 4 Budget'!G49</f>
        <v>2212500</v>
      </c>
      <c r="H13" s="52">
        <f>'Measure 1 Budget'!H45+'Measure 2 Budget'!H50+'Measure 3 Budget'!H50+'Measure 4 Budget'!H49</f>
        <v>0</v>
      </c>
      <c r="I13" s="53"/>
      <c r="J13" s="52">
        <f t="shared" si="0"/>
        <v>9825000</v>
      </c>
    </row>
    <row r="14" spans="2:39" x14ac:dyDescent="0.25">
      <c r="B14" s="24"/>
      <c r="C14" s="9" t="s">
        <v>19</v>
      </c>
      <c r="D14" s="16">
        <f>D13+D12+D11+D10+D9+D8+D7</f>
        <v>1295500</v>
      </c>
      <c r="E14" s="16">
        <f>E13+E12+E11+E10+E9+E8+E7</f>
        <v>2945500</v>
      </c>
      <c r="F14" s="16">
        <f>F13+F12+F11+F10+F9+F8+F7</f>
        <v>3380500</v>
      </c>
      <c r="G14" s="16">
        <f>G13+G12+G11+G10+G9+G8+G7</f>
        <v>2215500</v>
      </c>
      <c r="H14" s="16">
        <f>H13+H12+H11+H10+H9+H8+H7</f>
        <v>0</v>
      </c>
      <c r="J14" s="16">
        <f t="shared" si="0"/>
        <v>9837000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Budget'!D51+'Measure 2 Budget'!D56+'Measure 3 Budget'!D56+'Measure 4 Budget'!D55+'Measure 5 Budget'!D55</f>
        <v>0</v>
      </c>
      <c r="E16" s="59">
        <f>'Measure 1 Budget'!E51+'Measure 2 Budget'!E56+'Measure 3 Budget'!E56+'Measure 4 Budget'!E55</f>
        <v>0</v>
      </c>
      <c r="F16" s="59">
        <f>'Measure 1 Budget'!F51+'Measure 2 Budget'!F56+'Measure 3 Budget'!F56+'Measure 4 Budget'!F55</f>
        <v>0</v>
      </c>
      <c r="G16" s="59">
        <f>'Measure 1 Budget'!G51+'Measure 2 Budget'!G56+'Measure 3 Budget'!G56+'Measure 4 Budget'!G55</f>
        <v>0</v>
      </c>
      <c r="H16" s="59">
        <f>'Measure 1 Budget'!H51+'Measure 2 Budget'!H56+'Measure 3 Budget'!H56+'Measure 4 Budget'!H55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1295500</v>
      </c>
      <c r="E18" s="54">
        <f>E14+E16</f>
        <v>2945500</v>
      </c>
      <c r="F18" s="54">
        <f>F14+F16</f>
        <v>3380500</v>
      </c>
      <c r="G18" s="54">
        <f>G14+G16</f>
        <v>2215500</v>
      </c>
      <c r="H18" s="54">
        <f>H14+H16</f>
        <v>0</v>
      </c>
      <c r="I18" s="55"/>
      <c r="J18" s="70">
        <f>J14+J16</f>
        <v>9837000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4"/>
      <c r="F21" s="74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75" t="s">
        <v>27</v>
      </c>
      <c r="F22" s="75"/>
      <c r="H22"/>
      <c r="I22"/>
    </row>
    <row r="23" spans="2:10" ht="15" customHeight="1" x14ac:dyDescent="0.25">
      <c r="B23" s="51">
        <v>1</v>
      </c>
      <c r="C23" s="57" t="s">
        <v>89</v>
      </c>
      <c r="D23" s="58">
        <f>'Measure 1 Budget'!J53</f>
        <v>200000</v>
      </c>
      <c r="E23" s="73">
        <f>D23/D$29</f>
        <v>2.0331401850157568E-2</v>
      </c>
      <c r="F23" s="73"/>
      <c r="H23"/>
      <c r="I23"/>
    </row>
    <row r="24" spans="2:10" ht="15" customHeight="1" x14ac:dyDescent="0.25">
      <c r="B24" s="51">
        <v>2</v>
      </c>
      <c r="C24" s="52" t="s">
        <v>90</v>
      </c>
      <c r="D24" s="58">
        <f>'Measure 2 Budget'!J58</f>
        <v>4125000</v>
      </c>
      <c r="E24" s="73">
        <f t="shared" ref="E24:E27" si="1">D24/D$29</f>
        <v>0.41933516315949987</v>
      </c>
      <c r="F24" s="73"/>
      <c r="H24"/>
      <c r="I24"/>
    </row>
    <row r="25" spans="2:10" ht="15" customHeight="1" x14ac:dyDescent="0.25">
      <c r="B25" s="51">
        <v>3</v>
      </c>
      <c r="C25" s="52" t="s">
        <v>91</v>
      </c>
      <c r="D25" s="58">
        <f>'Measure 3 Budget'!J58</f>
        <v>5500000</v>
      </c>
      <c r="E25" s="73">
        <f t="shared" si="1"/>
        <v>0.55911355087933312</v>
      </c>
      <c r="F25" s="73"/>
      <c r="H25"/>
      <c r="I25"/>
    </row>
    <row r="26" spans="2:10" ht="15" customHeight="1" x14ac:dyDescent="0.25">
      <c r="B26" s="51">
        <v>4</v>
      </c>
      <c r="C26" s="52" t="s">
        <v>92</v>
      </c>
      <c r="D26" s="58">
        <f>'Measure 4 Budget'!J57</f>
        <v>12000</v>
      </c>
      <c r="E26" s="73">
        <f t="shared" si="1"/>
        <v>1.2198841110094541E-3</v>
      </c>
      <c r="F26" s="73"/>
      <c r="H26"/>
      <c r="I26"/>
    </row>
    <row r="27" spans="2:10" ht="15" customHeight="1" x14ac:dyDescent="0.25">
      <c r="B27" s="51">
        <v>5</v>
      </c>
      <c r="C27" s="52" t="s">
        <v>28</v>
      </c>
      <c r="D27" s="58">
        <v>0</v>
      </c>
      <c r="E27" s="73">
        <f t="shared" si="1"/>
        <v>0</v>
      </c>
      <c r="F27" s="73"/>
      <c r="H27"/>
      <c r="I27"/>
    </row>
    <row r="28" spans="2:10" ht="15" customHeight="1" x14ac:dyDescent="0.25">
      <c r="B28" s="51"/>
      <c r="C28" s="52"/>
      <c r="D28" s="58"/>
      <c r="E28" s="73"/>
      <c r="F28" s="73"/>
      <c r="H28"/>
      <c r="I28"/>
    </row>
    <row r="29" spans="2:10" ht="15" customHeight="1" x14ac:dyDescent="0.25">
      <c r="B29" s="51" t="s">
        <v>29</v>
      </c>
      <c r="C29" s="52"/>
      <c r="D29" s="58">
        <f>SUM(D23:D28)</f>
        <v>9837000</v>
      </c>
      <c r="E29" s="73">
        <f t="shared" ref="E29" si="2">SUM(E23:E28)</f>
        <v>1</v>
      </c>
      <c r="F29" s="73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topLeftCell="A19" zoomScale="85" zoomScaleNormal="85" workbookViewId="0">
      <selection activeCell="H49" sqref="H49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30</v>
      </c>
    </row>
    <row r="3" spans="2:39" x14ac:dyDescent="0.25">
      <c r="B3" s="5" t="s">
        <v>77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76</v>
      </c>
      <c r="D8" s="15">
        <v>0</v>
      </c>
      <c r="E8" s="15">
        <v>0</v>
      </c>
      <c r="F8" s="15">
        <v>0</v>
      </c>
      <c r="G8" s="15">
        <v>0</v>
      </c>
      <c r="H8" s="15"/>
      <c r="I8" s="35"/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25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25">
      <c r="B13" s="23"/>
      <c r="C13" s="25" t="s">
        <v>76</v>
      </c>
      <c r="D13" s="15">
        <v>0</v>
      </c>
      <c r="E13" s="15">
        <v>0</v>
      </c>
      <c r="F13" s="15">
        <v>0</v>
      </c>
      <c r="G13" s="15">
        <v>0</v>
      </c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25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25">
      <c r="B18" s="23"/>
      <c r="C18" s="29" t="s">
        <v>76</v>
      </c>
      <c r="D18" s="15">
        <v>0</v>
      </c>
      <c r="E18" s="11">
        <v>0</v>
      </c>
      <c r="F18" s="11">
        <v>0</v>
      </c>
      <c r="G18" s="11">
        <v>0</v>
      </c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35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76</v>
      </c>
      <c r="D28" s="15">
        <v>0</v>
      </c>
      <c r="E28" s="10">
        <v>0</v>
      </c>
      <c r="F28" s="10">
        <v>0</v>
      </c>
      <c r="G28" s="10">
        <v>0</v>
      </c>
      <c r="H28" s="10"/>
      <c r="J28" s="15">
        <f>SUM(D28:H28)</f>
        <v>0</v>
      </c>
    </row>
    <row r="29" spans="2:10" x14ac:dyDescent="0.25">
      <c r="B29" s="23" t="s">
        <v>36</v>
      </c>
      <c r="C29" s="28" t="s">
        <v>36</v>
      </c>
      <c r="D29" s="13" t="s">
        <v>32</v>
      </c>
      <c r="E29" s="10"/>
      <c r="F29" s="10"/>
      <c r="G29" s="10"/>
      <c r="H29" s="10"/>
      <c r="J29" s="15">
        <f t="shared" ref="J29:J46" si="5">SUM(D29:H29)</f>
        <v>0</v>
      </c>
    </row>
    <row r="30" spans="2:10" x14ac:dyDescent="0.25">
      <c r="B30" s="23"/>
      <c r="C30" s="9" t="s">
        <v>15</v>
      </c>
      <c r="D30" s="12">
        <f>SUM(D28:D29)</f>
        <v>0</v>
      </c>
      <c r="E30" s="12">
        <f t="shared" ref="E30:H30" si="6">SUM(E28:E29)</f>
        <v>0</v>
      </c>
      <c r="F30" s="12">
        <f t="shared" si="6"/>
        <v>0</v>
      </c>
      <c r="G30" s="12">
        <f t="shared" si="6"/>
        <v>0</v>
      </c>
      <c r="H30" s="12">
        <f t="shared" si="6"/>
        <v>0</v>
      </c>
      <c r="J30" s="16">
        <f>SUM(J28:J29)</f>
        <v>0</v>
      </c>
    </row>
    <row r="31" spans="2:10" x14ac:dyDescent="0.25">
      <c r="B31" s="23"/>
      <c r="C31" s="14" t="s">
        <v>37</v>
      </c>
      <c r="D31" s="13" t="s">
        <v>32</v>
      </c>
      <c r="E31" s="10"/>
      <c r="F31" s="10"/>
      <c r="G31" s="10"/>
      <c r="H31" s="10"/>
      <c r="J31" s="15"/>
    </row>
    <row r="32" spans="2:10" x14ac:dyDescent="0.25">
      <c r="B32" s="23"/>
      <c r="C32" s="25" t="s">
        <v>76</v>
      </c>
      <c r="D32" s="15">
        <v>0</v>
      </c>
      <c r="E32" s="15">
        <v>0</v>
      </c>
      <c r="F32" s="15">
        <v>0</v>
      </c>
      <c r="G32" s="15">
        <v>0</v>
      </c>
      <c r="H32" s="15"/>
      <c r="I32" s="35"/>
      <c r="J32" s="15">
        <f t="shared" si="5"/>
        <v>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0" x14ac:dyDescent="0.25">
      <c r="B34" s="23"/>
      <c r="C34" s="9" t="s">
        <v>16</v>
      </c>
      <c r="D34" s="16">
        <f>SUM(D32:D33)</f>
        <v>0</v>
      </c>
      <c r="E34" s="16">
        <f t="shared" ref="E34:H34" si="7">SUM(E32:E33)</f>
        <v>0</v>
      </c>
      <c r="F34" s="16">
        <f t="shared" si="7"/>
        <v>0</v>
      </c>
      <c r="G34" s="16">
        <f t="shared" si="7"/>
        <v>0</v>
      </c>
      <c r="H34" s="16">
        <f t="shared" si="7"/>
        <v>0</v>
      </c>
      <c r="J34" s="16">
        <f>SUM(J32:J33)</f>
        <v>0</v>
      </c>
    </row>
    <row r="35" spans="2:10" x14ac:dyDescent="0.25">
      <c r="B35" s="23"/>
      <c r="C35" s="14" t="s">
        <v>38</v>
      </c>
      <c r="D35" s="13" t="s">
        <v>32</v>
      </c>
      <c r="E35" s="10"/>
      <c r="F35" s="10"/>
      <c r="G35" s="10"/>
      <c r="H35" s="10"/>
      <c r="J35" s="15"/>
    </row>
    <row r="36" spans="2:10" x14ac:dyDescent="0.25">
      <c r="B36" s="23"/>
      <c r="C36" s="25" t="s">
        <v>76</v>
      </c>
      <c r="D36" s="15">
        <v>0</v>
      </c>
      <c r="E36" s="15">
        <v>0</v>
      </c>
      <c r="F36" s="15">
        <v>0</v>
      </c>
      <c r="G36" s="15">
        <v>0</v>
      </c>
      <c r="H36" s="15"/>
      <c r="I36" s="35"/>
      <c r="J36" s="15">
        <f t="shared" si="5"/>
        <v>0</v>
      </c>
    </row>
    <row r="37" spans="2:10" x14ac:dyDescent="0.25">
      <c r="B37" s="23"/>
      <c r="C37" s="25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5"/>
        <v>0</v>
      </c>
    </row>
    <row r="40" spans="2:10" x14ac:dyDescent="0.25">
      <c r="B40" s="23"/>
      <c r="C40" s="9" t="s">
        <v>17</v>
      </c>
      <c r="D40" s="16">
        <f>SUM(D36:D39)</f>
        <v>0</v>
      </c>
      <c r="E40" s="16">
        <f t="shared" ref="E40:H40" si="8">SUM(E36:E39)</f>
        <v>0</v>
      </c>
      <c r="F40" s="16">
        <f t="shared" si="8"/>
        <v>0</v>
      </c>
      <c r="G40" s="16">
        <f t="shared" si="8"/>
        <v>0</v>
      </c>
      <c r="H40" s="16">
        <f t="shared" si="8"/>
        <v>0</v>
      </c>
      <c r="J40" s="16">
        <f>SUM(J36:J39)</f>
        <v>0</v>
      </c>
    </row>
    <row r="41" spans="2:10" x14ac:dyDescent="0.25">
      <c r="B41" s="23"/>
      <c r="C41" s="14" t="s">
        <v>39</v>
      </c>
      <c r="D41" s="13" t="s">
        <v>32</v>
      </c>
      <c r="E41" s="10"/>
      <c r="F41" s="10"/>
      <c r="G41" s="10"/>
      <c r="H41" s="10"/>
      <c r="J41" s="15"/>
    </row>
    <row r="42" spans="2:10" ht="45" x14ac:dyDescent="0.25">
      <c r="B42" s="23"/>
      <c r="C42" s="25" t="s">
        <v>78</v>
      </c>
      <c r="D42" s="15">
        <v>50000</v>
      </c>
      <c r="E42" s="44">
        <v>50000</v>
      </c>
      <c r="F42" s="44">
        <v>50000</v>
      </c>
      <c r="G42" s="44">
        <v>50000</v>
      </c>
      <c r="H42" s="44"/>
      <c r="J42" s="15">
        <f t="shared" si="5"/>
        <v>200000</v>
      </c>
    </row>
    <row r="43" spans="2:10" x14ac:dyDescent="0.25">
      <c r="B43" s="23"/>
      <c r="C43" s="25"/>
      <c r="D43" s="15"/>
      <c r="E43" s="60"/>
      <c r="F43" s="60"/>
      <c r="G43" s="60"/>
      <c r="H43" s="60"/>
      <c r="J43" s="15">
        <f t="shared" si="5"/>
        <v>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5"/>
        <v>0</v>
      </c>
    </row>
    <row r="45" spans="2:10" x14ac:dyDescent="0.25">
      <c r="B45" s="24"/>
      <c r="C45" s="9" t="s">
        <v>18</v>
      </c>
      <c r="D45" s="16">
        <f>SUM(D42:D44)</f>
        <v>50000</v>
      </c>
      <c r="E45" s="16">
        <f>SUM(E42:E44)</f>
        <v>50000</v>
      </c>
      <c r="F45" s="16">
        <f>SUM(F42:F44)</f>
        <v>50000</v>
      </c>
      <c r="G45" s="16">
        <f>SUM(G42:G44)</f>
        <v>50000</v>
      </c>
      <c r="H45" s="16">
        <f>SUM(H42:H44)</f>
        <v>0</v>
      </c>
      <c r="J45" s="16">
        <f>SUM(J42:J44)</f>
        <v>200000</v>
      </c>
    </row>
    <row r="46" spans="2:10" x14ac:dyDescent="0.25">
      <c r="B46" s="24"/>
      <c r="C46" s="9" t="s">
        <v>19</v>
      </c>
      <c r="D46" s="16">
        <f>SUM(D45,D40,D34,D30,D26,D16,D11)</f>
        <v>50000</v>
      </c>
      <c r="E46" s="16">
        <f>SUM(E45,E40,E34,E30,E26,E16,E11)</f>
        <v>50000</v>
      </c>
      <c r="F46" s="16">
        <f>SUM(F45,F40,F34,F30,F26,F16,F11)</f>
        <v>50000</v>
      </c>
      <c r="G46" s="16">
        <f>SUM(G45,G40,G34,G30,G26,G16,G11)</f>
        <v>50000</v>
      </c>
      <c r="H46" s="16">
        <f>SUM(H45,H40,H34,H30,H26,H16,H11)</f>
        <v>0</v>
      </c>
      <c r="J46" s="16">
        <f t="shared" si="5"/>
        <v>200000</v>
      </c>
    </row>
    <row r="47" spans="2:10" x14ac:dyDescent="0.25">
      <c r="B47" s="6"/>
      <c r="D47"/>
      <c r="E47"/>
      <c r="H47"/>
      <c r="I47"/>
      <c r="J47" t="s">
        <v>20</v>
      </c>
    </row>
    <row r="48" spans="2:10" ht="30" x14ac:dyDescent="0.25">
      <c r="B48" s="71" t="s">
        <v>40</v>
      </c>
      <c r="C48" s="17" t="s">
        <v>40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 t="s">
        <v>76</v>
      </c>
      <c r="D49" s="13">
        <v>0</v>
      </c>
      <c r="E49" s="10">
        <v>0</v>
      </c>
      <c r="F49" s="10">
        <v>0</v>
      </c>
      <c r="G49" s="10">
        <v>0</v>
      </c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" si="9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0">SUM(E49:E50)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>SUM(J49:J50)</f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50000</v>
      </c>
      <c r="E53" s="20">
        <f t="shared" ref="E53:J53" si="11">SUM(E51,E46)</f>
        <v>50000</v>
      </c>
      <c r="F53" s="20">
        <f t="shared" si="11"/>
        <v>50000</v>
      </c>
      <c r="G53" s="20">
        <f t="shared" si="11"/>
        <v>50000</v>
      </c>
      <c r="H53" s="20">
        <f t="shared" si="11"/>
        <v>0</v>
      </c>
      <c r="I53" s="7"/>
      <c r="J53" s="20">
        <f t="shared" si="11"/>
        <v>200000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19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46" sqref="C46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30</v>
      </c>
    </row>
    <row r="3" spans="2:39" x14ac:dyDescent="0.25">
      <c r="B3" s="5" t="s">
        <v>81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76</v>
      </c>
      <c r="D8" s="15">
        <v>0</v>
      </c>
      <c r="E8" s="15">
        <v>0</v>
      </c>
      <c r="F8" s="15">
        <v>0</v>
      </c>
      <c r="G8" s="15">
        <v>0</v>
      </c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25">
      <c r="B13" s="23"/>
      <c r="C13" s="25" t="s">
        <v>76</v>
      </c>
      <c r="D13" s="15">
        <v>0</v>
      </c>
      <c r="E13" s="15">
        <v>0</v>
      </c>
      <c r="F13" s="15">
        <v>0</v>
      </c>
      <c r="G13" s="15">
        <v>0</v>
      </c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25">
      <c r="B18" s="23"/>
      <c r="C18" s="25" t="s">
        <v>76</v>
      </c>
      <c r="D18" s="13">
        <v>0</v>
      </c>
      <c r="E18" s="10">
        <v>0</v>
      </c>
      <c r="F18" s="10">
        <v>0</v>
      </c>
      <c r="G18" s="10">
        <v>0</v>
      </c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35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 t="s">
        <v>76</v>
      </c>
      <c r="D29" s="15">
        <v>0</v>
      </c>
      <c r="E29" s="10">
        <v>0</v>
      </c>
      <c r="F29" s="10">
        <v>0</v>
      </c>
      <c r="G29" s="10">
        <v>0</v>
      </c>
      <c r="H29" s="10"/>
      <c r="J29" s="15">
        <f>SUM(D29:H29)</f>
        <v>0</v>
      </c>
    </row>
    <row r="30" spans="2:10" x14ac:dyDescent="0.25">
      <c r="B30" s="23" t="s">
        <v>36</v>
      </c>
      <c r="C30" s="28" t="s">
        <v>36</v>
      </c>
      <c r="D30" s="13" t="s">
        <v>32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37</v>
      </c>
      <c r="D32" s="13" t="s">
        <v>32</v>
      </c>
      <c r="E32" s="10"/>
      <c r="F32" s="10"/>
      <c r="G32" s="10"/>
      <c r="H32" s="10"/>
      <c r="J32" s="15"/>
    </row>
    <row r="33" spans="2:10" x14ac:dyDescent="0.25">
      <c r="B33" s="23"/>
      <c r="C33" s="25" t="s">
        <v>76</v>
      </c>
      <c r="D33" s="15">
        <v>0</v>
      </c>
      <c r="E33" s="15">
        <v>0</v>
      </c>
      <c r="F33" s="15">
        <v>0</v>
      </c>
      <c r="G33" s="15">
        <v>0</v>
      </c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38</v>
      </c>
      <c r="D36" s="13" t="s">
        <v>32</v>
      </c>
      <c r="E36" s="10"/>
      <c r="F36" s="10"/>
      <c r="G36" s="10"/>
      <c r="H36" s="10"/>
      <c r="J36" s="15"/>
    </row>
    <row r="37" spans="2:10" x14ac:dyDescent="0.25">
      <c r="B37" s="23"/>
      <c r="C37" s="13" t="s">
        <v>76</v>
      </c>
      <c r="D37" s="15">
        <v>0</v>
      </c>
      <c r="E37" s="15">
        <v>0</v>
      </c>
      <c r="F37" s="15">
        <v>0</v>
      </c>
      <c r="G37" s="15">
        <v>0</v>
      </c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39</v>
      </c>
      <c r="D43" s="13" t="s">
        <v>32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84</v>
      </c>
      <c r="D44" s="15">
        <f>6500*75</f>
        <v>487500</v>
      </c>
      <c r="E44" s="15">
        <f>6500*175</f>
        <v>1137500</v>
      </c>
      <c r="F44" s="15">
        <f>6500*175</f>
        <v>1137500</v>
      </c>
      <c r="G44" s="15">
        <f>6500*125</f>
        <v>812500</v>
      </c>
      <c r="H44" s="15"/>
      <c r="I44" s="35">
        <v>375000</v>
      </c>
      <c r="J44" s="15">
        <f t="shared" si="5"/>
        <v>3575000</v>
      </c>
    </row>
    <row r="45" spans="2:10" ht="30" x14ac:dyDescent="0.25">
      <c r="B45" s="23"/>
      <c r="C45" s="25" t="s">
        <v>85</v>
      </c>
      <c r="D45" s="15">
        <f>5000*20</f>
        <v>100000</v>
      </c>
      <c r="E45" s="15">
        <f>5000*30</f>
        <v>150000</v>
      </c>
      <c r="F45" s="15">
        <f>5000*35</f>
        <v>175000</v>
      </c>
      <c r="G45" s="15">
        <f>5000*25</f>
        <v>125000</v>
      </c>
      <c r="H45" s="15"/>
      <c r="I45" s="35">
        <v>781250</v>
      </c>
      <c r="J45" s="15">
        <f t="shared" si="5"/>
        <v>550000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587500</v>
      </c>
      <c r="E50" s="16">
        <f t="shared" ref="E50:H50" si="9">SUM(E44:E49)</f>
        <v>1287500</v>
      </c>
      <c r="F50" s="16">
        <f t="shared" si="9"/>
        <v>1312500</v>
      </c>
      <c r="G50" s="16">
        <f t="shared" si="9"/>
        <v>937500</v>
      </c>
      <c r="H50" s="16">
        <f t="shared" si="9"/>
        <v>0</v>
      </c>
      <c r="J50" s="16">
        <f>SUM(J44:J49)</f>
        <v>4125000</v>
      </c>
    </row>
    <row r="51" spans="2:10" x14ac:dyDescent="0.25">
      <c r="B51" s="24"/>
      <c r="C51" s="9" t="s">
        <v>19</v>
      </c>
      <c r="D51" s="16">
        <f>SUM(D50,D42,D35,D31,D27,D16,D11)</f>
        <v>587500</v>
      </c>
      <c r="E51" s="16">
        <f t="shared" ref="E51:H51" si="10">SUM(E50,E42,E35,E31,E27,E16,E11)</f>
        <v>1287500</v>
      </c>
      <c r="F51" s="16">
        <f t="shared" si="10"/>
        <v>1312500</v>
      </c>
      <c r="G51" s="16">
        <f t="shared" si="10"/>
        <v>937500</v>
      </c>
      <c r="H51" s="16">
        <f t="shared" si="10"/>
        <v>0</v>
      </c>
      <c r="J51" s="16">
        <f t="shared" si="5"/>
        <v>4125000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40</v>
      </c>
      <c r="C53" s="17" t="s">
        <v>40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587500</v>
      </c>
      <c r="E58" s="20">
        <f t="shared" ref="E58:J58" si="13">SUM(E56,E51)</f>
        <v>1287500</v>
      </c>
      <c r="F58" s="20">
        <f t="shared" si="13"/>
        <v>1312500</v>
      </c>
      <c r="G58" s="20">
        <f t="shared" si="13"/>
        <v>937500</v>
      </c>
      <c r="H58" s="20">
        <f t="shared" si="13"/>
        <v>0</v>
      </c>
      <c r="I58" s="7">
        <f>SUM(I56,I51)</f>
        <v>0</v>
      </c>
      <c r="J58" s="20">
        <f t="shared" si="13"/>
        <v>4125000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30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48" sqref="C4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30</v>
      </c>
    </row>
    <row r="3" spans="2:39" x14ac:dyDescent="0.25">
      <c r="B3" s="65" t="s">
        <v>83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76</v>
      </c>
      <c r="D8" s="15">
        <v>0</v>
      </c>
      <c r="E8" s="15">
        <v>0</v>
      </c>
      <c r="F8" s="15">
        <v>0</v>
      </c>
      <c r="G8" s="15">
        <v>0</v>
      </c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25">
      <c r="B13" s="23"/>
      <c r="C13" s="25" t="s">
        <v>76</v>
      </c>
      <c r="D13" s="15">
        <v>0</v>
      </c>
      <c r="E13" s="15">
        <v>0</v>
      </c>
      <c r="F13" s="15">
        <v>0</v>
      </c>
      <c r="G13" s="15">
        <v>0</v>
      </c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25">
      <c r="B18" s="23"/>
      <c r="C18" s="25" t="s">
        <v>76</v>
      </c>
      <c r="D18" s="13">
        <v>0</v>
      </c>
      <c r="E18" s="10">
        <v>0</v>
      </c>
      <c r="F18" s="10">
        <v>0</v>
      </c>
      <c r="G18" s="10">
        <v>0</v>
      </c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35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 t="s">
        <v>76</v>
      </c>
      <c r="D29" s="15">
        <v>0</v>
      </c>
      <c r="E29" s="10">
        <v>0</v>
      </c>
      <c r="F29" s="10">
        <v>0</v>
      </c>
      <c r="G29" s="10">
        <v>0</v>
      </c>
      <c r="H29" s="10"/>
      <c r="J29" s="15">
        <f>SUM(D29:H29)</f>
        <v>0</v>
      </c>
    </row>
    <row r="30" spans="2:10" x14ac:dyDescent="0.25">
      <c r="B30" s="23" t="s">
        <v>36</v>
      </c>
      <c r="C30" s="28" t="s">
        <v>36</v>
      </c>
      <c r="D30" s="13" t="s">
        <v>32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37</v>
      </c>
      <c r="D32" s="13" t="s">
        <v>32</v>
      </c>
      <c r="E32" s="10"/>
      <c r="F32" s="10"/>
      <c r="G32" s="10"/>
      <c r="H32" s="10"/>
      <c r="J32" s="15"/>
    </row>
    <row r="33" spans="2:10" x14ac:dyDescent="0.25">
      <c r="B33" s="23"/>
      <c r="C33" s="25" t="s">
        <v>76</v>
      </c>
      <c r="D33" s="15">
        <v>0</v>
      </c>
      <c r="E33" s="15">
        <v>0</v>
      </c>
      <c r="F33" s="15">
        <v>0</v>
      </c>
      <c r="G33" s="15">
        <v>0</v>
      </c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38</v>
      </c>
      <c r="D36" s="13" t="s">
        <v>32</v>
      </c>
      <c r="E36" s="10"/>
      <c r="F36" s="10"/>
      <c r="G36" s="10"/>
      <c r="H36" s="10"/>
      <c r="J36" s="15"/>
    </row>
    <row r="37" spans="2:10" x14ac:dyDescent="0.25">
      <c r="B37" s="23"/>
      <c r="C37" s="61" t="s">
        <v>76</v>
      </c>
      <c r="D37" s="15">
        <v>0</v>
      </c>
      <c r="E37" s="15">
        <v>0</v>
      </c>
      <c r="F37" s="15">
        <v>0</v>
      </c>
      <c r="G37" s="15">
        <v>0</v>
      </c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39</v>
      </c>
      <c r="D43" s="13" t="s">
        <v>32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82</v>
      </c>
      <c r="D44" s="15">
        <f>20*20000</f>
        <v>400000</v>
      </c>
      <c r="E44" s="15">
        <f>55*20000</f>
        <v>1100000</v>
      </c>
      <c r="F44" s="15">
        <f>75*20000</f>
        <v>1500000</v>
      </c>
      <c r="G44" s="15">
        <f>50*20000</f>
        <v>1000000</v>
      </c>
      <c r="H44" s="15"/>
      <c r="I44" s="35">
        <v>375000</v>
      </c>
      <c r="J44" s="15">
        <f t="shared" si="6"/>
        <v>4000000</v>
      </c>
    </row>
    <row r="45" spans="2:10" ht="45" x14ac:dyDescent="0.25">
      <c r="B45" s="23"/>
      <c r="C45" s="25" t="s">
        <v>86</v>
      </c>
      <c r="D45" s="15">
        <f>4000*25</f>
        <v>100000</v>
      </c>
      <c r="E45" s="15">
        <f>4000*70</f>
        <v>280000</v>
      </c>
      <c r="F45" s="15">
        <f>4000*80</f>
        <v>320000</v>
      </c>
      <c r="G45" s="15">
        <f>4000*25</f>
        <v>100000</v>
      </c>
      <c r="H45" s="15"/>
      <c r="I45" s="35">
        <v>781250</v>
      </c>
      <c r="J45" s="15">
        <f t="shared" si="6"/>
        <v>800000</v>
      </c>
    </row>
    <row r="46" spans="2:10" ht="45" x14ac:dyDescent="0.25">
      <c r="B46" s="23"/>
      <c r="C46" s="25" t="s">
        <v>87</v>
      </c>
      <c r="D46" s="15">
        <f>2500*50</f>
        <v>125000</v>
      </c>
      <c r="E46" s="15">
        <f>2500*75</f>
        <v>187500</v>
      </c>
      <c r="F46" s="15">
        <f>2500*60</f>
        <v>150000</v>
      </c>
      <c r="G46" s="15">
        <f>2500*35</f>
        <v>87500</v>
      </c>
      <c r="H46" s="15"/>
      <c r="I46" s="35">
        <v>2083335</v>
      </c>
      <c r="J46" s="15">
        <f t="shared" si="6"/>
        <v>550000</v>
      </c>
    </row>
    <row r="47" spans="2:10" ht="45" x14ac:dyDescent="0.25">
      <c r="B47" s="23"/>
      <c r="C47" s="25" t="s">
        <v>88</v>
      </c>
      <c r="D47" s="15">
        <f>1500*20</f>
        <v>30000</v>
      </c>
      <c r="E47" s="11">
        <f>1500*25</f>
        <v>37500</v>
      </c>
      <c r="F47" s="11">
        <f>1500*30</f>
        <v>45000</v>
      </c>
      <c r="G47" s="11">
        <f>1500*25</f>
        <v>37500</v>
      </c>
      <c r="H47" s="11"/>
      <c r="J47" s="15">
        <f t="shared" si="6"/>
        <v>150000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655000</v>
      </c>
      <c r="E50" s="16">
        <f t="shared" ref="E50:H50" si="10">SUM(E44:E49)</f>
        <v>1605000</v>
      </c>
      <c r="F50" s="16">
        <f t="shared" si="10"/>
        <v>2015000</v>
      </c>
      <c r="G50" s="16">
        <f t="shared" si="10"/>
        <v>1225000</v>
      </c>
      <c r="H50" s="16">
        <f t="shared" si="10"/>
        <v>0</v>
      </c>
      <c r="J50" s="16">
        <f t="shared" si="6"/>
        <v>5500000</v>
      </c>
    </row>
    <row r="51" spans="2:10" x14ac:dyDescent="0.25">
      <c r="B51" s="24"/>
      <c r="C51" s="9" t="s">
        <v>19</v>
      </c>
      <c r="D51" s="16">
        <f>SUM(D50,D42,D35,D31,D27,D16,D11)</f>
        <v>655000</v>
      </c>
      <c r="E51" s="16">
        <f t="shared" ref="E51:H51" si="11">SUM(E50,E42,E35,E31,E27,E16,E11)</f>
        <v>1605000</v>
      </c>
      <c r="F51" s="16">
        <f t="shared" si="11"/>
        <v>2015000</v>
      </c>
      <c r="G51" s="16">
        <f t="shared" si="11"/>
        <v>1225000</v>
      </c>
      <c r="H51" s="16">
        <f t="shared" si="11"/>
        <v>0</v>
      </c>
      <c r="J51" s="16">
        <f t="shared" si="6"/>
        <v>5500000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40</v>
      </c>
      <c r="C53" s="17" t="s">
        <v>40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655000</v>
      </c>
      <c r="E58" s="20">
        <f t="shared" ref="E58:J58" si="14">SUM(E56,E51)</f>
        <v>1605000</v>
      </c>
      <c r="F58" s="20">
        <f t="shared" si="14"/>
        <v>2015000</v>
      </c>
      <c r="G58" s="20">
        <f t="shared" si="14"/>
        <v>1225000</v>
      </c>
      <c r="H58" s="20">
        <f t="shared" si="14"/>
        <v>0</v>
      </c>
      <c r="I58" s="7">
        <f>SUM(I56,I51)</f>
        <v>0</v>
      </c>
      <c r="J58" s="20">
        <f t="shared" si="14"/>
        <v>5500000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19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H43" sqref="H43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30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 t="s">
        <v>76</v>
      </c>
      <c r="D8" s="15">
        <v>0</v>
      </c>
      <c r="E8" s="15">
        <v>0</v>
      </c>
      <c r="F8" s="15">
        <v>0</v>
      </c>
      <c r="G8" s="15">
        <v>0</v>
      </c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25">
      <c r="B13" s="23"/>
      <c r="C13" s="25" t="s">
        <v>76</v>
      </c>
      <c r="D13" s="15">
        <v>0</v>
      </c>
      <c r="E13" s="15">
        <v>0</v>
      </c>
      <c r="F13" s="15">
        <v>0</v>
      </c>
      <c r="G13" s="15">
        <v>0</v>
      </c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25">
      <c r="B18" s="23"/>
      <c r="C18" s="25" t="s">
        <v>76</v>
      </c>
      <c r="D18" s="13">
        <v>0</v>
      </c>
      <c r="E18" s="10">
        <v>0</v>
      </c>
      <c r="F18" s="10">
        <v>0</v>
      </c>
      <c r="G18" s="10">
        <v>0</v>
      </c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36</v>
      </c>
      <c r="E19" s="11" t="s">
        <v>36</v>
      </c>
      <c r="F19" s="11" t="s">
        <v>36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35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 t="s">
        <v>76</v>
      </c>
      <c r="D29" s="15">
        <v>0</v>
      </c>
      <c r="E29" s="10">
        <v>0</v>
      </c>
      <c r="F29" s="10">
        <v>0</v>
      </c>
      <c r="G29" s="10">
        <v>0</v>
      </c>
      <c r="H29" s="10"/>
      <c r="J29" s="15">
        <f>SUM(D29:H29)</f>
        <v>0</v>
      </c>
    </row>
    <row r="30" spans="2:10" x14ac:dyDescent="0.25">
      <c r="B30" s="23" t="s">
        <v>36</v>
      </c>
      <c r="C30" s="28" t="s">
        <v>36</v>
      </c>
      <c r="D30" s="13" t="s">
        <v>32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37</v>
      </c>
      <c r="D32" s="13" t="s">
        <v>32</v>
      </c>
      <c r="E32" s="10"/>
      <c r="F32" s="10"/>
      <c r="G32" s="10"/>
      <c r="H32" s="10"/>
      <c r="J32" s="15"/>
    </row>
    <row r="33" spans="2:10" ht="45" x14ac:dyDescent="0.25">
      <c r="B33" s="23"/>
      <c r="C33" s="25" t="s">
        <v>80</v>
      </c>
      <c r="D33" s="15">
        <f>200*15</f>
        <v>3000</v>
      </c>
      <c r="E33" s="15">
        <v>3000</v>
      </c>
      <c r="F33" s="15">
        <v>3000</v>
      </c>
      <c r="G33" s="15">
        <v>3000</v>
      </c>
      <c r="H33" s="15"/>
      <c r="I33" s="35">
        <v>5000</v>
      </c>
      <c r="J33" s="15">
        <f t="shared" si="6"/>
        <v>12000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3000</v>
      </c>
      <c r="E35" s="16">
        <f t="shared" ref="E35:H35" si="8">SUM(E33:E34)</f>
        <v>3000</v>
      </c>
      <c r="F35" s="16">
        <f t="shared" si="8"/>
        <v>3000</v>
      </c>
      <c r="G35" s="16">
        <f t="shared" si="8"/>
        <v>3000</v>
      </c>
      <c r="H35" s="16">
        <f t="shared" si="8"/>
        <v>0</v>
      </c>
      <c r="J35" s="16">
        <f t="shared" si="6"/>
        <v>12000</v>
      </c>
    </row>
    <row r="36" spans="2:10" x14ac:dyDescent="0.25">
      <c r="B36" s="23"/>
      <c r="C36" s="14" t="s">
        <v>38</v>
      </c>
      <c r="D36" s="13" t="s">
        <v>32</v>
      </c>
      <c r="E36" s="10"/>
      <c r="F36" s="10"/>
      <c r="G36" s="10"/>
      <c r="H36" s="10"/>
      <c r="J36" s="15"/>
    </row>
    <row r="37" spans="2:10" x14ac:dyDescent="0.25">
      <c r="B37" s="23"/>
      <c r="C37" s="25" t="s">
        <v>76</v>
      </c>
      <c r="D37" s="15">
        <v>0</v>
      </c>
      <c r="E37" s="15">
        <v>0</v>
      </c>
      <c r="F37" s="15">
        <v>0</v>
      </c>
      <c r="G37" s="15">
        <v>0</v>
      </c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41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42</v>
      </c>
      <c r="D42" s="13" t="s">
        <v>32</v>
      </c>
      <c r="E42" s="10"/>
      <c r="F42" s="10"/>
      <c r="G42" s="10"/>
      <c r="H42" s="10"/>
      <c r="J42" s="15"/>
    </row>
    <row r="43" spans="2:10" x14ac:dyDescent="0.25">
      <c r="B43" s="23"/>
      <c r="C43" s="25" t="s">
        <v>76</v>
      </c>
      <c r="D43" s="15">
        <v>0</v>
      </c>
      <c r="E43" s="15">
        <v>0</v>
      </c>
      <c r="F43" s="15">
        <v>0</v>
      </c>
      <c r="G43" s="15">
        <v>0</v>
      </c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3000</v>
      </c>
      <c r="E50" s="16">
        <f t="shared" ref="E50:H50" si="11">SUM(E49,E41,E35,E31,E27,E16,E11)</f>
        <v>3000</v>
      </c>
      <c r="F50" s="16">
        <f t="shared" si="11"/>
        <v>3000</v>
      </c>
      <c r="G50" s="16">
        <f t="shared" si="11"/>
        <v>3000</v>
      </c>
      <c r="H50" s="16">
        <f t="shared" si="11"/>
        <v>0</v>
      </c>
      <c r="J50" s="16">
        <f t="shared" si="6"/>
        <v>12000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40</v>
      </c>
      <c r="C52" s="17" t="s">
        <v>40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3000</v>
      </c>
      <c r="E57" s="20">
        <f t="shared" ref="E57:J57" si="14">SUM(E55,E50)</f>
        <v>3000</v>
      </c>
      <c r="F57" s="20">
        <f t="shared" si="14"/>
        <v>3000</v>
      </c>
      <c r="G57" s="20">
        <f t="shared" si="14"/>
        <v>3000</v>
      </c>
      <c r="H57" s="20">
        <f t="shared" si="14"/>
        <v>0</v>
      </c>
      <c r="I57" s="7">
        <f>SUM(I55,I50)</f>
        <v>0</v>
      </c>
      <c r="J57" s="20">
        <f t="shared" si="14"/>
        <v>12000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30</v>
      </c>
    </row>
    <row r="3" spans="2:39" x14ac:dyDescent="0.25">
      <c r="B3" s="65" t="s">
        <v>75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35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36</v>
      </c>
      <c r="C30" s="28" t="s">
        <v>36</v>
      </c>
      <c r="D30" s="13" t="s">
        <v>32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37</v>
      </c>
      <c r="D32" s="13" t="s">
        <v>32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38</v>
      </c>
      <c r="D36" s="13" t="s">
        <v>32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39</v>
      </c>
      <c r="D42" s="13" t="s">
        <v>32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40</v>
      </c>
      <c r="C52" s="17" t="s">
        <v>40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30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25">
      <c r="B13" s="23"/>
      <c r="C13" s="25" t="s">
        <v>45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25">
      <c r="B18" s="23"/>
      <c r="C18" s="29" t="s">
        <v>46</v>
      </c>
      <c r="D18" s="15" t="s">
        <v>36</v>
      </c>
      <c r="E18" s="11" t="s">
        <v>36</v>
      </c>
      <c r="F18" s="11" t="s">
        <v>36</v>
      </c>
      <c r="G18" s="11"/>
      <c r="H18" s="11"/>
      <c r="J18" s="15"/>
    </row>
    <row r="19" spans="2:10" x14ac:dyDescent="0.25">
      <c r="B19" s="23"/>
      <c r="C19" s="29" t="s">
        <v>47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48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49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50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51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52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53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35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54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36</v>
      </c>
      <c r="C29" s="28" t="s">
        <v>36</v>
      </c>
      <c r="D29" s="13" t="s">
        <v>32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37</v>
      </c>
      <c r="D31" s="13" t="s">
        <v>32</v>
      </c>
      <c r="E31" s="10"/>
      <c r="F31" s="10"/>
      <c r="G31" s="10"/>
      <c r="H31" s="10"/>
      <c r="J31" s="15"/>
    </row>
    <row r="32" spans="2:10" x14ac:dyDescent="0.25">
      <c r="B32" s="23"/>
      <c r="C32" s="25" t="s">
        <v>55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38</v>
      </c>
      <c r="D35" s="13" t="s">
        <v>32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56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57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58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39</v>
      </c>
      <c r="D41" s="13" t="s">
        <v>32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59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60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40</v>
      </c>
      <c r="C48" s="17" t="s">
        <v>40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30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31</v>
      </c>
      <c r="D7" s="10" t="s">
        <v>32</v>
      </c>
      <c r="E7" s="10" t="s">
        <v>32</v>
      </c>
      <c r="F7" s="10" t="s">
        <v>32</v>
      </c>
      <c r="G7" s="10"/>
      <c r="H7" s="10" t="s">
        <v>32</v>
      </c>
      <c r="I7" s="7"/>
      <c r="J7" s="8" t="s">
        <v>32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33</v>
      </c>
      <c r="D12" s="13" t="s">
        <v>32</v>
      </c>
      <c r="E12" s="10"/>
      <c r="F12" s="10"/>
      <c r="G12" s="10"/>
      <c r="H12" s="10"/>
      <c r="J12" s="8" t="s">
        <v>32</v>
      </c>
    </row>
    <row r="13" spans="2:39" x14ac:dyDescent="0.25">
      <c r="B13" s="23"/>
      <c r="C13" s="25" t="s">
        <v>45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34</v>
      </c>
      <c r="D17" s="13" t="s">
        <v>32</v>
      </c>
      <c r="E17" s="10"/>
      <c r="F17" s="10"/>
      <c r="G17" s="10"/>
      <c r="H17" s="10"/>
      <c r="J17" s="8" t="s">
        <v>32</v>
      </c>
    </row>
    <row r="18" spans="2:10" x14ac:dyDescent="0.25">
      <c r="B18" s="23"/>
      <c r="C18" s="25" t="s">
        <v>61</v>
      </c>
      <c r="D18" s="13"/>
      <c r="E18" s="10"/>
      <c r="F18" s="10"/>
      <c r="G18" s="10"/>
      <c r="H18" s="10"/>
      <c r="J18" s="15" t="s">
        <v>32</v>
      </c>
    </row>
    <row r="19" spans="2:10" x14ac:dyDescent="0.25">
      <c r="B19" s="23"/>
      <c r="C19" s="29" t="s">
        <v>46</v>
      </c>
      <c r="D19" s="15" t="s">
        <v>36</v>
      </c>
      <c r="E19" s="11" t="s">
        <v>36</v>
      </c>
      <c r="F19" s="11" t="s">
        <v>36</v>
      </c>
      <c r="G19" s="11"/>
      <c r="H19" s="11"/>
      <c r="J19" s="15"/>
    </row>
    <row r="20" spans="2:10" x14ac:dyDescent="0.25">
      <c r="B20" s="23"/>
      <c r="C20" s="29" t="s">
        <v>47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48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49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50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53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35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36</v>
      </c>
      <c r="C30" s="28" t="s">
        <v>36</v>
      </c>
      <c r="D30" s="13" t="s">
        <v>32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37</v>
      </c>
      <c r="D32" s="13" t="s">
        <v>32</v>
      </c>
      <c r="E32" s="10"/>
      <c r="F32" s="10"/>
      <c r="G32" s="10"/>
      <c r="H32" s="10"/>
      <c r="J32" s="15"/>
    </row>
    <row r="33" spans="2:10" x14ac:dyDescent="0.25">
      <c r="B33" s="23"/>
      <c r="C33" s="25" t="s">
        <v>62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38</v>
      </c>
      <c r="D36" s="13" t="s">
        <v>32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39</v>
      </c>
      <c r="D43" s="13" t="s">
        <v>32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63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64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65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40</v>
      </c>
      <c r="C53" s="17" t="s">
        <v>40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c43dcaf-7e96-4016-bc1e-453e9e6daf4a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1f35d028-fa47-4585-bdb8-989f38fb303e">
      <Terms xmlns="http://schemas.microsoft.com/office/infopath/2007/PartnerControls"/>
    </lcf76f155ced4ddcb4097134ff3c332f>
    <TaxCatchAll xmlns="ec43dcaf-7e96-4016-bc1e-453e9e6daf4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AEF93183DF654784D32F1419E7A08D" ma:contentTypeVersion="16" ma:contentTypeDescription="Create a new document." ma:contentTypeScope="" ma:versionID="27c09c37f01057dfa3943725f6e56b8b">
  <xsd:schema xmlns:xsd="http://www.w3.org/2001/XMLSchema" xmlns:xs="http://www.w3.org/2001/XMLSchema" xmlns:p="http://schemas.microsoft.com/office/2006/metadata/properties" xmlns:ns2="1f35d028-fa47-4585-bdb8-989f38fb303e" xmlns:ns3="ec43dcaf-7e96-4016-bc1e-453e9e6daf4a" targetNamespace="http://schemas.microsoft.com/office/2006/metadata/properties" ma:root="true" ma:fieldsID="72f595fb890250321896e58f21255a68" ns2:_="" ns3:_="">
    <xsd:import namespace="1f35d028-fa47-4585-bdb8-989f38fb303e"/>
    <xsd:import namespace="ec43dcaf-7e96-4016-bc1e-453e9e6daf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5d028-fa47-4585-bdb8-989f38fb30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75754cb-8a63-4653-93c4-bf644ddc4b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43dcaf-7e96-4016-bc1e-453e9e6daf4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5ffef56-b423-487d-b6cc-28abf041cec2}" ma:internalName="TaxCatchAll" ma:showField="CatchAllData" ma:web="ec43dcaf-7e96-4016-bc1e-453e9e6daf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  <ds:schemaRef ds:uri="ec43dcaf-7e96-4016-bc1e-453e9e6daf4a"/>
    <ds:schemaRef ds:uri="1f35d028-fa47-4585-bdb8-989f38fb303e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F3DA0FF-6E4D-4E81-A75D-E3ACF9F46E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5d028-fa47-4585-bdb8-989f38fb303e"/>
    <ds:schemaRef ds:uri="ec43dcaf-7e96-4016-bc1e-453e9e6daf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2024-03-30T14:26:50Z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0x01010067AEF93183DF654784D32F1419E7A08D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