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2gov.sharepoint.com/sites/OfficeofSustainabilityandInnovations/Shared Documents/Fundraising/Climate Pollution Reduction Grants 2023/Application/Final Application/"/>
    </mc:Choice>
  </mc:AlternateContent>
  <xr:revisionPtr revIDLastSave="0" documentId="8_{ADACF078-9CDB-477E-BA9B-AC23A4681E9F}" xr6:coauthVersionLast="47" xr6:coauthVersionMax="47" xr10:uidLastSave="{00000000-0000-0000-0000-000000000000}"/>
  <bookViews>
    <workbookView xWindow="1032" yWindow="420" windowWidth="21600" windowHeight="11388" xr2:uid="{A42FB2BE-BA6D-418E-B46C-025AA1B58D50}"/>
  </bookViews>
  <sheets>
    <sheet name="AnnualSummary" sheetId="11" r:id="rId1"/>
    <sheet name="SummarybyGHG" sheetId="13" r:id="rId2"/>
    <sheet name="EnergyEfficiency" sheetId="9" r:id="rId3"/>
    <sheet name="ApplianceReplacement" sheetId="10" r:id="rId4"/>
    <sheet name="Factors" sheetId="2" r:id="rId5"/>
    <sheet name="Unit Conversions" sheetId="3" r:id="rId6"/>
    <sheet name="Bryant SFH Improvements" sheetId="1" r:id="rId7"/>
    <sheet name="Bryant Emissions Forecast" sheetId="4" r:id="rId8"/>
    <sheet name="Forest Hills MF Improvements" sheetId="5" r:id="rId9"/>
    <sheet name="FH MF Emissions Forecast" sheetId="6" r:id="rId10"/>
  </sheets>
  <externalReferences>
    <externalReference r:id="rId11"/>
  </externalReferences>
  <definedNames>
    <definedName name="kWh_UnitCost">Factors!$B$70</definedName>
    <definedName name="NG_CH4_EF">Factors!$B$30</definedName>
    <definedName name="NG_CO2_EF">Factors!$B$29</definedName>
    <definedName name="NG_EmissionFactor">Factors!$B$32</definedName>
    <definedName name="NG_N2O_EF">Factors!$B$31</definedName>
    <definedName name="NG_UnitCost">Factors!$B$71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3" l="1"/>
  <c r="B33" i="13"/>
  <c r="B31" i="13" s="1"/>
  <c r="B32" i="13"/>
  <c r="B29" i="13"/>
  <c r="B28" i="13"/>
  <c r="B27" i="13"/>
  <c r="B26" i="13"/>
  <c r="B25" i="13" s="1"/>
  <c r="B24" i="13" s="1"/>
  <c r="B16" i="13"/>
  <c r="B15" i="13"/>
  <c r="B14" i="13"/>
  <c r="B11" i="13"/>
  <c r="B10" i="13"/>
  <c r="B9" i="13"/>
  <c r="B8" i="13"/>
  <c r="B7" i="13" s="1"/>
  <c r="B6" i="13" s="1"/>
  <c r="C6" i="6"/>
  <c r="R7" i="4"/>
  <c r="O7" i="4"/>
  <c r="L7" i="4"/>
  <c r="I7" i="4"/>
  <c r="F7" i="4"/>
  <c r="C7" i="4"/>
  <c r="Y8" i="9"/>
  <c r="W8" i="9"/>
  <c r="G8" i="10"/>
  <c r="E8" i="10"/>
  <c r="B13" i="4"/>
  <c r="B14" i="4" s="1"/>
  <c r="B13" i="6" s="1"/>
  <c r="B12" i="4"/>
  <c r="B11" i="6" s="1"/>
  <c r="B11" i="4"/>
  <c r="B19" i="4"/>
  <c r="B18" i="6" s="1"/>
  <c r="B18" i="4"/>
  <c r="B17" i="6" s="1"/>
  <c r="B17" i="4"/>
  <c r="B16" i="6" s="1"/>
  <c r="B10" i="6"/>
  <c r="B14" i="6"/>
  <c r="B15" i="6"/>
  <c r="B19" i="6"/>
  <c r="B24" i="6"/>
  <c r="B25" i="6"/>
  <c r="B26" i="6"/>
  <c r="B27" i="6"/>
  <c r="B28" i="6"/>
  <c r="B29" i="6"/>
  <c r="B30" i="6"/>
  <c r="B31" i="6"/>
  <c r="B32" i="6"/>
  <c r="B33" i="6"/>
  <c r="B34" i="6"/>
  <c r="B9" i="6"/>
  <c r="B24" i="4"/>
  <c r="B23" i="6" s="1"/>
  <c r="B23" i="4"/>
  <c r="B22" i="6" s="1"/>
  <c r="B22" i="4"/>
  <c r="B21" i="6" s="1"/>
  <c r="B21" i="4"/>
  <c r="B20" i="6" s="1"/>
  <c r="B16" i="4"/>
  <c r="H8" i="6"/>
  <c r="H29" i="6" s="1"/>
  <c r="B13" i="13" l="1"/>
  <c r="Z8" i="9"/>
  <c r="AA8" i="9" s="1"/>
  <c r="H8" i="10"/>
  <c r="I8" i="10" s="1"/>
  <c r="B12" i="6"/>
  <c r="H16" i="6"/>
  <c r="H9" i="6"/>
  <c r="H22" i="6"/>
  <c r="H12" i="6"/>
  <c r="H25" i="6"/>
  <c r="H34" i="6"/>
  <c r="H19" i="6"/>
  <c r="H14" i="6"/>
  <c r="H28" i="6"/>
  <c r="H15" i="6"/>
  <c r="H31" i="6"/>
  <c r="H32" i="6"/>
  <c r="H18" i="6"/>
  <c r="H21" i="6"/>
  <c r="H11" i="6"/>
  <c r="H17" i="6"/>
  <c r="H24" i="6"/>
  <c r="H30" i="6"/>
  <c r="H13" i="6"/>
  <c r="H20" i="6"/>
  <c r="H26" i="6"/>
  <c r="H27" i="6"/>
  <c r="H33" i="6"/>
  <c r="H10" i="6"/>
  <c r="H23" i="6"/>
  <c r="E8" i="6" l="1"/>
  <c r="E14" i="6" s="1"/>
  <c r="C33" i="5"/>
  <c r="B33" i="5"/>
  <c r="C14" i="6" s="1"/>
  <c r="B17" i="5"/>
  <c r="B15" i="5"/>
  <c r="B8" i="5"/>
  <c r="B6" i="5"/>
  <c r="Q9" i="4"/>
  <c r="Q28" i="4" s="1"/>
  <c r="N9" i="4"/>
  <c r="N28" i="4" s="1"/>
  <c r="K9" i="4"/>
  <c r="K31" i="4" s="1"/>
  <c r="H9" i="4"/>
  <c r="H33" i="4" s="1"/>
  <c r="E9" i="4"/>
  <c r="E11" i="4" s="1"/>
  <c r="B29" i="1"/>
  <c r="B26" i="1"/>
  <c r="B24" i="1"/>
  <c r="B25" i="1" s="1"/>
  <c r="C36" i="1"/>
  <c r="B36" i="1"/>
  <c r="C12" i="4" s="1"/>
  <c r="B12" i="3"/>
  <c r="B11" i="3"/>
  <c r="B10" i="3"/>
  <c r="B8" i="3"/>
  <c r="B7" i="3"/>
  <c r="B6" i="3"/>
  <c r="B5" i="3"/>
  <c r="B3" i="3"/>
  <c r="B1" i="3"/>
  <c r="C58" i="2"/>
  <c r="C59" i="2" s="1"/>
  <c r="B58" i="2"/>
  <c r="B59" i="2" s="1"/>
  <c r="B45" i="2"/>
  <c r="B46" i="2" s="1"/>
  <c r="B26" i="2"/>
  <c r="B20" i="2"/>
  <c r="B19" i="2"/>
  <c r="B18" i="2"/>
  <c r="B10" i="10" l="1"/>
  <c r="B10" i="9"/>
  <c r="C37" i="1"/>
  <c r="C30" i="6"/>
  <c r="C22" i="6"/>
  <c r="E29" i="6"/>
  <c r="E34" i="6"/>
  <c r="C15" i="6"/>
  <c r="B35" i="5"/>
  <c r="E26" i="6"/>
  <c r="C34" i="5"/>
  <c r="C35" i="5"/>
  <c r="E18" i="6"/>
  <c r="B31" i="2"/>
  <c r="B29" i="2"/>
  <c r="B30" i="2"/>
  <c r="E17" i="4"/>
  <c r="E33" i="4"/>
  <c r="E26" i="4"/>
  <c r="N22" i="4"/>
  <c r="N23" i="4"/>
  <c r="N24" i="4"/>
  <c r="N31" i="4"/>
  <c r="N21" i="4"/>
  <c r="N15" i="4"/>
  <c r="N16" i="4"/>
  <c r="N32" i="4"/>
  <c r="B40" i="1"/>
  <c r="M17" i="4" s="1"/>
  <c r="Q15" i="10" s="1"/>
  <c r="B41" i="1"/>
  <c r="P20" i="4" s="1"/>
  <c r="K18" i="10" s="1"/>
  <c r="N13" i="4"/>
  <c r="N29" i="4"/>
  <c r="C40" i="1"/>
  <c r="N14" i="4"/>
  <c r="N30" i="4"/>
  <c r="E13" i="6"/>
  <c r="E28" i="6"/>
  <c r="E12" i="6"/>
  <c r="E27" i="6"/>
  <c r="E11" i="6"/>
  <c r="E10" i="6"/>
  <c r="E21" i="6"/>
  <c r="E20" i="6"/>
  <c r="E9" i="6"/>
  <c r="E19" i="6"/>
  <c r="C41" i="1"/>
  <c r="E25" i="4"/>
  <c r="E18" i="4"/>
  <c r="E34" i="4"/>
  <c r="C13" i="6"/>
  <c r="C12" i="6"/>
  <c r="C19" i="6"/>
  <c r="C34" i="6"/>
  <c r="C26" i="6"/>
  <c r="C18" i="6"/>
  <c r="C10" i="6"/>
  <c r="E33" i="6"/>
  <c r="E25" i="6"/>
  <c r="E17" i="6"/>
  <c r="C29" i="6"/>
  <c r="C28" i="6"/>
  <c r="C33" i="6"/>
  <c r="C25" i="6"/>
  <c r="C17" i="6"/>
  <c r="E32" i="6"/>
  <c r="E24" i="6"/>
  <c r="E16" i="6"/>
  <c r="C27" i="6"/>
  <c r="C32" i="6"/>
  <c r="C24" i="6"/>
  <c r="C16" i="6"/>
  <c r="B34" i="5"/>
  <c r="E31" i="6"/>
  <c r="E23" i="6"/>
  <c r="E15" i="6"/>
  <c r="C21" i="6"/>
  <c r="C20" i="6"/>
  <c r="C9" i="6"/>
  <c r="C11" i="6"/>
  <c r="C31" i="6"/>
  <c r="C23" i="6"/>
  <c r="E30" i="6"/>
  <c r="E22" i="6"/>
  <c r="E32" i="4"/>
  <c r="E24" i="4"/>
  <c r="E16" i="4"/>
  <c r="E31" i="4"/>
  <c r="E23" i="4"/>
  <c r="E15" i="4"/>
  <c r="E30" i="4"/>
  <c r="E22" i="4"/>
  <c r="E14" i="4"/>
  <c r="E29" i="4"/>
  <c r="E21" i="4"/>
  <c r="E13" i="4"/>
  <c r="E10" i="4"/>
  <c r="E28" i="4"/>
  <c r="E20" i="4"/>
  <c r="E12" i="4"/>
  <c r="E35" i="4"/>
  <c r="E27" i="4"/>
  <c r="E19" i="4"/>
  <c r="Q29" i="4"/>
  <c r="Q14" i="4"/>
  <c r="Q30" i="4"/>
  <c r="Q31" i="4"/>
  <c r="Q16" i="4"/>
  <c r="Q24" i="4"/>
  <c r="Q32" i="4"/>
  <c r="Q17" i="4"/>
  <c r="Q25" i="4"/>
  <c r="Q33" i="4"/>
  <c r="Q13" i="4"/>
  <c r="Q22" i="4"/>
  <c r="Q15" i="4"/>
  <c r="Q23" i="4"/>
  <c r="Q10" i="4"/>
  <c r="Q18" i="4"/>
  <c r="Q26" i="4"/>
  <c r="Q34" i="4"/>
  <c r="Q21" i="4"/>
  <c r="Q11" i="4"/>
  <c r="Q19" i="4"/>
  <c r="Q27" i="4"/>
  <c r="Q35" i="4"/>
  <c r="Q12" i="4"/>
  <c r="Q20" i="4"/>
  <c r="N17" i="4"/>
  <c r="N25" i="4"/>
  <c r="N33" i="4"/>
  <c r="N10" i="4"/>
  <c r="N18" i="4"/>
  <c r="N26" i="4"/>
  <c r="N34" i="4"/>
  <c r="N11" i="4"/>
  <c r="N19" i="4"/>
  <c r="N27" i="4"/>
  <c r="N35" i="4"/>
  <c r="N12" i="4"/>
  <c r="N20" i="4"/>
  <c r="K32" i="4"/>
  <c r="K17" i="4"/>
  <c r="K25" i="4"/>
  <c r="K33" i="4"/>
  <c r="K10" i="4"/>
  <c r="K18" i="4"/>
  <c r="K26" i="4"/>
  <c r="K34" i="4"/>
  <c r="K24" i="4"/>
  <c r="K35" i="4"/>
  <c r="K11" i="4"/>
  <c r="K27" i="4"/>
  <c r="K12" i="4"/>
  <c r="K20" i="4"/>
  <c r="K28" i="4"/>
  <c r="K16" i="4"/>
  <c r="K19" i="4"/>
  <c r="K13" i="4"/>
  <c r="K21" i="4"/>
  <c r="K29" i="4"/>
  <c r="K14" i="4"/>
  <c r="K22" i="4"/>
  <c r="K30" i="4"/>
  <c r="K15" i="4"/>
  <c r="K23" i="4"/>
  <c r="H11" i="4"/>
  <c r="H19" i="4"/>
  <c r="H27" i="4"/>
  <c r="H35" i="4"/>
  <c r="H18" i="4"/>
  <c r="H12" i="4"/>
  <c r="H20" i="4"/>
  <c r="H28" i="4"/>
  <c r="H10" i="4"/>
  <c r="H26" i="4"/>
  <c r="H34" i="4"/>
  <c r="H13" i="4"/>
  <c r="H21" i="4"/>
  <c r="H29" i="4"/>
  <c r="H30" i="4"/>
  <c r="H15" i="4"/>
  <c r="H23" i="4"/>
  <c r="H31" i="4"/>
  <c r="H16" i="4"/>
  <c r="H24" i="4"/>
  <c r="H32" i="4"/>
  <c r="H14" i="4"/>
  <c r="H22" i="4"/>
  <c r="H17" i="4"/>
  <c r="H25" i="4"/>
  <c r="B14" i="1"/>
  <c r="B17" i="1"/>
  <c r="B18" i="1" s="1"/>
  <c r="B21" i="1" s="1"/>
  <c r="C33" i="4"/>
  <c r="C11" i="4"/>
  <c r="C35" i="4"/>
  <c r="C25" i="4"/>
  <c r="C27" i="4"/>
  <c r="C19" i="4"/>
  <c r="C34" i="4"/>
  <c r="C26" i="4"/>
  <c r="C18" i="4"/>
  <c r="C17" i="4"/>
  <c r="C32" i="4"/>
  <c r="C16" i="4"/>
  <c r="C24" i="4"/>
  <c r="C31" i="4"/>
  <c r="C23" i="4"/>
  <c r="C15" i="4"/>
  <c r="C30" i="4"/>
  <c r="C22" i="4"/>
  <c r="C14" i="4"/>
  <c r="C29" i="4"/>
  <c r="C21" i="4"/>
  <c r="C13" i="4"/>
  <c r="B37" i="1"/>
  <c r="C10" i="4"/>
  <c r="C28" i="4"/>
  <c r="C20" i="4"/>
  <c r="B21" i="2"/>
  <c r="B62" i="2"/>
  <c r="B63" i="2" s="1"/>
  <c r="P29" i="4" l="1"/>
  <c r="K27" i="10" s="1"/>
  <c r="B64" i="2"/>
  <c r="B65" i="2"/>
  <c r="B13" i="10"/>
  <c r="B13" i="9"/>
  <c r="S18" i="10"/>
  <c r="B32" i="10"/>
  <c r="B32" i="9"/>
  <c r="B19" i="10"/>
  <c r="B19" i="9"/>
  <c r="B22" i="10"/>
  <c r="B22" i="9"/>
  <c r="B25" i="10"/>
  <c r="B25" i="9"/>
  <c r="B8" i="10"/>
  <c r="B8" i="9"/>
  <c r="B21" i="10"/>
  <c r="B21" i="9"/>
  <c r="B11" i="10"/>
  <c r="B11" i="9"/>
  <c r="B27" i="10"/>
  <c r="L27" i="10" s="1"/>
  <c r="B27" i="9"/>
  <c r="B14" i="10"/>
  <c r="B14" i="9"/>
  <c r="B23" i="10"/>
  <c r="B23" i="9"/>
  <c r="B29" i="10"/>
  <c r="B29" i="9"/>
  <c r="B12" i="10"/>
  <c r="B12" i="9"/>
  <c r="B30" i="10"/>
  <c r="B30" i="9"/>
  <c r="B33" i="10"/>
  <c r="B33" i="9"/>
  <c r="B24" i="10"/>
  <c r="B24" i="9"/>
  <c r="B20" i="10"/>
  <c r="B20" i="9"/>
  <c r="B15" i="10"/>
  <c r="R15" i="10" s="1"/>
  <c r="B15" i="9"/>
  <c r="B9" i="10"/>
  <c r="B9" i="9"/>
  <c r="B17" i="10"/>
  <c r="B17" i="9"/>
  <c r="B18" i="10"/>
  <c r="B18" i="9"/>
  <c r="B26" i="10"/>
  <c r="B26" i="9"/>
  <c r="B28" i="10"/>
  <c r="B28" i="9"/>
  <c r="B16" i="10"/>
  <c r="B16" i="9"/>
  <c r="B31" i="10"/>
  <c r="R31" i="10" s="1"/>
  <c r="B31" i="9"/>
  <c r="D10" i="4"/>
  <c r="F10" i="4" s="1"/>
  <c r="D8" i="9" s="1"/>
  <c r="J8" i="9" s="1"/>
  <c r="K8" i="9" s="1"/>
  <c r="D11" i="4"/>
  <c r="F11" i="4" s="1"/>
  <c r="D9" i="9" s="1"/>
  <c r="J9" i="9" s="1"/>
  <c r="N40" i="1"/>
  <c r="G14" i="6"/>
  <c r="I14" i="6" s="1"/>
  <c r="P13" i="9" s="1"/>
  <c r="Q13" i="9" s="1"/>
  <c r="G22" i="6"/>
  <c r="I22" i="6" s="1"/>
  <c r="P21" i="9" s="1"/>
  <c r="Q21" i="9" s="1"/>
  <c r="G30" i="6"/>
  <c r="I30" i="6" s="1"/>
  <c r="P29" i="9" s="1"/>
  <c r="Q29" i="9" s="1"/>
  <c r="G13" i="6"/>
  <c r="I13" i="6" s="1"/>
  <c r="P12" i="9" s="1"/>
  <c r="Q12" i="9" s="1"/>
  <c r="G15" i="6"/>
  <c r="I15" i="6" s="1"/>
  <c r="P14" i="9" s="1"/>
  <c r="Q14" i="9" s="1"/>
  <c r="G23" i="6"/>
  <c r="I23" i="6" s="1"/>
  <c r="P22" i="9" s="1"/>
  <c r="Q22" i="9" s="1"/>
  <c r="G31" i="6"/>
  <c r="I31" i="6" s="1"/>
  <c r="P30" i="9" s="1"/>
  <c r="Q30" i="9" s="1"/>
  <c r="G11" i="6"/>
  <c r="I11" i="6" s="1"/>
  <c r="P10" i="9" s="1"/>
  <c r="Q10" i="9" s="1"/>
  <c r="G9" i="6"/>
  <c r="I9" i="6" s="1"/>
  <c r="P8" i="9" s="1"/>
  <c r="Q8" i="9" s="1"/>
  <c r="G16" i="6"/>
  <c r="I16" i="6" s="1"/>
  <c r="P15" i="9" s="1"/>
  <c r="Q15" i="9" s="1"/>
  <c r="G24" i="6"/>
  <c r="I24" i="6" s="1"/>
  <c r="P23" i="9" s="1"/>
  <c r="Q23" i="9" s="1"/>
  <c r="G32" i="6"/>
  <c r="I32" i="6" s="1"/>
  <c r="P31" i="9" s="1"/>
  <c r="Q31" i="9" s="1"/>
  <c r="G19" i="6"/>
  <c r="I19" i="6" s="1"/>
  <c r="P18" i="9" s="1"/>
  <c r="Q18" i="9" s="1"/>
  <c r="G21" i="6"/>
  <c r="I21" i="6" s="1"/>
  <c r="P20" i="9" s="1"/>
  <c r="Q20" i="9" s="1"/>
  <c r="G17" i="6"/>
  <c r="I17" i="6" s="1"/>
  <c r="P16" i="9" s="1"/>
  <c r="Q16" i="9" s="1"/>
  <c r="G25" i="6"/>
  <c r="I25" i="6" s="1"/>
  <c r="P24" i="9" s="1"/>
  <c r="Q24" i="9" s="1"/>
  <c r="G33" i="6"/>
  <c r="I33" i="6" s="1"/>
  <c r="P32" i="9" s="1"/>
  <c r="Q32" i="9" s="1"/>
  <c r="G27" i="6"/>
  <c r="I27" i="6" s="1"/>
  <c r="P26" i="9" s="1"/>
  <c r="Q26" i="9" s="1"/>
  <c r="G29" i="6"/>
  <c r="I29" i="6" s="1"/>
  <c r="P28" i="9" s="1"/>
  <c r="Q28" i="9" s="1"/>
  <c r="G10" i="6"/>
  <c r="I10" i="6" s="1"/>
  <c r="P9" i="9" s="1"/>
  <c r="Q9" i="9" s="1"/>
  <c r="G18" i="6"/>
  <c r="I18" i="6" s="1"/>
  <c r="P17" i="9" s="1"/>
  <c r="Q17" i="9" s="1"/>
  <c r="G26" i="6"/>
  <c r="I26" i="6" s="1"/>
  <c r="P25" i="9" s="1"/>
  <c r="Q25" i="9" s="1"/>
  <c r="G34" i="6"/>
  <c r="I34" i="6" s="1"/>
  <c r="P33" i="9" s="1"/>
  <c r="Q33" i="9" s="1"/>
  <c r="G12" i="6"/>
  <c r="I12" i="6" s="1"/>
  <c r="P11" i="9" s="1"/>
  <c r="Q11" i="9" s="1"/>
  <c r="G20" i="6"/>
  <c r="I20" i="6" s="1"/>
  <c r="P19" i="9" s="1"/>
  <c r="Q19" i="9" s="1"/>
  <c r="G28" i="6"/>
  <c r="I28" i="6" s="1"/>
  <c r="P27" i="9" s="1"/>
  <c r="Q27" i="9" s="1"/>
  <c r="P21" i="4"/>
  <c r="P26" i="4"/>
  <c r="K24" i="10" s="1"/>
  <c r="P17" i="4"/>
  <c r="K15" i="10" s="1"/>
  <c r="L15" i="10" s="1"/>
  <c r="M21" i="4"/>
  <c r="P16" i="4"/>
  <c r="P22" i="4"/>
  <c r="M26" i="4"/>
  <c r="M33" i="4"/>
  <c r="Q31" i="10" s="1"/>
  <c r="R29" i="4"/>
  <c r="M28" i="4"/>
  <c r="M14" i="4"/>
  <c r="M34" i="4"/>
  <c r="M10" i="4"/>
  <c r="P28" i="4"/>
  <c r="M24" i="4"/>
  <c r="M12" i="4"/>
  <c r="M18" i="4"/>
  <c r="M25" i="4"/>
  <c r="M20" i="4"/>
  <c r="M13" i="4"/>
  <c r="M16" i="4"/>
  <c r="M29" i="4"/>
  <c r="M32" i="4"/>
  <c r="O33" i="4"/>
  <c r="M22" i="4"/>
  <c r="P18" i="4"/>
  <c r="P12" i="4"/>
  <c r="K10" i="10" s="1"/>
  <c r="L10" i="10" s="1"/>
  <c r="P30" i="4"/>
  <c r="P34" i="4"/>
  <c r="P19" i="4"/>
  <c r="P23" i="4"/>
  <c r="P27" i="4"/>
  <c r="P31" i="4"/>
  <c r="P35" i="4"/>
  <c r="P11" i="4"/>
  <c r="P15" i="4"/>
  <c r="I10" i="4"/>
  <c r="P24" i="4"/>
  <c r="P25" i="4"/>
  <c r="K23" i="10" s="1"/>
  <c r="L23" i="10" s="1"/>
  <c r="P10" i="4"/>
  <c r="M30" i="4"/>
  <c r="M19" i="4"/>
  <c r="M15" i="4"/>
  <c r="M23" i="4"/>
  <c r="M27" i="4"/>
  <c r="M31" i="4"/>
  <c r="M35" i="4"/>
  <c r="M11" i="4"/>
  <c r="P32" i="4"/>
  <c r="P33" i="4"/>
  <c r="P14" i="4"/>
  <c r="P13" i="4"/>
  <c r="L10" i="4"/>
  <c r="O17" i="4"/>
  <c r="R20" i="4"/>
  <c r="R25" i="4"/>
  <c r="C7" i="6"/>
  <c r="F33" i="5" s="1"/>
  <c r="E33" i="5"/>
  <c r="D12" i="6"/>
  <c r="D20" i="6"/>
  <c r="D28" i="6"/>
  <c r="D25" i="6"/>
  <c r="D10" i="6"/>
  <c r="D34" i="6"/>
  <c r="D11" i="6"/>
  <c r="D27" i="6"/>
  <c r="D13" i="6"/>
  <c r="D21" i="6"/>
  <c r="D29" i="6"/>
  <c r="D24" i="6"/>
  <c r="D33" i="6"/>
  <c r="D26" i="6"/>
  <c r="D19" i="6"/>
  <c r="D9" i="6"/>
  <c r="D14" i="6"/>
  <c r="D22" i="6"/>
  <c r="D30" i="6"/>
  <c r="D32" i="6"/>
  <c r="D18" i="6"/>
  <c r="D15" i="6"/>
  <c r="D23" i="6"/>
  <c r="D31" i="6"/>
  <c r="D16" i="6"/>
  <c r="D17" i="6"/>
  <c r="C38" i="1"/>
  <c r="B15" i="1"/>
  <c r="B20" i="1" s="1"/>
  <c r="B39" i="1" s="1"/>
  <c r="D15" i="4"/>
  <c r="F15" i="4" s="1"/>
  <c r="D13" i="9" s="1"/>
  <c r="J13" i="9" s="1"/>
  <c r="D23" i="4"/>
  <c r="F23" i="4" s="1"/>
  <c r="D21" i="9" s="1"/>
  <c r="J21" i="9" s="1"/>
  <c r="D31" i="4"/>
  <c r="F31" i="4" s="1"/>
  <c r="D29" i="9" s="1"/>
  <c r="D25" i="4"/>
  <c r="F25" i="4" s="1"/>
  <c r="D23" i="9" s="1"/>
  <c r="J23" i="9" s="1"/>
  <c r="D26" i="4"/>
  <c r="F26" i="4" s="1"/>
  <c r="D24" i="9" s="1"/>
  <c r="J24" i="9" s="1"/>
  <c r="D16" i="4"/>
  <c r="F16" i="4" s="1"/>
  <c r="D14" i="9" s="1"/>
  <c r="J14" i="9" s="1"/>
  <c r="D24" i="4"/>
  <c r="F24" i="4" s="1"/>
  <c r="D22" i="9" s="1"/>
  <c r="J22" i="9" s="1"/>
  <c r="D32" i="4"/>
  <c r="F32" i="4" s="1"/>
  <c r="D30" i="9" s="1"/>
  <c r="J30" i="9" s="1"/>
  <c r="D17" i="4"/>
  <c r="F17" i="4" s="1"/>
  <c r="D15" i="9" s="1"/>
  <c r="J15" i="9" s="1"/>
  <c r="D33" i="4"/>
  <c r="F33" i="4" s="1"/>
  <c r="D31" i="9" s="1"/>
  <c r="J31" i="9" s="1"/>
  <c r="D18" i="4"/>
  <c r="F18" i="4" s="1"/>
  <c r="D16" i="9" s="1"/>
  <c r="J16" i="9" s="1"/>
  <c r="D34" i="4"/>
  <c r="F34" i="4" s="1"/>
  <c r="D32" i="9" s="1"/>
  <c r="J32" i="9" s="1"/>
  <c r="D14" i="4"/>
  <c r="F14" i="4" s="1"/>
  <c r="D12" i="9" s="1"/>
  <c r="J12" i="9" s="1"/>
  <c r="D30" i="4"/>
  <c r="F30" i="4" s="1"/>
  <c r="D28" i="9" s="1"/>
  <c r="J28" i="9" s="1"/>
  <c r="D19" i="4"/>
  <c r="F19" i="4" s="1"/>
  <c r="D17" i="9" s="1"/>
  <c r="J17" i="9" s="1"/>
  <c r="D27" i="4"/>
  <c r="F27" i="4" s="1"/>
  <c r="D25" i="9" s="1"/>
  <c r="J25" i="9" s="1"/>
  <c r="D35" i="4"/>
  <c r="F35" i="4" s="1"/>
  <c r="D33" i="9" s="1"/>
  <c r="J33" i="9" s="1"/>
  <c r="D22" i="4"/>
  <c r="F22" i="4" s="1"/>
  <c r="D20" i="9" s="1"/>
  <c r="J20" i="9" s="1"/>
  <c r="D12" i="4"/>
  <c r="F12" i="4" s="1"/>
  <c r="D10" i="9" s="1"/>
  <c r="J10" i="9" s="1"/>
  <c r="K10" i="9" s="1"/>
  <c r="D20" i="4"/>
  <c r="F20" i="4" s="1"/>
  <c r="D18" i="9" s="1"/>
  <c r="J18" i="9" s="1"/>
  <c r="K18" i="9" s="1"/>
  <c r="D28" i="4"/>
  <c r="F28" i="4" s="1"/>
  <c r="D26" i="9" s="1"/>
  <c r="J26" i="9" s="1"/>
  <c r="D13" i="4"/>
  <c r="F13" i="4" s="1"/>
  <c r="D11" i="9" s="1"/>
  <c r="J11" i="9" s="1"/>
  <c r="D21" i="4"/>
  <c r="F21" i="4" s="1"/>
  <c r="D19" i="9" s="1"/>
  <c r="J19" i="9" s="1"/>
  <c r="D29" i="4"/>
  <c r="F29" i="4" s="1"/>
  <c r="D27" i="9" s="1"/>
  <c r="J27" i="9" s="1"/>
  <c r="E36" i="1"/>
  <c r="C8" i="4"/>
  <c r="F36" i="1" s="1"/>
  <c r="B27" i="2"/>
  <c r="B32" i="2" s="1"/>
  <c r="R29" i="9" s="1"/>
  <c r="S29" i="9" s="1"/>
  <c r="K32" i="9" l="1"/>
  <c r="S10" i="10"/>
  <c r="M12" i="10"/>
  <c r="S17" i="10"/>
  <c r="M37" i="1"/>
  <c r="M41" i="1"/>
  <c r="S9" i="10"/>
  <c r="M18" i="10"/>
  <c r="S31" i="10"/>
  <c r="M10" i="10"/>
  <c r="S29" i="10"/>
  <c r="M32" i="10"/>
  <c r="S14" i="10"/>
  <c r="M24" i="10"/>
  <c r="S19" i="10"/>
  <c r="M27" i="10"/>
  <c r="M16" i="10"/>
  <c r="S21" i="10"/>
  <c r="S24" i="10"/>
  <c r="S32" i="10"/>
  <c r="F32" i="9"/>
  <c r="L32" i="9" s="1"/>
  <c r="F19" i="9"/>
  <c r="L19" i="9" s="1"/>
  <c r="F26" i="9"/>
  <c r="L26" i="9" s="1"/>
  <c r="X9" i="9"/>
  <c r="Y9" i="9" s="1"/>
  <c r="X16" i="9"/>
  <c r="Y16" i="9" s="1"/>
  <c r="X29" i="9"/>
  <c r="Y29" i="9" s="1"/>
  <c r="X19" i="9"/>
  <c r="Y19" i="9" s="1"/>
  <c r="N35" i="5"/>
  <c r="R23" i="9"/>
  <c r="S23" i="9" s="1"/>
  <c r="R19" i="9"/>
  <c r="S19" i="9" s="1"/>
  <c r="T19" i="9" s="1"/>
  <c r="U19" i="9" s="1"/>
  <c r="M30" i="10"/>
  <c r="M29" i="10"/>
  <c r="M19" i="10"/>
  <c r="M33" i="10"/>
  <c r="M31" i="10"/>
  <c r="S13" i="10"/>
  <c r="S23" i="10"/>
  <c r="S30" i="10"/>
  <c r="F24" i="9"/>
  <c r="L24" i="9" s="1"/>
  <c r="F14" i="9"/>
  <c r="L14" i="9" s="1"/>
  <c r="F9" i="9"/>
  <c r="L9" i="9" s="1"/>
  <c r="X8" i="9"/>
  <c r="X30" i="9"/>
  <c r="Y30" i="9" s="1"/>
  <c r="X21" i="9"/>
  <c r="Y21" i="9" s="1"/>
  <c r="X11" i="9"/>
  <c r="Y11" i="9" s="1"/>
  <c r="R32" i="9"/>
  <c r="S32" i="9" s="1"/>
  <c r="R15" i="9"/>
  <c r="S15" i="9" s="1"/>
  <c r="T15" i="9" s="1"/>
  <c r="U15" i="9" s="1"/>
  <c r="R17" i="9"/>
  <c r="S17" i="9" s="1"/>
  <c r="T17" i="9" s="1"/>
  <c r="U17" i="9" s="1"/>
  <c r="T29" i="9"/>
  <c r="U29" i="9" s="1"/>
  <c r="M21" i="10"/>
  <c r="M11" i="10"/>
  <c r="M25" i="10"/>
  <c r="M23" i="10"/>
  <c r="S15" i="10"/>
  <c r="S20" i="10"/>
  <c r="S12" i="10"/>
  <c r="F16" i="9"/>
  <c r="L16" i="9" s="1"/>
  <c r="F17" i="9"/>
  <c r="L17" i="9" s="1"/>
  <c r="F30" i="9"/>
  <c r="L30" i="9" s="1"/>
  <c r="X18" i="9"/>
  <c r="Y18" i="9" s="1"/>
  <c r="X22" i="9"/>
  <c r="Y22" i="9" s="1"/>
  <c r="X13" i="9"/>
  <c r="Y13" i="9" s="1"/>
  <c r="R12" i="9"/>
  <c r="S12" i="9" s="1"/>
  <c r="T12" i="9" s="1"/>
  <c r="U12" i="9" s="1"/>
  <c r="R24" i="9"/>
  <c r="S24" i="9" s="1"/>
  <c r="T24" i="9" s="1"/>
  <c r="U24" i="9" s="1"/>
  <c r="R20" i="9"/>
  <c r="S20" i="9" s="1"/>
  <c r="T20" i="9" s="1"/>
  <c r="U20" i="9" s="1"/>
  <c r="M35" i="5"/>
  <c r="T23" i="9"/>
  <c r="U23" i="9" s="1"/>
  <c r="M13" i="10"/>
  <c r="M14" i="10"/>
  <c r="M17" i="10"/>
  <c r="M15" i="10"/>
  <c r="S22" i="10"/>
  <c r="S11" i="10"/>
  <c r="S27" i="10"/>
  <c r="F10" i="9"/>
  <c r="L10" i="9" s="1"/>
  <c r="F22" i="9"/>
  <c r="L22" i="9" s="1"/>
  <c r="F28" i="9"/>
  <c r="L28" i="9" s="1"/>
  <c r="X10" i="9"/>
  <c r="Y10" i="9" s="1"/>
  <c r="X14" i="9"/>
  <c r="Y14" i="9" s="1"/>
  <c r="X28" i="9"/>
  <c r="Y28" i="9" s="1"/>
  <c r="R11" i="9"/>
  <c r="S11" i="9" s="1"/>
  <c r="T11" i="9" s="1"/>
  <c r="U11" i="9" s="1"/>
  <c r="R16" i="9"/>
  <c r="S16" i="9" s="1"/>
  <c r="R27" i="9"/>
  <c r="S27" i="9" s="1"/>
  <c r="T27" i="9" s="1"/>
  <c r="U27" i="9" s="1"/>
  <c r="M33" i="5"/>
  <c r="C21" i="9"/>
  <c r="C18" i="9"/>
  <c r="C27" i="9"/>
  <c r="C31" i="10"/>
  <c r="C15" i="10"/>
  <c r="C28" i="10"/>
  <c r="C12" i="10"/>
  <c r="N12" i="10" s="1"/>
  <c r="C12" i="9"/>
  <c r="C17" i="10"/>
  <c r="N33" i="5"/>
  <c r="C17" i="9"/>
  <c r="C32" i="9"/>
  <c r="C11" i="9"/>
  <c r="C29" i="10"/>
  <c r="T29" i="10" s="1"/>
  <c r="C13" i="10"/>
  <c r="C26" i="10"/>
  <c r="C10" i="10"/>
  <c r="T10" i="10" s="1"/>
  <c r="C19" i="10"/>
  <c r="N19" i="10" s="1"/>
  <c r="C32" i="10"/>
  <c r="N32" i="10" s="1"/>
  <c r="C13" i="9"/>
  <c r="C28" i="9"/>
  <c r="C22" i="9"/>
  <c r="C27" i="10"/>
  <c r="C11" i="10"/>
  <c r="C24" i="10"/>
  <c r="N24" i="10" s="1"/>
  <c r="C8" i="10"/>
  <c r="C8" i="9"/>
  <c r="C9" i="9"/>
  <c r="C24" i="9"/>
  <c r="C31" i="9"/>
  <c r="C25" i="10"/>
  <c r="C9" i="10"/>
  <c r="C22" i="10"/>
  <c r="C33" i="10"/>
  <c r="C19" i="9"/>
  <c r="G19" i="9" s="1"/>
  <c r="C23" i="9"/>
  <c r="C20" i="9"/>
  <c r="C30" i="9"/>
  <c r="C23" i="10"/>
  <c r="N36" i="1"/>
  <c r="C20" i="10"/>
  <c r="C26" i="9"/>
  <c r="G26" i="9" s="1"/>
  <c r="C16" i="10"/>
  <c r="C10" i="9"/>
  <c r="C14" i="10"/>
  <c r="C33" i="9"/>
  <c r="C15" i="9"/>
  <c r="C16" i="9"/>
  <c r="C14" i="9"/>
  <c r="C21" i="10"/>
  <c r="M36" i="1"/>
  <c r="C18" i="10"/>
  <c r="C29" i="9"/>
  <c r="C25" i="9"/>
  <c r="C30" i="10"/>
  <c r="T30" i="10" s="1"/>
  <c r="T32" i="9"/>
  <c r="U32" i="9" s="1"/>
  <c r="M28" i="10"/>
  <c r="N28" i="10" s="1"/>
  <c r="M8" i="10"/>
  <c r="N8" i="10" s="1"/>
  <c r="M9" i="10"/>
  <c r="N41" i="1"/>
  <c r="S28" i="10"/>
  <c r="S8" i="10"/>
  <c r="S33" i="10"/>
  <c r="F8" i="9"/>
  <c r="L8" i="9" s="1"/>
  <c r="F25" i="9"/>
  <c r="L25" i="9" s="1"/>
  <c r="M25" i="9" s="1"/>
  <c r="F29" i="9"/>
  <c r="L29" i="9" s="1"/>
  <c r="F20" i="9"/>
  <c r="L20" i="9" s="1"/>
  <c r="X33" i="9"/>
  <c r="Y33" i="9" s="1"/>
  <c r="N34" i="5"/>
  <c r="J34" i="5" s="1"/>
  <c r="X20" i="9"/>
  <c r="Y20" i="9" s="1"/>
  <c r="R8" i="9"/>
  <c r="S8" i="9" s="1"/>
  <c r="R33" i="9"/>
  <c r="S33" i="9" s="1"/>
  <c r="T33" i="9" s="1"/>
  <c r="U33" i="9" s="1"/>
  <c r="R30" i="9"/>
  <c r="S30" i="9" s="1"/>
  <c r="T30" i="9" s="1"/>
  <c r="U30" i="9" s="1"/>
  <c r="R21" i="9"/>
  <c r="S21" i="9" s="1"/>
  <c r="T21" i="9" s="1"/>
  <c r="U21" i="9" s="1"/>
  <c r="N37" i="1"/>
  <c r="M20" i="10"/>
  <c r="N20" i="10" s="1"/>
  <c r="M26" i="10"/>
  <c r="M22" i="10"/>
  <c r="N22" i="10" s="1"/>
  <c r="M40" i="1"/>
  <c r="S16" i="10"/>
  <c r="S26" i="10"/>
  <c r="S25" i="10"/>
  <c r="F11" i="9"/>
  <c r="L11" i="9" s="1"/>
  <c r="F31" i="9"/>
  <c r="L31" i="9" s="1"/>
  <c r="F21" i="9"/>
  <c r="L21" i="9" s="1"/>
  <c r="M21" i="9" s="1"/>
  <c r="F12" i="9"/>
  <c r="L12" i="9" s="1"/>
  <c r="X17" i="9"/>
  <c r="Y17" i="9" s="1"/>
  <c r="X31" i="9"/>
  <c r="Y31" i="9" s="1"/>
  <c r="X12" i="9"/>
  <c r="Y12" i="9" s="1"/>
  <c r="R26" i="9"/>
  <c r="S26" i="9" s="1"/>
  <c r="T26" i="9" s="1"/>
  <c r="U26" i="9" s="1"/>
  <c r="R25" i="9"/>
  <c r="S25" i="9" s="1"/>
  <c r="T25" i="9" s="1"/>
  <c r="U25" i="9" s="1"/>
  <c r="R22" i="9"/>
  <c r="S22" i="9" s="1"/>
  <c r="T22" i="9" s="1"/>
  <c r="U22" i="9" s="1"/>
  <c r="R13" i="9"/>
  <c r="S13" i="9" s="1"/>
  <c r="T13" i="9" s="1"/>
  <c r="U13" i="9" s="1"/>
  <c r="T17" i="10"/>
  <c r="F18" i="9"/>
  <c r="L18" i="9" s="1"/>
  <c r="F23" i="9"/>
  <c r="L23" i="9" s="1"/>
  <c r="F13" i="9"/>
  <c r="L13" i="9" s="1"/>
  <c r="X26" i="9"/>
  <c r="Y26" i="9" s="1"/>
  <c r="X32" i="9"/>
  <c r="Y32" i="9" s="1"/>
  <c r="X23" i="9"/>
  <c r="Y23" i="9" s="1"/>
  <c r="M34" i="5"/>
  <c r="I34" i="5" s="1"/>
  <c r="R18" i="9"/>
  <c r="S18" i="9" s="1"/>
  <c r="T18" i="9" s="1"/>
  <c r="U18" i="9" s="1"/>
  <c r="R9" i="9"/>
  <c r="S9" i="9" s="1"/>
  <c r="T9" i="9" s="1"/>
  <c r="U9" i="9" s="1"/>
  <c r="R14" i="9"/>
  <c r="S14" i="9" s="1"/>
  <c r="T14" i="9" s="1"/>
  <c r="U14" i="9" s="1"/>
  <c r="T16" i="9"/>
  <c r="U16" i="9" s="1"/>
  <c r="F33" i="9"/>
  <c r="L33" i="9" s="1"/>
  <c r="F15" i="9"/>
  <c r="L15" i="9" s="1"/>
  <c r="F27" i="9"/>
  <c r="L27" i="9" s="1"/>
  <c r="X25" i="9"/>
  <c r="Y25" i="9" s="1"/>
  <c r="X24" i="9"/>
  <c r="Y24" i="9" s="1"/>
  <c r="X15" i="9"/>
  <c r="Y15" i="9" s="1"/>
  <c r="X27" i="9"/>
  <c r="Y27" i="9" s="1"/>
  <c r="R10" i="9"/>
  <c r="S10" i="9" s="1"/>
  <c r="T10" i="9" s="1"/>
  <c r="U10" i="9" s="1"/>
  <c r="R31" i="9"/>
  <c r="S31" i="9" s="1"/>
  <c r="T31" i="9" s="1"/>
  <c r="U31" i="9" s="1"/>
  <c r="R28" i="9"/>
  <c r="S28" i="9" s="1"/>
  <c r="T28" i="9" s="1"/>
  <c r="U28" i="9" s="1"/>
  <c r="O34" i="4"/>
  <c r="Q32" i="10"/>
  <c r="R14" i="10"/>
  <c r="O15" i="4"/>
  <c r="Q13" i="10"/>
  <c r="R13" i="10" s="1"/>
  <c r="O20" i="4"/>
  <c r="Q18" i="10"/>
  <c r="R18" i="10" s="1"/>
  <c r="O14" i="4"/>
  <c r="Q12" i="10"/>
  <c r="E16" i="9"/>
  <c r="K16" i="9"/>
  <c r="K17" i="9"/>
  <c r="E17" i="9"/>
  <c r="E15" i="9"/>
  <c r="K15" i="9"/>
  <c r="K33" i="9"/>
  <c r="E33" i="9"/>
  <c r="E27" i="9"/>
  <c r="K27" i="9"/>
  <c r="E8" i="9"/>
  <c r="E32" i="9"/>
  <c r="E29" i="9"/>
  <c r="J29" i="9"/>
  <c r="O19" i="4"/>
  <c r="Q17" i="10"/>
  <c r="R17" i="10" s="1"/>
  <c r="U17" i="10" s="1"/>
  <c r="V17" i="10" s="1"/>
  <c r="O25" i="4"/>
  <c r="Q23" i="10"/>
  <c r="R23" i="10" s="1"/>
  <c r="O28" i="4"/>
  <c r="Q26" i="10"/>
  <c r="R26" i="10" s="1"/>
  <c r="L24" i="10"/>
  <c r="R32" i="10"/>
  <c r="O13" i="4"/>
  <c r="Q11" i="10"/>
  <c r="R11" i="10" s="1"/>
  <c r="R26" i="4"/>
  <c r="O30" i="4"/>
  <c r="Q28" i="10"/>
  <c r="O22" i="4"/>
  <c r="Q20" i="10"/>
  <c r="O18" i="4"/>
  <c r="Q16" i="10"/>
  <c r="R16" i="10" s="1"/>
  <c r="K28" i="9"/>
  <c r="E28" i="9"/>
  <c r="E20" i="9"/>
  <c r="K20" i="9"/>
  <c r="E30" i="9"/>
  <c r="K30" i="9"/>
  <c r="E11" i="9"/>
  <c r="K11" i="9"/>
  <c r="E25" i="9"/>
  <c r="K25" i="9"/>
  <c r="O23" i="4"/>
  <c r="Q21" i="10"/>
  <c r="O21" i="4"/>
  <c r="Q19" i="10"/>
  <c r="R19" i="10" s="1"/>
  <c r="O11" i="4"/>
  <c r="Q9" i="10"/>
  <c r="R9" i="10" s="1"/>
  <c r="O12" i="4"/>
  <c r="Q10" i="10"/>
  <c r="R10" i="10" s="1"/>
  <c r="U10" i="10" s="1"/>
  <c r="V10" i="10" s="1"/>
  <c r="R28" i="10"/>
  <c r="E10" i="9"/>
  <c r="R20" i="10"/>
  <c r="O35" i="4"/>
  <c r="Q33" i="10"/>
  <c r="R33" i="10" s="1"/>
  <c r="O32" i="4"/>
  <c r="Q30" i="10"/>
  <c r="R30" i="10" s="1"/>
  <c r="O24" i="4"/>
  <c r="Q22" i="10"/>
  <c r="R22" i="10" s="1"/>
  <c r="O26" i="4"/>
  <c r="Q24" i="10"/>
  <c r="R24" i="10" s="1"/>
  <c r="E26" i="9"/>
  <c r="K26" i="9"/>
  <c r="K12" i="9"/>
  <c r="E12" i="9"/>
  <c r="E23" i="9"/>
  <c r="K23" i="9"/>
  <c r="K21" i="9"/>
  <c r="E21" i="9"/>
  <c r="E22" i="9"/>
  <c r="K22" i="9"/>
  <c r="E13" i="9"/>
  <c r="K13" i="9"/>
  <c r="R12" i="10"/>
  <c r="R21" i="10"/>
  <c r="O31" i="4"/>
  <c r="Q29" i="10"/>
  <c r="R29" i="10" s="1"/>
  <c r="U29" i="10" s="1"/>
  <c r="V29" i="10" s="1"/>
  <c r="O29" i="4"/>
  <c r="Q27" i="10"/>
  <c r="R27" i="10" s="1"/>
  <c r="O27" i="4"/>
  <c r="Q25" i="10"/>
  <c r="R25" i="10" s="1"/>
  <c r="O16" i="4"/>
  <c r="Q14" i="10"/>
  <c r="O10" i="4"/>
  <c r="Q8" i="10"/>
  <c r="R8" i="10" s="1"/>
  <c r="L18" i="10"/>
  <c r="K31" i="9"/>
  <c r="E31" i="9"/>
  <c r="E18" i="9"/>
  <c r="K9" i="9"/>
  <c r="E9" i="9"/>
  <c r="E24" i="9"/>
  <c r="K24" i="9"/>
  <c r="K29" i="9"/>
  <c r="K14" i="9"/>
  <c r="E14" i="9"/>
  <c r="E19" i="9"/>
  <c r="K19" i="9"/>
  <c r="R24" i="4"/>
  <c r="K22" i="10"/>
  <c r="L22" i="10" s="1"/>
  <c r="O22" i="10" s="1"/>
  <c r="R13" i="4"/>
  <c r="K11" i="10"/>
  <c r="L11" i="10" s="1"/>
  <c r="R17" i="4"/>
  <c r="R23" i="4"/>
  <c r="K21" i="10"/>
  <c r="L21" i="10" s="1"/>
  <c r="R14" i="4"/>
  <c r="K12" i="10"/>
  <c r="L12" i="10" s="1"/>
  <c r="R12" i="4"/>
  <c r="R19" i="4"/>
  <c r="K17" i="10"/>
  <c r="L17" i="10" s="1"/>
  <c r="R28" i="4"/>
  <c r="K26" i="10"/>
  <c r="L26" i="10" s="1"/>
  <c r="R22" i="4"/>
  <c r="K20" i="10"/>
  <c r="L20" i="10" s="1"/>
  <c r="R10" i="4"/>
  <c r="K8" i="10"/>
  <c r="L8" i="10" s="1"/>
  <c r="R27" i="4"/>
  <c r="K25" i="10"/>
  <c r="L25" i="10" s="1"/>
  <c r="R33" i="4"/>
  <c r="K31" i="10"/>
  <c r="L31" i="10" s="1"/>
  <c r="R34" i="4"/>
  <c r="K32" i="10"/>
  <c r="L32" i="10" s="1"/>
  <c r="R16" i="4"/>
  <c r="K14" i="10"/>
  <c r="L14" i="10" s="1"/>
  <c r="R18" i="4"/>
  <c r="K16" i="10"/>
  <c r="L16" i="10" s="1"/>
  <c r="M38" i="1"/>
  <c r="N38" i="1"/>
  <c r="R32" i="4"/>
  <c r="K30" i="10"/>
  <c r="L30" i="10" s="1"/>
  <c r="R15" i="4"/>
  <c r="K13" i="10"/>
  <c r="L13" i="10" s="1"/>
  <c r="R30" i="4"/>
  <c r="K28" i="10"/>
  <c r="L28" i="10" s="1"/>
  <c r="R11" i="4"/>
  <c r="K9" i="10"/>
  <c r="L9" i="10" s="1"/>
  <c r="R35" i="4"/>
  <c r="K33" i="10"/>
  <c r="L33" i="10" s="1"/>
  <c r="R31" i="4"/>
  <c r="K29" i="10"/>
  <c r="L29" i="10" s="1"/>
  <c r="R21" i="4"/>
  <c r="K19" i="10"/>
  <c r="L19" i="10" s="1"/>
  <c r="G34" i="5"/>
  <c r="H35" i="5"/>
  <c r="K35" i="5"/>
  <c r="L34" i="5"/>
  <c r="E40" i="1"/>
  <c r="F8" i="4"/>
  <c r="F37" i="1" s="1"/>
  <c r="E37" i="1"/>
  <c r="B38" i="1"/>
  <c r="G29" i="4" s="1"/>
  <c r="I29" i="4" s="1"/>
  <c r="J18" i="4"/>
  <c r="J26" i="4"/>
  <c r="J34" i="4"/>
  <c r="J35" i="4"/>
  <c r="J12" i="4"/>
  <c r="J20" i="4"/>
  <c r="J28" i="4"/>
  <c r="J13" i="4"/>
  <c r="J21" i="4"/>
  <c r="J29" i="4"/>
  <c r="J17" i="4"/>
  <c r="J14" i="4"/>
  <c r="J22" i="4"/>
  <c r="J30" i="4"/>
  <c r="J15" i="4"/>
  <c r="J23" i="4"/>
  <c r="J31" i="4"/>
  <c r="J33" i="4"/>
  <c r="J11" i="4"/>
  <c r="J27" i="4"/>
  <c r="J10" i="4"/>
  <c r="D8" i="10" s="1"/>
  <c r="J16" i="4"/>
  <c r="J24" i="4"/>
  <c r="J32" i="4"/>
  <c r="J25" i="4"/>
  <c r="J19" i="4"/>
  <c r="C39" i="1"/>
  <c r="K34" i="5" l="1"/>
  <c r="T8" i="9"/>
  <c r="U8" i="9" s="1"/>
  <c r="F28" i="13"/>
  <c r="F10" i="13"/>
  <c r="F29" i="13"/>
  <c r="F11" i="13"/>
  <c r="T16" i="10"/>
  <c r="U16" i="10"/>
  <c r="V16" i="10" s="1"/>
  <c r="T33" i="10"/>
  <c r="U33" i="10" s="1"/>
  <c r="V33" i="10" s="1"/>
  <c r="T9" i="10"/>
  <c r="T8" i="10"/>
  <c r="T23" i="10"/>
  <c r="U23" i="10" s="1"/>
  <c r="V23" i="10" s="1"/>
  <c r="O8" i="4"/>
  <c r="F40" i="1" s="1"/>
  <c r="N26" i="10"/>
  <c r="O26" i="10" s="1"/>
  <c r="P26" i="10" s="1"/>
  <c r="T14" i="10"/>
  <c r="O19" i="10"/>
  <c r="G32" i="9"/>
  <c r="H34" i="5"/>
  <c r="U8" i="10"/>
  <c r="V8" i="10" s="1"/>
  <c r="T19" i="10"/>
  <c r="U19" i="10" s="1"/>
  <c r="V19" i="10" s="1"/>
  <c r="U22" i="10"/>
  <c r="V22" i="10" s="1"/>
  <c r="T25" i="10"/>
  <c r="U25" i="10" s="1"/>
  <c r="V25" i="10" s="1"/>
  <c r="O12" i="10"/>
  <c r="N18" i="10"/>
  <c r="O18" i="10" s="1"/>
  <c r="P18" i="10" s="1"/>
  <c r="T31" i="10"/>
  <c r="U31" i="10" s="1"/>
  <c r="V31" i="10" s="1"/>
  <c r="T22" i="10"/>
  <c r="T11" i="10"/>
  <c r="U9" i="10"/>
  <c r="V9" i="10" s="1"/>
  <c r="N16" i="10"/>
  <c r="O16" i="10" s="1"/>
  <c r="P16" i="10" s="1"/>
  <c r="N31" i="10"/>
  <c r="O31" i="10" s="1"/>
  <c r="P31" i="10" s="1"/>
  <c r="O20" i="10"/>
  <c r="P20" i="10" s="1"/>
  <c r="H19" i="9"/>
  <c r="I19" i="9" s="1"/>
  <c r="T24" i="10"/>
  <c r="U30" i="10"/>
  <c r="V30" i="10" s="1"/>
  <c r="T21" i="10"/>
  <c r="U21" i="10" s="1"/>
  <c r="V21" i="10" s="1"/>
  <c r="G8" i="9"/>
  <c r="M8" i="9"/>
  <c r="M17" i="9"/>
  <c r="G17" i="9"/>
  <c r="H17" i="9" s="1"/>
  <c r="I17" i="9" s="1"/>
  <c r="G27" i="9"/>
  <c r="H27" i="9" s="1"/>
  <c r="I27" i="9" s="1"/>
  <c r="M27" i="9"/>
  <c r="N27" i="9" s="1"/>
  <c r="O27" i="9" s="1"/>
  <c r="N15" i="10"/>
  <c r="O15" i="10" s="1"/>
  <c r="P15" i="10" s="1"/>
  <c r="T15" i="10"/>
  <c r="U15" i="10" s="1"/>
  <c r="V15" i="10" s="1"/>
  <c r="N33" i="10"/>
  <c r="O33" i="10" s="1"/>
  <c r="P33" i="10" s="1"/>
  <c r="O32" i="10"/>
  <c r="N17" i="9"/>
  <c r="O17" i="9" s="1"/>
  <c r="G24" i="9"/>
  <c r="H24" i="9" s="1"/>
  <c r="I24" i="9" s="1"/>
  <c r="M24" i="9"/>
  <c r="N24" i="9" s="1"/>
  <c r="O24" i="9" s="1"/>
  <c r="G23" i="9"/>
  <c r="H23" i="9" s="1"/>
  <c r="I23" i="9" s="1"/>
  <c r="M23" i="9"/>
  <c r="N23" i="9" s="1"/>
  <c r="O23" i="9" s="1"/>
  <c r="M18" i="9"/>
  <c r="N18" i="9" s="1"/>
  <c r="O18" i="9" s="1"/>
  <c r="G18" i="9"/>
  <c r="H18" i="9" s="1"/>
  <c r="I18" i="9" s="1"/>
  <c r="N17" i="10"/>
  <c r="N23" i="10"/>
  <c r="O23" i="10" s="1"/>
  <c r="N27" i="10"/>
  <c r="O27" i="10" s="1"/>
  <c r="U14" i="10"/>
  <c r="V14" i="10" s="1"/>
  <c r="M10" i="9"/>
  <c r="N10" i="9" s="1"/>
  <c r="O10" i="9" s="1"/>
  <c r="G10" i="9"/>
  <c r="H10" i="9" s="1"/>
  <c r="I10" i="9" s="1"/>
  <c r="M13" i="9"/>
  <c r="N13" i="9" s="1"/>
  <c r="O13" i="9" s="1"/>
  <c r="G13" i="9"/>
  <c r="H13" i="9" s="1"/>
  <c r="I13" i="9" s="1"/>
  <c r="M14" i="9"/>
  <c r="G14" i="9"/>
  <c r="H14" i="9" s="1"/>
  <c r="I14" i="9" s="1"/>
  <c r="T20" i="10"/>
  <c r="U20" i="10" s="1"/>
  <c r="V20" i="10" s="1"/>
  <c r="G21" i="9"/>
  <c r="H21" i="9" s="1"/>
  <c r="I21" i="9" s="1"/>
  <c r="N14" i="10"/>
  <c r="O14" i="10" s="1"/>
  <c r="P14" i="10" s="1"/>
  <c r="N25" i="10"/>
  <c r="O25" i="10" s="1"/>
  <c r="P25" i="10" s="1"/>
  <c r="N29" i="10"/>
  <c r="M26" i="9"/>
  <c r="N26" i="9" s="1"/>
  <c r="O26" i="9" s="1"/>
  <c r="G28" i="9"/>
  <c r="H28" i="9" s="1"/>
  <c r="I28" i="9" s="1"/>
  <c r="M28" i="9"/>
  <c r="M9" i="9"/>
  <c r="N9" i="9" s="1"/>
  <c r="O9" i="9" s="1"/>
  <c r="G9" i="9"/>
  <c r="O28" i="10"/>
  <c r="P28" i="10" s="1"/>
  <c r="T18" i="10"/>
  <c r="U18" i="10" s="1"/>
  <c r="V18" i="10" s="1"/>
  <c r="G16" i="9"/>
  <c r="H16" i="9" s="1"/>
  <c r="I16" i="9" s="1"/>
  <c r="M16" i="9"/>
  <c r="N16" i="9" s="1"/>
  <c r="O16" i="9" s="1"/>
  <c r="T26" i="10"/>
  <c r="U26" i="10" s="1"/>
  <c r="V26" i="10" s="1"/>
  <c r="M12" i="9"/>
  <c r="N12" i="9" s="1"/>
  <c r="O12" i="9" s="1"/>
  <c r="G12" i="9"/>
  <c r="H12" i="9" s="1"/>
  <c r="I12" i="9" s="1"/>
  <c r="N13" i="10"/>
  <c r="O13" i="10" s="1"/>
  <c r="P13" i="10" s="1"/>
  <c r="N11" i="10"/>
  <c r="O11" i="10" s="1"/>
  <c r="P11" i="10" s="1"/>
  <c r="M19" i="9"/>
  <c r="N19" i="9" s="1"/>
  <c r="O19" i="9" s="1"/>
  <c r="N10" i="10"/>
  <c r="O10" i="10" s="1"/>
  <c r="P10" i="10" s="1"/>
  <c r="M29" i="9"/>
  <c r="N29" i="9" s="1"/>
  <c r="O29" i="9" s="1"/>
  <c r="G29" i="9"/>
  <c r="G20" i="9"/>
  <c r="H20" i="9" s="1"/>
  <c r="I20" i="9" s="1"/>
  <c r="M20" i="9"/>
  <c r="N20" i="9" s="1"/>
  <c r="O20" i="9" s="1"/>
  <c r="G11" i="9"/>
  <c r="H11" i="9" s="1"/>
  <c r="I11" i="9" s="1"/>
  <c r="M11" i="9"/>
  <c r="N11" i="9" s="1"/>
  <c r="O11" i="9" s="1"/>
  <c r="H9" i="9"/>
  <c r="I9" i="9" s="1"/>
  <c r="O17" i="10"/>
  <c r="P17" i="10" s="1"/>
  <c r="N21" i="9"/>
  <c r="O21" i="9" s="1"/>
  <c r="N25" i="9"/>
  <c r="O25" i="9" s="1"/>
  <c r="O24" i="10"/>
  <c r="H29" i="9"/>
  <c r="I29" i="9" s="1"/>
  <c r="M15" i="9"/>
  <c r="N15" i="9" s="1"/>
  <c r="O15" i="9" s="1"/>
  <c r="G15" i="9"/>
  <c r="H15" i="9" s="1"/>
  <c r="I15" i="9" s="1"/>
  <c r="T13" i="10"/>
  <c r="U13" i="10" s="1"/>
  <c r="V13" i="10" s="1"/>
  <c r="T12" i="10"/>
  <c r="U12" i="10" s="1"/>
  <c r="V12" i="10" s="1"/>
  <c r="N21" i="10"/>
  <c r="O21" i="10" s="1"/>
  <c r="P21" i="10" s="1"/>
  <c r="M32" i="9"/>
  <c r="N32" i="9" s="1"/>
  <c r="O32" i="9" s="1"/>
  <c r="O29" i="10"/>
  <c r="P29" i="10" s="1"/>
  <c r="N14" i="9"/>
  <c r="O14" i="9" s="1"/>
  <c r="O8" i="10"/>
  <c r="P8" i="10" s="1"/>
  <c r="W8" i="10" s="1"/>
  <c r="U24" i="10"/>
  <c r="V24" i="10" s="1"/>
  <c r="U11" i="10"/>
  <c r="V11" i="10" s="1"/>
  <c r="N28" i="9"/>
  <c r="O28" i="9" s="1"/>
  <c r="N9" i="10"/>
  <c r="O9" i="10" s="1"/>
  <c r="P9" i="10" s="1"/>
  <c r="G25" i="9"/>
  <c r="H25" i="9" s="1"/>
  <c r="I25" i="9" s="1"/>
  <c r="G33" i="9"/>
  <c r="H33" i="9" s="1"/>
  <c r="I33" i="9" s="1"/>
  <c r="M33" i="9"/>
  <c r="N33" i="9" s="1"/>
  <c r="O33" i="9" s="1"/>
  <c r="G30" i="9"/>
  <c r="H30" i="9" s="1"/>
  <c r="I30" i="9" s="1"/>
  <c r="M30" i="9"/>
  <c r="N30" i="9" s="1"/>
  <c r="O30" i="9" s="1"/>
  <c r="M31" i="9"/>
  <c r="N31" i="9" s="1"/>
  <c r="O31" i="9" s="1"/>
  <c r="G31" i="9"/>
  <c r="H31" i="9" s="1"/>
  <c r="I31" i="9" s="1"/>
  <c r="M22" i="9"/>
  <c r="N22" i="9" s="1"/>
  <c r="O22" i="9" s="1"/>
  <c r="G22" i="9"/>
  <c r="H22" i="9" s="1"/>
  <c r="I22" i="9" s="1"/>
  <c r="T28" i="10"/>
  <c r="U28" i="10" s="1"/>
  <c r="V28" i="10" s="1"/>
  <c r="T27" i="10"/>
  <c r="U27" i="10" s="1"/>
  <c r="V27" i="10" s="1"/>
  <c r="N30" i="10"/>
  <c r="O30" i="10" s="1"/>
  <c r="P30" i="10" s="1"/>
  <c r="T32" i="10"/>
  <c r="U32" i="10" s="1"/>
  <c r="V32" i="10" s="1"/>
  <c r="H32" i="9"/>
  <c r="I32" i="9" s="1"/>
  <c r="H26" i="9"/>
  <c r="I26" i="9" s="1"/>
  <c r="P27" i="10"/>
  <c r="P22" i="10"/>
  <c r="P12" i="10"/>
  <c r="P32" i="10"/>
  <c r="P24" i="10"/>
  <c r="P19" i="10"/>
  <c r="P23" i="10"/>
  <c r="E41" i="1"/>
  <c r="L34" i="4"/>
  <c r="D32" i="10"/>
  <c r="E32" i="10" s="1"/>
  <c r="L17" i="4"/>
  <c r="D15" i="10"/>
  <c r="E15" i="10" s="1"/>
  <c r="L23" i="4"/>
  <c r="D21" i="10"/>
  <c r="E21" i="10" s="1"/>
  <c r="R8" i="4"/>
  <c r="F41" i="1" s="1"/>
  <c r="L27" i="4"/>
  <c r="D25" i="10"/>
  <c r="E25" i="10" s="1"/>
  <c r="L14" i="4"/>
  <c r="D12" i="10"/>
  <c r="E12" i="10" s="1"/>
  <c r="L25" i="4"/>
  <c r="D23" i="10"/>
  <c r="E23" i="10" s="1"/>
  <c r="L31" i="4"/>
  <c r="D29" i="10"/>
  <c r="E29" i="10" s="1"/>
  <c r="L21" i="4"/>
  <c r="D19" i="10"/>
  <c r="E19" i="10" s="1"/>
  <c r="L32" i="4"/>
  <c r="D30" i="10"/>
  <c r="E30" i="10" s="1"/>
  <c r="L13" i="4"/>
  <c r="D11" i="10"/>
  <c r="E11" i="10" s="1"/>
  <c r="L24" i="4"/>
  <c r="D22" i="10"/>
  <c r="E22" i="10" s="1"/>
  <c r="L15" i="4"/>
  <c r="D13" i="10"/>
  <c r="E13" i="10" s="1"/>
  <c r="L28" i="4"/>
  <c r="D26" i="10"/>
  <c r="E26" i="10" s="1"/>
  <c r="L16" i="4"/>
  <c r="D14" i="10"/>
  <c r="E14" i="10" s="1"/>
  <c r="L30" i="4"/>
  <c r="D28" i="10"/>
  <c r="E28" i="10" s="1"/>
  <c r="L20" i="4"/>
  <c r="D18" i="10"/>
  <c r="E18" i="10" s="1"/>
  <c r="L35" i="4"/>
  <c r="D33" i="10"/>
  <c r="E33" i="10" s="1"/>
  <c r="F33" i="10"/>
  <c r="G33" i="10" s="1"/>
  <c r="F31" i="10"/>
  <c r="G31" i="10" s="1"/>
  <c r="F29" i="10"/>
  <c r="G29" i="10" s="1"/>
  <c r="F27" i="10"/>
  <c r="G27" i="10" s="1"/>
  <c r="F25" i="10"/>
  <c r="G25" i="10" s="1"/>
  <c r="F23" i="10"/>
  <c r="G23" i="10" s="1"/>
  <c r="F21" i="10"/>
  <c r="G21" i="10" s="1"/>
  <c r="F19" i="10"/>
  <c r="G19" i="10" s="1"/>
  <c r="F17" i="10"/>
  <c r="G17" i="10" s="1"/>
  <c r="F15" i="10"/>
  <c r="G15" i="10" s="1"/>
  <c r="F13" i="10"/>
  <c r="G13" i="10" s="1"/>
  <c r="F11" i="10"/>
  <c r="G11" i="10" s="1"/>
  <c r="F9" i="10"/>
  <c r="G9" i="10" s="1"/>
  <c r="N39" i="1"/>
  <c r="M39" i="1"/>
  <c r="F32" i="10"/>
  <c r="G32" i="10" s="1"/>
  <c r="F30" i="10"/>
  <c r="G30" i="10" s="1"/>
  <c r="F28" i="10"/>
  <c r="G28" i="10" s="1"/>
  <c r="F26" i="10"/>
  <c r="G26" i="10" s="1"/>
  <c r="F24" i="10"/>
  <c r="G24" i="10" s="1"/>
  <c r="F22" i="10"/>
  <c r="G22" i="10" s="1"/>
  <c r="F20" i="10"/>
  <c r="G20" i="10" s="1"/>
  <c r="F18" i="10"/>
  <c r="G18" i="10" s="1"/>
  <c r="F16" i="10"/>
  <c r="G16" i="10" s="1"/>
  <c r="F14" i="10"/>
  <c r="G14" i="10" s="1"/>
  <c r="F12" i="10"/>
  <c r="G12" i="10" s="1"/>
  <c r="F10" i="10"/>
  <c r="G10" i="10" s="1"/>
  <c r="F8" i="10"/>
  <c r="L18" i="4"/>
  <c r="D16" i="10"/>
  <c r="E16" i="10" s="1"/>
  <c r="L22" i="4"/>
  <c r="D20" i="10"/>
  <c r="E20" i="10" s="1"/>
  <c r="L12" i="4"/>
  <c r="D10" i="10"/>
  <c r="E10" i="10" s="1"/>
  <c r="L11" i="4"/>
  <c r="D9" i="10"/>
  <c r="E9" i="10" s="1"/>
  <c r="L19" i="4"/>
  <c r="D17" i="10"/>
  <c r="E17" i="10" s="1"/>
  <c r="L33" i="4"/>
  <c r="D31" i="10"/>
  <c r="E31" i="10" s="1"/>
  <c r="L29" i="4"/>
  <c r="D27" i="10"/>
  <c r="E27" i="10" s="1"/>
  <c r="L26" i="4"/>
  <c r="D24" i="10"/>
  <c r="E24" i="10" s="1"/>
  <c r="H24" i="10" s="1"/>
  <c r="I24" i="10" s="1"/>
  <c r="J24" i="10" s="1"/>
  <c r="W24" i="10" s="1"/>
  <c r="J35" i="5"/>
  <c r="I33" i="5"/>
  <c r="K33" i="5"/>
  <c r="G33" i="5"/>
  <c r="J33" i="5"/>
  <c r="H33" i="5"/>
  <c r="L33" i="5"/>
  <c r="G35" i="5"/>
  <c r="I35" i="5"/>
  <c r="L35" i="5"/>
  <c r="J38" i="1"/>
  <c r="L38" i="1"/>
  <c r="H38" i="1"/>
  <c r="G40" i="1"/>
  <c r="I40" i="1"/>
  <c r="K40" i="1"/>
  <c r="I36" i="1"/>
  <c r="G36" i="1"/>
  <c r="K36" i="1"/>
  <c r="H40" i="1"/>
  <c r="L40" i="1"/>
  <c r="J40" i="1"/>
  <c r="H41" i="1"/>
  <c r="J41" i="1"/>
  <c r="L41" i="1"/>
  <c r="G37" i="1"/>
  <c r="I37" i="1"/>
  <c r="K37" i="1"/>
  <c r="H37" i="1"/>
  <c r="J37" i="1"/>
  <c r="L37" i="1"/>
  <c r="I41" i="1"/>
  <c r="G41" i="1"/>
  <c r="K41" i="1"/>
  <c r="K38" i="1"/>
  <c r="G38" i="1"/>
  <c r="I38" i="1"/>
  <c r="J36" i="1"/>
  <c r="H36" i="1"/>
  <c r="L36" i="1"/>
  <c r="G19" i="4"/>
  <c r="I19" i="4" s="1"/>
  <c r="G34" i="4"/>
  <c r="I34" i="4" s="1"/>
  <c r="G22" i="4"/>
  <c r="I22" i="4" s="1"/>
  <c r="G18" i="4"/>
  <c r="I18" i="4" s="1"/>
  <c r="G32" i="4"/>
  <c r="I32" i="4" s="1"/>
  <c r="G31" i="4"/>
  <c r="I31" i="4" s="1"/>
  <c r="G12" i="4"/>
  <c r="I12" i="4" s="1"/>
  <c r="G24" i="4"/>
  <c r="I24" i="4" s="1"/>
  <c r="G21" i="4"/>
  <c r="I21" i="4" s="1"/>
  <c r="G15" i="4"/>
  <c r="I15" i="4" s="1"/>
  <c r="G13" i="4"/>
  <c r="I13" i="4" s="1"/>
  <c r="G27" i="4"/>
  <c r="I27" i="4" s="1"/>
  <c r="G20" i="4"/>
  <c r="I20" i="4" s="1"/>
  <c r="G10" i="4"/>
  <c r="G26" i="4"/>
  <c r="I26" i="4" s="1"/>
  <c r="G14" i="4"/>
  <c r="I14" i="4" s="1"/>
  <c r="G33" i="4"/>
  <c r="I33" i="4" s="1"/>
  <c r="G25" i="4"/>
  <c r="I25" i="4" s="1"/>
  <c r="G17" i="4"/>
  <c r="I17" i="4" s="1"/>
  <c r="G23" i="4"/>
  <c r="I23" i="4" s="1"/>
  <c r="G16" i="4"/>
  <c r="I16" i="4" s="1"/>
  <c r="G35" i="4"/>
  <c r="I35" i="4" s="1"/>
  <c r="G11" i="4"/>
  <c r="I11" i="4" s="1"/>
  <c r="G30" i="4"/>
  <c r="I30" i="4" s="1"/>
  <c r="G28" i="4"/>
  <c r="I28" i="4" s="1"/>
  <c r="E39" i="1"/>
  <c r="D29" i="13" l="1"/>
  <c r="H29" i="13" s="1"/>
  <c r="C29" i="13"/>
  <c r="G29" i="13" s="1"/>
  <c r="E29" i="13"/>
  <c r="I29" i="13" s="1"/>
  <c r="H8" i="9"/>
  <c r="I8" i="9" s="1"/>
  <c r="F8" i="13"/>
  <c r="F26" i="13"/>
  <c r="C11" i="13"/>
  <c r="G11" i="13" s="1"/>
  <c r="E11" i="13"/>
  <c r="I11" i="13" s="1"/>
  <c r="D11" i="13"/>
  <c r="H11" i="13" s="1"/>
  <c r="D10" i="13"/>
  <c r="H10" i="13" s="1"/>
  <c r="C10" i="13"/>
  <c r="G10" i="13" s="1"/>
  <c r="J10" i="13" s="1"/>
  <c r="E10" i="13"/>
  <c r="I10" i="13" s="1"/>
  <c r="F34" i="13"/>
  <c r="F16" i="13"/>
  <c r="D28" i="13"/>
  <c r="H28" i="13" s="1"/>
  <c r="C28" i="13"/>
  <c r="G28" i="13" s="1"/>
  <c r="E28" i="13"/>
  <c r="I28" i="13" s="1"/>
  <c r="F33" i="13"/>
  <c r="F32" i="13"/>
  <c r="F14" i="13"/>
  <c r="N8" i="9"/>
  <c r="O8" i="9" s="1"/>
  <c r="F27" i="13"/>
  <c r="F9" i="13"/>
  <c r="F15" i="13"/>
  <c r="H28" i="10"/>
  <c r="I28" i="10" s="1"/>
  <c r="H31" i="10"/>
  <c r="I31" i="10" s="1"/>
  <c r="H20" i="10"/>
  <c r="I20" i="10" s="1"/>
  <c r="H33" i="10"/>
  <c r="I33" i="10" s="1"/>
  <c r="H26" i="10"/>
  <c r="I26" i="10" s="1"/>
  <c r="H30" i="10"/>
  <c r="I30" i="10" s="1"/>
  <c r="H12" i="10"/>
  <c r="I12" i="10" s="1"/>
  <c r="L8" i="4"/>
  <c r="F39" i="1" s="1"/>
  <c r="H17" i="10"/>
  <c r="I17" i="10" s="1"/>
  <c r="H9" i="10"/>
  <c r="I9" i="10" s="1"/>
  <c r="J9" i="10" s="1"/>
  <c r="H22" i="10"/>
  <c r="I22" i="10" s="1"/>
  <c r="H29" i="10"/>
  <c r="I29" i="10" s="1"/>
  <c r="H21" i="10"/>
  <c r="I21" i="10" s="1"/>
  <c r="H27" i="10"/>
  <c r="I27" i="10" s="1"/>
  <c r="H10" i="10"/>
  <c r="I10" i="10" s="1"/>
  <c r="H14" i="10"/>
  <c r="I14" i="10" s="1"/>
  <c r="H11" i="10"/>
  <c r="I11" i="10" s="1"/>
  <c r="H23" i="10"/>
  <c r="I23" i="10" s="1"/>
  <c r="H15" i="10"/>
  <c r="I15" i="10" s="1"/>
  <c r="H32" i="10"/>
  <c r="I32" i="10" s="1"/>
  <c r="H16" i="10"/>
  <c r="I16" i="10" s="1"/>
  <c r="H18" i="10"/>
  <c r="I18" i="10" s="1"/>
  <c r="H13" i="10"/>
  <c r="I13" i="10" s="1"/>
  <c r="H19" i="10"/>
  <c r="I19" i="10" s="1"/>
  <c r="H25" i="10"/>
  <c r="I25" i="10" s="1"/>
  <c r="T34" i="5"/>
  <c r="T35" i="5"/>
  <c r="V34" i="5"/>
  <c r="V35" i="5"/>
  <c r="U35" i="5"/>
  <c r="U34" i="5"/>
  <c r="S34" i="5"/>
  <c r="S35" i="5"/>
  <c r="I39" i="1"/>
  <c r="G39" i="1"/>
  <c r="K39" i="1"/>
  <c r="L39" i="1"/>
  <c r="H39" i="1"/>
  <c r="J39" i="1"/>
  <c r="I8" i="4"/>
  <c r="F38" i="1" s="1"/>
  <c r="E38" i="1"/>
  <c r="J10" i="10" l="1"/>
  <c r="W10" i="10" s="1"/>
  <c r="J18" i="10"/>
  <c r="W18" i="10" s="1"/>
  <c r="J28" i="13"/>
  <c r="J16" i="10"/>
  <c r="W16" i="10" s="1"/>
  <c r="C13" i="11" s="1"/>
  <c r="C22" i="11"/>
  <c r="J26" i="10"/>
  <c r="W26" i="10" s="1"/>
  <c r="D9" i="13"/>
  <c r="H9" i="13" s="1"/>
  <c r="E9" i="13"/>
  <c r="I9" i="13" s="1"/>
  <c r="C9" i="13"/>
  <c r="G9" i="13" s="1"/>
  <c r="J9" i="13" s="1"/>
  <c r="J11" i="13"/>
  <c r="J30" i="10"/>
  <c r="W30" i="10" s="1"/>
  <c r="C17" i="11"/>
  <c r="J21" i="10"/>
  <c r="W21" i="10" s="1"/>
  <c r="C18" i="11" s="1"/>
  <c r="J32" i="10"/>
  <c r="W32" i="10" s="1"/>
  <c r="C29" i="11" s="1"/>
  <c r="J29" i="10"/>
  <c r="W29" i="10" s="1"/>
  <c r="C26" i="11" s="1"/>
  <c r="J33" i="10"/>
  <c r="W33" i="10" s="1"/>
  <c r="C30" i="11" s="1"/>
  <c r="E27" i="13"/>
  <c r="I27" i="13" s="1"/>
  <c r="C27" i="13"/>
  <c r="G27" i="13" s="1"/>
  <c r="D27" i="13"/>
  <c r="H27" i="13" s="1"/>
  <c r="E16" i="13"/>
  <c r="I16" i="13" s="1"/>
  <c r="D16" i="13"/>
  <c r="H16" i="13" s="1"/>
  <c r="C16" i="13"/>
  <c r="G16" i="13" s="1"/>
  <c r="E26" i="13"/>
  <c r="D26" i="13"/>
  <c r="F25" i="13"/>
  <c r="F24" i="13" s="1"/>
  <c r="C26" i="13"/>
  <c r="J12" i="10"/>
  <c r="W12" i="10" s="1"/>
  <c r="J15" i="10"/>
  <c r="W15" i="10" s="1"/>
  <c r="C12" i="11" s="1"/>
  <c r="J22" i="10"/>
  <c r="W22" i="10" s="1"/>
  <c r="C16" i="11"/>
  <c r="J20" i="10"/>
  <c r="W20" i="10" s="1"/>
  <c r="E34" i="13"/>
  <c r="I34" i="13" s="1"/>
  <c r="D34" i="13"/>
  <c r="H34" i="13" s="1"/>
  <c r="C34" i="13"/>
  <c r="G34" i="13" s="1"/>
  <c r="J34" i="13" s="1"/>
  <c r="E8" i="13"/>
  <c r="F7" i="13"/>
  <c r="F6" i="13" s="1"/>
  <c r="C8" i="13"/>
  <c r="D8" i="13"/>
  <c r="C23" i="11"/>
  <c r="J27" i="10"/>
  <c r="W27" i="10" s="1"/>
  <c r="C15" i="13"/>
  <c r="G15" i="13" s="1"/>
  <c r="J15" i="13" s="1"/>
  <c r="E15" i="13"/>
  <c r="I15" i="13" s="1"/>
  <c r="D15" i="13"/>
  <c r="H15" i="13" s="1"/>
  <c r="C19" i="11"/>
  <c r="J23" i="10"/>
  <c r="W23" i="10" s="1"/>
  <c r="C20" i="11" s="1"/>
  <c r="W9" i="10"/>
  <c r="C6" i="11" s="1"/>
  <c r="C27" i="11"/>
  <c r="J31" i="10"/>
  <c r="W31" i="10" s="1"/>
  <c r="C28" i="11" s="1"/>
  <c r="E14" i="13"/>
  <c r="F13" i="13"/>
  <c r="C14" i="13"/>
  <c r="C13" i="13" s="1"/>
  <c r="D14" i="13"/>
  <c r="AB8" i="9"/>
  <c r="B5" i="11" s="1"/>
  <c r="C9" i="11"/>
  <c r="J13" i="10"/>
  <c r="W13" i="10" s="1"/>
  <c r="C10" i="11" s="1"/>
  <c r="C21" i="11"/>
  <c r="J25" i="10"/>
  <c r="W25" i="10" s="1"/>
  <c r="C7" i="11"/>
  <c r="J11" i="10"/>
  <c r="W11" i="10" s="1"/>
  <c r="C8" i="11" s="1"/>
  <c r="J17" i="10"/>
  <c r="W17" i="10" s="1"/>
  <c r="C14" i="11" s="1"/>
  <c r="C24" i="11"/>
  <c r="J28" i="10"/>
  <c r="W28" i="10" s="1"/>
  <c r="C25" i="11" s="1"/>
  <c r="E32" i="13"/>
  <c r="C32" i="13"/>
  <c r="F31" i="13"/>
  <c r="D32" i="13"/>
  <c r="C15" i="11"/>
  <c r="J19" i="10"/>
  <c r="W19" i="10" s="1"/>
  <c r="J14" i="10"/>
  <c r="W14" i="10" s="1"/>
  <c r="C11" i="11" s="1"/>
  <c r="E33" i="13"/>
  <c r="I33" i="13" s="1"/>
  <c r="D33" i="13"/>
  <c r="H33" i="13" s="1"/>
  <c r="C33" i="13"/>
  <c r="G33" i="13" s="1"/>
  <c r="J33" i="13" s="1"/>
  <c r="J29" i="13"/>
  <c r="C5" i="11"/>
  <c r="H26" i="13" l="1"/>
  <c r="H25" i="13" s="1"/>
  <c r="H24" i="13" s="1"/>
  <c r="D25" i="13"/>
  <c r="D24" i="13" s="1"/>
  <c r="C31" i="13"/>
  <c r="I14" i="13"/>
  <c r="I13" i="13" s="1"/>
  <c r="E13" i="13"/>
  <c r="I26" i="13"/>
  <c r="I25" i="13" s="1"/>
  <c r="I24" i="13" s="1"/>
  <c r="E25" i="13"/>
  <c r="E24" i="13" s="1"/>
  <c r="C7" i="13"/>
  <c r="C6" i="13" s="1"/>
  <c r="G8" i="13"/>
  <c r="E31" i="13"/>
  <c r="I8" i="13"/>
  <c r="E7" i="13"/>
  <c r="E6" i="13" s="1"/>
  <c r="J16" i="13"/>
  <c r="D31" i="13"/>
  <c r="H32" i="13"/>
  <c r="H31" i="13" s="1"/>
  <c r="J31" i="13"/>
  <c r="B37" i="10"/>
  <c r="I7" i="13"/>
  <c r="I6" i="13" s="1"/>
  <c r="J32" i="13"/>
  <c r="H8" i="13"/>
  <c r="H7" i="13" s="1"/>
  <c r="H6" i="13" s="1"/>
  <c r="D7" i="13"/>
  <c r="D6" i="13" s="1"/>
  <c r="B36" i="10"/>
  <c r="D13" i="13"/>
  <c r="H14" i="13"/>
  <c r="H13" i="13" s="1"/>
  <c r="J14" i="13"/>
  <c r="C25" i="13"/>
  <c r="C24" i="13" s="1"/>
  <c r="G26" i="13"/>
  <c r="J27" i="13"/>
  <c r="C36" i="11"/>
  <c r="D40" i="11" s="1"/>
  <c r="C35" i="11"/>
  <c r="C40" i="11" s="1"/>
  <c r="D5" i="11"/>
  <c r="H36" i="13" l="1"/>
  <c r="J8" i="13"/>
  <c r="J7" i="13" s="1"/>
  <c r="J6" i="13" s="1"/>
  <c r="G14" i="13"/>
  <c r="G13" i="13" s="1"/>
  <c r="G7" i="13"/>
  <c r="G6" i="13" s="1"/>
  <c r="G18" i="13" s="1"/>
  <c r="H18" i="13"/>
  <c r="G25" i="13"/>
  <c r="G24" i="13" s="1"/>
  <c r="G32" i="13"/>
  <c r="G31" i="13" s="1"/>
  <c r="J26" i="13"/>
  <c r="J25" i="13" s="1"/>
  <c r="J24" i="13" s="1"/>
  <c r="J36" i="13" s="1"/>
  <c r="I18" i="13"/>
  <c r="J13" i="13"/>
  <c r="J18" i="13" s="1"/>
  <c r="I32" i="13"/>
  <c r="I31" i="13" s="1"/>
  <c r="I36" i="13" s="1"/>
  <c r="F9" i="6"/>
  <c r="V8" i="9" s="1"/>
  <c r="F10" i="6"/>
  <c r="V9" i="9" s="1"/>
  <c r="W9" i="9" s="1"/>
  <c r="Z9" i="9" s="1"/>
  <c r="AA9" i="9" s="1"/>
  <c r="AB9" i="9" s="1"/>
  <c r="B6" i="11" s="1"/>
  <c r="F32" i="6"/>
  <c r="V31" i="9" s="1"/>
  <c r="W31" i="9" s="1"/>
  <c r="Z31" i="9" s="1"/>
  <c r="AA31" i="9" s="1"/>
  <c r="AB31" i="9" s="1"/>
  <c r="B28" i="11" s="1"/>
  <c r="D28" i="11" s="1"/>
  <c r="F23" i="6"/>
  <c r="V22" i="9" s="1"/>
  <c r="W22" i="9" s="1"/>
  <c r="Z22" i="9" s="1"/>
  <c r="AA22" i="9" s="1"/>
  <c r="AB22" i="9" s="1"/>
  <c r="B19" i="11" s="1"/>
  <c r="D19" i="11" s="1"/>
  <c r="F28" i="6"/>
  <c r="V27" i="9" s="1"/>
  <c r="W27" i="9" s="1"/>
  <c r="Z27" i="9" s="1"/>
  <c r="AA27" i="9" s="1"/>
  <c r="AB27" i="9" s="1"/>
  <c r="B24" i="11" s="1"/>
  <c r="D24" i="11" s="1"/>
  <c r="F15" i="6"/>
  <c r="V14" i="9" s="1"/>
  <c r="W14" i="9" s="1"/>
  <c r="Z14" i="9" s="1"/>
  <c r="AA14" i="9" s="1"/>
  <c r="AB14" i="9" s="1"/>
  <c r="B11" i="11" s="1"/>
  <c r="D11" i="11" s="1"/>
  <c r="F30" i="6"/>
  <c r="V29" i="9" s="1"/>
  <c r="W29" i="9" s="1"/>
  <c r="Z29" i="9" s="1"/>
  <c r="AA29" i="9" s="1"/>
  <c r="AB29" i="9" s="1"/>
  <c r="B26" i="11" s="1"/>
  <c r="D26" i="11" s="1"/>
  <c r="F29" i="6"/>
  <c r="V28" i="9" s="1"/>
  <c r="W28" i="9" s="1"/>
  <c r="Z28" i="9" s="1"/>
  <c r="AA28" i="9" s="1"/>
  <c r="AB28" i="9" s="1"/>
  <c r="B25" i="11" s="1"/>
  <c r="D25" i="11" s="1"/>
  <c r="F13" i="6"/>
  <c r="V12" i="9" s="1"/>
  <c r="W12" i="9" s="1"/>
  <c r="Z12" i="9" s="1"/>
  <c r="AA12" i="9" s="1"/>
  <c r="AB12" i="9" s="1"/>
  <c r="B9" i="11" s="1"/>
  <c r="D9" i="11" s="1"/>
  <c r="F25" i="6"/>
  <c r="V24" i="9" s="1"/>
  <c r="W24" i="9" s="1"/>
  <c r="Z24" i="9" s="1"/>
  <c r="AA24" i="9" s="1"/>
  <c r="AB24" i="9" s="1"/>
  <c r="B21" i="11" s="1"/>
  <c r="D21" i="11" s="1"/>
  <c r="F24" i="6"/>
  <c r="V23" i="9" s="1"/>
  <c r="W23" i="9" s="1"/>
  <c r="Z23" i="9" s="1"/>
  <c r="AA23" i="9" s="1"/>
  <c r="AB23" i="9" s="1"/>
  <c r="B20" i="11" s="1"/>
  <c r="D20" i="11" s="1"/>
  <c r="F21" i="6"/>
  <c r="V20" i="9" s="1"/>
  <c r="W20" i="9" s="1"/>
  <c r="Z20" i="9" s="1"/>
  <c r="AA20" i="9" s="1"/>
  <c r="AB20" i="9" s="1"/>
  <c r="B17" i="11" s="1"/>
  <c r="D17" i="11" s="1"/>
  <c r="F18" i="6"/>
  <c r="V17" i="9" s="1"/>
  <c r="W17" i="9" s="1"/>
  <c r="Z17" i="9" s="1"/>
  <c r="AA17" i="9" s="1"/>
  <c r="AB17" i="9" s="1"/>
  <c r="B14" i="11" s="1"/>
  <c r="D14" i="11" s="1"/>
  <c r="F16" i="6"/>
  <c r="V15" i="9" s="1"/>
  <c r="W15" i="9" s="1"/>
  <c r="Z15" i="9" s="1"/>
  <c r="AA15" i="9" s="1"/>
  <c r="AB15" i="9" s="1"/>
  <c r="B12" i="11" s="1"/>
  <c r="D12" i="11" s="1"/>
  <c r="F27" i="6"/>
  <c r="V26" i="9" s="1"/>
  <c r="W26" i="9" s="1"/>
  <c r="Z26" i="9" s="1"/>
  <c r="AA26" i="9" s="1"/>
  <c r="AB26" i="9" s="1"/>
  <c r="B23" i="11" s="1"/>
  <c r="D23" i="11" s="1"/>
  <c r="F19" i="6"/>
  <c r="V18" i="9" s="1"/>
  <c r="W18" i="9" s="1"/>
  <c r="Z18" i="9" s="1"/>
  <c r="AA18" i="9" s="1"/>
  <c r="AB18" i="9" s="1"/>
  <c r="B15" i="11" s="1"/>
  <c r="D15" i="11" s="1"/>
  <c r="F14" i="6"/>
  <c r="V13" i="9" s="1"/>
  <c r="W13" i="9" s="1"/>
  <c r="Z13" i="9" s="1"/>
  <c r="AA13" i="9" s="1"/>
  <c r="AB13" i="9" s="1"/>
  <c r="B10" i="11" s="1"/>
  <c r="D10" i="11" s="1"/>
  <c r="F31" i="6"/>
  <c r="V30" i="9" s="1"/>
  <c r="W30" i="9" s="1"/>
  <c r="Z30" i="9" s="1"/>
  <c r="AA30" i="9" s="1"/>
  <c r="AB30" i="9" s="1"/>
  <c r="B27" i="11" s="1"/>
  <c r="D27" i="11" s="1"/>
  <c r="F26" i="6"/>
  <c r="V25" i="9" s="1"/>
  <c r="W25" i="9" s="1"/>
  <c r="Z25" i="9" s="1"/>
  <c r="AA25" i="9" s="1"/>
  <c r="AB25" i="9" s="1"/>
  <c r="B22" i="11" s="1"/>
  <c r="D22" i="11" s="1"/>
  <c r="F22" i="6"/>
  <c r="V21" i="9" s="1"/>
  <c r="W21" i="9" s="1"/>
  <c r="Z21" i="9" s="1"/>
  <c r="AA21" i="9" s="1"/>
  <c r="AB21" i="9" s="1"/>
  <c r="B18" i="11" s="1"/>
  <c r="D18" i="11" s="1"/>
  <c r="F33" i="6"/>
  <c r="V32" i="9" s="1"/>
  <c r="W32" i="9" s="1"/>
  <c r="Z32" i="9" s="1"/>
  <c r="AA32" i="9" s="1"/>
  <c r="AB32" i="9" s="1"/>
  <c r="B29" i="11" s="1"/>
  <c r="D29" i="11" s="1"/>
  <c r="F20" i="6"/>
  <c r="V19" i="9" s="1"/>
  <c r="W19" i="9" s="1"/>
  <c r="Z19" i="9" s="1"/>
  <c r="AA19" i="9" s="1"/>
  <c r="AB19" i="9" s="1"/>
  <c r="B16" i="11" s="1"/>
  <c r="D16" i="11" s="1"/>
  <c r="F11" i="6"/>
  <c r="V10" i="9" s="1"/>
  <c r="W10" i="9" s="1"/>
  <c r="Z10" i="9" s="1"/>
  <c r="AA10" i="9" s="1"/>
  <c r="AB10" i="9" s="1"/>
  <c r="B7" i="11" s="1"/>
  <c r="D7" i="11" s="1"/>
  <c r="F17" i="6"/>
  <c r="V16" i="9" s="1"/>
  <c r="W16" i="9" s="1"/>
  <c r="Z16" i="9" s="1"/>
  <c r="AA16" i="9" s="1"/>
  <c r="AB16" i="9" s="1"/>
  <c r="B13" i="11" s="1"/>
  <c r="D13" i="11" s="1"/>
  <c r="F12" i="6"/>
  <c r="V11" i="9" s="1"/>
  <c r="W11" i="9" s="1"/>
  <c r="Z11" i="9" s="1"/>
  <c r="AA11" i="9" s="1"/>
  <c r="AB11" i="9" s="1"/>
  <c r="B8" i="11" s="1"/>
  <c r="D8" i="11" s="1"/>
  <c r="F34" i="6"/>
  <c r="V33" i="9" s="1"/>
  <c r="W33" i="9" s="1"/>
  <c r="Z33" i="9" s="1"/>
  <c r="AA33" i="9" s="1"/>
  <c r="AB33" i="9" s="1"/>
  <c r="B30" i="11" s="1"/>
  <c r="D30" i="11" s="1"/>
  <c r="G36" i="13" l="1"/>
  <c r="D6" i="11"/>
  <c r="B36" i="11"/>
  <c r="D39" i="11" s="1"/>
  <c r="B35" i="11"/>
  <c r="C39" i="11" s="1"/>
  <c r="B36" i="9"/>
  <c r="B37" i="9"/>
  <c r="I6" i="6"/>
  <c r="E35" i="5" s="1"/>
  <c r="I7" i="6"/>
  <c r="F35" i="5" s="1"/>
  <c r="F7" i="6"/>
  <c r="F34" i="5" s="1"/>
  <c r="F6" i="6"/>
  <c r="E34" i="5" s="1"/>
  <c r="P33" i="5"/>
  <c r="O33" i="5"/>
  <c r="D36" i="11" l="1"/>
  <c r="D42" i="11" s="1"/>
  <c r="D35" i="11"/>
  <c r="C42" i="11" s="1"/>
  <c r="O34" i="5"/>
  <c r="W34" i="5" s="1"/>
  <c r="Q34" i="5"/>
  <c r="P34" i="5"/>
  <c r="X34" i="5" s="1"/>
  <c r="R34" i="5"/>
  <c r="P35" i="5"/>
  <c r="X35" i="5" s="1"/>
  <c r="R35" i="5"/>
  <c r="O35" i="5"/>
  <c r="W35" i="5" s="1"/>
  <c r="Q35" i="5"/>
</calcChain>
</file>

<file path=xl/sharedStrings.xml><?xml version="1.0" encoding="utf-8"?>
<sst xmlns="http://schemas.openxmlformats.org/spreadsheetml/2006/main" count="591" uniqueCount="206">
  <si>
    <t>Emission Factors</t>
  </si>
  <si>
    <t>Global Warming Potentials</t>
  </si>
  <si>
    <t>Greenhouse Gas</t>
  </si>
  <si>
    <t>100-Year Global Warming Potential</t>
  </si>
  <si>
    <t>Source: IPCC AR5 Fifth Assessment Report</t>
  </si>
  <si>
    <t>CO2</t>
  </si>
  <si>
    <t>CH4</t>
  </si>
  <si>
    <t>N2O</t>
  </si>
  <si>
    <t>Natural Gas</t>
  </si>
  <si>
    <t>Activity</t>
  </si>
  <si>
    <t>Units</t>
  </si>
  <si>
    <t>Stationary Combustion</t>
  </si>
  <si>
    <t>kg CO2 per scf</t>
  </si>
  <si>
    <t>Source: EPA Emission Factors for GHG Inventories, 2024</t>
  </si>
  <si>
    <t>g CH4 per scf</t>
  </si>
  <si>
    <t>g N2O per scf</t>
  </si>
  <si>
    <t>MT CO2/CCF</t>
  </si>
  <si>
    <t>MT CH4/CCF</t>
  </si>
  <si>
    <t>MT N2O/CCF</t>
  </si>
  <si>
    <t>MT CO2e/CCF</t>
  </si>
  <si>
    <t>Natural gas</t>
  </si>
  <si>
    <t>MMT CO2e</t>
  </si>
  <si>
    <t>Source: EPA GHG Inventory, 2024</t>
  </si>
  <si>
    <t>Natural gas systems</t>
  </si>
  <si>
    <t>Upstream natural gas emission factor:</t>
  </si>
  <si>
    <t>Electricity</t>
  </si>
  <si>
    <t>DTE Electricity Fuel Mix</t>
  </si>
  <si>
    <t>Source: DTE Energy</t>
  </si>
  <si>
    <t>Fuel Source for the 12-Month Period Jan. - Dec. 2022</t>
  </si>
  <si>
    <t>DTE Electric's Fuel Mix Used to Supply Electricity</t>
  </si>
  <si>
    <t>Regional Average Fuel Mix Used to Generate Electricity (MI, IL, IN, OH, and WI) issued Oct. 14, 2022</t>
  </si>
  <si>
    <t>Coal</t>
  </si>
  <si>
    <t>Nuclear</t>
  </si>
  <si>
    <t>Oil</t>
  </si>
  <si>
    <t>Hydroelectric</t>
  </si>
  <si>
    <t>Renewables Total</t>
  </si>
  <si>
    <t>Purchased electricity:</t>
  </si>
  <si>
    <t>RPS Remainder</t>
  </si>
  <si>
    <t>Note: MI has a renewable portfolio standard of 15%.</t>
  </si>
  <si>
    <t>Purchased remainder:</t>
  </si>
  <si>
    <t>Fossil Plant Emissions</t>
  </si>
  <si>
    <t>DTE Electric Average per MWh</t>
  </si>
  <si>
    <t>Regional Average per MWh</t>
  </si>
  <si>
    <t>lb/MWh</t>
  </si>
  <si>
    <t>RPS Projection</t>
  </si>
  <si>
    <t>Renewable Percentage</t>
  </si>
  <si>
    <t>2030 RPS</t>
  </si>
  <si>
    <t>2040 RPS</t>
  </si>
  <si>
    <t>DTE</t>
  </si>
  <si>
    <t>Region</t>
  </si>
  <si>
    <t>Fossil Fuel Mix</t>
  </si>
  <si>
    <t>Emissions Intensity</t>
  </si>
  <si>
    <t>RPS</t>
  </si>
  <si>
    <t>Aggregate Emissions Intensity</t>
  </si>
  <si>
    <t>Aggregate Emissions Intensity (2022)</t>
  </si>
  <si>
    <t>MT/kWh</t>
  </si>
  <si>
    <t>Aggregate Emissions Intensity (2030)</t>
  </si>
  <si>
    <t>Aggregate Emissions Intensity (2040)</t>
  </si>
  <si>
    <t>1 scf =</t>
  </si>
  <si>
    <t>CCF</t>
  </si>
  <si>
    <t>1 CCF =</t>
  </si>
  <si>
    <t>therm</t>
  </si>
  <si>
    <t>1 therm =</t>
  </si>
  <si>
    <t>kWh</t>
  </si>
  <si>
    <t>1 lb =</t>
  </si>
  <si>
    <t>MT</t>
  </si>
  <si>
    <t>1 kg =</t>
  </si>
  <si>
    <t>1 g =</t>
  </si>
  <si>
    <t>1 kWh =</t>
  </si>
  <si>
    <t>kBtu</t>
  </si>
  <si>
    <t>mmBtu</t>
  </si>
  <si>
    <t>Bryant Single Family Home Energy Consumption</t>
  </si>
  <si>
    <t>Source: Reported energy consumption data from roughly 250 households</t>
  </si>
  <si>
    <t>Median Electricity</t>
  </si>
  <si>
    <t>Median Natural Gas</t>
  </si>
  <si>
    <t>Baseline</t>
  </si>
  <si>
    <t>Electricity Use</t>
  </si>
  <si>
    <t>Factors</t>
  </si>
  <si>
    <t>Cost Factors</t>
  </si>
  <si>
    <t>Utility Costs</t>
  </si>
  <si>
    <t>Year</t>
  </si>
  <si>
    <t>Grid Emission Factor</t>
  </si>
  <si>
    <t>MT CO2e/kWh</t>
  </si>
  <si>
    <t>2025 - 2030</t>
  </si>
  <si>
    <t>2025 - 2050</t>
  </si>
  <si>
    <t>MT CO2e</t>
  </si>
  <si>
    <t>Natural Gas Emissions</t>
  </si>
  <si>
    <t>Total Emissions</t>
  </si>
  <si>
    <t>Total Natural Gas Emissions</t>
  </si>
  <si>
    <t>Weatherization and Insulation</t>
  </si>
  <si>
    <t>Total Energy Savings</t>
  </si>
  <si>
    <t>Natural Gas Savings</t>
  </si>
  <si>
    <t>Electricity Savings</t>
  </si>
  <si>
    <t>Source: NREL State Level Residential Building Stock and Energy Efficiency &amp; Electrification Packages</t>
  </si>
  <si>
    <t>Basic enclosure upgrade</t>
  </si>
  <si>
    <t>Adjusted</t>
  </si>
  <si>
    <t>Range: 0 to 14; 17% of similar units do not have a cooling system</t>
  </si>
  <si>
    <t>Assumptions</t>
  </si>
  <si>
    <t>Weatherization Only</t>
  </si>
  <si>
    <t>Install Year</t>
  </si>
  <si>
    <t>Emission Savings</t>
  </si>
  <si>
    <t>Natural Gas Use</t>
  </si>
  <si>
    <t>Electricity Emissions</t>
  </si>
  <si>
    <t>Geothermal Heat Pump</t>
  </si>
  <si>
    <t>Geothermal</t>
  </si>
  <si>
    <t>Average Heating Load</t>
  </si>
  <si>
    <t>of total natural gas consumption, base on energy modeling</t>
  </si>
  <si>
    <t>Average Heating Load, Baseline</t>
  </si>
  <si>
    <t>Geothermal Heating Load</t>
  </si>
  <si>
    <t>kwh</t>
  </si>
  <si>
    <t>Average Cooling Load</t>
  </si>
  <si>
    <t>of total electric load, based on energy modeling</t>
  </si>
  <si>
    <t>Average Cooling Load, Baseline</t>
  </si>
  <si>
    <t>Geothermal Cooling Load</t>
  </si>
  <si>
    <t>Assumes COP of 4, existing furnace has efficiency of 75%</t>
  </si>
  <si>
    <t>Assumes geothermal heat pump is 2x efficient than existing equipment</t>
  </si>
  <si>
    <t>Geothermal Only</t>
  </si>
  <si>
    <t>Weatherization + Geothermal</t>
  </si>
  <si>
    <t>Weatherized Heating Load</t>
  </si>
  <si>
    <t>Weatherized Cooling Load</t>
  </si>
  <si>
    <t>Weatherized Geothermal</t>
  </si>
  <si>
    <t>Appliance Upgrades</t>
  </si>
  <si>
    <t>Modeled Energy Consumption</t>
  </si>
  <si>
    <t>Source: IMEG, Modeling based on energy assessments, energy consumption, and ResStock</t>
  </si>
  <si>
    <t>Clothes Dryer: Natural Gas</t>
  </si>
  <si>
    <t>therms/year</t>
  </si>
  <si>
    <t>CCF/year</t>
  </si>
  <si>
    <t>Clothes Dryer: Electric</t>
  </si>
  <si>
    <t>kWh/year</t>
  </si>
  <si>
    <t>Clothes Dryer: Heat Pump</t>
  </si>
  <si>
    <t>Water Heater: Standard</t>
  </si>
  <si>
    <t>Water Heater: Heat Pump</t>
  </si>
  <si>
    <t>Heat Pump Dryer</t>
  </si>
  <si>
    <t>Heat Pump Water Heater</t>
  </si>
  <si>
    <t>[Input]</t>
  </si>
  <si>
    <t>Installed Emissions</t>
  </si>
  <si>
    <t>Installed?</t>
  </si>
  <si>
    <t>Emissions</t>
  </si>
  <si>
    <t>Install Year:</t>
  </si>
  <si>
    <t>Energy Consumption Estimates</t>
  </si>
  <si>
    <t>Average</t>
  </si>
  <si>
    <t>Unit</t>
  </si>
  <si>
    <t>Baseline Average Total Energy Consumption</t>
  </si>
  <si>
    <t>Baseline Average Electricity Consumption</t>
  </si>
  <si>
    <t>Baseline Average Natural Gas Consumption</t>
  </si>
  <si>
    <t>Energy Consumption Patterns</t>
  </si>
  <si>
    <t>Total Consumption per Household</t>
  </si>
  <si>
    <t>AC Use</t>
  </si>
  <si>
    <t>Space Heating</t>
  </si>
  <si>
    <t>Source: RECs</t>
  </si>
  <si>
    <t>Window Replacement</t>
  </si>
  <si>
    <t>Energy Savings</t>
  </si>
  <si>
    <t>Replacement of Single Panel Window w/ Energy Star Model</t>
  </si>
  <si>
    <t>Repalcement of Double Panel Window w/ Energy Star Model</t>
  </si>
  <si>
    <t>Source: EPA ENERGY STAR</t>
  </si>
  <si>
    <t>Window Improvements</t>
  </si>
  <si>
    <t>Weatherization</t>
  </si>
  <si>
    <t>Energy Efficiency Fund</t>
  </si>
  <si>
    <t>Range: 0 to 7; 19% of similar units do not have a cooling system</t>
  </si>
  <si>
    <t>MT CO2</t>
  </si>
  <si>
    <t xml:space="preserve">MT CH4 </t>
  </si>
  <si>
    <t>MT CH4</t>
  </si>
  <si>
    <t>MT N2O</t>
  </si>
  <si>
    <t>Total CO2 Emissions</t>
  </si>
  <si>
    <t>Total CH4 Emissions</t>
  </si>
  <si>
    <t>Total N2O Emissions</t>
  </si>
  <si>
    <t>2035 RPS</t>
  </si>
  <si>
    <t>Aggregate Emissions Intensity (2035)</t>
  </si>
  <si>
    <t>Cumulative Emissions Reductions</t>
  </si>
  <si>
    <t>Baseline Emissions</t>
  </si>
  <si>
    <t>Improved Emissions</t>
  </si>
  <si>
    <t>Reduction</t>
  </si>
  <si>
    <t>Total Emissions Reduction</t>
  </si>
  <si>
    <t>Units:</t>
  </si>
  <si>
    <t>Per Unit</t>
  </si>
  <si>
    <t>Project Total</t>
  </si>
  <si>
    <t>less Weatherization Impact</t>
  </si>
  <si>
    <t>Annual Emissions: Equipment Replacement Fund</t>
  </si>
  <si>
    <t>Heat Pumps</t>
  </si>
  <si>
    <t>Dryers</t>
  </si>
  <si>
    <t>Action Total</t>
  </si>
  <si>
    <t>Annual Emissions: Energy Efficiency Fund</t>
  </si>
  <si>
    <t>Weatherization, Bryant w/ Geo</t>
  </si>
  <si>
    <t>Weatherization, Bryant w/out Geo</t>
  </si>
  <si>
    <t>Weatherization, Forest Hills</t>
  </si>
  <si>
    <t>Window Replacements</t>
  </si>
  <si>
    <t>Bryant SFH Emission Reduction Measures</t>
  </si>
  <si>
    <t>Bryant SFH Electricity Forecast</t>
  </si>
  <si>
    <t>Forest Hills MF Emissions Reductions Estimates</t>
  </si>
  <si>
    <t>Forest Hills MF Electricity Emissions Forecast</t>
  </si>
  <si>
    <t>GHG Reduction Measure</t>
  </si>
  <si>
    <t>Appliance Replacement</t>
  </si>
  <si>
    <t>Energy Efficiency</t>
  </si>
  <si>
    <t>Total</t>
  </si>
  <si>
    <t>Cumulative Savings</t>
  </si>
  <si>
    <t>Time Period</t>
  </si>
  <si>
    <t>Appliance Replacement Fund</t>
  </si>
  <si>
    <t>Bryant w/ Geo</t>
  </si>
  <si>
    <t>Bryant w/out Geo</t>
  </si>
  <si>
    <t>Forest Hills</t>
  </si>
  <si>
    <t>Totals</t>
  </si>
  <si>
    <t>Time Period: 2025 - 2030</t>
  </si>
  <si>
    <t>Time Period: 2025 - 2050</t>
  </si>
  <si>
    <t>Geothermal HVAC</t>
  </si>
  <si>
    <t>Cost Effectiveness</t>
  </si>
  <si>
    <t>Non-Reduction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</si>
</sst>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0"/>
    <numFmt numFmtId="166" formatCode="_(* #,##0_);_(* \(#,##0\);_(* &quot;-&quot;??_);_(@_)"/>
    <numFmt numFmtId="167" formatCode="_(* #,##0.000000_);_(* \(#,##0.000000\);_(* &quot;-&quot;??_);_(@_)"/>
    <numFmt numFmtId="168" formatCode="0.0"/>
    <numFmt numFmtId="169" formatCode="_(&quot;$&quot;* #,##0.0000_);_(&quot;$&quot;* \(#,##0.0000\);_(&quot;$&quot;* &quot;-&quot;??_);_(@_)"/>
    <numFmt numFmtId="170" formatCode="_(&quot;$&quot;* #,##0_);_(&quot;$&quot;* \(#,##0\);_(&quot;$&quot;* &quot;-&quot;??_);_(@_)"/>
    <numFmt numFmtId="171" formatCode="0.000000"/>
    <numFmt numFmtId="172" formatCode="0.0000"/>
    <numFmt numFmtId="173" formatCode="_(* #,##0.000_);_(* \(#,##0.000\);_(* &quot;-&quot;??_);_(@_)"/>
    <numFmt numFmtId="174" formatCode="_(* #,##0.0000_);_(* \(#,##0.0000\);_(* &quot;-&quot;??_);_(@_)"/>
    <numFmt numFmtId="175" formatCode="_(* #,##0.00000_);_(* \(#,##0.000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0" fontId="0" fillId="0" borderId="0" xfId="0" applyNumberFormat="1"/>
    <xf numFmtId="0" fontId="3" fillId="0" borderId="0" xfId="0" applyFont="1" applyAlignment="1">
      <alignment wrapText="1"/>
    </xf>
    <xf numFmtId="166" fontId="0" fillId="0" borderId="0" xfId="1" applyNumberFormat="1" applyFont="1"/>
    <xf numFmtId="9" fontId="0" fillId="0" borderId="0" xfId="0" applyNumberFormat="1"/>
    <xf numFmtId="43" fontId="0" fillId="0" borderId="0" xfId="0" applyNumberFormat="1"/>
    <xf numFmtId="167" fontId="0" fillId="0" borderId="0" xfId="0" applyNumberFormat="1"/>
    <xf numFmtId="3" fontId="0" fillId="0" borderId="0" xfId="0" applyNumberFormat="1"/>
    <xf numFmtId="168" fontId="0" fillId="0" borderId="0" xfId="0" applyNumberFormat="1"/>
    <xf numFmtId="43" fontId="0" fillId="0" borderId="0" xfId="1" applyFont="1"/>
    <xf numFmtId="169" fontId="0" fillId="0" borderId="0" xfId="2" applyNumberFormat="1" applyFont="1"/>
    <xf numFmtId="44" fontId="0" fillId="0" borderId="0" xfId="2" applyFont="1"/>
    <xf numFmtId="0" fontId="2" fillId="0" borderId="0" xfId="0" applyFont="1" applyAlignment="1">
      <alignment vertical="center" wrapText="1"/>
    </xf>
    <xf numFmtId="170" fontId="0" fillId="0" borderId="0" xfId="2" applyNumberFormat="1" applyFont="1"/>
    <xf numFmtId="0" fontId="2" fillId="0" borderId="0" xfId="0" applyFont="1" applyAlignment="1">
      <alignment wrapText="1"/>
    </xf>
    <xf numFmtId="0" fontId="4" fillId="0" borderId="0" xfId="3"/>
    <xf numFmtId="0" fontId="0" fillId="0" borderId="0" xfId="0" applyAlignment="1">
      <alignment horizontal="left" wrapText="1" indent="1"/>
    </xf>
    <xf numFmtId="2" fontId="0" fillId="0" borderId="0" xfId="0" applyNumberFormat="1"/>
    <xf numFmtId="1" fontId="0" fillId="0" borderId="0" xfId="0" applyNumberFormat="1"/>
    <xf numFmtId="170" fontId="0" fillId="0" borderId="0" xfId="0" applyNumberForma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43" fontId="2" fillId="0" borderId="0" xfId="0" applyNumberFormat="1" applyFont="1"/>
    <xf numFmtId="170" fontId="2" fillId="0" borderId="0" xfId="2" applyNumberFormat="1" applyFont="1"/>
    <xf numFmtId="1" fontId="0" fillId="2" borderId="0" xfId="0" applyNumberFormat="1" applyFill="1"/>
    <xf numFmtId="0" fontId="0" fillId="2" borderId="0" xfId="0" applyFill="1"/>
    <xf numFmtId="171" fontId="2" fillId="0" borderId="0" xfId="0" applyNumberFormat="1" applyFont="1"/>
    <xf numFmtId="171" fontId="0" fillId="0" borderId="0" xfId="0" applyNumberFormat="1"/>
    <xf numFmtId="0" fontId="0" fillId="0" borderId="0" xfId="0" applyAlignment="1">
      <alignment horizontal="center" wrapText="1"/>
    </xf>
    <xf numFmtId="166" fontId="0" fillId="0" borderId="0" xfId="0" applyNumberFormat="1"/>
    <xf numFmtId="166" fontId="2" fillId="0" borderId="0" xfId="0" applyNumberFormat="1" applyFont="1"/>
    <xf numFmtId="172" fontId="0" fillId="0" borderId="0" xfId="0" applyNumberFormat="1"/>
    <xf numFmtId="175" fontId="2" fillId="0" borderId="0" xfId="0" applyNumberFormat="1" applyFont="1"/>
    <xf numFmtId="167" fontId="2" fillId="0" borderId="0" xfId="0" applyNumberFormat="1" applyFont="1"/>
    <xf numFmtId="175" fontId="0" fillId="0" borderId="0" xfId="0" applyNumberFormat="1"/>
    <xf numFmtId="175" fontId="0" fillId="0" borderId="0" xfId="1" applyNumberFormat="1" applyFont="1"/>
    <xf numFmtId="43" fontId="0" fillId="0" borderId="0" xfId="0" applyNumberFormat="1" applyAlignment="1">
      <alignment wrapText="1"/>
    </xf>
    <xf numFmtId="43" fontId="0" fillId="0" borderId="0" xfId="1" applyFont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2" fillId="4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9" fontId="0" fillId="0" borderId="0" xfId="0" applyNumberFormat="1" applyAlignment="1">
      <alignment wrapText="1"/>
    </xf>
    <xf numFmtId="0" fontId="3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left" indent="1"/>
    </xf>
    <xf numFmtId="173" fontId="0" fillId="0" borderId="0" xfId="0" applyNumberFormat="1"/>
    <xf numFmtId="17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4">
    <cellStyle name="Comma" xfId="1" builtinId="3"/>
    <cellStyle name="Currency" xfId="2" builtinId="4"/>
    <cellStyle name="Hyperlink" xfId="3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2gov-my.sharepoint.com/personal/tyagerlener_a2gov_org/Documents/2_Community%20Programs/2%20Decarbonizing/CPRG%20GHG%20Estimations.xlsx" TargetMode="External"/><Relationship Id="rId1" Type="http://schemas.openxmlformats.org/officeDocument/2006/relationships/externalLinkPath" Target="https://a2gov-my.sharepoint.com/personal/tyagerlener_a2gov_org/Documents/2_Community%20Programs/2%20Decarbonizing/CPRG%20GHG%20Estim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mission Factors"/>
      <sheetName val="Costs"/>
      <sheetName val="SFH Measures"/>
      <sheetName val="Bryant SFH"/>
      <sheetName val="Forest Hills MF"/>
      <sheetName val="Electricity Emissions"/>
      <sheetName val="Conversions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B1">
            <v>0.01</v>
          </cell>
        </row>
        <row r="6">
          <cell r="B6">
            <v>4.5351473922902497E-4</v>
          </cell>
        </row>
        <row r="7">
          <cell r="B7">
            <v>1E-3</v>
          </cell>
        </row>
        <row r="8">
          <cell r="B8">
            <v>9.9999999999999995E-7</v>
          </cell>
        </row>
        <row r="10">
          <cell r="B10">
            <v>103.6</v>
          </cell>
        </row>
        <row r="11">
          <cell r="B11">
            <v>3.4120000000000001E-3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public.tableau.com/app/profile/nrel.buildingstock/viz/StateLevelResidentialBuildingStockandEnergyEfficiencyElectrificationPackagesAnalysis/Introduction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nergystar.gov/products/res_windows_doors_skylights" TargetMode="External"/><Relationship Id="rId2" Type="http://schemas.openxmlformats.org/officeDocument/2006/relationships/hyperlink" Target="https://experience.arcgis.com/experience/cbf6875974554a74823232f84f563253?src=%E2%80%B9%20Consumption%20%20%20%20%20%20Residential%20Energy%20Consumption%20Survey%20(RECS)-f2" TargetMode="External"/><Relationship Id="rId1" Type="http://schemas.openxmlformats.org/officeDocument/2006/relationships/hyperlink" Target="https://public.tableau.com/app/profile/nrel.buildingstock/viz/StateLevelResidentialBuildingStockandEnergyEfficiencyElectrificationPackagesAnalysis/Introduction" TargetMode="External"/><Relationship Id="rId4" Type="http://schemas.openxmlformats.org/officeDocument/2006/relationships/hyperlink" Target="https://public.tableau.com/app/profile/nrel.buildingstock/viz/StateLevelResidentialBuildingStockandEnergyEfficiencyElectrificationPackagesAnalysis/Introduc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2B137-26C1-4EA0-BEBF-1B6EA010EFCC}">
  <dimension ref="A2:D42"/>
  <sheetViews>
    <sheetView tabSelected="1" workbookViewId="0">
      <selection activeCell="D42" sqref="D42"/>
    </sheetView>
  </sheetViews>
  <sheetFormatPr defaultRowHeight="15" x14ac:dyDescent="0.25"/>
  <cols>
    <col min="1" max="1" width="26.7109375" bestFit="1" customWidth="1"/>
    <col min="2" max="2" width="15.7109375" bestFit="1" customWidth="1"/>
    <col min="3" max="3" width="22.7109375" bestFit="1" customWidth="1"/>
    <col min="4" max="4" width="10.5703125" bestFit="1" customWidth="1"/>
  </cols>
  <sheetData>
    <row r="2" spans="1:4" x14ac:dyDescent="0.25">
      <c r="A2" s="1" t="s">
        <v>80</v>
      </c>
      <c r="B2" s="1" t="s">
        <v>190</v>
      </c>
    </row>
    <row r="3" spans="1:4" ht="30" x14ac:dyDescent="0.25">
      <c r="B3" s="9" t="s">
        <v>157</v>
      </c>
      <c r="C3" s="9" t="s">
        <v>196</v>
      </c>
      <c r="D3" s="1" t="s">
        <v>193</v>
      </c>
    </row>
    <row r="4" spans="1:4" x14ac:dyDescent="0.25">
      <c r="B4" s="54" t="s">
        <v>85</v>
      </c>
      <c r="C4" s="54" t="s">
        <v>85</v>
      </c>
      <c r="D4" s="5" t="s">
        <v>85</v>
      </c>
    </row>
    <row r="5" spans="1:4" x14ac:dyDescent="0.25">
      <c r="A5">
        <v>2025</v>
      </c>
      <c r="B5" s="55">
        <f>EnergyEfficiency!AB8</f>
        <v>374.16303555684942</v>
      </c>
      <c r="C5" s="55">
        <f>ApplianceReplacement!W8</f>
        <v>19.250278691395994</v>
      </c>
      <c r="D5" s="55">
        <f>SUM(B5:C5)</f>
        <v>393.4133142482454</v>
      </c>
    </row>
    <row r="6" spans="1:4" x14ac:dyDescent="0.25">
      <c r="A6">
        <v>2026</v>
      </c>
      <c r="B6" s="55">
        <f>EnergyEfficiency!AB9</f>
        <v>397.06922148243524</v>
      </c>
      <c r="C6" s="55">
        <f>ApplianceReplacement!W9</f>
        <v>292.44277852886194</v>
      </c>
      <c r="D6" s="55">
        <f t="shared" ref="D6:D30" si="0">SUM(B6:C6)</f>
        <v>689.51200001129723</v>
      </c>
    </row>
    <row r="7" spans="1:4" x14ac:dyDescent="0.25">
      <c r="A7">
        <v>2027</v>
      </c>
      <c r="B7" s="55">
        <f>EnergyEfficiency!AB10</f>
        <v>397.06922148243524</v>
      </c>
      <c r="C7" s="55">
        <f>ApplianceReplacement!W10</f>
        <v>292.44277852886194</v>
      </c>
      <c r="D7" s="55">
        <f t="shared" si="0"/>
        <v>689.51200001129723</v>
      </c>
    </row>
    <row r="8" spans="1:4" x14ac:dyDescent="0.25">
      <c r="A8">
        <v>2028</v>
      </c>
      <c r="B8" s="55">
        <f>EnergyEfficiency!AB11</f>
        <v>376.50495315548858</v>
      </c>
      <c r="C8" s="55">
        <f>ApplianceReplacement!W11</f>
        <v>367.96291582023895</v>
      </c>
      <c r="D8" s="55">
        <f t="shared" si="0"/>
        <v>744.46786897572747</v>
      </c>
    </row>
    <row r="9" spans="1:4" x14ac:dyDescent="0.25">
      <c r="A9">
        <v>2029</v>
      </c>
      <c r="B9" s="55">
        <f>EnergyEfficiency!AB12</f>
        <v>366.22281899201505</v>
      </c>
      <c r="C9" s="55">
        <f>ApplianceReplacement!W12</f>
        <v>405.72298446592731</v>
      </c>
      <c r="D9" s="55">
        <f t="shared" si="0"/>
        <v>771.94580345794236</v>
      </c>
    </row>
    <row r="10" spans="1:4" x14ac:dyDescent="0.25">
      <c r="A10">
        <v>2030</v>
      </c>
      <c r="B10" s="55">
        <f>EnergyEfficiency!AB13</f>
        <v>355.94068482854175</v>
      </c>
      <c r="C10" s="55">
        <f>ApplianceReplacement!W13</f>
        <v>443.48305311161573</v>
      </c>
      <c r="D10" s="55">
        <f t="shared" si="0"/>
        <v>799.42373794015748</v>
      </c>
    </row>
    <row r="11" spans="1:4" x14ac:dyDescent="0.25">
      <c r="A11">
        <v>2031</v>
      </c>
      <c r="B11" s="55">
        <f>EnergyEfficiency!AB14</f>
        <v>355.94068482854175</v>
      </c>
      <c r="C11" s="55">
        <f>ApplianceReplacement!W14</f>
        <v>443.48305311161573</v>
      </c>
      <c r="D11" s="55">
        <f t="shared" si="0"/>
        <v>799.42373794015748</v>
      </c>
    </row>
    <row r="12" spans="1:4" x14ac:dyDescent="0.25">
      <c r="A12">
        <v>2032</v>
      </c>
      <c r="B12" s="55">
        <f>EnergyEfficiency!AB15</f>
        <v>355.94068482854175</v>
      </c>
      <c r="C12" s="55">
        <f>ApplianceReplacement!W15</f>
        <v>443.48305311161573</v>
      </c>
      <c r="D12" s="55">
        <f t="shared" si="0"/>
        <v>799.42373794015748</v>
      </c>
    </row>
    <row r="13" spans="1:4" x14ac:dyDescent="0.25">
      <c r="A13">
        <v>2033</v>
      </c>
      <c r="B13" s="55">
        <f>EnergyEfficiency!AB16</f>
        <v>344.40332909186526</v>
      </c>
      <c r="C13" s="55">
        <f>ApplianceReplacement!W16</f>
        <v>485.85279247508964</v>
      </c>
      <c r="D13" s="55">
        <f t="shared" si="0"/>
        <v>830.2561215669549</v>
      </c>
    </row>
    <row r="14" spans="1:4" x14ac:dyDescent="0.25">
      <c r="A14">
        <v>2034</v>
      </c>
      <c r="B14" s="55">
        <f>EnergyEfficiency!AB17</f>
        <v>338.63465122352693</v>
      </c>
      <c r="C14" s="55">
        <f>ApplianceReplacement!W17</f>
        <v>507.03766215682651</v>
      </c>
      <c r="D14" s="55">
        <f t="shared" si="0"/>
        <v>845.67231338035344</v>
      </c>
    </row>
    <row r="15" spans="1:4" x14ac:dyDescent="0.25">
      <c r="A15">
        <v>2035</v>
      </c>
      <c r="B15" s="55">
        <f>EnergyEfficiency!AB18</f>
        <v>332.8659733551886</v>
      </c>
      <c r="C15" s="55">
        <f>ApplianceReplacement!W18</f>
        <v>528.22253183856344</v>
      </c>
      <c r="D15" s="55">
        <f t="shared" si="0"/>
        <v>861.0885051937521</v>
      </c>
    </row>
    <row r="16" spans="1:4" x14ac:dyDescent="0.25">
      <c r="A16">
        <v>2036</v>
      </c>
      <c r="B16" s="55">
        <f>EnergyEfficiency!AB19</f>
        <v>332.8659733551886</v>
      </c>
      <c r="C16" s="55">
        <f>ApplianceReplacement!W19</f>
        <v>528.22253183856344</v>
      </c>
      <c r="D16" s="55">
        <f t="shared" si="0"/>
        <v>861.0885051937521</v>
      </c>
    </row>
    <row r="17" spans="1:4" x14ac:dyDescent="0.25">
      <c r="A17">
        <v>2037</v>
      </c>
      <c r="B17" s="55">
        <f>EnergyEfficiency!AB20</f>
        <v>332.8659733551886</v>
      </c>
      <c r="C17" s="55">
        <f>ApplianceReplacement!W20</f>
        <v>528.22253183856344</v>
      </c>
      <c r="D17" s="55">
        <f t="shared" si="0"/>
        <v>861.0885051937521</v>
      </c>
    </row>
    <row r="18" spans="1:4" x14ac:dyDescent="0.25">
      <c r="A18">
        <v>2038</v>
      </c>
      <c r="B18" s="55">
        <f>EnergyEfficiency!AB21</f>
        <v>312.6221871320385</v>
      </c>
      <c r="C18" s="55">
        <f>ApplianceReplacement!W21</f>
        <v>602.5657319253994</v>
      </c>
      <c r="D18" s="55">
        <f t="shared" si="0"/>
        <v>915.18791905743797</v>
      </c>
    </row>
    <row r="19" spans="1:4" x14ac:dyDescent="0.25">
      <c r="A19">
        <v>2039</v>
      </c>
      <c r="B19" s="55">
        <f>EnergyEfficiency!AB22</f>
        <v>302.5002940204634</v>
      </c>
      <c r="C19" s="55">
        <f>ApplianceReplacement!W22</f>
        <v>639.73733196881733</v>
      </c>
      <c r="D19" s="55">
        <f t="shared" si="0"/>
        <v>942.23762598928079</v>
      </c>
    </row>
    <row r="20" spans="1:4" x14ac:dyDescent="0.25">
      <c r="A20">
        <v>2040</v>
      </c>
      <c r="B20" s="55">
        <f>EnergyEfficiency!AB23</f>
        <v>292.37840090888835</v>
      </c>
      <c r="C20" s="55">
        <f>ApplianceReplacement!W23</f>
        <v>676.90893201223537</v>
      </c>
      <c r="D20" s="55">
        <f t="shared" si="0"/>
        <v>969.28733292112372</v>
      </c>
    </row>
    <row r="21" spans="1:4" x14ac:dyDescent="0.25">
      <c r="A21">
        <v>2041</v>
      </c>
      <c r="B21" s="55">
        <f>EnergyEfficiency!AB24</f>
        <v>292.37840090888835</v>
      </c>
      <c r="C21" s="55">
        <f>ApplianceReplacement!W24</f>
        <v>676.90893201223537</v>
      </c>
      <c r="D21" s="55">
        <f t="shared" si="0"/>
        <v>969.28733292112372</v>
      </c>
    </row>
    <row r="22" spans="1:4" x14ac:dyDescent="0.25">
      <c r="A22">
        <v>2042</v>
      </c>
      <c r="B22" s="55">
        <f>EnergyEfficiency!AB25</f>
        <v>292.37840090888835</v>
      </c>
      <c r="C22" s="55">
        <f>ApplianceReplacement!W25</f>
        <v>676.90893201223537</v>
      </c>
      <c r="D22" s="55">
        <f t="shared" si="0"/>
        <v>969.28733292112372</v>
      </c>
    </row>
    <row r="23" spans="1:4" x14ac:dyDescent="0.25">
      <c r="A23">
        <v>2043</v>
      </c>
      <c r="B23" s="55">
        <f>EnergyEfficiency!AB26</f>
        <v>292.37840090888835</v>
      </c>
      <c r="C23" s="55">
        <f>ApplianceReplacement!W26</f>
        <v>676.90893201223537</v>
      </c>
      <c r="D23" s="55">
        <f t="shared" si="0"/>
        <v>969.28733292112372</v>
      </c>
    </row>
    <row r="24" spans="1:4" x14ac:dyDescent="0.25">
      <c r="A24">
        <v>2044</v>
      </c>
      <c r="B24" s="55">
        <f>EnergyEfficiency!AB27</f>
        <v>292.37840090888835</v>
      </c>
      <c r="C24" s="55">
        <f>ApplianceReplacement!W27</f>
        <v>676.90893201223537</v>
      </c>
      <c r="D24" s="55">
        <f t="shared" si="0"/>
        <v>969.28733292112372</v>
      </c>
    </row>
    <row r="25" spans="1:4" x14ac:dyDescent="0.25">
      <c r="A25">
        <v>2045</v>
      </c>
      <c r="B25" s="55">
        <f>EnergyEfficiency!AB28</f>
        <v>292.37840090888835</v>
      </c>
      <c r="C25" s="55">
        <f>ApplianceReplacement!W28</f>
        <v>676.90893201223537</v>
      </c>
      <c r="D25" s="55">
        <f t="shared" si="0"/>
        <v>969.28733292112372</v>
      </c>
    </row>
    <row r="26" spans="1:4" x14ac:dyDescent="0.25">
      <c r="A26">
        <v>2046</v>
      </c>
      <c r="B26" s="55">
        <f>EnergyEfficiency!AB29</f>
        <v>292.37840090888835</v>
      </c>
      <c r="C26" s="55">
        <f>ApplianceReplacement!W29</f>
        <v>676.90893201223537</v>
      </c>
      <c r="D26" s="55">
        <f t="shared" si="0"/>
        <v>969.28733292112372</v>
      </c>
    </row>
    <row r="27" spans="1:4" x14ac:dyDescent="0.25">
      <c r="A27">
        <v>2047</v>
      </c>
      <c r="B27" s="55">
        <f>EnergyEfficiency!AB30</f>
        <v>292.37840090888835</v>
      </c>
      <c r="C27" s="55">
        <f>ApplianceReplacement!W30</f>
        <v>676.90893201223537</v>
      </c>
      <c r="D27" s="55">
        <f t="shared" si="0"/>
        <v>969.28733292112372</v>
      </c>
    </row>
    <row r="28" spans="1:4" x14ac:dyDescent="0.25">
      <c r="A28">
        <v>2048</v>
      </c>
      <c r="B28" s="55">
        <f>EnergyEfficiency!AB31</f>
        <v>292.37840090888835</v>
      </c>
      <c r="C28" s="55">
        <f>ApplianceReplacement!W31</f>
        <v>676.90893201223537</v>
      </c>
      <c r="D28" s="55">
        <f t="shared" si="0"/>
        <v>969.28733292112372</v>
      </c>
    </row>
    <row r="29" spans="1:4" x14ac:dyDescent="0.25">
      <c r="A29">
        <v>2049</v>
      </c>
      <c r="B29" s="55">
        <f>EnergyEfficiency!AB32</f>
        <v>292.37840090888835</v>
      </c>
      <c r="C29" s="55">
        <f>ApplianceReplacement!W32</f>
        <v>676.90893201223537</v>
      </c>
      <c r="D29" s="55">
        <f t="shared" si="0"/>
        <v>969.28733292112372</v>
      </c>
    </row>
    <row r="30" spans="1:4" x14ac:dyDescent="0.25">
      <c r="A30">
        <v>2050</v>
      </c>
      <c r="B30" s="55">
        <f>EnergyEfficiency!AB33</f>
        <v>292.37840090888835</v>
      </c>
      <c r="C30" s="55">
        <f>ApplianceReplacement!W33</f>
        <v>676.90893201223537</v>
      </c>
      <c r="D30" s="55">
        <f t="shared" si="0"/>
        <v>969.28733292112372</v>
      </c>
    </row>
    <row r="32" spans="1:4" x14ac:dyDescent="0.25">
      <c r="A32" s="1" t="s">
        <v>194</v>
      </c>
    </row>
    <row r="33" spans="1:4" ht="30" x14ac:dyDescent="0.25">
      <c r="A33" s="1"/>
      <c r="B33" s="9" t="s">
        <v>157</v>
      </c>
      <c r="C33" s="9" t="s">
        <v>196</v>
      </c>
      <c r="D33" s="1" t="s">
        <v>193</v>
      </c>
    </row>
    <row r="34" spans="1:4" x14ac:dyDescent="0.25">
      <c r="A34" t="s">
        <v>195</v>
      </c>
      <c r="B34" s="5" t="s">
        <v>85</v>
      </c>
      <c r="C34" s="5" t="s">
        <v>85</v>
      </c>
      <c r="D34" s="5" t="s">
        <v>85</v>
      </c>
    </row>
    <row r="35" spans="1:4" x14ac:dyDescent="0.25">
      <c r="A35" t="s">
        <v>83</v>
      </c>
      <c r="B35" s="40">
        <f>SUM(B5:B10)</f>
        <v>2266.9699354977652</v>
      </c>
      <c r="C35" s="40">
        <f>SUM(C5:C10)</f>
        <v>1821.3047891469018</v>
      </c>
      <c r="D35" s="40">
        <f>SUM(D5:D10)</f>
        <v>4088.2747246446675</v>
      </c>
    </row>
    <row r="36" spans="1:4" x14ac:dyDescent="0.25">
      <c r="A36" t="s">
        <v>84</v>
      </c>
      <c r="B36" s="40">
        <f>SUM(B5:B30)</f>
        <v>8491.7720966860816</v>
      </c>
      <c r="C36" s="40">
        <f>SUM(C5:C30)</f>
        <v>13974.130261546543</v>
      </c>
      <c r="D36" s="40">
        <f>SUM(D5:D30)</f>
        <v>22465.902358232634</v>
      </c>
    </row>
    <row r="38" spans="1:4" x14ac:dyDescent="0.25">
      <c r="A38" s="1" t="s">
        <v>204</v>
      </c>
      <c r="C38" t="s">
        <v>83</v>
      </c>
      <c r="D38" t="s">
        <v>84</v>
      </c>
    </row>
    <row r="39" spans="1:4" x14ac:dyDescent="0.25">
      <c r="A39" t="s">
        <v>157</v>
      </c>
      <c r="B39" s="24">
        <v>4124000</v>
      </c>
      <c r="C39" s="24">
        <f>B39/B35</f>
        <v>1819.168368941991</v>
      </c>
      <c r="D39" s="24">
        <f>B39/B36</f>
        <v>485.64657094476109</v>
      </c>
    </row>
    <row r="40" spans="1:4" x14ac:dyDescent="0.25">
      <c r="A40" t="s">
        <v>196</v>
      </c>
      <c r="B40" s="24">
        <v>5500000</v>
      </c>
      <c r="C40" s="24">
        <f>B40/C35</f>
        <v>3019.8130663106622</v>
      </c>
      <c r="D40" s="24">
        <f>B40/C36</f>
        <v>393.58442329213733</v>
      </c>
    </row>
    <row r="41" spans="1:4" x14ac:dyDescent="0.25">
      <c r="A41" t="s">
        <v>205</v>
      </c>
      <c r="B41" s="24">
        <v>1712000</v>
      </c>
      <c r="C41" s="30"/>
      <c r="D41" s="24"/>
    </row>
    <row r="42" spans="1:4" x14ac:dyDescent="0.25">
      <c r="A42" t="s">
        <v>193</v>
      </c>
      <c r="B42" s="24">
        <v>9837000</v>
      </c>
      <c r="C42" s="24">
        <f>B42/D35</f>
        <v>2406.1494548546962</v>
      </c>
      <c r="D42" s="24">
        <f>B42/D36</f>
        <v>437.8635606593042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AFF31-9078-4026-9483-8E30EDCD19B1}">
  <dimension ref="A1:I34"/>
  <sheetViews>
    <sheetView workbookViewId="0">
      <selection activeCell="I6" sqref="I6"/>
    </sheetView>
  </sheetViews>
  <sheetFormatPr defaultRowHeight="15" x14ac:dyDescent="0.25"/>
  <cols>
    <col min="1" max="1" width="10.5703125" bestFit="1" customWidth="1"/>
    <col min="2" max="2" width="13.140625" bestFit="1" customWidth="1"/>
    <col min="5" max="5" width="9.7109375" customWidth="1"/>
    <col min="6" max="6" width="9.28515625" customWidth="1"/>
    <col min="7" max="7" width="9.5703125" bestFit="1" customWidth="1"/>
    <col min="8" max="8" width="9.5703125" customWidth="1"/>
    <col min="9" max="9" width="10" customWidth="1"/>
  </cols>
  <sheetData>
    <row r="1" spans="1:9" x14ac:dyDescent="0.25">
      <c r="A1" s="1" t="s">
        <v>189</v>
      </c>
    </row>
    <row r="3" spans="1:9" ht="30" x14ac:dyDescent="0.25">
      <c r="A3" s="6" t="s">
        <v>80</v>
      </c>
      <c r="B3" s="6" t="s">
        <v>81</v>
      </c>
      <c r="C3" s="1" t="s">
        <v>75</v>
      </c>
      <c r="D3" s="62" t="s">
        <v>155</v>
      </c>
      <c r="E3" s="62"/>
      <c r="F3" s="62"/>
      <c r="G3" s="62" t="s">
        <v>156</v>
      </c>
      <c r="H3" s="62"/>
      <c r="I3" s="62"/>
    </row>
    <row r="4" spans="1:9" ht="45" x14ac:dyDescent="0.25">
      <c r="A4" s="6"/>
      <c r="B4" s="6"/>
      <c r="C4" s="1"/>
      <c r="D4" s="39" t="s">
        <v>135</v>
      </c>
      <c r="E4" s="39" t="s">
        <v>136</v>
      </c>
      <c r="F4" s="39" t="s">
        <v>137</v>
      </c>
      <c r="G4" s="39" t="s">
        <v>135</v>
      </c>
      <c r="H4" s="39" t="s">
        <v>136</v>
      </c>
      <c r="I4" s="39" t="s">
        <v>137</v>
      </c>
    </row>
    <row r="5" spans="1:9" x14ac:dyDescent="0.25">
      <c r="B5" t="s">
        <v>82</v>
      </c>
      <c r="C5" s="1" t="s">
        <v>85</v>
      </c>
    </row>
    <row r="6" spans="1:9" x14ac:dyDescent="0.25">
      <c r="A6" t="s">
        <v>83</v>
      </c>
      <c r="C6" s="33">
        <f>SUM(C9:C14)</f>
        <v>20.815012331409516</v>
      </c>
      <c r="F6" s="33">
        <f>SUM(F9:F14)</f>
        <v>20.635246867216061</v>
      </c>
      <c r="I6" s="33">
        <f>SUM(I9:I14)</f>
        <v>20.086486899810183</v>
      </c>
    </row>
    <row r="7" spans="1:9" x14ac:dyDescent="0.25">
      <c r="A7" t="s">
        <v>84</v>
      </c>
      <c r="C7" s="33">
        <f>SUM(C9:C34)</f>
        <v>35.475299002123023</v>
      </c>
      <c r="F7" s="33">
        <f>SUM(F9:F34)</f>
        <v>35.168922359583398</v>
      </c>
      <c r="I7" s="33">
        <f>SUM(I9:I34)</f>
        <v>34.23366353704872</v>
      </c>
    </row>
    <row r="8" spans="1:9" x14ac:dyDescent="0.25">
      <c r="C8" s="1"/>
      <c r="D8" t="s">
        <v>138</v>
      </c>
      <c r="E8" s="29">
        <f>'Forest Hills MF Improvements'!D34</f>
        <v>2026</v>
      </c>
      <c r="G8" t="s">
        <v>138</v>
      </c>
      <c r="H8" s="29">
        <f>'Forest Hills MF Improvements'!D35</f>
        <v>2025</v>
      </c>
    </row>
    <row r="9" spans="1:9" x14ac:dyDescent="0.25">
      <c r="A9" s="1">
        <v>2025</v>
      </c>
      <c r="B9" s="38">
        <f>'Bryant Emissions Forecast'!B10</f>
        <v>6.5232545995646261E-4</v>
      </c>
      <c r="C9" s="33">
        <f>B9*'Forest Hills MF Improvements'!$B$33</f>
        <v>4.0685538937484571</v>
      </c>
      <c r="D9" s="16">
        <f>B9*'Forest Hills MF Improvements'!$B$34</f>
        <v>4.0334164906251289</v>
      </c>
      <c r="E9" s="16" t="b">
        <f>IF(E$8&lt;=$A9,TRUE,FALSE)</f>
        <v>0</v>
      </c>
      <c r="F9" s="16">
        <f>IF(E9,C9,D9)</f>
        <v>4.0334164906251289</v>
      </c>
      <c r="G9" s="28">
        <f>B9*'Forest Hills MF Improvements'!$B$35</f>
        <v>3.926154507467261</v>
      </c>
      <c r="H9" s="16" t="b">
        <f>IF(H$8&lt;=$A9,TRUE,FALSE)</f>
        <v>1</v>
      </c>
      <c r="I9" s="16">
        <f>IF(H9,G9,C9)</f>
        <v>3.926154507467261</v>
      </c>
    </row>
    <row r="10" spans="1:9" x14ac:dyDescent="0.25">
      <c r="A10">
        <v>2026</v>
      </c>
      <c r="B10" s="38">
        <f>'Bryant Emissions Forecast'!B11</f>
        <v>6.5232545995646261E-4</v>
      </c>
      <c r="C10" s="33">
        <f>B10*'Forest Hills MF Improvements'!$B$33</f>
        <v>4.0685538937484571</v>
      </c>
      <c r="D10" s="16">
        <f>B10*'Forest Hills MF Improvements'!$B$34</f>
        <v>4.0334164906251289</v>
      </c>
      <c r="E10" s="16" t="b">
        <f t="shared" ref="E10:E34" si="0">IF(E$8&lt;=$A10,TRUE,FALSE)</f>
        <v>1</v>
      </c>
      <c r="F10" s="16">
        <f t="shared" ref="F10:F34" si="1">IF(E10,D10,$C10)</f>
        <v>4.0334164906251289</v>
      </c>
      <c r="G10" s="28">
        <f>B10*'Forest Hills MF Improvements'!$B$35</f>
        <v>3.926154507467261</v>
      </c>
      <c r="H10" s="16" t="b">
        <f t="shared" ref="H10:H34" si="2">IF(H$8&lt;=$A10,TRUE,FALSE)</f>
        <v>1</v>
      </c>
      <c r="I10" s="16">
        <f t="shared" ref="I10:I34" si="3">IF(H10,G10,C10)</f>
        <v>3.926154507467261</v>
      </c>
    </row>
    <row r="11" spans="1:9" x14ac:dyDescent="0.25">
      <c r="A11">
        <v>2027</v>
      </c>
      <c r="B11" s="38">
        <f>'Bryant Emissions Forecast'!B12</f>
        <v>6.5232545995646261E-4</v>
      </c>
      <c r="C11" s="33">
        <f>B11*'Forest Hills MF Improvements'!$B$33</f>
        <v>4.0685538937484571</v>
      </c>
      <c r="D11" s="16">
        <f>B11*'Forest Hills MF Improvements'!$B$34</f>
        <v>4.0334164906251289</v>
      </c>
      <c r="E11" s="16" t="b">
        <f t="shared" si="0"/>
        <v>1</v>
      </c>
      <c r="F11" s="16">
        <f t="shared" si="1"/>
        <v>4.0334164906251289</v>
      </c>
      <c r="G11" s="28">
        <f>B11*'Forest Hills MF Improvements'!$B$35</f>
        <v>3.926154507467261</v>
      </c>
      <c r="H11" s="16" t="b">
        <f t="shared" si="2"/>
        <v>1</v>
      </c>
      <c r="I11" s="16">
        <f t="shared" si="3"/>
        <v>3.926154507467261</v>
      </c>
    </row>
    <row r="12" spans="1:9" x14ac:dyDescent="0.25">
      <c r="A12">
        <v>2028</v>
      </c>
      <c r="B12" s="38">
        <f>'Bryant Emissions Forecast'!B13</f>
        <v>5.2419010175072884E-4</v>
      </c>
      <c r="C12" s="33">
        <f>B12*'Forest Hills MF Improvements'!$B$33</f>
        <v>3.2693736646192959</v>
      </c>
      <c r="D12" s="16">
        <f>B12*'Forest Hills MF Improvements'!$B$34</f>
        <v>3.241138251395193</v>
      </c>
      <c r="E12" s="16" t="b">
        <f t="shared" si="0"/>
        <v>1</v>
      </c>
      <c r="F12" s="16">
        <f t="shared" si="1"/>
        <v>3.241138251395193</v>
      </c>
      <c r="G12" s="28">
        <f>B12*'Forest Hills MF Improvements'!$B$35</f>
        <v>3.1549455863576203</v>
      </c>
      <c r="H12" s="16" t="b">
        <f t="shared" si="2"/>
        <v>1</v>
      </c>
      <c r="I12" s="16">
        <f t="shared" si="3"/>
        <v>3.1549455863576203</v>
      </c>
    </row>
    <row r="13" spans="1:9" x14ac:dyDescent="0.25">
      <c r="A13">
        <v>2029</v>
      </c>
      <c r="B13" s="38">
        <f>'Bryant Emissions Forecast'!B14</f>
        <v>4.60122422647862E-4</v>
      </c>
      <c r="C13" s="33">
        <f>B13*'Forest Hills MF Improvements'!$B$33</f>
        <v>2.8697835500547155</v>
      </c>
      <c r="D13" s="16">
        <f>B13*'Forest Hills MF Improvements'!$B$34</f>
        <v>2.844999131780225</v>
      </c>
      <c r="E13" s="16" t="b">
        <f t="shared" si="0"/>
        <v>1</v>
      </c>
      <c r="F13" s="16">
        <f t="shared" si="1"/>
        <v>2.844999131780225</v>
      </c>
      <c r="G13" s="28">
        <f>B13*'Forest Hills MF Improvements'!$B$35</f>
        <v>2.7693411258028005</v>
      </c>
      <c r="H13" s="16" t="b">
        <f t="shared" si="2"/>
        <v>1</v>
      </c>
      <c r="I13" s="16">
        <f t="shared" si="3"/>
        <v>2.7693411258028005</v>
      </c>
    </row>
    <row r="14" spans="1:9" x14ac:dyDescent="0.25">
      <c r="A14" s="1">
        <v>2030</v>
      </c>
      <c r="B14" s="38">
        <f>'Bryant Emissions Forecast'!B15</f>
        <v>3.9605474354499517E-4</v>
      </c>
      <c r="C14" s="33">
        <f>B14*'Forest Hills MF Improvements'!$B$33</f>
        <v>2.4701934354901347</v>
      </c>
      <c r="D14" s="16">
        <f>B14*'Forest Hills MF Improvements'!$B$34</f>
        <v>2.4488600121652571</v>
      </c>
      <c r="E14" s="16" t="b">
        <f t="shared" si="0"/>
        <v>1</v>
      </c>
      <c r="F14" s="16">
        <f t="shared" si="1"/>
        <v>2.4488600121652571</v>
      </c>
      <c r="G14" s="28">
        <f>B14*'Forest Hills MF Improvements'!$B$35</f>
        <v>2.3837366652479801</v>
      </c>
      <c r="H14" s="16" t="b">
        <f t="shared" si="2"/>
        <v>1</v>
      </c>
      <c r="I14" s="16">
        <f t="shared" si="3"/>
        <v>2.3837366652479801</v>
      </c>
    </row>
    <row r="15" spans="1:9" x14ac:dyDescent="0.25">
      <c r="A15">
        <v>2031</v>
      </c>
      <c r="B15" s="38">
        <f>'Bryant Emissions Forecast'!B16</f>
        <v>3.9605474354499517E-4</v>
      </c>
      <c r="C15" s="33">
        <f>B15*'Forest Hills MF Improvements'!$B$33</f>
        <v>2.4701934354901347</v>
      </c>
      <c r="D15" s="16">
        <f>B15*'Forest Hills MF Improvements'!$B$34</f>
        <v>2.4488600121652571</v>
      </c>
      <c r="E15" s="16" t="b">
        <f t="shared" si="0"/>
        <v>1</v>
      </c>
      <c r="F15" s="16">
        <f t="shared" si="1"/>
        <v>2.4488600121652571</v>
      </c>
      <c r="G15" s="28">
        <f>B15*'Forest Hills MF Improvements'!$B$35</f>
        <v>2.3837366652479801</v>
      </c>
      <c r="H15" s="16" t="b">
        <f t="shared" si="2"/>
        <v>1</v>
      </c>
      <c r="I15" s="16">
        <f t="shared" si="3"/>
        <v>2.3837366652479801</v>
      </c>
    </row>
    <row r="16" spans="1:9" x14ac:dyDescent="0.25">
      <c r="A16">
        <v>2032</v>
      </c>
      <c r="B16" s="38">
        <f>'Bryant Emissions Forecast'!B17</f>
        <v>3.9605474354499517E-4</v>
      </c>
      <c r="C16" s="33">
        <f>B16*'Forest Hills MF Improvements'!$B$33</f>
        <v>2.4701934354901347</v>
      </c>
      <c r="D16" s="16">
        <f>B16*'Forest Hills MF Improvements'!$B$34</f>
        <v>2.4488600121652571</v>
      </c>
      <c r="E16" s="16" t="b">
        <f t="shared" si="0"/>
        <v>1</v>
      </c>
      <c r="F16" s="16">
        <f t="shared" si="1"/>
        <v>2.4488600121652571</v>
      </c>
      <c r="G16" s="28">
        <f>B16*'Forest Hills MF Improvements'!$B$35</f>
        <v>2.3837366652479801</v>
      </c>
      <c r="H16" s="16" t="b">
        <f t="shared" si="2"/>
        <v>1</v>
      </c>
      <c r="I16" s="16">
        <f t="shared" si="3"/>
        <v>2.3837366652479801</v>
      </c>
    </row>
    <row r="17" spans="1:9" x14ac:dyDescent="0.25">
      <c r="A17">
        <v>2033</v>
      </c>
      <c r="B17" s="38">
        <f>'Bryant Emissions Forecast'!B18</f>
        <v>3.2416581530489517E-4</v>
      </c>
      <c r="C17" s="33">
        <f>B17*'Forest Hills MF Improvements'!$B$33</f>
        <v>2.0218221900566311</v>
      </c>
      <c r="D17" s="16">
        <f>B17*'Forest Hills MF Improvements'!$B$34</f>
        <v>2.0043610519739161</v>
      </c>
      <c r="E17" s="16" t="b">
        <f t="shared" si="0"/>
        <v>1</v>
      </c>
      <c r="F17" s="16">
        <f t="shared" si="1"/>
        <v>2.0043610519739161</v>
      </c>
      <c r="G17" s="28">
        <f>B17*'Forest Hills MF Improvements'!$B$35</f>
        <v>1.9510584134046491</v>
      </c>
      <c r="H17" s="16" t="b">
        <f t="shared" si="2"/>
        <v>1</v>
      </c>
      <c r="I17" s="16">
        <f t="shared" si="3"/>
        <v>1.9510584134046491</v>
      </c>
    </row>
    <row r="18" spans="1:9" x14ac:dyDescent="0.25">
      <c r="A18">
        <v>2034</v>
      </c>
      <c r="B18" s="38">
        <f>'Bryant Emissions Forecast'!B19</f>
        <v>2.8822135118484516E-4</v>
      </c>
      <c r="C18" s="33">
        <f>B18*'Forest Hills MF Improvements'!$B$33</f>
        <v>1.7976365673398793</v>
      </c>
      <c r="D18" s="16">
        <f>B18*'Forest Hills MF Improvements'!$B$34</f>
        <v>1.7821115718782456</v>
      </c>
      <c r="E18" s="16" t="b">
        <f t="shared" si="0"/>
        <v>1</v>
      </c>
      <c r="F18" s="16">
        <f t="shared" si="1"/>
        <v>1.7821115718782456</v>
      </c>
      <c r="G18" s="28">
        <f>B18*'Forest Hills MF Improvements'!$B$35</f>
        <v>1.7347192874829835</v>
      </c>
      <c r="H18" s="16" t="b">
        <f t="shared" si="2"/>
        <v>1</v>
      </c>
      <c r="I18" s="16">
        <f t="shared" si="3"/>
        <v>1.7347192874829835</v>
      </c>
    </row>
    <row r="19" spans="1:9" x14ac:dyDescent="0.25">
      <c r="A19">
        <v>2035</v>
      </c>
      <c r="B19" s="38">
        <f>'Bryant Emissions Forecast'!B20</f>
        <v>2.5227688706479522E-4</v>
      </c>
      <c r="C19" s="33">
        <f>B19*'Forest Hills MF Improvements'!$B$33</f>
        <v>1.5734509446231277</v>
      </c>
      <c r="D19" s="16">
        <f>B19*'Forest Hills MF Improvements'!$B$34</f>
        <v>1.5598620917825754</v>
      </c>
      <c r="E19" s="16" t="b">
        <f t="shared" si="0"/>
        <v>1</v>
      </c>
      <c r="F19" s="16">
        <f t="shared" si="1"/>
        <v>1.5598620917825754</v>
      </c>
      <c r="G19" s="28">
        <f>B19*'Forest Hills MF Improvements'!$B$35</f>
        <v>1.5183801615613182</v>
      </c>
      <c r="H19" s="16" t="b">
        <f t="shared" si="2"/>
        <v>1</v>
      </c>
      <c r="I19" s="16">
        <f t="shared" si="3"/>
        <v>1.5183801615613182</v>
      </c>
    </row>
    <row r="20" spans="1:9" x14ac:dyDescent="0.25">
      <c r="A20">
        <v>2036</v>
      </c>
      <c r="B20" s="38">
        <f>'Bryant Emissions Forecast'!B21</f>
        <v>2.5227688706479522E-4</v>
      </c>
      <c r="C20" s="33">
        <f>B20*'Forest Hills MF Improvements'!$B$33</f>
        <v>1.5734509446231277</v>
      </c>
      <c r="D20" s="16">
        <f>B20*'Forest Hills MF Improvements'!$B$34</f>
        <v>1.5598620917825754</v>
      </c>
      <c r="E20" s="16" t="b">
        <f t="shared" si="0"/>
        <v>1</v>
      </c>
      <c r="F20" s="16">
        <f t="shared" si="1"/>
        <v>1.5598620917825754</v>
      </c>
      <c r="G20" s="28">
        <f>B20*'Forest Hills MF Improvements'!$B$35</f>
        <v>1.5183801615613182</v>
      </c>
      <c r="H20" s="16" t="b">
        <f t="shared" si="2"/>
        <v>1</v>
      </c>
      <c r="I20" s="16">
        <f t="shared" si="3"/>
        <v>1.5183801615613182</v>
      </c>
    </row>
    <row r="21" spans="1:9" x14ac:dyDescent="0.25">
      <c r="A21">
        <v>2037</v>
      </c>
      <c r="B21" s="38">
        <f>'Bryant Emissions Forecast'!B22</f>
        <v>2.5227688706479522E-4</v>
      </c>
      <c r="C21" s="33">
        <f>B21*'Forest Hills MF Improvements'!$B$33</f>
        <v>1.5734509446231277</v>
      </c>
      <c r="D21" s="16">
        <f>B21*'Forest Hills MF Improvements'!$B$34</f>
        <v>1.5598620917825754</v>
      </c>
      <c r="E21" s="16" t="b">
        <f t="shared" si="0"/>
        <v>1</v>
      </c>
      <c r="F21" s="16">
        <f t="shared" si="1"/>
        <v>1.5598620917825754</v>
      </c>
      <c r="G21" s="28">
        <f>B21*'Forest Hills MF Improvements'!$B$35</f>
        <v>1.5183801615613182</v>
      </c>
      <c r="H21" s="16" t="b">
        <f t="shared" si="2"/>
        <v>1</v>
      </c>
      <c r="I21" s="16">
        <f t="shared" si="3"/>
        <v>1.5183801615613182</v>
      </c>
    </row>
    <row r="22" spans="1:9" x14ac:dyDescent="0.25">
      <c r="A22">
        <v>2038</v>
      </c>
      <c r="B22" s="38">
        <f>'Bryant Emissions Forecast'!B23</f>
        <v>1.2613844353239761E-4</v>
      </c>
      <c r="C22" s="33">
        <f>B22*'Forest Hills MF Improvements'!$B$33</f>
        <v>0.78672547231156387</v>
      </c>
      <c r="D22" s="16">
        <f>B22*'Forest Hills MF Improvements'!$B$34</f>
        <v>0.7799310458912877</v>
      </c>
      <c r="E22" s="16" t="b">
        <f t="shared" si="0"/>
        <v>1</v>
      </c>
      <c r="F22" s="16">
        <f t="shared" si="1"/>
        <v>0.7799310458912877</v>
      </c>
      <c r="G22" s="28">
        <f>B22*'Forest Hills MF Improvements'!$B$35</f>
        <v>0.75919008078065908</v>
      </c>
      <c r="H22" s="16" t="b">
        <f t="shared" si="2"/>
        <v>1</v>
      </c>
      <c r="I22" s="16">
        <f t="shared" si="3"/>
        <v>0.75919008078065908</v>
      </c>
    </row>
    <row r="23" spans="1:9" x14ac:dyDescent="0.25">
      <c r="A23">
        <v>2039</v>
      </c>
      <c r="B23" s="38">
        <f>'Bryant Emissions Forecast'!B24</f>
        <v>6.3069221766198804E-5</v>
      </c>
      <c r="C23" s="33">
        <f>B23*'Forest Hills MF Improvements'!$B$33</f>
        <v>0.39336273615578193</v>
      </c>
      <c r="D23" s="16">
        <f>B23*'Forest Hills MF Improvements'!$B$34</f>
        <v>0.38996552294564385</v>
      </c>
      <c r="E23" s="16" t="b">
        <f t="shared" si="0"/>
        <v>1</v>
      </c>
      <c r="F23" s="16">
        <f t="shared" si="1"/>
        <v>0.38996552294564385</v>
      </c>
      <c r="G23" s="28">
        <f>B23*'Forest Hills MF Improvements'!$B$35</f>
        <v>0.37959504039032954</v>
      </c>
      <c r="H23" s="16" t="b">
        <f t="shared" si="2"/>
        <v>1</v>
      </c>
      <c r="I23" s="16">
        <f t="shared" si="3"/>
        <v>0.37959504039032954</v>
      </c>
    </row>
    <row r="24" spans="1:9" x14ac:dyDescent="0.25">
      <c r="A24" s="1">
        <v>2040</v>
      </c>
      <c r="B24" s="38">
        <f>'Bryant Emissions Forecast'!B25</f>
        <v>0</v>
      </c>
      <c r="C24" s="33">
        <f>B24*'Forest Hills MF Improvements'!$B$33</f>
        <v>0</v>
      </c>
      <c r="D24" s="16">
        <f>B24*'Forest Hills MF Improvements'!$B$34</f>
        <v>0</v>
      </c>
      <c r="E24" s="16" t="b">
        <f t="shared" si="0"/>
        <v>1</v>
      </c>
      <c r="F24" s="16">
        <f t="shared" si="1"/>
        <v>0</v>
      </c>
      <c r="G24" s="28">
        <f>B24*'Forest Hills MF Improvements'!$B$35</f>
        <v>0</v>
      </c>
      <c r="H24" s="16" t="b">
        <f t="shared" si="2"/>
        <v>1</v>
      </c>
      <c r="I24" s="16">
        <f t="shared" si="3"/>
        <v>0</v>
      </c>
    </row>
    <row r="25" spans="1:9" x14ac:dyDescent="0.25">
      <c r="A25">
        <v>2041</v>
      </c>
      <c r="B25" s="38">
        <f>'Bryant Emissions Forecast'!B26</f>
        <v>0</v>
      </c>
      <c r="C25" s="33">
        <f>B25*'Forest Hills MF Improvements'!$B$33</f>
        <v>0</v>
      </c>
      <c r="D25" s="16">
        <f>B25*'Forest Hills MF Improvements'!$B$34</f>
        <v>0</v>
      </c>
      <c r="E25" s="16" t="b">
        <f t="shared" si="0"/>
        <v>1</v>
      </c>
      <c r="F25" s="16">
        <f t="shared" si="1"/>
        <v>0</v>
      </c>
      <c r="G25" s="28">
        <f>B25*'Forest Hills MF Improvements'!$B$35</f>
        <v>0</v>
      </c>
      <c r="H25" s="16" t="b">
        <f t="shared" si="2"/>
        <v>1</v>
      </c>
      <c r="I25" s="16">
        <f t="shared" si="3"/>
        <v>0</v>
      </c>
    </row>
    <row r="26" spans="1:9" x14ac:dyDescent="0.25">
      <c r="A26">
        <v>2042</v>
      </c>
      <c r="B26" s="38">
        <f>'Bryant Emissions Forecast'!B27</f>
        <v>0</v>
      </c>
      <c r="C26" s="33">
        <f>B26*'Forest Hills MF Improvements'!$B$33</f>
        <v>0</v>
      </c>
      <c r="D26" s="16">
        <f>B26*'Forest Hills MF Improvements'!$B$34</f>
        <v>0</v>
      </c>
      <c r="E26" s="16" t="b">
        <f t="shared" si="0"/>
        <v>1</v>
      </c>
      <c r="F26" s="16">
        <f t="shared" si="1"/>
        <v>0</v>
      </c>
      <c r="G26" s="28">
        <f>B26*'Forest Hills MF Improvements'!$B$35</f>
        <v>0</v>
      </c>
      <c r="H26" s="16" t="b">
        <f t="shared" si="2"/>
        <v>1</v>
      </c>
      <c r="I26" s="16">
        <f t="shared" si="3"/>
        <v>0</v>
      </c>
    </row>
    <row r="27" spans="1:9" x14ac:dyDescent="0.25">
      <c r="A27">
        <v>2043</v>
      </c>
      <c r="B27" s="38">
        <f>'Bryant Emissions Forecast'!B28</f>
        <v>0</v>
      </c>
      <c r="C27" s="33">
        <f>B27*'Forest Hills MF Improvements'!$B$33</f>
        <v>0</v>
      </c>
      <c r="D27" s="16">
        <f>B27*'Forest Hills MF Improvements'!$B$34</f>
        <v>0</v>
      </c>
      <c r="E27" s="16" t="b">
        <f t="shared" si="0"/>
        <v>1</v>
      </c>
      <c r="F27" s="16">
        <f t="shared" si="1"/>
        <v>0</v>
      </c>
      <c r="G27" s="28">
        <f>B27*'Forest Hills MF Improvements'!$B$35</f>
        <v>0</v>
      </c>
      <c r="H27" s="16" t="b">
        <f t="shared" si="2"/>
        <v>1</v>
      </c>
      <c r="I27" s="16">
        <f t="shared" si="3"/>
        <v>0</v>
      </c>
    </row>
    <row r="28" spans="1:9" x14ac:dyDescent="0.25">
      <c r="A28">
        <v>2044</v>
      </c>
      <c r="B28" s="38">
        <f>'Bryant Emissions Forecast'!B29</f>
        <v>0</v>
      </c>
      <c r="C28" s="33">
        <f>B28*'Forest Hills MF Improvements'!$B$33</f>
        <v>0</v>
      </c>
      <c r="D28" s="16">
        <f>B28*'Forest Hills MF Improvements'!$B$34</f>
        <v>0</v>
      </c>
      <c r="E28" s="16" t="b">
        <f t="shared" si="0"/>
        <v>1</v>
      </c>
      <c r="F28" s="16">
        <f t="shared" si="1"/>
        <v>0</v>
      </c>
      <c r="G28" s="28">
        <f>B28*'Forest Hills MF Improvements'!$B$35</f>
        <v>0</v>
      </c>
      <c r="H28" s="16" t="b">
        <f t="shared" si="2"/>
        <v>1</v>
      </c>
      <c r="I28" s="16">
        <f t="shared" si="3"/>
        <v>0</v>
      </c>
    </row>
    <row r="29" spans="1:9" x14ac:dyDescent="0.25">
      <c r="A29">
        <v>2045</v>
      </c>
      <c r="B29" s="38">
        <f>'Bryant Emissions Forecast'!B30</f>
        <v>0</v>
      </c>
      <c r="C29" s="33">
        <f>B29*'Forest Hills MF Improvements'!$B$33</f>
        <v>0</v>
      </c>
      <c r="D29" s="16">
        <f>B29*'Forest Hills MF Improvements'!$B$34</f>
        <v>0</v>
      </c>
      <c r="E29" s="16" t="b">
        <f t="shared" si="0"/>
        <v>1</v>
      </c>
      <c r="F29" s="16">
        <f t="shared" si="1"/>
        <v>0</v>
      </c>
      <c r="G29" s="28">
        <f>B29*'Forest Hills MF Improvements'!$B$35</f>
        <v>0</v>
      </c>
      <c r="H29" s="16" t="b">
        <f t="shared" si="2"/>
        <v>1</v>
      </c>
      <c r="I29" s="16">
        <f t="shared" si="3"/>
        <v>0</v>
      </c>
    </row>
    <row r="30" spans="1:9" x14ac:dyDescent="0.25">
      <c r="A30">
        <v>2046</v>
      </c>
      <c r="B30" s="38">
        <f>'Bryant Emissions Forecast'!B31</f>
        <v>0</v>
      </c>
      <c r="C30" s="33">
        <f>B30*'Forest Hills MF Improvements'!$B$33</f>
        <v>0</v>
      </c>
      <c r="D30" s="16">
        <f>B30*'Forest Hills MF Improvements'!$B$34</f>
        <v>0</v>
      </c>
      <c r="E30" s="16" t="b">
        <f t="shared" si="0"/>
        <v>1</v>
      </c>
      <c r="F30" s="16">
        <f t="shared" si="1"/>
        <v>0</v>
      </c>
      <c r="G30" s="28">
        <f>B30*'Forest Hills MF Improvements'!$B$35</f>
        <v>0</v>
      </c>
      <c r="H30" s="16" t="b">
        <f t="shared" si="2"/>
        <v>1</v>
      </c>
      <c r="I30" s="16">
        <f t="shared" si="3"/>
        <v>0</v>
      </c>
    </row>
    <row r="31" spans="1:9" x14ac:dyDescent="0.25">
      <c r="A31">
        <v>2047</v>
      </c>
      <c r="B31" s="38">
        <f>'Bryant Emissions Forecast'!B32</f>
        <v>0</v>
      </c>
      <c r="C31" s="33">
        <f>B31*'Forest Hills MF Improvements'!$B$33</f>
        <v>0</v>
      </c>
      <c r="D31" s="16">
        <f>B31*'Forest Hills MF Improvements'!$B$34</f>
        <v>0</v>
      </c>
      <c r="E31" s="16" t="b">
        <f t="shared" si="0"/>
        <v>1</v>
      </c>
      <c r="F31" s="16">
        <f t="shared" si="1"/>
        <v>0</v>
      </c>
      <c r="G31" s="28">
        <f>B31*'Forest Hills MF Improvements'!$B$35</f>
        <v>0</v>
      </c>
      <c r="H31" s="16" t="b">
        <f t="shared" si="2"/>
        <v>1</v>
      </c>
      <c r="I31" s="16">
        <f t="shared" si="3"/>
        <v>0</v>
      </c>
    </row>
    <row r="32" spans="1:9" x14ac:dyDescent="0.25">
      <c r="A32">
        <v>2048</v>
      </c>
      <c r="B32" s="38">
        <f>'Bryant Emissions Forecast'!B33</f>
        <v>0</v>
      </c>
      <c r="C32" s="33">
        <f>B32*'Forest Hills MF Improvements'!$B$33</f>
        <v>0</v>
      </c>
      <c r="D32" s="16">
        <f>B32*'Forest Hills MF Improvements'!$B$34</f>
        <v>0</v>
      </c>
      <c r="E32" s="16" t="b">
        <f t="shared" si="0"/>
        <v>1</v>
      </c>
      <c r="F32" s="16">
        <f t="shared" si="1"/>
        <v>0</v>
      </c>
      <c r="G32" s="28">
        <f>B32*'Forest Hills MF Improvements'!$B$35</f>
        <v>0</v>
      </c>
      <c r="H32" s="16" t="b">
        <f t="shared" si="2"/>
        <v>1</v>
      </c>
      <c r="I32" s="16">
        <f t="shared" si="3"/>
        <v>0</v>
      </c>
    </row>
    <row r="33" spans="1:9" x14ac:dyDescent="0.25">
      <c r="A33">
        <v>2049</v>
      </c>
      <c r="B33" s="38">
        <f>'Bryant Emissions Forecast'!B34</f>
        <v>0</v>
      </c>
      <c r="C33" s="33">
        <f>B33*'Forest Hills MF Improvements'!$B$33</f>
        <v>0</v>
      </c>
      <c r="D33" s="16">
        <f>B33*'Forest Hills MF Improvements'!$B$34</f>
        <v>0</v>
      </c>
      <c r="E33" s="16" t="b">
        <f t="shared" si="0"/>
        <v>1</v>
      </c>
      <c r="F33" s="16">
        <f t="shared" si="1"/>
        <v>0</v>
      </c>
      <c r="G33" s="28">
        <f>B33*'Forest Hills MF Improvements'!$B$35</f>
        <v>0</v>
      </c>
      <c r="H33" s="16" t="b">
        <f t="shared" si="2"/>
        <v>1</v>
      </c>
      <c r="I33" s="16">
        <f t="shared" si="3"/>
        <v>0</v>
      </c>
    </row>
    <row r="34" spans="1:9" x14ac:dyDescent="0.25">
      <c r="A34">
        <v>2050</v>
      </c>
      <c r="B34" s="38">
        <f>'Bryant Emissions Forecast'!B35</f>
        <v>0</v>
      </c>
      <c r="C34" s="33">
        <f>B34*'Forest Hills MF Improvements'!$B$33</f>
        <v>0</v>
      </c>
      <c r="D34" s="16">
        <f>B34*'Forest Hills MF Improvements'!$B$34</f>
        <v>0</v>
      </c>
      <c r="E34" s="16" t="b">
        <f t="shared" si="0"/>
        <v>1</v>
      </c>
      <c r="F34" s="16">
        <f t="shared" si="1"/>
        <v>0</v>
      </c>
      <c r="G34" s="28">
        <f>B34*'Forest Hills MF Improvements'!$B$35</f>
        <v>0</v>
      </c>
      <c r="H34" s="16" t="b">
        <f t="shared" si="2"/>
        <v>1</v>
      </c>
      <c r="I34" s="16">
        <f t="shared" si="3"/>
        <v>0</v>
      </c>
    </row>
  </sheetData>
  <mergeCells count="2"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CC14B-706E-4637-9178-D3D5E0C992B8}">
  <dimension ref="A2:K36"/>
  <sheetViews>
    <sheetView workbookViewId="0">
      <selection activeCell="J14" sqref="J14"/>
    </sheetView>
  </sheetViews>
  <sheetFormatPr defaultRowHeight="15" x14ac:dyDescent="0.25"/>
  <cols>
    <col min="1" max="1" width="22.7109375" bestFit="1" customWidth="1"/>
    <col min="2" max="2" width="10" bestFit="1" customWidth="1"/>
    <col min="3" max="3" width="11.28515625" bestFit="1" customWidth="1"/>
    <col min="6" max="7" width="10.28515625" bestFit="1" customWidth="1"/>
    <col min="8" max="8" width="9.28515625" bestFit="1" customWidth="1"/>
    <col min="10" max="10" width="10.28515625" bestFit="1" customWidth="1"/>
  </cols>
  <sheetData>
    <row r="2" spans="1:11" x14ac:dyDescent="0.25">
      <c r="B2" t="s">
        <v>201</v>
      </c>
    </row>
    <row r="4" spans="1:11" x14ac:dyDescent="0.25">
      <c r="B4" s="1" t="s">
        <v>25</v>
      </c>
      <c r="C4" s="59" t="s">
        <v>8</v>
      </c>
      <c r="D4" s="59"/>
      <c r="E4" s="59"/>
      <c r="F4" s="59"/>
      <c r="G4" s="59" t="s">
        <v>200</v>
      </c>
      <c r="H4" s="59"/>
      <c r="I4" s="59"/>
      <c r="J4" s="59"/>
    </row>
    <row r="5" spans="1:11" x14ac:dyDescent="0.25">
      <c r="B5" s="5" t="s">
        <v>159</v>
      </c>
      <c r="C5" s="5" t="s">
        <v>159</v>
      </c>
      <c r="D5" s="5" t="s">
        <v>161</v>
      </c>
      <c r="E5" s="5" t="s">
        <v>162</v>
      </c>
      <c r="F5" s="5" t="s">
        <v>85</v>
      </c>
      <c r="G5" s="5" t="s">
        <v>159</v>
      </c>
      <c r="H5" s="5" t="s">
        <v>161</v>
      </c>
      <c r="I5" s="5" t="s">
        <v>162</v>
      </c>
      <c r="J5" s="5" t="s">
        <v>85</v>
      </c>
    </row>
    <row r="6" spans="1:11" x14ac:dyDescent="0.25">
      <c r="A6" s="1" t="s">
        <v>192</v>
      </c>
      <c r="B6" s="40">
        <f>SUM(B7,B11)</f>
        <v>531.7406016264548</v>
      </c>
      <c r="C6" s="40">
        <f t="shared" ref="C6" si="0">SUM(C7,C11)</f>
        <v>1733.4672090485931</v>
      </c>
      <c r="D6" s="16">
        <f t="shared" ref="D6" si="1">SUM(D7,D11)</f>
        <v>3.2797046754593148E-2</v>
      </c>
      <c r="E6" s="16">
        <f t="shared" ref="E6" si="2">SUM(E7,E11)</f>
        <v>3.1841792965624409E-3</v>
      </c>
      <c r="F6" s="40">
        <f t="shared" ref="F6" si="3">SUM(F7,F11)</f>
        <v>1735.2293338713105</v>
      </c>
      <c r="G6" s="40">
        <f t="shared" ref="G6" si="4">SUM(G7,G11)</f>
        <v>2265.2078106750478</v>
      </c>
      <c r="H6" s="57">
        <f t="shared" ref="H6" si="5">SUM(H7,H11)</f>
        <v>3.2797046754593148E-2</v>
      </c>
      <c r="I6" s="58">
        <f t="shared" ref="I6" si="6">SUM(I7,I11)</f>
        <v>3.1841792965624409E-3</v>
      </c>
      <c r="J6" s="40">
        <f t="shared" ref="J6" si="7">SUM(J7,J11)</f>
        <v>2266.8732544878526</v>
      </c>
    </row>
    <row r="7" spans="1:11" x14ac:dyDescent="0.25">
      <c r="A7" t="s">
        <v>156</v>
      </c>
      <c r="B7" s="40">
        <f>SUM(B8:B10)</f>
        <v>515.83151490874081</v>
      </c>
      <c r="C7" s="40">
        <f t="shared" ref="C7" si="8">SUM(C8:C10)</f>
        <v>1638.3585321484072</v>
      </c>
      <c r="D7" s="16">
        <f t="shared" ref="D7" si="9">SUM(D8:D10)</f>
        <v>3.0997598973417702E-2</v>
      </c>
      <c r="E7" s="16">
        <f t="shared" ref="E7" si="10">SUM(E8:E10)</f>
        <v>3.0094756284871549E-3</v>
      </c>
      <c r="F7" s="40">
        <f t="shared" ref="F7" si="11">SUM(F8:F10)</f>
        <v>1640.0239759612118</v>
      </c>
      <c r="G7" s="40">
        <f t="shared" ref="G7" si="12">SUM(G8:G10)</f>
        <v>2154.1900470571481</v>
      </c>
      <c r="H7" s="57">
        <f t="shared" ref="H7" si="13">SUM(H8:H10)</f>
        <v>3.0997598973417702E-2</v>
      </c>
      <c r="I7" s="58">
        <f t="shared" ref="I7" si="14">SUM(I8:I10)</f>
        <v>3.0094756284871549E-3</v>
      </c>
      <c r="J7" s="40">
        <f t="shared" ref="J7" si="15">SUM(J8:J10)</f>
        <v>2155.855490869953</v>
      </c>
    </row>
    <row r="8" spans="1:11" hidden="1" x14ac:dyDescent="0.25">
      <c r="A8" s="56" t="s">
        <v>197</v>
      </c>
      <c r="B8" s="16">
        <f>SUM(EnergyEfficiency!E8:E13)*EnergyEfficiency!H3</f>
        <v>237.81910834315264</v>
      </c>
      <c r="C8" s="16">
        <f>(F8/NG_EmissionFactor)*NG_CO2_EF</f>
        <v>868.16694405055239</v>
      </c>
      <c r="D8" s="16">
        <f>(F8/NG_EmissionFactor)*NG_CH4_EF</f>
        <v>1.6425642034755127E-2</v>
      </c>
      <c r="E8" s="16">
        <f>(F8/NG_EmissionFactor)*NG_N2O_EF</f>
        <v>1.5947225276461286E-3</v>
      </c>
      <c r="F8" s="16">
        <f>SUM(EnergyEfficiency!G8:G13)*EnergyEfficiency!H3</f>
        <v>869.04946349735178</v>
      </c>
      <c r="G8" s="16">
        <f>SUM(B8:C8)</f>
        <v>1105.986052393705</v>
      </c>
      <c r="H8" s="16">
        <f>D8</f>
        <v>1.6425642034755127E-2</v>
      </c>
      <c r="I8" s="16">
        <f>E8</f>
        <v>1.5947225276461286E-3</v>
      </c>
      <c r="J8" s="40">
        <f>G8+H8*Factors!$B$8+Factors!$B$9*SummarybyGHG!I8</f>
        <v>1106.8685718405045</v>
      </c>
    </row>
    <row r="9" spans="1:11" hidden="1" x14ac:dyDescent="0.25">
      <c r="A9" s="56" t="s">
        <v>198</v>
      </c>
      <c r="B9" s="16">
        <f>SUM(EnergyEfficiency!K8:K13)*EnergyEfficiency!N3</f>
        <v>59.454777085788159</v>
      </c>
      <c r="C9" s="16">
        <f>(F9/NG_EmissionFactor)*NG_CO2_EF</f>
        <v>217.0417360126381</v>
      </c>
      <c r="D9" s="16">
        <f>(F9/NG_EmissionFactor)*NG_CH4_EF</f>
        <v>4.1064105086887816E-3</v>
      </c>
      <c r="E9" s="16">
        <f>(F9/NG_EmissionFactor)*NG_N2O_EF</f>
        <v>3.9868063191153216E-4</v>
      </c>
      <c r="F9" s="16">
        <f>SUM(EnergyEfficiency!M8:M13)*EnergyEfficiency!N3</f>
        <v>217.26236587433795</v>
      </c>
      <c r="G9" s="16">
        <f t="shared" ref="G9:G10" si="16">SUM(B9:C9)</f>
        <v>276.49651309842625</v>
      </c>
      <c r="H9" s="16">
        <f t="shared" ref="H9:H10" si="17">D9</f>
        <v>4.1064105086887816E-3</v>
      </c>
      <c r="I9" s="16">
        <f t="shared" ref="I9:I10" si="18">E9</f>
        <v>3.9868063191153216E-4</v>
      </c>
      <c r="J9" s="40">
        <f>G9+H9*Factors!$B$8+Factors!$B$9*SummarybyGHG!I9</f>
        <v>276.71714296012613</v>
      </c>
    </row>
    <row r="10" spans="1:11" hidden="1" x14ac:dyDescent="0.25">
      <c r="A10" s="56" t="s">
        <v>199</v>
      </c>
      <c r="B10" s="16">
        <f>SUM(EnergyEfficiency!Q8:Q13)*EnergyEfficiency!T3</f>
        <v>218.55762947980003</v>
      </c>
      <c r="C10" s="16">
        <f>(F10/NG_EmissionFactor)*NG_CO2_EF</f>
        <v>553.14985208521671</v>
      </c>
      <c r="D10" s="16">
        <f>(F10/NG_EmissionFactor)*NG_CH4_EF</f>
        <v>1.046554642997379E-2</v>
      </c>
      <c r="E10" s="16">
        <f>(F10/NG_EmissionFactor)*NG_N2O_EF</f>
        <v>1.0160724689294942E-3</v>
      </c>
      <c r="F10" s="16">
        <f>SUM(EnergyEfficiency!S8:S13)*EnergyEfficiency!T3</f>
        <v>553.71214658952215</v>
      </c>
      <c r="G10" s="16">
        <f t="shared" si="16"/>
        <v>771.70748156501668</v>
      </c>
      <c r="H10" s="16">
        <f t="shared" si="17"/>
        <v>1.046554642997379E-2</v>
      </c>
      <c r="I10" s="16">
        <f t="shared" si="18"/>
        <v>1.0160724689294942E-3</v>
      </c>
      <c r="J10" s="40">
        <f>G10+H10*Factors!$B$8+Factors!$B$9*SummarybyGHG!I10</f>
        <v>772.26977606932223</v>
      </c>
    </row>
    <row r="11" spans="1:11" x14ac:dyDescent="0.25">
      <c r="A11" t="s">
        <v>150</v>
      </c>
      <c r="B11" s="16">
        <f>SUM(EnergyEfficiency!W8:W13)*EnergyEfficiency!Z3</f>
        <v>15.909086717714036</v>
      </c>
      <c r="C11" s="16">
        <f>(F11/NG_EmissionFactor)*NG_CO2_EF</f>
        <v>95.10867690018577</v>
      </c>
      <c r="D11" s="16">
        <f>(F11/NG_EmissionFactor)*NG_CH4_EF</f>
        <v>1.7994477811754473E-3</v>
      </c>
      <c r="E11" s="16">
        <f>(F11/NG_EmissionFactor)*NG_N2O_EF</f>
        <v>1.7470366807528613E-4</v>
      </c>
      <c r="F11" s="16">
        <f>SUM(EnergyEfficiency!Y8:Y13)*EnergyEfficiency!Z3</f>
        <v>95.205357910098627</v>
      </c>
      <c r="G11" s="40">
        <f t="shared" ref="G11" si="19">SUM(B11:C11)</f>
        <v>111.0177636178998</v>
      </c>
      <c r="H11" s="58">
        <f t="shared" ref="H11" si="20">D11</f>
        <v>1.7994477811754473E-3</v>
      </c>
      <c r="I11" s="45">
        <f t="shared" ref="I11" si="21">E11</f>
        <v>1.7470366807528613E-4</v>
      </c>
      <c r="J11" s="40">
        <f>G11+H11*Factors!B11+Factors!B12*SummarybyGHG!I11</f>
        <v>111.0177636178998</v>
      </c>
    </row>
    <row r="13" spans="1:11" x14ac:dyDescent="0.25">
      <c r="A13" s="1" t="s">
        <v>191</v>
      </c>
      <c r="B13" s="16">
        <f>SUM(B14:B16)</f>
        <v>-1558.3859084534549</v>
      </c>
      <c r="C13" s="16">
        <f t="shared" ref="C13" si="22">SUM(C14:C16)</f>
        <v>4290.8711722243042</v>
      </c>
      <c r="D13" s="16">
        <f t="shared" ref="D13" si="23">SUM(D14:D16)</f>
        <v>8.1182904250386351E-2</v>
      </c>
      <c r="E13" s="16">
        <f t="shared" ref="E13" si="24">SUM(E14:E16)</f>
        <v>7.8818353641151792E-3</v>
      </c>
      <c r="F13" s="40">
        <f t="shared" ref="F13" si="25">SUM(F14:F16)</f>
        <v>4295.2329799148047</v>
      </c>
      <c r="G13" s="40">
        <f t="shared" ref="G13" si="26">SUM(G14:G16)</f>
        <v>1817.8255009032005</v>
      </c>
      <c r="H13" s="57">
        <f t="shared" ref="H13" si="27">SUM(H14:H16)</f>
        <v>6.4757262215631231E-2</v>
      </c>
      <c r="I13" s="58">
        <f t="shared" ref="I13" si="28">SUM(I14:I16)</f>
        <v>6.2871128364690512E-3</v>
      </c>
      <c r="J13" s="40">
        <f>SUM(J14:J16)</f>
        <v>1820.8868382746637</v>
      </c>
    </row>
    <row r="14" spans="1:11" x14ac:dyDescent="0.25">
      <c r="A14" t="s">
        <v>203</v>
      </c>
      <c r="B14" s="16">
        <f>SUM(ApplianceReplacement!E8:E13)*ApplianceReplacement!H3</f>
        <v>-702.82449090012119</v>
      </c>
      <c r="C14" s="16">
        <f>(F14/NG_EmissionFactor)*NG_CO2_EF</f>
        <v>3173.1247955064077</v>
      </c>
      <c r="D14" s="16">
        <f>(F14/NG_EmissionFactor)*NG_CH4_EF</f>
        <v>6.0035241355099196E-2</v>
      </c>
      <c r="E14" s="16">
        <f>(F14/NG_EmissionFactor)*NG_N2O_EF</f>
        <v>5.8286642092329312E-3</v>
      </c>
      <c r="F14" s="16">
        <f>SUM(ApplianceReplacement!G8:G13)*ApplianceReplacement!H3</f>
        <v>3176.350378279797</v>
      </c>
      <c r="G14" s="40">
        <f>SUM(B14:C14)-G8+EnergyEfficiency!I8</f>
        <v>1555.6405417386379</v>
      </c>
      <c r="H14" s="57">
        <f>D14-H8</f>
        <v>4.360959932034407E-2</v>
      </c>
      <c r="I14" s="58">
        <f>E14-I8</f>
        <v>4.2339416815868024E-3</v>
      </c>
      <c r="J14" s="40">
        <f>SUM(ApplianceReplacement!J8:J13)</f>
        <v>1557.9836050652275</v>
      </c>
      <c r="K14" s="40"/>
    </row>
    <row r="15" spans="1:11" x14ac:dyDescent="0.25">
      <c r="A15" t="s">
        <v>133</v>
      </c>
      <c r="B15" s="16">
        <f>SUM(ApplianceReplacement!L8:L13)*ApplianceReplacement!O3</f>
        <v>-651.4494800530922</v>
      </c>
      <c r="C15" s="16">
        <f>(F15/NG_EmissionFactor)*NG_CO2_EF</f>
        <v>706.5847251519665</v>
      </c>
      <c r="D15" s="16">
        <f>(F15/NG_EmissionFactor)*NG_CH4_EF</f>
        <v>1.3368520699972915E-2</v>
      </c>
      <c r="E15" s="16">
        <f>(F15/NG_EmissionFactor)*NG_N2O_EF</f>
        <v>1.2979146310653316E-3</v>
      </c>
      <c r="F15" s="16">
        <f>SUM(ApplianceReplacement!N8:N13)*ApplianceReplacement!O3</f>
        <v>707.30299110879798</v>
      </c>
      <c r="G15" s="40">
        <f t="shared" ref="G15:G16" si="29">SUM(B15:C15)</f>
        <v>55.135245098874293</v>
      </c>
      <c r="H15" s="57">
        <f t="shared" ref="H15:H16" si="30">D15</f>
        <v>1.3368520699972915E-2</v>
      </c>
      <c r="I15" s="58">
        <f t="shared" ref="I15:I16" si="31">E15</f>
        <v>1.2979146310653316E-3</v>
      </c>
      <c r="J15" s="40">
        <f>G15+H15*Factors!$B$8+Factors!$B$9*SummarybyGHG!I15</f>
        <v>55.853511055705845</v>
      </c>
    </row>
    <row r="16" spans="1:11" x14ac:dyDescent="0.25">
      <c r="A16" t="s">
        <v>132</v>
      </c>
      <c r="B16" s="16">
        <f>SUM(ApplianceReplacement!R8:R13)*ApplianceReplacement!U3</f>
        <v>-204.11193750024145</v>
      </c>
      <c r="C16" s="16">
        <f>(F16/NG_EmissionFactor)*NG_CO2_EF</f>
        <v>411.16165156592962</v>
      </c>
      <c r="D16" s="16">
        <f>(F16/NG_EmissionFactor)*NG_CH4_EF</f>
        <v>7.779142195314245E-3</v>
      </c>
      <c r="E16" s="16">
        <f>(F16/NG_EmissionFactor)*NG_N2O_EF</f>
        <v>7.5525652381691697E-4</v>
      </c>
      <c r="F16" s="16">
        <f>SUM(ApplianceReplacement!T8:T13)*ApplianceReplacement!U3</f>
        <v>411.57961052620982</v>
      </c>
      <c r="G16" s="40">
        <f t="shared" si="29"/>
        <v>207.04971406568816</v>
      </c>
      <c r="H16" s="58">
        <f t="shared" si="30"/>
        <v>7.779142195314245E-3</v>
      </c>
      <c r="I16" s="45">
        <f t="shared" si="31"/>
        <v>7.5525652381691697E-4</v>
      </c>
      <c r="J16" s="40">
        <f>G16+H16*Factors!B16+Factors!B17*SummarybyGHG!I16</f>
        <v>207.0497221537303</v>
      </c>
    </row>
    <row r="17" spans="1:10" x14ac:dyDescent="0.25">
      <c r="G17" s="16"/>
      <c r="H17" s="16"/>
      <c r="I17" s="16"/>
      <c r="J17" s="40"/>
    </row>
    <row r="18" spans="1:10" x14ac:dyDescent="0.25">
      <c r="A18" s="1" t="s">
        <v>193</v>
      </c>
      <c r="G18" s="40">
        <f>SUM(G6,G13)</f>
        <v>4083.0333115782482</v>
      </c>
      <c r="H18" s="16">
        <f t="shared" ref="H18:J18" si="32">SUM(H6,H13)</f>
        <v>9.7554308970224379E-2</v>
      </c>
      <c r="I18" s="58">
        <f t="shared" si="32"/>
        <v>9.4712921330314913E-3</v>
      </c>
      <c r="J18" s="40">
        <f t="shared" si="32"/>
        <v>4087.7600927625163</v>
      </c>
    </row>
    <row r="19" spans="1:10" x14ac:dyDescent="0.25">
      <c r="G19" s="16"/>
      <c r="H19" s="16"/>
      <c r="I19" s="16"/>
      <c r="J19" s="40"/>
    </row>
    <row r="20" spans="1:10" x14ac:dyDescent="0.25">
      <c r="B20" t="s">
        <v>202</v>
      </c>
    </row>
    <row r="22" spans="1:10" x14ac:dyDescent="0.25">
      <c r="B22" s="1" t="s">
        <v>25</v>
      </c>
      <c r="C22" s="59" t="s">
        <v>8</v>
      </c>
      <c r="D22" s="59"/>
      <c r="E22" s="59"/>
      <c r="F22" s="59"/>
      <c r="G22" s="59" t="s">
        <v>200</v>
      </c>
      <c r="H22" s="59"/>
      <c r="I22" s="59"/>
      <c r="J22" s="59"/>
    </row>
    <row r="23" spans="1:10" x14ac:dyDescent="0.25">
      <c r="B23" s="5" t="s">
        <v>159</v>
      </c>
      <c r="C23" s="5" t="s">
        <v>159</v>
      </c>
      <c r="D23" s="5" t="s">
        <v>161</v>
      </c>
      <c r="E23" s="5" t="s">
        <v>162</v>
      </c>
      <c r="F23" s="5" t="s">
        <v>85</v>
      </c>
      <c r="G23" s="5" t="s">
        <v>159</v>
      </c>
      <c r="H23" s="5" t="s">
        <v>161</v>
      </c>
      <c r="I23" s="5" t="s">
        <v>162</v>
      </c>
      <c r="J23" s="5" t="s">
        <v>85</v>
      </c>
    </row>
    <row r="24" spans="1:10" x14ac:dyDescent="0.25">
      <c r="A24" s="1" t="s">
        <v>192</v>
      </c>
      <c r="B24" s="40">
        <f>SUM(B25,B29)</f>
        <v>908.97474463700291</v>
      </c>
      <c r="C24" s="40">
        <f t="shared" ref="C24:J24" si="33">SUM(C25,C29)</f>
        <v>7575.0970238106956</v>
      </c>
      <c r="D24" s="16">
        <f t="shared" si="33"/>
        <v>0.14332016779068732</v>
      </c>
      <c r="E24" s="16">
        <f t="shared" si="33"/>
        <v>1.3914579397154108E-2</v>
      </c>
      <c r="F24" s="40">
        <f t="shared" si="33"/>
        <v>7582.7973520490796</v>
      </c>
      <c r="G24" s="40">
        <f t="shared" si="33"/>
        <v>8484.0717684476986</v>
      </c>
      <c r="H24" s="16">
        <f t="shared" si="33"/>
        <v>0.14332016779068732</v>
      </c>
      <c r="I24" s="57">
        <f t="shared" si="33"/>
        <v>1.3914579397154108E-2</v>
      </c>
      <c r="J24" s="40">
        <f t="shared" si="33"/>
        <v>8491.288697652406</v>
      </c>
    </row>
    <row r="25" spans="1:10" x14ac:dyDescent="0.25">
      <c r="A25" t="s">
        <v>156</v>
      </c>
      <c r="B25" s="40">
        <f>SUM(B26:B28)</f>
        <v>879.13842830120961</v>
      </c>
      <c r="C25" s="40">
        <f t="shared" ref="C25:J25" si="34">SUM(C26:C28)</f>
        <v>7099.5536393097664</v>
      </c>
      <c r="D25" s="16">
        <f t="shared" si="34"/>
        <v>0.13432292888481007</v>
      </c>
      <c r="E25" s="16">
        <f t="shared" si="34"/>
        <v>1.3041061056777676E-2</v>
      </c>
      <c r="F25" s="40">
        <f t="shared" si="34"/>
        <v>7106.7705624985865</v>
      </c>
      <c r="G25" s="40">
        <f t="shared" si="34"/>
        <v>7978.6920676109758</v>
      </c>
      <c r="H25" s="16">
        <f t="shared" si="34"/>
        <v>0.13432292888481007</v>
      </c>
      <c r="I25" s="57">
        <f t="shared" si="34"/>
        <v>1.3041061056777676E-2</v>
      </c>
      <c r="J25" s="40">
        <f t="shared" si="34"/>
        <v>7985.9089907997977</v>
      </c>
    </row>
    <row r="26" spans="1:10" x14ac:dyDescent="0.25">
      <c r="A26" s="56" t="s">
        <v>197</v>
      </c>
      <c r="B26" s="16">
        <f>SUM(EnergyEfficiency!E8:E33)*EnergyEfficiency!H3</f>
        <v>405.31823102313416</v>
      </c>
      <c r="C26" s="16">
        <f>(F26/NG_EmissionFactor)*NG_CO2_EF</f>
        <v>3762.0567575523942</v>
      </c>
      <c r="D26" s="16">
        <f>(F26/NG_EmissionFactor)*NG_CH4_EF</f>
        <v>7.1177782150605551E-2</v>
      </c>
      <c r="E26" s="16">
        <f>(F26/NG_EmissionFactor)*NG_N2O_EF</f>
        <v>6.9104642864665578E-3</v>
      </c>
      <c r="F26" s="16">
        <f>SUM(EnergyEfficiency!G8:G33)*EnergyEfficiency!H3</f>
        <v>3765.8810084885245</v>
      </c>
      <c r="G26" s="16">
        <f>SUM(B26:C26)</f>
        <v>4167.3749885755287</v>
      </c>
      <c r="H26" s="16">
        <f>D26</f>
        <v>7.1177782150605551E-2</v>
      </c>
      <c r="I26" s="16">
        <f>E26</f>
        <v>6.9104642864665578E-3</v>
      </c>
      <c r="J26" s="40">
        <f>G26+H26*Factors!$B$8+Factors!$B$9*SummarybyGHG!I26</f>
        <v>4171.1992395116595</v>
      </c>
    </row>
    <row r="27" spans="1:10" x14ac:dyDescent="0.25">
      <c r="A27" s="56" t="s">
        <v>198</v>
      </c>
      <c r="B27" s="16">
        <f>SUM(EnergyEfficiency!K8:K33)*EnergyEfficiency!N3</f>
        <v>101.32955775578354</v>
      </c>
      <c r="C27" s="16">
        <f>(F27/NG_EmissionFactor)*NG_CO2_EF</f>
        <v>940.51418938809854</v>
      </c>
      <c r="D27" s="16">
        <f>(F27/NG_EmissionFactor)*NG_CH4_EF</f>
        <v>1.7794445537651388E-2</v>
      </c>
      <c r="E27" s="16">
        <f>(F27/NG_EmissionFactor)*NG_N2O_EF</f>
        <v>1.7276160716166394E-3</v>
      </c>
      <c r="F27" s="16">
        <f>SUM(EnergyEfficiency!M8:M33)*EnergyEfficiency!N3</f>
        <v>941.47025212213111</v>
      </c>
      <c r="G27" s="16">
        <f t="shared" ref="G27:G29" si="35">SUM(B27:C27)</f>
        <v>1041.8437471438822</v>
      </c>
      <c r="H27" s="16">
        <f t="shared" ref="H27:H29" si="36">D27</f>
        <v>1.7794445537651388E-2</v>
      </c>
      <c r="I27" s="16">
        <f t="shared" ref="I27:I29" si="37">E27</f>
        <v>1.7276160716166394E-3</v>
      </c>
      <c r="J27" s="40">
        <f>G27+H27*Factors!$B$8+Factors!$B$9*SummarybyGHG!I27</f>
        <v>1042.7998098779149</v>
      </c>
    </row>
    <row r="28" spans="1:10" x14ac:dyDescent="0.25">
      <c r="A28" s="56" t="s">
        <v>199</v>
      </c>
      <c r="B28" s="16">
        <f>SUM(EnergyEfficiency!Q8:Q33)*EnergyEfficiency!T3</f>
        <v>372.49063952229187</v>
      </c>
      <c r="C28" s="16">
        <f>(F28/NG_EmissionFactor)*NG_CO2_EF</f>
        <v>2396.9826923692731</v>
      </c>
      <c r="D28" s="16">
        <f>(F28/NG_EmissionFactor)*NG_CH4_EF</f>
        <v>4.5350701196553114E-2</v>
      </c>
      <c r="E28" s="16">
        <f>(F28/NG_EmissionFactor)*NG_N2O_EF</f>
        <v>4.4029806986944772E-3</v>
      </c>
      <c r="F28" s="16">
        <f>SUM(EnergyEfficiency!S8:S33)*EnergyEfficiency!T3</f>
        <v>2399.4193018879305</v>
      </c>
      <c r="G28" s="16">
        <f t="shared" si="35"/>
        <v>2769.4733318915651</v>
      </c>
      <c r="H28" s="16">
        <f t="shared" si="36"/>
        <v>4.5350701196553114E-2</v>
      </c>
      <c r="I28" s="16">
        <f t="shared" si="37"/>
        <v>4.4029806986944772E-3</v>
      </c>
      <c r="J28" s="40">
        <f>G28+H28*Factors!$B$8+Factors!$B$9*SummarybyGHG!I28</f>
        <v>2771.9099414102229</v>
      </c>
    </row>
    <row r="29" spans="1:10" x14ac:dyDescent="0.25">
      <c r="A29" t="s">
        <v>150</v>
      </c>
      <c r="B29" s="40">
        <f>SUM(EnergyEfficiency!W8:W33)*EnergyEfficiency!Z3</f>
        <v>29.836316335793306</v>
      </c>
      <c r="C29" s="40">
        <f>(F29/NG_EmissionFactor)*NG_CO2_EF</f>
        <v>475.54338450092916</v>
      </c>
      <c r="D29" s="16">
        <f>(F29/NG_EmissionFactor)*NG_CH4_EF</f>
        <v>8.9972389058772407E-3</v>
      </c>
      <c r="E29" s="16">
        <f>(F29/NG_EmissionFactor)*NG_N2O_EF</f>
        <v>8.7351834037643124E-4</v>
      </c>
      <c r="F29" s="40">
        <f>SUM(EnergyEfficiency!Y8:Y33)*EnergyEfficiency!Z3</f>
        <v>476.02678955049339</v>
      </c>
      <c r="G29" s="40">
        <f t="shared" si="35"/>
        <v>505.37970083672246</v>
      </c>
      <c r="H29" s="58">
        <f t="shared" si="36"/>
        <v>8.9972389058772407E-3</v>
      </c>
      <c r="I29" s="45">
        <f t="shared" si="37"/>
        <v>8.7351834037643124E-4</v>
      </c>
      <c r="J29" s="40">
        <f>G29+H29*Factors!B27+Factors!B28*SummarybyGHG!I29</f>
        <v>505.37970685260814</v>
      </c>
    </row>
    <row r="31" spans="1:10" x14ac:dyDescent="0.25">
      <c r="A31" s="1" t="s">
        <v>191</v>
      </c>
      <c r="B31" s="16">
        <f>SUM(B32:B34)</f>
        <v>-2776.2399536185371</v>
      </c>
      <c r="C31" s="16">
        <f t="shared" ref="C31:I31" si="38">SUM(C32:C34)</f>
        <v>20709.19160997626</v>
      </c>
      <c r="D31" s="16">
        <f t="shared" si="38"/>
        <v>0.3918160793217404</v>
      </c>
      <c r="E31" s="16">
        <f t="shared" si="38"/>
        <v>3.8040396050654408E-2</v>
      </c>
      <c r="F31" s="40">
        <f t="shared" si="38"/>
        <v>20730.243165150689</v>
      </c>
      <c r="G31" s="40">
        <f t="shared" si="38"/>
        <v>13956.902957308248</v>
      </c>
      <c r="H31" s="16">
        <f t="shared" si="38"/>
        <v>0.32063829717113485</v>
      </c>
      <c r="I31" s="57">
        <f t="shared" si="38"/>
        <v>3.1129931764187851E-2</v>
      </c>
      <c r="J31" s="40">
        <f>SUM(J32:J34)+2</f>
        <v>13974.319312293195</v>
      </c>
    </row>
    <row r="32" spans="1:10" x14ac:dyDescent="0.25">
      <c r="A32" t="s">
        <v>203</v>
      </c>
      <c r="B32" s="16">
        <f>SUM(ApplianceReplacement!E8:E33)*ApplianceReplacement!H3</f>
        <v>-1318.0953885737629</v>
      </c>
      <c r="C32" s="16">
        <f>(F32/NG_EmissionFactor)*NG_CO2_EF</f>
        <v>15865.623977532039</v>
      </c>
      <c r="D32" s="16">
        <f>(F32/NG_EmissionFactor)*NG_CH4_EF</f>
        <v>0.30017620677549595</v>
      </c>
      <c r="E32" s="16">
        <f>(F32/NG_EmissionFactor)*NG_N2O_EF</f>
        <v>2.9143321046164659E-2</v>
      </c>
      <c r="F32" s="16">
        <f>SUM(ApplianceReplacement!G8:G33)*ApplianceReplacement!H3</f>
        <v>15881.751891398986</v>
      </c>
      <c r="G32" s="40">
        <f>SUM(B32:C32)-G26+EnergyEfficiency!I8</f>
        <v>10571.479889908802</v>
      </c>
      <c r="H32" s="16">
        <f>D32-H26</f>
        <v>0.2289984246248904</v>
      </c>
      <c r="I32" s="57">
        <f>E32-I26</f>
        <v>2.2232856759698102E-2</v>
      </c>
      <c r="J32" s="40">
        <f>SUM(ApplianceReplacement!J8:J33)</f>
        <v>10583.783552839621</v>
      </c>
    </row>
    <row r="33" spans="1:10" x14ac:dyDescent="0.25">
      <c r="A33" t="s">
        <v>133</v>
      </c>
      <c r="B33" s="16">
        <f>SUM(ApplianceReplacement!L8:L33)*ApplianceReplacement!O3</f>
        <v>-1110.2739081632856</v>
      </c>
      <c r="C33" s="16">
        <f>(F33/NG_EmissionFactor)*NG_CO2_EF</f>
        <v>3061.8671423251899</v>
      </c>
      <c r="D33" s="16">
        <f>(F33/NG_EmissionFactor)*NG_CH4_EF</f>
        <v>5.7930256366549332E-2</v>
      </c>
      <c r="E33" s="16">
        <f>(F33/NG_EmissionFactor)*NG_N2O_EF</f>
        <v>5.6242967346164406E-3</v>
      </c>
      <c r="F33" s="16">
        <f>SUM(ApplianceReplacement!N8:N33)*ApplianceReplacement!O3</f>
        <v>3064.9796281381264</v>
      </c>
      <c r="G33" s="40">
        <f t="shared" ref="G33:G34" si="39">SUM(B33:C33)</f>
        <v>1951.5932341619043</v>
      </c>
      <c r="H33" s="57">
        <f t="shared" ref="H33:H34" si="40">D33</f>
        <v>5.7930256366549332E-2</v>
      </c>
      <c r="I33" s="58">
        <f t="shared" ref="I33:I34" si="41">E33</f>
        <v>5.6242967346164406E-3</v>
      </c>
      <c r="J33" s="40">
        <f>G33+H33*Factors!$B$8+Factors!$B$9*SummarybyGHG!I33</f>
        <v>1954.705719974841</v>
      </c>
    </row>
    <row r="34" spans="1:10" x14ac:dyDescent="0.25">
      <c r="A34" t="s">
        <v>132</v>
      </c>
      <c r="B34" s="16">
        <f>SUM(ApplianceReplacement!R8:R33)*ApplianceReplacement!U3</f>
        <v>-347.87065688148863</v>
      </c>
      <c r="C34" s="16">
        <f>(F34/NG_EmissionFactor)*NG_CO2_EF</f>
        <v>1781.7004901190296</v>
      </c>
      <c r="D34" s="16">
        <f>(F34/NG_EmissionFactor)*NG_CH4_EF</f>
        <v>3.3709616179695083E-2</v>
      </c>
      <c r="E34" s="16">
        <f>(F34/NG_EmissionFactor)*NG_N2O_EF</f>
        <v>3.2727782698733091E-3</v>
      </c>
      <c r="F34" s="16">
        <f>SUM(ApplianceReplacement!T8:T33)*ApplianceReplacement!U3</f>
        <v>1783.5116456135772</v>
      </c>
      <c r="G34" s="40">
        <f t="shared" si="39"/>
        <v>1433.8298332375409</v>
      </c>
      <c r="H34" s="57">
        <f t="shared" si="40"/>
        <v>3.3709616179695083E-2</v>
      </c>
      <c r="I34" s="58">
        <f t="shared" si="41"/>
        <v>3.2727782698733091E-3</v>
      </c>
      <c r="J34" s="40">
        <f>G34+H34*Factors!B32+Factors!B33*SummarybyGHG!I34</f>
        <v>1433.8300394787327</v>
      </c>
    </row>
    <row r="36" spans="1:10" x14ac:dyDescent="0.25">
      <c r="A36" s="1" t="s">
        <v>193</v>
      </c>
      <c r="G36" s="40">
        <f>SUM(G24,G31)</f>
        <v>22440.974725755947</v>
      </c>
      <c r="H36" s="16">
        <f t="shared" ref="H36:J36" si="42">SUM(H24,H31)</f>
        <v>0.46395846496182214</v>
      </c>
      <c r="I36" s="58">
        <f t="shared" si="42"/>
        <v>4.5044511161341963E-2</v>
      </c>
      <c r="J36" s="40">
        <f t="shared" si="42"/>
        <v>22465.608009945601</v>
      </c>
    </row>
  </sheetData>
  <mergeCells count="4">
    <mergeCell ref="G4:J4"/>
    <mergeCell ref="C4:F4"/>
    <mergeCell ref="C22:F22"/>
    <mergeCell ref="G22:J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BC846-5E04-484F-A41C-A2EA4F97D28C}">
  <dimension ref="A1:AB37"/>
  <sheetViews>
    <sheetView topLeftCell="M1" workbookViewId="0">
      <selection activeCell="Y18" sqref="Y18"/>
    </sheetView>
  </sheetViews>
  <sheetFormatPr defaultRowHeight="15" x14ac:dyDescent="0.25"/>
  <cols>
    <col min="1" max="2" width="10.7109375" customWidth="1"/>
    <col min="3" max="3" width="12.28515625" customWidth="1"/>
    <col min="4" max="4" width="16.5703125" customWidth="1"/>
    <col min="5" max="7" width="14" customWidth="1"/>
    <col min="8" max="8" width="16.7109375" customWidth="1"/>
    <col min="9" max="9" width="15" customWidth="1"/>
    <col min="10" max="10" width="17.7109375" customWidth="1"/>
    <col min="11" max="13" width="14" customWidth="1"/>
    <col min="14" max="14" width="15.140625" customWidth="1"/>
    <col min="15" max="15" width="15.7109375" customWidth="1"/>
    <col min="16" max="19" width="14" customWidth="1"/>
    <col min="20" max="20" width="16.7109375" customWidth="1"/>
    <col min="21" max="21" width="15" customWidth="1"/>
    <col min="22" max="22" width="17.7109375" customWidth="1"/>
    <col min="23" max="25" width="14" customWidth="1"/>
    <col min="26" max="26" width="15.140625" customWidth="1"/>
    <col min="27" max="27" width="15.7109375" customWidth="1"/>
    <col min="28" max="28" width="11.28515625" bestFit="1" customWidth="1"/>
  </cols>
  <sheetData>
    <row r="1" spans="1:28" x14ac:dyDescent="0.25">
      <c r="A1" s="1" t="s">
        <v>181</v>
      </c>
      <c r="B1" s="1"/>
      <c r="C1" s="1"/>
      <c r="D1" s="6"/>
      <c r="E1" s="6"/>
      <c r="F1" s="6"/>
      <c r="G1" s="6"/>
      <c r="H1" s="6"/>
      <c r="I1" s="6"/>
    </row>
    <row r="2" spans="1:28" x14ac:dyDescent="0.25">
      <c r="D2" s="6"/>
      <c r="E2" s="6"/>
      <c r="F2" s="6"/>
      <c r="G2" s="6"/>
      <c r="H2" s="6"/>
      <c r="I2" s="6"/>
    </row>
    <row r="3" spans="1:28" ht="30" x14ac:dyDescent="0.25">
      <c r="D3" s="52" t="s">
        <v>182</v>
      </c>
      <c r="E3" s="49" t="s">
        <v>138</v>
      </c>
      <c r="F3" s="49">
        <v>2025</v>
      </c>
      <c r="G3" s="49" t="s">
        <v>173</v>
      </c>
      <c r="H3" s="49">
        <v>200</v>
      </c>
      <c r="I3" s="49"/>
      <c r="J3" s="51" t="s">
        <v>183</v>
      </c>
      <c r="K3" s="50" t="s">
        <v>138</v>
      </c>
      <c r="L3" s="50">
        <v>2025</v>
      </c>
      <c r="M3" s="50" t="s">
        <v>173</v>
      </c>
      <c r="N3" s="50">
        <v>50</v>
      </c>
      <c r="O3" s="50"/>
      <c r="P3" s="52" t="s">
        <v>184</v>
      </c>
      <c r="Q3" s="49" t="s">
        <v>138</v>
      </c>
      <c r="R3" s="49">
        <v>2025</v>
      </c>
      <c r="S3" s="49" t="s">
        <v>173</v>
      </c>
      <c r="T3" s="49">
        <v>300</v>
      </c>
      <c r="U3" s="49"/>
      <c r="V3" s="51" t="s">
        <v>185</v>
      </c>
      <c r="W3" s="50" t="s">
        <v>138</v>
      </c>
      <c r="X3" s="50">
        <v>2026</v>
      </c>
      <c r="Y3" s="50" t="s">
        <v>173</v>
      </c>
      <c r="Z3" s="50">
        <v>110</v>
      </c>
      <c r="AA3" s="50"/>
      <c r="AB3" s="1" t="s">
        <v>180</v>
      </c>
    </row>
    <row r="4" spans="1:28" x14ac:dyDescent="0.25">
      <c r="D4" s="25" t="s">
        <v>174</v>
      </c>
      <c r="E4" s="25"/>
      <c r="F4" s="25"/>
      <c r="G4" s="25"/>
      <c r="H4" s="25"/>
      <c r="I4" s="25" t="s">
        <v>175</v>
      </c>
      <c r="J4" s="25" t="s">
        <v>174</v>
      </c>
      <c r="K4" s="25"/>
      <c r="L4" s="25"/>
      <c r="M4" s="25"/>
      <c r="N4" s="25"/>
      <c r="O4" s="25" t="s">
        <v>175</v>
      </c>
      <c r="P4" s="25" t="s">
        <v>174</v>
      </c>
      <c r="Q4" s="25"/>
      <c r="R4" s="25"/>
      <c r="S4" s="25"/>
      <c r="T4" s="25"/>
      <c r="U4" s="25" t="s">
        <v>175</v>
      </c>
      <c r="V4" s="25" t="s">
        <v>174</v>
      </c>
      <c r="W4" s="25"/>
      <c r="X4" s="25"/>
      <c r="Y4" s="25"/>
      <c r="Z4" s="25"/>
      <c r="AA4" s="25" t="s">
        <v>175</v>
      </c>
    </row>
    <row r="5" spans="1:28" x14ac:dyDescent="0.25">
      <c r="B5" s="25" t="s">
        <v>25</v>
      </c>
      <c r="C5" s="25" t="s">
        <v>8</v>
      </c>
      <c r="D5" s="25" t="s">
        <v>25</v>
      </c>
      <c r="E5" s="25"/>
      <c r="F5" s="25" t="s">
        <v>8</v>
      </c>
      <c r="H5" s="25"/>
      <c r="I5" s="25"/>
      <c r="J5" s="25" t="s">
        <v>25</v>
      </c>
      <c r="K5" s="25"/>
      <c r="L5" s="25" t="s">
        <v>8</v>
      </c>
      <c r="M5" s="6"/>
      <c r="N5" s="25"/>
      <c r="O5" s="25"/>
      <c r="P5" s="25" t="s">
        <v>25</v>
      </c>
      <c r="Q5" s="25"/>
      <c r="R5" s="25" t="s">
        <v>8</v>
      </c>
      <c r="T5" s="25"/>
      <c r="U5" s="25"/>
      <c r="V5" s="25" t="s">
        <v>25</v>
      </c>
      <c r="W5" s="25"/>
      <c r="X5" s="25" t="s">
        <v>8</v>
      </c>
      <c r="Y5" s="6"/>
      <c r="Z5" s="25"/>
      <c r="AA5" s="25"/>
    </row>
    <row r="6" spans="1:28" s="6" customFormat="1" ht="30" x14ac:dyDescent="0.25">
      <c r="A6" s="6" t="s">
        <v>80</v>
      </c>
      <c r="B6" s="6" t="s">
        <v>169</v>
      </c>
      <c r="C6" s="6" t="s">
        <v>169</v>
      </c>
      <c r="D6" s="6" t="s">
        <v>170</v>
      </c>
      <c r="E6" s="6" t="s">
        <v>171</v>
      </c>
      <c r="F6" s="6" t="s">
        <v>170</v>
      </c>
      <c r="G6" s="6" t="s">
        <v>171</v>
      </c>
      <c r="H6" s="6" t="s">
        <v>172</v>
      </c>
      <c r="I6" s="6" t="s">
        <v>172</v>
      </c>
      <c r="J6" s="6" t="s">
        <v>170</v>
      </c>
      <c r="K6" s="6" t="s">
        <v>171</v>
      </c>
      <c r="L6" s="6" t="s">
        <v>170</v>
      </c>
      <c r="M6" s="6" t="s">
        <v>171</v>
      </c>
      <c r="N6" s="6" t="s">
        <v>172</v>
      </c>
      <c r="O6" s="6" t="s">
        <v>172</v>
      </c>
      <c r="P6" s="6" t="s">
        <v>170</v>
      </c>
      <c r="Q6" s="6" t="s">
        <v>171</v>
      </c>
      <c r="R6" s="6" t="s">
        <v>170</v>
      </c>
      <c r="S6" s="6" t="s">
        <v>171</v>
      </c>
      <c r="T6" s="6" t="s">
        <v>172</v>
      </c>
      <c r="U6" s="6" t="s">
        <v>172</v>
      </c>
      <c r="V6" s="6" t="s">
        <v>170</v>
      </c>
      <c r="W6" s="6" t="s">
        <v>171</v>
      </c>
      <c r="X6" s="6" t="s">
        <v>170</v>
      </c>
      <c r="Y6" s="6" t="s">
        <v>171</v>
      </c>
      <c r="Z6" s="6" t="s">
        <v>172</v>
      </c>
      <c r="AA6" s="6" t="s">
        <v>172</v>
      </c>
    </row>
    <row r="7" spans="1:28" x14ac:dyDescent="0.25">
      <c r="B7" s="13" t="s">
        <v>85</v>
      </c>
      <c r="C7" s="13" t="s">
        <v>85</v>
      </c>
      <c r="D7" s="13" t="s">
        <v>85</v>
      </c>
      <c r="E7" s="13" t="s">
        <v>85</v>
      </c>
      <c r="F7" s="13" t="s">
        <v>85</v>
      </c>
      <c r="G7" s="13" t="s">
        <v>85</v>
      </c>
      <c r="H7" s="13" t="s">
        <v>85</v>
      </c>
      <c r="I7" s="13" t="s">
        <v>85</v>
      </c>
      <c r="J7" s="13" t="s">
        <v>85</v>
      </c>
      <c r="K7" s="13" t="s">
        <v>85</v>
      </c>
      <c r="L7" s="13" t="s">
        <v>85</v>
      </c>
      <c r="M7" s="13" t="s">
        <v>85</v>
      </c>
      <c r="N7" s="13" t="s">
        <v>85</v>
      </c>
      <c r="O7" s="13" t="s">
        <v>85</v>
      </c>
      <c r="P7" s="13" t="s">
        <v>85</v>
      </c>
      <c r="Q7" s="13" t="s">
        <v>85</v>
      </c>
      <c r="R7" s="13" t="s">
        <v>85</v>
      </c>
      <c r="S7" s="13" t="s">
        <v>85</v>
      </c>
      <c r="T7" s="13" t="s">
        <v>85</v>
      </c>
      <c r="U7" s="13" t="s">
        <v>85</v>
      </c>
      <c r="V7" s="13" t="s">
        <v>85</v>
      </c>
      <c r="W7" s="13" t="s">
        <v>85</v>
      </c>
      <c r="X7" s="13" t="s">
        <v>85</v>
      </c>
      <c r="Y7" s="13" t="s">
        <v>85</v>
      </c>
      <c r="Z7" s="13" t="s">
        <v>85</v>
      </c>
      <c r="AA7" s="13" t="s">
        <v>85</v>
      </c>
      <c r="AB7" s="13" t="s">
        <v>85</v>
      </c>
    </row>
    <row r="8" spans="1:28" x14ac:dyDescent="0.25">
      <c r="A8">
        <v>2025</v>
      </c>
      <c r="B8" s="47">
        <f>'Bryant Emissions Forecast'!C10</f>
        <v>3.3203365911783949</v>
      </c>
      <c r="C8" s="47">
        <f>'Bryant SFH Improvements'!$C$36*NG_EmissionFactor</f>
        <v>3.8116204539357557</v>
      </c>
      <c r="D8" s="47">
        <f>'Bryant Emissions Forecast'!F10</f>
        <v>3.087913029795907</v>
      </c>
      <c r="E8" s="48">
        <f t="shared" ref="E8:E33" si="0">IF($A8&lt;$F$3,0,B8-D8)</f>
        <v>0.23242356138248788</v>
      </c>
      <c r="F8" s="47">
        <f>'Bryant SFH Improvements'!$C$37*NG_EmissionFactor</f>
        <v>3.0874125676879625</v>
      </c>
      <c r="G8" s="48">
        <f>IF($A8&lt;$F$3,0,$C8-F8)</f>
        <v>0.7242078862477932</v>
      </c>
      <c r="H8" s="47">
        <f t="shared" ref="H8:H33" si="1">SUM(E8,G8)</f>
        <v>0.95663144763028107</v>
      </c>
      <c r="I8" s="47">
        <f>H8*$H$3</f>
        <v>191.3262895260562</v>
      </c>
      <c r="J8" s="16">
        <f>D8</f>
        <v>3.087913029795907</v>
      </c>
      <c r="K8" s="48">
        <f t="shared" ref="K8:K33" si="2">IF($A8&lt;$L$3,0,$B8-J8)</f>
        <v>0.23242356138248788</v>
      </c>
      <c r="L8" s="16">
        <f>F8</f>
        <v>3.0874125676879625</v>
      </c>
      <c r="M8" s="48">
        <f t="shared" ref="M8:M33" si="3">IF($A8&lt;$L$3,0,$C8-L8)</f>
        <v>0.7242078862477932</v>
      </c>
      <c r="N8" s="47">
        <f t="shared" ref="N8:N33" si="4">SUM(K8,M8)</f>
        <v>0.95663144763028107</v>
      </c>
      <c r="O8" s="47">
        <f>N8*$N$3</f>
        <v>47.83157238151405</v>
      </c>
      <c r="P8" s="47">
        <f>'FH MF Emissions Forecast'!I9</f>
        <v>3.926154507467261</v>
      </c>
      <c r="Q8" s="48">
        <f>IF($A8&lt;$R$3,0,'FH MF Emissions Forecast'!C9-P8)</f>
        <v>0.14239938628119608</v>
      </c>
      <c r="R8" s="16">
        <f>'Forest Hills MF Improvements'!$C$35*NG_EmissionFactor</f>
        <v>1.5018989597036063</v>
      </c>
      <c r="S8" s="48">
        <f>IF($A8&lt;$L$3,0,'Forest Hills MF Improvements'!$C$33*NG_EmissionFactor-R8)</f>
        <v>0.30761785921640117</v>
      </c>
      <c r="T8" s="47">
        <f t="shared" ref="T8:T33" si="5">SUM(Q8,S8)</f>
        <v>0.45001724549759725</v>
      </c>
      <c r="U8" s="47">
        <f>T8*$T$3</f>
        <v>135.00517364927919</v>
      </c>
      <c r="V8" s="16">
        <f>'FH MF Emissions Forecast'!F9</f>
        <v>4.0334164906251289</v>
      </c>
      <c r="W8" s="48">
        <f>IF($A8&lt;$X$3,0,'FH MF Emissions Forecast'!C9-V8)</f>
        <v>0</v>
      </c>
      <c r="X8" s="16">
        <f>'Forest Hills MF Improvements'!$C$34*NG_EmissionFactor</f>
        <v>1.6364161681743736</v>
      </c>
      <c r="Y8" s="48">
        <f>IF($A8&lt;$X$3,0,'Forest Hills MF Improvements'!$C$33*NG_EmissionFactor-X8)</f>
        <v>0</v>
      </c>
      <c r="Z8" s="47">
        <f t="shared" ref="Z8:Z33" si="6">SUM(W8,Y8)</f>
        <v>0</v>
      </c>
      <c r="AA8" s="47">
        <f>Z8*$Z$3</f>
        <v>0</v>
      </c>
      <c r="AB8" s="16">
        <f>SUM(I8,O8,U8,AA8)</f>
        <v>374.16303555684942</v>
      </c>
    </row>
    <row r="9" spans="1:28" x14ac:dyDescent="0.25">
      <c r="A9">
        <v>2026</v>
      </c>
      <c r="B9" s="47">
        <f>'Bryant Emissions Forecast'!C11</f>
        <v>3.3203365911783949</v>
      </c>
      <c r="C9" s="47">
        <f>'Bryant SFH Improvements'!$C$36*NG_EmissionFactor</f>
        <v>3.8116204539357557</v>
      </c>
      <c r="D9" s="47">
        <f>'Bryant Emissions Forecast'!F11</f>
        <v>3.087913029795907</v>
      </c>
      <c r="E9" s="48">
        <f t="shared" si="0"/>
        <v>0.23242356138248788</v>
      </c>
      <c r="F9" s="47">
        <f>'Bryant SFH Improvements'!$C$37*NG_EmissionFactor</f>
        <v>3.0874125676879625</v>
      </c>
      <c r="G9" s="48">
        <f t="shared" ref="G9:G33" si="7">IF($A9&lt;$F$3,0,$C9-F9)</f>
        <v>0.7242078862477932</v>
      </c>
      <c r="H9" s="47">
        <f t="shared" si="1"/>
        <v>0.95663144763028107</v>
      </c>
      <c r="I9" s="47">
        <f t="shared" ref="I9:I33" si="8">H9*$H$3</f>
        <v>191.3262895260562</v>
      </c>
      <c r="J9" s="16">
        <f t="shared" ref="J9:J33" si="9">D9</f>
        <v>3.087913029795907</v>
      </c>
      <c r="K9" s="48">
        <f t="shared" si="2"/>
        <v>0.23242356138248788</v>
      </c>
      <c r="L9" s="16">
        <f t="shared" ref="L9:L33" si="10">F9</f>
        <v>3.0874125676879625</v>
      </c>
      <c r="M9" s="48">
        <f t="shared" si="3"/>
        <v>0.7242078862477932</v>
      </c>
      <c r="N9" s="47">
        <f t="shared" si="4"/>
        <v>0.95663144763028107</v>
      </c>
      <c r="O9" s="47">
        <f t="shared" ref="O9:O33" si="11">N9*$N$3</f>
        <v>47.83157238151405</v>
      </c>
      <c r="P9" s="47">
        <f>'FH MF Emissions Forecast'!I10</f>
        <v>3.926154507467261</v>
      </c>
      <c r="Q9" s="48">
        <f>IF($A9&lt;$R$3,0,'FH MF Emissions Forecast'!C10-P9)</f>
        <v>0.14239938628119608</v>
      </c>
      <c r="R9" s="16">
        <f>'Forest Hills MF Improvements'!$C$35*NG_EmissionFactor</f>
        <v>1.5018989597036063</v>
      </c>
      <c r="S9" s="48">
        <f>IF($A9&lt;$L$3,0,'Forest Hills MF Improvements'!$C$33*NG_EmissionFactor-R9)</f>
        <v>0.30761785921640117</v>
      </c>
      <c r="T9" s="47">
        <f t="shared" si="5"/>
        <v>0.45001724549759725</v>
      </c>
      <c r="U9" s="47">
        <f t="shared" ref="U9:U33" si="12">T9*$T$3</f>
        <v>135.00517364927919</v>
      </c>
      <c r="V9" s="16">
        <f>'FH MF Emissions Forecast'!F10</f>
        <v>4.0334164906251289</v>
      </c>
      <c r="W9" s="48">
        <f>IF($A9&lt;$X$3,0,'FH MF Emissions Forecast'!C10-V9)</f>
        <v>3.5137403123328248E-2</v>
      </c>
      <c r="X9" s="16">
        <f>'Forest Hills MF Improvements'!$C$34*NG_EmissionFactor</f>
        <v>1.6364161681743736</v>
      </c>
      <c r="Y9" s="48">
        <f>IF($A9&lt;$X$3,0,'Forest Hills MF Improvements'!$C$33*NG_EmissionFactor-X9)</f>
        <v>0.17310065074563386</v>
      </c>
      <c r="Z9" s="47">
        <f t="shared" si="6"/>
        <v>0.2082380538689621</v>
      </c>
      <c r="AA9" s="47">
        <f t="shared" ref="AA9:AA33" si="13">Z9*$Z$3</f>
        <v>22.906185925585831</v>
      </c>
      <c r="AB9" s="16">
        <f t="shared" ref="AB9:AB33" si="14">SUM(I9,O9,U9,AA9)</f>
        <v>397.06922148243524</v>
      </c>
    </row>
    <row r="10" spans="1:28" x14ac:dyDescent="0.25">
      <c r="A10">
        <v>2027</v>
      </c>
      <c r="B10" s="47">
        <f>'Bryant Emissions Forecast'!C12</f>
        <v>3.3203365911783949</v>
      </c>
      <c r="C10" s="47">
        <f>'Bryant SFH Improvements'!$C$36*NG_EmissionFactor</f>
        <v>3.8116204539357557</v>
      </c>
      <c r="D10" s="47">
        <f>'Bryant Emissions Forecast'!F12</f>
        <v>3.087913029795907</v>
      </c>
      <c r="E10" s="48">
        <f t="shared" si="0"/>
        <v>0.23242356138248788</v>
      </c>
      <c r="F10" s="47">
        <f>'Bryant SFH Improvements'!$C$37*NG_EmissionFactor</f>
        <v>3.0874125676879625</v>
      </c>
      <c r="G10" s="48">
        <f t="shared" si="7"/>
        <v>0.7242078862477932</v>
      </c>
      <c r="H10" s="47">
        <f t="shared" si="1"/>
        <v>0.95663144763028107</v>
      </c>
      <c r="I10" s="47">
        <f t="shared" si="8"/>
        <v>191.3262895260562</v>
      </c>
      <c r="J10" s="16">
        <f t="shared" si="9"/>
        <v>3.087913029795907</v>
      </c>
      <c r="K10" s="48">
        <f t="shared" si="2"/>
        <v>0.23242356138248788</v>
      </c>
      <c r="L10" s="16">
        <f t="shared" si="10"/>
        <v>3.0874125676879625</v>
      </c>
      <c r="M10" s="48">
        <f t="shared" si="3"/>
        <v>0.7242078862477932</v>
      </c>
      <c r="N10" s="47">
        <f t="shared" si="4"/>
        <v>0.95663144763028107</v>
      </c>
      <c r="O10" s="47">
        <f t="shared" si="11"/>
        <v>47.83157238151405</v>
      </c>
      <c r="P10" s="47">
        <f>'FH MF Emissions Forecast'!I11</f>
        <v>3.926154507467261</v>
      </c>
      <c r="Q10" s="48">
        <f>IF($A10&lt;$R$3,0,'FH MF Emissions Forecast'!C11-P10)</f>
        <v>0.14239938628119608</v>
      </c>
      <c r="R10" s="16">
        <f>'Forest Hills MF Improvements'!$C$35*NG_EmissionFactor</f>
        <v>1.5018989597036063</v>
      </c>
      <c r="S10" s="48">
        <f>IF($A10&lt;$L$3,0,'Forest Hills MF Improvements'!$C$33*NG_EmissionFactor-R10)</f>
        <v>0.30761785921640117</v>
      </c>
      <c r="T10" s="47">
        <f t="shared" si="5"/>
        <v>0.45001724549759725</v>
      </c>
      <c r="U10" s="47">
        <f t="shared" si="12"/>
        <v>135.00517364927919</v>
      </c>
      <c r="V10" s="16">
        <f>'FH MF Emissions Forecast'!F11</f>
        <v>4.0334164906251289</v>
      </c>
      <c r="W10" s="48">
        <f>IF($A10&lt;$X$3,0,'FH MF Emissions Forecast'!C11-V10)</f>
        <v>3.5137403123328248E-2</v>
      </c>
      <c r="X10" s="16">
        <f>'Forest Hills MF Improvements'!$C$34*NG_EmissionFactor</f>
        <v>1.6364161681743736</v>
      </c>
      <c r="Y10" s="48">
        <f>IF($A10&lt;$X$3,0,'Forest Hills MF Improvements'!$C$33*NG_EmissionFactor-X10)</f>
        <v>0.17310065074563386</v>
      </c>
      <c r="Z10" s="47">
        <f t="shared" si="6"/>
        <v>0.2082380538689621</v>
      </c>
      <c r="AA10" s="47">
        <f t="shared" si="13"/>
        <v>22.906185925585831</v>
      </c>
      <c r="AB10" s="16">
        <f t="shared" si="14"/>
        <v>397.06922148243524</v>
      </c>
    </row>
    <row r="11" spans="1:28" x14ac:dyDescent="0.25">
      <c r="A11">
        <v>2028</v>
      </c>
      <c r="B11" s="47">
        <f>'Bryant Emissions Forecast'!C13</f>
        <v>2.6681276179112099</v>
      </c>
      <c r="C11" s="47">
        <f>'Bryant SFH Improvements'!$C$36*NG_EmissionFactor</f>
        <v>3.8116204539357557</v>
      </c>
      <c r="D11" s="47">
        <f>'Bryant Emissions Forecast'!F13</f>
        <v>2.4813586846574252</v>
      </c>
      <c r="E11" s="48">
        <f t="shared" si="0"/>
        <v>0.18676893325378474</v>
      </c>
      <c r="F11" s="47">
        <f>'Bryant SFH Improvements'!$C$37*NG_EmissionFactor</f>
        <v>3.0874125676879625</v>
      </c>
      <c r="G11" s="48">
        <f t="shared" si="7"/>
        <v>0.7242078862477932</v>
      </c>
      <c r="H11" s="47">
        <f t="shared" si="1"/>
        <v>0.91097681950157794</v>
      </c>
      <c r="I11" s="47">
        <f t="shared" si="8"/>
        <v>182.19536390031558</v>
      </c>
      <c r="J11" s="16">
        <f t="shared" si="9"/>
        <v>2.4813586846574252</v>
      </c>
      <c r="K11" s="48">
        <f t="shared" si="2"/>
        <v>0.18676893325378474</v>
      </c>
      <c r="L11" s="16">
        <f t="shared" si="10"/>
        <v>3.0874125676879625</v>
      </c>
      <c r="M11" s="48">
        <f t="shared" si="3"/>
        <v>0.7242078862477932</v>
      </c>
      <c r="N11" s="47">
        <f t="shared" si="4"/>
        <v>0.91097681950157794</v>
      </c>
      <c r="O11" s="47">
        <f t="shared" si="11"/>
        <v>45.548840975078896</v>
      </c>
      <c r="P11" s="47">
        <f>'FH MF Emissions Forecast'!I12</f>
        <v>3.1549455863576203</v>
      </c>
      <c r="Q11" s="48">
        <f>IF($A11&lt;$R$3,0,'FH MF Emissions Forecast'!C12-P11)</f>
        <v>0.11442807826167556</v>
      </c>
      <c r="R11" s="16">
        <f>'Forest Hills MF Improvements'!$C$35*NG_EmissionFactor</f>
        <v>1.5018989597036063</v>
      </c>
      <c r="S11" s="48">
        <f>IF($A11&lt;$L$3,0,'Forest Hills MF Improvements'!$C$33*NG_EmissionFactor-R11)</f>
        <v>0.30761785921640117</v>
      </c>
      <c r="T11" s="47">
        <f t="shared" si="5"/>
        <v>0.42204593747807673</v>
      </c>
      <c r="U11" s="47">
        <f t="shared" si="12"/>
        <v>126.61378124342302</v>
      </c>
      <c r="V11" s="16">
        <f>'FH MF Emissions Forecast'!F12</f>
        <v>3.241138251395193</v>
      </c>
      <c r="W11" s="48">
        <f>IF($A11&lt;$X$3,0,'FH MF Emissions Forecast'!C12-V11)</f>
        <v>2.8235413224102945E-2</v>
      </c>
      <c r="X11" s="16">
        <f>'Forest Hills MF Improvements'!$C$34*NG_EmissionFactor</f>
        <v>1.6364161681743736</v>
      </c>
      <c r="Y11" s="48">
        <f>IF($A11&lt;$X$3,0,'Forest Hills MF Improvements'!$C$33*NG_EmissionFactor-X11)</f>
        <v>0.17310065074563386</v>
      </c>
      <c r="Z11" s="47">
        <f t="shared" si="6"/>
        <v>0.2013360639697368</v>
      </c>
      <c r="AA11" s="47">
        <f t="shared" si="13"/>
        <v>22.146967036671047</v>
      </c>
      <c r="AB11" s="16">
        <f t="shared" si="14"/>
        <v>376.50495315548858</v>
      </c>
    </row>
    <row r="12" spans="1:28" x14ac:dyDescent="0.25">
      <c r="A12">
        <v>2029</v>
      </c>
      <c r="B12" s="47">
        <f>'Bryant Emissions Forecast'!C14</f>
        <v>2.3420231312776174</v>
      </c>
      <c r="C12" s="47">
        <f>'Bryant SFH Improvements'!$C$36*NG_EmissionFactor</f>
        <v>3.8116204539357557</v>
      </c>
      <c r="D12" s="47">
        <f>'Bryant Emissions Forecast'!F14</f>
        <v>2.1780815120881845</v>
      </c>
      <c r="E12" s="48">
        <f t="shared" si="0"/>
        <v>0.16394161918943295</v>
      </c>
      <c r="F12" s="47">
        <f>'Bryant SFH Improvements'!$C$37*NG_EmissionFactor</f>
        <v>3.0874125676879625</v>
      </c>
      <c r="G12" s="48">
        <f t="shared" si="7"/>
        <v>0.7242078862477932</v>
      </c>
      <c r="H12" s="47">
        <f t="shared" si="1"/>
        <v>0.88814950543722615</v>
      </c>
      <c r="I12" s="47">
        <f t="shared" si="8"/>
        <v>177.62990108744523</v>
      </c>
      <c r="J12" s="16">
        <f t="shared" si="9"/>
        <v>2.1780815120881845</v>
      </c>
      <c r="K12" s="48">
        <f t="shared" si="2"/>
        <v>0.16394161918943295</v>
      </c>
      <c r="L12" s="16">
        <f t="shared" si="10"/>
        <v>3.0874125676879625</v>
      </c>
      <c r="M12" s="48">
        <f t="shared" si="3"/>
        <v>0.7242078862477932</v>
      </c>
      <c r="N12" s="47">
        <f t="shared" si="4"/>
        <v>0.88814950543722615</v>
      </c>
      <c r="O12" s="47">
        <f t="shared" si="11"/>
        <v>44.407475271861308</v>
      </c>
      <c r="P12" s="47">
        <f>'FH MF Emissions Forecast'!I13</f>
        <v>2.7693411258028005</v>
      </c>
      <c r="Q12" s="48">
        <f>IF($A12&lt;$R$3,0,'FH MF Emissions Forecast'!C13-P12)</f>
        <v>0.10044242425191507</v>
      </c>
      <c r="R12" s="16">
        <f>'Forest Hills MF Improvements'!$C$35*NG_EmissionFactor</f>
        <v>1.5018989597036063</v>
      </c>
      <c r="S12" s="48">
        <f>IF($A12&lt;$L$3,0,'Forest Hills MF Improvements'!$C$33*NG_EmissionFactor-R12)</f>
        <v>0.30761785921640117</v>
      </c>
      <c r="T12" s="47">
        <f t="shared" si="5"/>
        <v>0.40806028346831624</v>
      </c>
      <c r="U12" s="47">
        <f t="shared" si="12"/>
        <v>122.41808504049487</v>
      </c>
      <c r="V12" s="16">
        <f>'FH MF Emissions Forecast'!F13</f>
        <v>2.844999131780225</v>
      </c>
      <c r="W12" s="48">
        <f>IF($A12&lt;$X$3,0,'FH MF Emissions Forecast'!C13-V12)</f>
        <v>2.4784418274490516E-2</v>
      </c>
      <c r="X12" s="16">
        <f>'Forest Hills MF Improvements'!$C$34*NG_EmissionFactor</f>
        <v>1.6364161681743736</v>
      </c>
      <c r="Y12" s="48">
        <f>IF($A12&lt;$X$3,0,'Forest Hills MF Improvements'!$C$33*NG_EmissionFactor-X12)</f>
        <v>0.17310065074563386</v>
      </c>
      <c r="Z12" s="47">
        <f t="shared" si="6"/>
        <v>0.19788506902012437</v>
      </c>
      <c r="AA12" s="47">
        <f t="shared" si="13"/>
        <v>21.767357592213681</v>
      </c>
      <c r="AB12" s="16">
        <f t="shared" si="14"/>
        <v>366.22281899201505</v>
      </c>
    </row>
    <row r="13" spans="1:28" x14ac:dyDescent="0.25">
      <c r="A13">
        <v>2030</v>
      </c>
      <c r="B13" s="47">
        <f>'Bryant Emissions Forecast'!C15</f>
        <v>2.0159186446440254</v>
      </c>
      <c r="C13" s="47">
        <f>'Bryant SFH Improvements'!$C$36*NG_EmissionFactor</f>
        <v>3.8116204539357557</v>
      </c>
      <c r="D13" s="47">
        <f>'Bryant Emissions Forecast'!F15</f>
        <v>1.8748043395189435</v>
      </c>
      <c r="E13" s="48">
        <f t="shared" si="0"/>
        <v>0.14111430512508183</v>
      </c>
      <c r="F13" s="47">
        <f>'Bryant SFH Improvements'!$C$37*NG_EmissionFactor</f>
        <v>3.0874125676879625</v>
      </c>
      <c r="G13" s="48">
        <f t="shared" si="7"/>
        <v>0.7242078862477932</v>
      </c>
      <c r="H13" s="47">
        <f t="shared" si="1"/>
        <v>0.86532219137287503</v>
      </c>
      <c r="I13" s="47">
        <f t="shared" si="8"/>
        <v>173.064438274575</v>
      </c>
      <c r="J13" s="16">
        <f t="shared" si="9"/>
        <v>1.8748043395189435</v>
      </c>
      <c r="K13" s="48">
        <f t="shared" si="2"/>
        <v>0.14111430512508183</v>
      </c>
      <c r="L13" s="16">
        <f t="shared" si="10"/>
        <v>3.0874125676879625</v>
      </c>
      <c r="M13" s="48">
        <f t="shared" si="3"/>
        <v>0.7242078862477932</v>
      </c>
      <c r="N13" s="47">
        <f t="shared" si="4"/>
        <v>0.86532219137287503</v>
      </c>
      <c r="O13" s="47">
        <f t="shared" si="11"/>
        <v>43.266109568643749</v>
      </c>
      <c r="P13" s="47">
        <f>'FH MF Emissions Forecast'!I14</f>
        <v>2.3837366652479801</v>
      </c>
      <c r="Q13" s="48">
        <f>IF($A13&lt;$R$3,0,'FH MF Emissions Forecast'!C14-P13)</f>
        <v>8.645677024215459E-2</v>
      </c>
      <c r="R13" s="16">
        <f>'Forest Hills MF Improvements'!$C$35*NG_EmissionFactor</f>
        <v>1.5018989597036063</v>
      </c>
      <c r="S13" s="48">
        <f>IF($A13&lt;$L$3,0,'Forest Hills MF Improvements'!$C$33*NG_EmissionFactor-R13)</f>
        <v>0.30761785921640117</v>
      </c>
      <c r="T13" s="47">
        <f t="shared" si="5"/>
        <v>0.39407462945855576</v>
      </c>
      <c r="U13" s="47">
        <f t="shared" si="12"/>
        <v>118.22238883756673</v>
      </c>
      <c r="V13" s="16">
        <f>'FH MF Emissions Forecast'!F14</f>
        <v>2.4488600121652571</v>
      </c>
      <c r="W13" s="48">
        <f>IF($A13&lt;$X$3,0,'FH MF Emissions Forecast'!C14-V13)</f>
        <v>2.1333423324877643E-2</v>
      </c>
      <c r="X13" s="16">
        <f>'Forest Hills MF Improvements'!$C$34*NG_EmissionFactor</f>
        <v>1.6364161681743736</v>
      </c>
      <c r="Y13" s="48">
        <f>IF($A13&lt;$X$3,0,'Forest Hills MF Improvements'!$C$33*NG_EmissionFactor-X13)</f>
        <v>0.17310065074563386</v>
      </c>
      <c r="Z13" s="47">
        <f t="shared" si="6"/>
        <v>0.1944340740705115</v>
      </c>
      <c r="AA13" s="47">
        <f t="shared" si="13"/>
        <v>21.387748147756266</v>
      </c>
      <c r="AB13" s="16">
        <f t="shared" si="14"/>
        <v>355.94068482854175</v>
      </c>
    </row>
    <row r="14" spans="1:28" x14ac:dyDescent="0.25">
      <c r="A14">
        <v>2031</v>
      </c>
      <c r="B14" s="47">
        <f>'Bryant Emissions Forecast'!C16</f>
        <v>2.0159186446440254</v>
      </c>
      <c r="C14" s="47">
        <f>'Bryant SFH Improvements'!$C$36*NG_EmissionFactor</f>
        <v>3.8116204539357557</v>
      </c>
      <c r="D14" s="47">
        <f>'Bryant Emissions Forecast'!F16</f>
        <v>1.8748043395189435</v>
      </c>
      <c r="E14" s="48">
        <f t="shared" si="0"/>
        <v>0.14111430512508183</v>
      </c>
      <c r="F14" s="47">
        <f>'Bryant SFH Improvements'!$C$37*NG_EmissionFactor</f>
        <v>3.0874125676879625</v>
      </c>
      <c r="G14" s="48">
        <f t="shared" si="7"/>
        <v>0.7242078862477932</v>
      </c>
      <c r="H14" s="47">
        <f t="shared" si="1"/>
        <v>0.86532219137287503</v>
      </c>
      <c r="I14" s="47">
        <f t="shared" si="8"/>
        <v>173.064438274575</v>
      </c>
      <c r="J14" s="16">
        <f t="shared" si="9"/>
        <v>1.8748043395189435</v>
      </c>
      <c r="K14" s="48">
        <f t="shared" si="2"/>
        <v>0.14111430512508183</v>
      </c>
      <c r="L14" s="16">
        <f t="shared" si="10"/>
        <v>3.0874125676879625</v>
      </c>
      <c r="M14" s="48">
        <f t="shared" si="3"/>
        <v>0.7242078862477932</v>
      </c>
      <c r="N14" s="47">
        <f t="shared" si="4"/>
        <v>0.86532219137287503</v>
      </c>
      <c r="O14" s="47">
        <f t="shared" si="11"/>
        <v>43.266109568643749</v>
      </c>
      <c r="P14" s="47">
        <f>'FH MF Emissions Forecast'!I15</f>
        <v>2.3837366652479801</v>
      </c>
      <c r="Q14" s="48">
        <f>IF($A14&lt;$R$3,0,'FH MF Emissions Forecast'!C15-P14)</f>
        <v>8.645677024215459E-2</v>
      </c>
      <c r="R14" s="16">
        <f>'Forest Hills MF Improvements'!$C$35*NG_EmissionFactor</f>
        <v>1.5018989597036063</v>
      </c>
      <c r="S14" s="48">
        <f>IF($A14&lt;$L$3,0,'Forest Hills MF Improvements'!$C$33*NG_EmissionFactor-R14)</f>
        <v>0.30761785921640117</v>
      </c>
      <c r="T14" s="47">
        <f t="shared" si="5"/>
        <v>0.39407462945855576</v>
      </c>
      <c r="U14" s="47">
        <f t="shared" si="12"/>
        <v>118.22238883756673</v>
      </c>
      <c r="V14" s="16">
        <f>'FH MF Emissions Forecast'!F15</f>
        <v>2.4488600121652571</v>
      </c>
      <c r="W14" s="48">
        <f>IF($A14&lt;$X$3,0,'FH MF Emissions Forecast'!C15-V14)</f>
        <v>2.1333423324877643E-2</v>
      </c>
      <c r="X14" s="16">
        <f>'Forest Hills MF Improvements'!$C$34*NG_EmissionFactor</f>
        <v>1.6364161681743736</v>
      </c>
      <c r="Y14" s="48">
        <f>IF($A14&lt;$X$3,0,'Forest Hills MF Improvements'!$C$33*NG_EmissionFactor-X14)</f>
        <v>0.17310065074563386</v>
      </c>
      <c r="Z14" s="47">
        <f t="shared" si="6"/>
        <v>0.1944340740705115</v>
      </c>
      <c r="AA14" s="47">
        <f t="shared" si="13"/>
        <v>21.387748147756266</v>
      </c>
      <c r="AB14" s="16">
        <f t="shared" si="14"/>
        <v>355.94068482854175</v>
      </c>
    </row>
    <row r="15" spans="1:28" x14ac:dyDescent="0.25">
      <c r="A15">
        <v>2032</v>
      </c>
      <c r="B15" s="47">
        <f>'Bryant Emissions Forecast'!C17</f>
        <v>2.0159186446440254</v>
      </c>
      <c r="C15" s="47">
        <f>'Bryant SFH Improvements'!$C$36*NG_EmissionFactor</f>
        <v>3.8116204539357557</v>
      </c>
      <c r="D15" s="47">
        <f>'Bryant Emissions Forecast'!F17</f>
        <v>1.8748043395189435</v>
      </c>
      <c r="E15" s="48">
        <f t="shared" si="0"/>
        <v>0.14111430512508183</v>
      </c>
      <c r="F15" s="47">
        <f>'Bryant SFH Improvements'!$C$37*NG_EmissionFactor</f>
        <v>3.0874125676879625</v>
      </c>
      <c r="G15" s="48">
        <f t="shared" si="7"/>
        <v>0.7242078862477932</v>
      </c>
      <c r="H15" s="47">
        <f t="shared" si="1"/>
        <v>0.86532219137287503</v>
      </c>
      <c r="I15" s="47">
        <f t="shared" si="8"/>
        <v>173.064438274575</v>
      </c>
      <c r="J15" s="16">
        <f t="shared" si="9"/>
        <v>1.8748043395189435</v>
      </c>
      <c r="K15" s="48">
        <f t="shared" si="2"/>
        <v>0.14111430512508183</v>
      </c>
      <c r="L15" s="16">
        <f t="shared" si="10"/>
        <v>3.0874125676879625</v>
      </c>
      <c r="M15" s="48">
        <f t="shared" si="3"/>
        <v>0.7242078862477932</v>
      </c>
      <c r="N15" s="47">
        <f t="shared" si="4"/>
        <v>0.86532219137287503</v>
      </c>
      <c r="O15" s="47">
        <f t="shared" si="11"/>
        <v>43.266109568643749</v>
      </c>
      <c r="P15" s="47">
        <f>'FH MF Emissions Forecast'!I16</f>
        <v>2.3837366652479801</v>
      </c>
      <c r="Q15" s="48">
        <f>IF($A15&lt;$R$3,0,'FH MF Emissions Forecast'!C16-P15)</f>
        <v>8.645677024215459E-2</v>
      </c>
      <c r="R15" s="16">
        <f>'Forest Hills MF Improvements'!$C$35*NG_EmissionFactor</f>
        <v>1.5018989597036063</v>
      </c>
      <c r="S15" s="48">
        <f>IF($A15&lt;$L$3,0,'Forest Hills MF Improvements'!$C$33*NG_EmissionFactor-R15)</f>
        <v>0.30761785921640117</v>
      </c>
      <c r="T15" s="47">
        <f t="shared" si="5"/>
        <v>0.39407462945855576</v>
      </c>
      <c r="U15" s="47">
        <f t="shared" si="12"/>
        <v>118.22238883756673</v>
      </c>
      <c r="V15" s="16">
        <f>'FH MF Emissions Forecast'!F16</f>
        <v>2.4488600121652571</v>
      </c>
      <c r="W15" s="48">
        <f>IF($A15&lt;$X$3,0,'FH MF Emissions Forecast'!C16-V15)</f>
        <v>2.1333423324877643E-2</v>
      </c>
      <c r="X15" s="16">
        <f>'Forest Hills MF Improvements'!$C$34*NG_EmissionFactor</f>
        <v>1.6364161681743736</v>
      </c>
      <c r="Y15" s="48">
        <f>IF($A15&lt;$X$3,0,'Forest Hills MF Improvements'!$C$33*NG_EmissionFactor-X15)</f>
        <v>0.17310065074563386</v>
      </c>
      <c r="Z15" s="47">
        <f t="shared" si="6"/>
        <v>0.1944340740705115</v>
      </c>
      <c r="AA15" s="47">
        <f t="shared" si="13"/>
        <v>21.387748147756266</v>
      </c>
      <c r="AB15" s="16">
        <f t="shared" si="14"/>
        <v>355.94068482854175</v>
      </c>
    </row>
    <row r="16" spans="1:28" x14ac:dyDescent="0.25">
      <c r="A16">
        <v>2033</v>
      </c>
      <c r="B16" s="47">
        <f>'Bryant Emissions Forecast'!C18</f>
        <v>1.6500039999019165</v>
      </c>
      <c r="C16" s="47">
        <f>'Bryant SFH Improvements'!$C$36*NG_EmissionFactor</f>
        <v>3.8116204539357557</v>
      </c>
      <c r="D16" s="47">
        <f>'Bryant Emissions Forecast'!F18</f>
        <v>1.5345037199087821</v>
      </c>
      <c r="E16" s="48">
        <f t="shared" si="0"/>
        <v>0.11550027999313439</v>
      </c>
      <c r="F16" s="47">
        <f>'Bryant SFH Improvements'!$C$37*NG_EmissionFactor</f>
        <v>3.0874125676879625</v>
      </c>
      <c r="G16" s="48">
        <f t="shared" si="7"/>
        <v>0.7242078862477932</v>
      </c>
      <c r="H16" s="47">
        <f t="shared" si="1"/>
        <v>0.83970816624092759</v>
      </c>
      <c r="I16" s="47">
        <f t="shared" si="8"/>
        <v>167.94163324818552</v>
      </c>
      <c r="J16" s="16">
        <f t="shared" si="9"/>
        <v>1.5345037199087821</v>
      </c>
      <c r="K16" s="48">
        <f t="shared" si="2"/>
        <v>0.11550027999313439</v>
      </c>
      <c r="L16" s="16">
        <f t="shared" si="10"/>
        <v>3.0874125676879625</v>
      </c>
      <c r="M16" s="48">
        <f t="shared" si="3"/>
        <v>0.7242078862477932</v>
      </c>
      <c r="N16" s="47">
        <f t="shared" si="4"/>
        <v>0.83970816624092759</v>
      </c>
      <c r="O16" s="47">
        <f t="shared" si="11"/>
        <v>41.985408312046381</v>
      </c>
      <c r="P16" s="47">
        <f>'FH MF Emissions Forecast'!I17</f>
        <v>1.9510584134046491</v>
      </c>
      <c r="Q16" s="48">
        <f>IF($A16&lt;$R$3,0,'FH MF Emissions Forecast'!C17-P16)</f>
        <v>7.0763776651981969E-2</v>
      </c>
      <c r="R16" s="16">
        <f>'Forest Hills MF Improvements'!$C$35*NG_EmissionFactor</f>
        <v>1.5018989597036063</v>
      </c>
      <c r="S16" s="48">
        <f>IF($A16&lt;$L$3,0,'Forest Hills MF Improvements'!$C$33*NG_EmissionFactor-R16)</f>
        <v>0.30761785921640117</v>
      </c>
      <c r="T16" s="47">
        <f t="shared" si="5"/>
        <v>0.37838163586838314</v>
      </c>
      <c r="U16" s="47">
        <f t="shared" si="12"/>
        <v>113.51449076051495</v>
      </c>
      <c r="V16" s="16">
        <f>'FH MF Emissions Forecast'!F17</f>
        <v>2.0043610519739161</v>
      </c>
      <c r="W16" s="48">
        <f>IF($A16&lt;$X$3,0,'FH MF Emissions Forecast'!C17-V16)</f>
        <v>1.7461138082714989E-2</v>
      </c>
      <c r="X16" s="16">
        <f>'Forest Hills MF Improvements'!$C$34*NG_EmissionFactor</f>
        <v>1.6364161681743736</v>
      </c>
      <c r="Y16" s="48">
        <f>IF($A16&lt;$X$3,0,'Forest Hills MF Improvements'!$C$33*NG_EmissionFactor-X16)</f>
        <v>0.17310065074563386</v>
      </c>
      <c r="Z16" s="47">
        <f t="shared" si="6"/>
        <v>0.19056178882834884</v>
      </c>
      <c r="AA16" s="47">
        <f t="shared" si="13"/>
        <v>20.961796771118372</v>
      </c>
      <c r="AB16" s="16">
        <f t="shared" si="14"/>
        <v>344.40332909186526</v>
      </c>
    </row>
    <row r="17" spans="1:28" x14ac:dyDescent="0.25">
      <c r="A17">
        <v>2034</v>
      </c>
      <c r="B17" s="47">
        <f>'Bryant Emissions Forecast'!C19</f>
        <v>1.4670466775308619</v>
      </c>
      <c r="C17" s="47">
        <f>'Bryant SFH Improvements'!$C$36*NG_EmissionFactor</f>
        <v>3.8116204539357557</v>
      </c>
      <c r="D17" s="47">
        <f>'Bryant Emissions Forecast'!F19</f>
        <v>1.3643534101037016</v>
      </c>
      <c r="E17" s="48">
        <f t="shared" si="0"/>
        <v>0.10269326742716034</v>
      </c>
      <c r="F17" s="47">
        <f>'Bryant SFH Improvements'!$C$37*NG_EmissionFactor</f>
        <v>3.0874125676879625</v>
      </c>
      <c r="G17" s="48">
        <f t="shared" si="7"/>
        <v>0.7242078862477932</v>
      </c>
      <c r="H17" s="47">
        <f t="shared" si="1"/>
        <v>0.82690115367495354</v>
      </c>
      <c r="I17" s="47">
        <f t="shared" si="8"/>
        <v>165.3802307349907</v>
      </c>
      <c r="J17" s="16">
        <f t="shared" si="9"/>
        <v>1.3643534101037016</v>
      </c>
      <c r="K17" s="48">
        <f t="shared" si="2"/>
        <v>0.10269326742716034</v>
      </c>
      <c r="L17" s="16">
        <f t="shared" si="10"/>
        <v>3.0874125676879625</v>
      </c>
      <c r="M17" s="48">
        <f t="shared" si="3"/>
        <v>0.7242078862477932</v>
      </c>
      <c r="N17" s="47">
        <f t="shared" si="4"/>
        <v>0.82690115367495354</v>
      </c>
      <c r="O17" s="47">
        <f t="shared" si="11"/>
        <v>41.345057683747676</v>
      </c>
      <c r="P17" s="47">
        <f>'FH MF Emissions Forecast'!I18</f>
        <v>1.7347192874829835</v>
      </c>
      <c r="Q17" s="48">
        <f>IF($A17&lt;$R$3,0,'FH MF Emissions Forecast'!C18-P17)</f>
        <v>6.2917279856895769E-2</v>
      </c>
      <c r="R17" s="16">
        <f>'Forest Hills MF Improvements'!$C$35*NG_EmissionFactor</f>
        <v>1.5018989597036063</v>
      </c>
      <c r="S17" s="48">
        <f>IF($A17&lt;$L$3,0,'Forest Hills MF Improvements'!$C$33*NG_EmissionFactor-R17)</f>
        <v>0.30761785921640117</v>
      </c>
      <c r="T17" s="47">
        <f t="shared" si="5"/>
        <v>0.37053513907329694</v>
      </c>
      <c r="U17" s="47">
        <f t="shared" si="12"/>
        <v>111.16054172198908</v>
      </c>
      <c r="V17" s="16">
        <f>'FH MF Emissions Forecast'!F18</f>
        <v>1.7821115718782456</v>
      </c>
      <c r="W17" s="48">
        <f>IF($A17&lt;$X$3,0,'FH MF Emissions Forecast'!C18-V17)</f>
        <v>1.5524995461633662E-2</v>
      </c>
      <c r="X17" s="16">
        <f>'Forest Hills MF Improvements'!$C$34*NG_EmissionFactor</f>
        <v>1.6364161681743736</v>
      </c>
      <c r="Y17" s="48">
        <f>IF($A17&lt;$X$3,0,'Forest Hills MF Improvements'!$C$33*NG_EmissionFactor-X17)</f>
        <v>0.17310065074563386</v>
      </c>
      <c r="Z17" s="47">
        <f t="shared" si="6"/>
        <v>0.18862564620726752</v>
      </c>
      <c r="AA17" s="47">
        <f t="shared" si="13"/>
        <v>20.748821082799427</v>
      </c>
      <c r="AB17" s="16">
        <f t="shared" si="14"/>
        <v>338.63465122352693</v>
      </c>
    </row>
    <row r="18" spans="1:28" x14ac:dyDescent="0.25">
      <c r="A18">
        <v>2035</v>
      </c>
      <c r="B18" s="47">
        <f>'Bryant Emissions Forecast'!C20</f>
        <v>1.2840893551598076</v>
      </c>
      <c r="C18" s="47">
        <f>'Bryant SFH Improvements'!$C$36*NG_EmissionFactor</f>
        <v>3.8116204539357557</v>
      </c>
      <c r="D18" s="47">
        <f>'Bryant Emissions Forecast'!F20</f>
        <v>1.1942031002986211</v>
      </c>
      <c r="E18" s="48">
        <f t="shared" si="0"/>
        <v>8.988625486118651E-2</v>
      </c>
      <c r="F18" s="47">
        <f>'Bryant SFH Improvements'!$C$37*NG_EmissionFactor</f>
        <v>3.0874125676879625</v>
      </c>
      <c r="G18" s="48">
        <f t="shared" si="7"/>
        <v>0.7242078862477932</v>
      </c>
      <c r="H18" s="47">
        <f t="shared" si="1"/>
        <v>0.81409414110897971</v>
      </c>
      <c r="I18" s="47">
        <f t="shared" si="8"/>
        <v>162.81882822179594</v>
      </c>
      <c r="J18" s="16">
        <f t="shared" si="9"/>
        <v>1.1942031002986211</v>
      </c>
      <c r="K18" s="48">
        <f t="shared" si="2"/>
        <v>8.988625486118651E-2</v>
      </c>
      <c r="L18" s="16">
        <f t="shared" si="10"/>
        <v>3.0874125676879625</v>
      </c>
      <c r="M18" s="48">
        <f t="shared" si="3"/>
        <v>0.7242078862477932</v>
      </c>
      <c r="N18" s="47">
        <f t="shared" si="4"/>
        <v>0.81409414110897971</v>
      </c>
      <c r="O18" s="47">
        <f t="shared" si="11"/>
        <v>40.704707055448985</v>
      </c>
      <c r="P18" s="47">
        <f>'FH MF Emissions Forecast'!I19</f>
        <v>1.5183801615613182</v>
      </c>
      <c r="Q18" s="48">
        <f>IF($A18&lt;$R$3,0,'FH MF Emissions Forecast'!C19-P18)</f>
        <v>5.507078306180957E-2</v>
      </c>
      <c r="R18" s="16">
        <f>'Forest Hills MF Improvements'!$C$35*NG_EmissionFactor</f>
        <v>1.5018989597036063</v>
      </c>
      <c r="S18" s="48">
        <f>IF($A18&lt;$L$3,0,'Forest Hills MF Improvements'!$C$33*NG_EmissionFactor-R18)</f>
        <v>0.30761785921640117</v>
      </c>
      <c r="T18" s="47">
        <f t="shared" si="5"/>
        <v>0.36268864227821074</v>
      </c>
      <c r="U18" s="47">
        <f t="shared" si="12"/>
        <v>108.80659268346322</v>
      </c>
      <c r="V18" s="16">
        <f>'FH MF Emissions Forecast'!F19</f>
        <v>1.5598620917825754</v>
      </c>
      <c r="W18" s="48">
        <f>IF($A18&lt;$X$3,0,'FH MF Emissions Forecast'!C19-V18)</f>
        <v>1.3588852840552335E-2</v>
      </c>
      <c r="X18" s="16">
        <f>'Forest Hills MF Improvements'!$C$34*NG_EmissionFactor</f>
        <v>1.6364161681743736</v>
      </c>
      <c r="Y18" s="48">
        <f>IF($A18&lt;$X$3,0,'Forest Hills MF Improvements'!$C$33*NG_EmissionFactor-X18)</f>
        <v>0.17310065074563386</v>
      </c>
      <c r="Z18" s="47">
        <f t="shared" si="6"/>
        <v>0.18668950358618619</v>
      </c>
      <c r="AA18" s="47">
        <f t="shared" si="13"/>
        <v>20.535845394480482</v>
      </c>
      <c r="AB18" s="16">
        <f t="shared" si="14"/>
        <v>332.8659733551886</v>
      </c>
    </row>
    <row r="19" spans="1:28" x14ac:dyDescent="0.25">
      <c r="A19">
        <v>2036</v>
      </c>
      <c r="B19" s="47">
        <f>'Bryant Emissions Forecast'!C21</f>
        <v>1.2840893551598076</v>
      </c>
      <c r="C19" s="47">
        <f>'Bryant SFH Improvements'!$C$36*NG_EmissionFactor</f>
        <v>3.8116204539357557</v>
      </c>
      <c r="D19" s="47">
        <f>'Bryant Emissions Forecast'!F21</f>
        <v>1.1942031002986211</v>
      </c>
      <c r="E19" s="48">
        <f t="shared" si="0"/>
        <v>8.988625486118651E-2</v>
      </c>
      <c r="F19" s="47">
        <f>'Bryant SFH Improvements'!$C$37*NG_EmissionFactor</f>
        <v>3.0874125676879625</v>
      </c>
      <c r="G19" s="48">
        <f t="shared" si="7"/>
        <v>0.7242078862477932</v>
      </c>
      <c r="H19" s="47">
        <f t="shared" si="1"/>
        <v>0.81409414110897971</v>
      </c>
      <c r="I19" s="47">
        <f t="shared" si="8"/>
        <v>162.81882822179594</v>
      </c>
      <c r="J19" s="16">
        <f t="shared" si="9"/>
        <v>1.1942031002986211</v>
      </c>
      <c r="K19" s="48">
        <f t="shared" si="2"/>
        <v>8.988625486118651E-2</v>
      </c>
      <c r="L19" s="16">
        <f t="shared" si="10"/>
        <v>3.0874125676879625</v>
      </c>
      <c r="M19" s="48">
        <f t="shared" si="3"/>
        <v>0.7242078862477932</v>
      </c>
      <c r="N19" s="47">
        <f t="shared" si="4"/>
        <v>0.81409414110897971</v>
      </c>
      <c r="O19" s="47">
        <f t="shared" si="11"/>
        <v>40.704707055448985</v>
      </c>
      <c r="P19" s="47">
        <f>'FH MF Emissions Forecast'!I20</f>
        <v>1.5183801615613182</v>
      </c>
      <c r="Q19" s="48">
        <f>IF($A19&lt;$R$3,0,'FH MF Emissions Forecast'!C20-P19)</f>
        <v>5.507078306180957E-2</v>
      </c>
      <c r="R19" s="16">
        <f>'Forest Hills MF Improvements'!$C$35*NG_EmissionFactor</f>
        <v>1.5018989597036063</v>
      </c>
      <c r="S19" s="48">
        <f>IF($A19&lt;$L$3,0,'Forest Hills MF Improvements'!$C$33*NG_EmissionFactor-R19)</f>
        <v>0.30761785921640117</v>
      </c>
      <c r="T19" s="47">
        <f t="shared" si="5"/>
        <v>0.36268864227821074</v>
      </c>
      <c r="U19" s="47">
        <f t="shared" si="12"/>
        <v>108.80659268346322</v>
      </c>
      <c r="V19" s="16">
        <f>'FH MF Emissions Forecast'!F20</f>
        <v>1.5598620917825754</v>
      </c>
      <c r="W19" s="48">
        <f>IF($A19&lt;$X$3,0,'FH MF Emissions Forecast'!C20-V19)</f>
        <v>1.3588852840552335E-2</v>
      </c>
      <c r="X19" s="16">
        <f>'Forest Hills MF Improvements'!$C$34*NG_EmissionFactor</f>
        <v>1.6364161681743736</v>
      </c>
      <c r="Y19" s="48">
        <f>IF($A19&lt;$X$3,0,'Forest Hills MF Improvements'!$C$33*NG_EmissionFactor-X19)</f>
        <v>0.17310065074563386</v>
      </c>
      <c r="Z19" s="47">
        <f t="shared" si="6"/>
        <v>0.18668950358618619</v>
      </c>
      <c r="AA19" s="47">
        <f t="shared" si="13"/>
        <v>20.535845394480482</v>
      </c>
      <c r="AB19" s="16">
        <f t="shared" si="14"/>
        <v>332.8659733551886</v>
      </c>
    </row>
    <row r="20" spans="1:28" x14ac:dyDescent="0.25">
      <c r="A20">
        <v>2037</v>
      </c>
      <c r="B20" s="47">
        <f>'Bryant Emissions Forecast'!C22</f>
        <v>1.2840893551598076</v>
      </c>
      <c r="C20" s="47">
        <f>'Bryant SFH Improvements'!$C$36*NG_EmissionFactor</f>
        <v>3.8116204539357557</v>
      </c>
      <c r="D20" s="47">
        <f>'Bryant Emissions Forecast'!F22</f>
        <v>1.1942031002986211</v>
      </c>
      <c r="E20" s="48">
        <f t="shared" si="0"/>
        <v>8.988625486118651E-2</v>
      </c>
      <c r="F20" s="47">
        <f>'Bryant SFH Improvements'!$C$37*NG_EmissionFactor</f>
        <v>3.0874125676879625</v>
      </c>
      <c r="G20" s="48">
        <f t="shared" si="7"/>
        <v>0.7242078862477932</v>
      </c>
      <c r="H20" s="47">
        <f t="shared" si="1"/>
        <v>0.81409414110897971</v>
      </c>
      <c r="I20" s="47">
        <f t="shared" si="8"/>
        <v>162.81882822179594</v>
      </c>
      <c r="J20" s="16">
        <f t="shared" si="9"/>
        <v>1.1942031002986211</v>
      </c>
      <c r="K20" s="48">
        <f t="shared" si="2"/>
        <v>8.988625486118651E-2</v>
      </c>
      <c r="L20" s="16">
        <f t="shared" si="10"/>
        <v>3.0874125676879625</v>
      </c>
      <c r="M20" s="48">
        <f t="shared" si="3"/>
        <v>0.7242078862477932</v>
      </c>
      <c r="N20" s="47">
        <f t="shared" si="4"/>
        <v>0.81409414110897971</v>
      </c>
      <c r="O20" s="47">
        <f t="shared" si="11"/>
        <v>40.704707055448985</v>
      </c>
      <c r="P20" s="47">
        <f>'FH MF Emissions Forecast'!I21</f>
        <v>1.5183801615613182</v>
      </c>
      <c r="Q20" s="48">
        <f>IF($A20&lt;$R$3,0,'FH MF Emissions Forecast'!C21-P20)</f>
        <v>5.507078306180957E-2</v>
      </c>
      <c r="R20" s="16">
        <f>'Forest Hills MF Improvements'!$C$35*NG_EmissionFactor</f>
        <v>1.5018989597036063</v>
      </c>
      <c r="S20" s="48">
        <f>IF($A20&lt;$L$3,0,'Forest Hills MF Improvements'!$C$33*NG_EmissionFactor-R20)</f>
        <v>0.30761785921640117</v>
      </c>
      <c r="T20" s="47">
        <f t="shared" si="5"/>
        <v>0.36268864227821074</v>
      </c>
      <c r="U20" s="47">
        <f t="shared" si="12"/>
        <v>108.80659268346322</v>
      </c>
      <c r="V20" s="16">
        <f>'FH MF Emissions Forecast'!F21</f>
        <v>1.5598620917825754</v>
      </c>
      <c r="W20" s="48">
        <f>IF($A20&lt;$X$3,0,'FH MF Emissions Forecast'!C21-V20)</f>
        <v>1.3588852840552335E-2</v>
      </c>
      <c r="X20" s="16">
        <f>'Forest Hills MF Improvements'!$C$34*NG_EmissionFactor</f>
        <v>1.6364161681743736</v>
      </c>
      <c r="Y20" s="48">
        <f>IF($A20&lt;$X$3,0,'Forest Hills MF Improvements'!$C$33*NG_EmissionFactor-X20)</f>
        <v>0.17310065074563386</v>
      </c>
      <c r="Z20" s="47">
        <f t="shared" si="6"/>
        <v>0.18668950358618619</v>
      </c>
      <c r="AA20" s="47">
        <f t="shared" si="13"/>
        <v>20.535845394480482</v>
      </c>
      <c r="AB20" s="16">
        <f t="shared" si="14"/>
        <v>332.8659733551886</v>
      </c>
    </row>
    <row r="21" spans="1:28" x14ac:dyDescent="0.25">
      <c r="A21">
        <v>2038</v>
      </c>
      <c r="B21" s="47">
        <f>'Bryant Emissions Forecast'!C23</f>
        <v>0.6420446775799038</v>
      </c>
      <c r="C21" s="47">
        <f>'Bryant SFH Improvements'!$C$36*NG_EmissionFactor</f>
        <v>3.8116204539357557</v>
      </c>
      <c r="D21" s="47">
        <f>'Bryant Emissions Forecast'!F23</f>
        <v>0.59710155014931054</v>
      </c>
      <c r="E21" s="48">
        <f t="shared" si="0"/>
        <v>4.4943127430593255E-2</v>
      </c>
      <c r="F21" s="47">
        <f>'Bryant SFH Improvements'!$C$37*NG_EmissionFactor</f>
        <v>3.0874125676879625</v>
      </c>
      <c r="G21" s="48">
        <f t="shared" si="7"/>
        <v>0.7242078862477932</v>
      </c>
      <c r="H21" s="47">
        <f t="shared" si="1"/>
        <v>0.76915101367838645</v>
      </c>
      <c r="I21" s="47">
        <f t="shared" si="8"/>
        <v>153.83020273567729</v>
      </c>
      <c r="J21" s="16">
        <f t="shared" si="9"/>
        <v>0.59710155014931054</v>
      </c>
      <c r="K21" s="48">
        <f t="shared" si="2"/>
        <v>4.4943127430593255E-2</v>
      </c>
      <c r="L21" s="16">
        <f t="shared" si="10"/>
        <v>3.0874125676879625</v>
      </c>
      <c r="M21" s="48">
        <f t="shared" si="3"/>
        <v>0.7242078862477932</v>
      </c>
      <c r="N21" s="47">
        <f t="shared" si="4"/>
        <v>0.76915101367838645</v>
      </c>
      <c r="O21" s="47">
        <f t="shared" si="11"/>
        <v>38.457550683919322</v>
      </c>
      <c r="P21" s="47">
        <f>'FH MF Emissions Forecast'!I22</f>
        <v>0.75919008078065908</v>
      </c>
      <c r="Q21" s="48">
        <f>IF($A21&lt;$R$3,0,'FH MF Emissions Forecast'!C22-P21)</f>
        <v>2.7535391530904785E-2</v>
      </c>
      <c r="R21" s="16">
        <f>'Forest Hills MF Improvements'!$C$35*NG_EmissionFactor</f>
        <v>1.5018989597036063</v>
      </c>
      <c r="S21" s="48">
        <f>IF($A21&lt;$L$3,0,'Forest Hills MF Improvements'!$C$33*NG_EmissionFactor-R21)</f>
        <v>0.30761785921640117</v>
      </c>
      <c r="T21" s="47">
        <f t="shared" si="5"/>
        <v>0.33515325074730595</v>
      </c>
      <c r="U21" s="47">
        <f t="shared" si="12"/>
        <v>100.54597522419179</v>
      </c>
      <c r="V21" s="16">
        <f>'FH MF Emissions Forecast'!F22</f>
        <v>0.7799310458912877</v>
      </c>
      <c r="W21" s="48">
        <f>IF($A21&lt;$X$3,0,'FH MF Emissions Forecast'!C22-V21)</f>
        <v>6.7944264202761673E-3</v>
      </c>
      <c r="X21" s="16">
        <f>'Forest Hills MF Improvements'!$C$34*NG_EmissionFactor</f>
        <v>1.6364161681743736</v>
      </c>
      <c r="Y21" s="48">
        <f>IF($A21&lt;$X$3,0,'Forest Hills MF Improvements'!$C$33*NG_EmissionFactor-X21)</f>
        <v>0.17310065074563386</v>
      </c>
      <c r="Z21" s="47">
        <f t="shared" si="6"/>
        <v>0.17989507716591002</v>
      </c>
      <c r="AA21" s="47">
        <f t="shared" si="13"/>
        <v>19.788458488250104</v>
      </c>
      <c r="AB21" s="16">
        <f t="shared" si="14"/>
        <v>312.6221871320385</v>
      </c>
    </row>
    <row r="22" spans="1:28" x14ac:dyDescent="0.25">
      <c r="A22">
        <v>2039</v>
      </c>
      <c r="B22" s="47">
        <f>'Bryant Emissions Forecast'!C24</f>
        <v>0.3210223387899519</v>
      </c>
      <c r="C22" s="47">
        <f>'Bryant SFH Improvements'!$C$36*NG_EmissionFactor</f>
        <v>3.8116204539357557</v>
      </c>
      <c r="D22" s="47">
        <f>'Bryant Emissions Forecast'!F24</f>
        <v>0.29855077507465527</v>
      </c>
      <c r="E22" s="48">
        <f t="shared" si="0"/>
        <v>2.2471563715296627E-2</v>
      </c>
      <c r="F22" s="47">
        <f>'Bryant SFH Improvements'!$C$37*NG_EmissionFactor</f>
        <v>3.0874125676879625</v>
      </c>
      <c r="G22" s="48">
        <f t="shared" si="7"/>
        <v>0.7242078862477932</v>
      </c>
      <c r="H22" s="47">
        <f t="shared" si="1"/>
        <v>0.74667944996308977</v>
      </c>
      <c r="I22" s="47">
        <f t="shared" si="8"/>
        <v>149.33588999261795</v>
      </c>
      <c r="J22" s="16">
        <f t="shared" si="9"/>
        <v>0.29855077507465527</v>
      </c>
      <c r="K22" s="48">
        <f t="shared" si="2"/>
        <v>2.2471563715296627E-2</v>
      </c>
      <c r="L22" s="16">
        <f t="shared" si="10"/>
        <v>3.0874125676879625</v>
      </c>
      <c r="M22" s="48">
        <f t="shared" si="3"/>
        <v>0.7242078862477932</v>
      </c>
      <c r="N22" s="47">
        <f t="shared" si="4"/>
        <v>0.74667944996308977</v>
      </c>
      <c r="O22" s="47">
        <f t="shared" si="11"/>
        <v>37.333972498154488</v>
      </c>
      <c r="P22" s="47">
        <f>'FH MF Emissions Forecast'!I23</f>
        <v>0.37959504039032954</v>
      </c>
      <c r="Q22" s="48">
        <f>IF($A22&lt;$R$3,0,'FH MF Emissions Forecast'!C23-P22)</f>
        <v>1.3767695765452392E-2</v>
      </c>
      <c r="R22" s="16">
        <f>'Forest Hills MF Improvements'!$C$35*NG_EmissionFactor</f>
        <v>1.5018989597036063</v>
      </c>
      <c r="S22" s="48">
        <f>IF($A22&lt;$L$3,0,'Forest Hills MF Improvements'!$C$33*NG_EmissionFactor-R22)</f>
        <v>0.30761785921640117</v>
      </c>
      <c r="T22" s="47">
        <f t="shared" si="5"/>
        <v>0.32138555498185356</v>
      </c>
      <c r="U22" s="47">
        <f t="shared" si="12"/>
        <v>96.415666494556064</v>
      </c>
      <c r="V22" s="16">
        <f>'FH MF Emissions Forecast'!F23</f>
        <v>0.38996552294564385</v>
      </c>
      <c r="W22" s="48">
        <f>IF($A22&lt;$X$3,0,'FH MF Emissions Forecast'!C23-V22)</f>
        <v>3.3972132101380836E-3</v>
      </c>
      <c r="X22" s="16">
        <f>'Forest Hills MF Improvements'!$C$34*NG_EmissionFactor</f>
        <v>1.6364161681743736</v>
      </c>
      <c r="Y22" s="48">
        <f>IF($A22&lt;$X$3,0,'Forest Hills MF Improvements'!$C$33*NG_EmissionFactor-X22)</f>
        <v>0.17310065074563386</v>
      </c>
      <c r="Z22" s="47">
        <f t="shared" si="6"/>
        <v>0.17649786395577194</v>
      </c>
      <c r="AA22" s="47">
        <f t="shared" si="13"/>
        <v>19.414765035134913</v>
      </c>
      <c r="AB22" s="16">
        <f t="shared" si="14"/>
        <v>302.5002940204634</v>
      </c>
    </row>
    <row r="23" spans="1:28" x14ac:dyDescent="0.25">
      <c r="A23">
        <v>2040</v>
      </c>
      <c r="B23" s="47">
        <f>'Bryant Emissions Forecast'!C25</f>
        <v>0</v>
      </c>
      <c r="C23" s="47">
        <f>'Bryant SFH Improvements'!$C$36*NG_EmissionFactor</f>
        <v>3.8116204539357557</v>
      </c>
      <c r="D23" s="47">
        <f>'Bryant Emissions Forecast'!F25</f>
        <v>0</v>
      </c>
      <c r="E23" s="48">
        <f t="shared" si="0"/>
        <v>0</v>
      </c>
      <c r="F23" s="47">
        <f>'Bryant SFH Improvements'!$C$37*NG_EmissionFactor</f>
        <v>3.0874125676879625</v>
      </c>
      <c r="G23" s="48">
        <f t="shared" si="7"/>
        <v>0.7242078862477932</v>
      </c>
      <c r="H23" s="47">
        <f t="shared" si="1"/>
        <v>0.7242078862477932</v>
      </c>
      <c r="I23" s="47">
        <f t="shared" si="8"/>
        <v>144.84157724955864</v>
      </c>
      <c r="J23" s="16">
        <f t="shared" si="9"/>
        <v>0</v>
      </c>
      <c r="K23" s="48">
        <f t="shared" si="2"/>
        <v>0</v>
      </c>
      <c r="L23" s="16">
        <f t="shared" si="10"/>
        <v>3.0874125676879625</v>
      </c>
      <c r="M23" s="48">
        <f t="shared" si="3"/>
        <v>0.7242078862477932</v>
      </c>
      <c r="N23" s="47">
        <f t="shared" si="4"/>
        <v>0.7242078862477932</v>
      </c>
      <c r="O23" s="47">
        <f t="shared" si="11"/>
        <v>36.21039431238966</v>
      </c>
      <c r="P23" s="47">
        <f>'FH MF Emissions Forecast'!I24</f>
        <v>0</v>
      </c>
      <c r="Q23" s="48">
        <f>IF($A23&lt;$R$3,0,'FH MF Emissions Forecast'!C24-P23)</f>
        <v>0</v>
      </c>
      <c r="R23" s="16">
        <f>'Forest Hills MF Improvements'!$C$35*NG_EmissionFactor</f>
        <v>1.5018989597036063</v>
      </c>
      <c r="S23" s="48">
        <f>IF($A23&lt;$L$3,0,'Forest Hills MF Improvements'!$C$33*NG_EmissionFactor-R23)</f>
        <v>0.30761785921640117</v>
      </c>
      <c r="T23" s="47">
        <f t="shared" si="5"/>
        <v>0.30761785921640117</v>
      </c>
      <c r="U23" s="47">
        <f t="shared" si="12"/>
        <v>92.285357764920349</v>
      </c>
      <c r="V23" s="16">
        <f>'FH MF Emissions Forecast'!F24</f>
        <v>0</v>
      </c>
      <c r="W23" s="48">
        <f>IF($A23&lt;$X$3,0,'FH MF Emissions Forecast'!C24-V23)</f>
        <v>0</v>
      </c>
      <c r="X23" s="16">
        <f>'Forest Hills MF Improvements'!$C$34*NG_EmissionFactor</f>
        <v>1.6364161681743736</v>
      </c>
      <c r="Y23" s="48">
        <f>IF($A23&lt;$X$3,0,'Forest Hills MF Improvements'!$C$33*NG_EmissionFactor-X23)</f>
        <v>0.17310065074563386</v>
      </c>
      <c r="Z23" s="47">
        <f t="shared" si="6"/>
        <v>0.17310065074563386</v>
      </c>
      <c r="AA23" s="47">
        <f t="shared" si="13"/>
        <v>19.041071582019725</v>
      </c>
      <c r="AB23" s="16">
        <f t="shared" si="14"/>
        <v>292.37840090888835</v>
      </c>
    </row>
    <row r="24" spans="1:28" x14ac:dyDescent="0.25">
      <c r="A24">
        <v>2041</v>
      </c>
      <c r="B24" s="47">
        <f>'Bryant Emissions Forecast'!C26</f>
        <v>0</v>
      </c>
      <c r="C24" s="47">
        <f>'Bryant SFH Improvements'!$C$36*NG_EmissionFactor</f>
        <v>3.8116204539357557</v>
      </c>
      <c r="D24" s="47">
        <f>'Bryant Emissions Forecast'!F26</f>
        <v>0</v>
      </c>
      <c r="E24" s="48">
        <f t="shared" si="0"/>
        <v>0</v>
      </c>
      <c r="F24" s="47">
        <f>'Bryant SFH Improvements'!$C$37*NG_EmissionFactor</f>
        <v>3.0874125676879625</v>
      </c>
      <c r="G24" s="48">
        <f t="shared" si="7"/>
        <v>0.7242078862477932</v>
      </c>
      <c r="H24" s="47">
        <f t="shared" si="1"/>
        <v>0.7242078862477932</v>
      </c>
      <c r="I24" s="47">
        <f t="shared" si="8"/>
        <v>144.84157724955864</v>
      </c>
      <c r="J24" s="16">
        <f t="shared" si="9"/>
        <v>0</v>
      </c>
      <c r="K24" s="48">
        <f t="shared" si="2"/>
        <v>0</v>
      </c>
      <c r="L24" s="16">
        <f t="shared" si="10"/>
        <v>3.0874125676879625</v>
      </c>
      <c r="M24" s="48">
        <f t="shared" si="3"/>
        <v>0.7242078862477932</v>
      </c>
      <c r="N24" s="47">
        <f t="shared" si="4"/>
        <v>0.7242078862477932</v>
      </c>
      <c r="O24" s="47">
        <f t="shared" si="11"/>
        <v>36.21039431238966</v>
      </c>
      <c r="P24" s="47">
        <f>'FH MF Emissions Forecast'!I25</f>
        <v>0</v>
      </c>
      <c r="Q24" s="48">
        <f>IF($A24&lt;$R$3,0,'FH MF Emissions Forecast'!C25-P24)</f>
        <v>0</v>
      </c>
      <c r="R24" s="16">
        <f>'Forest Hills MF Improvements'!$C$35*NG_EmissionFactor</f>
        <v>1.5018989597036063</v>
      </c>
      <c r="S24" s="48">
        <f>IF($A24&lt;$L$3,0,'Forest Hills MF Improvements'!$C$33*NG_EmissionFactor-R24)</f>
        <v>0.30761785921640117</v>
      </c>
      <c r="T24" s="47">
        <f t="shared" si="5"/>
        <v>0.30761785921640117</v>
      </c>
      <c r="U24" s="47">
        <f t="shared" si="12"/>
        <v>92.285357764920349</v>
      </c>
      <c r="V24" s="16">
        <f>'FH MF Emissions Forecast'!F25</f>
        <v>0</v>
      </c>
      <c r="W24" s="48">
        <f>IF($A24&lt;$X$3,0,'FH MF Emissions Forecast'!C25-V24)</f>
        <v>0</v>
      </c>
      <c r="X24" s="16">
        <f>'Forest Hills MF Improvements'!$C$34*NG_EmissionFactor</f>
        <v>1.6364161681743736</v>
      </c>
      <c r="Y24" s="48">
        <f>IF($A24&lt;$X$3,0,'Forest Hills MF Improvements'!$C$33*NG_EmissionFactor-X24)</f>
        <v>0.17310065074563386</v>
      </c>
      <c r="Z24" s="47">
        <f t="shared" si="6"/>
        <v>0.17310065074563386</v>
      </c>
      <c r="AA24" s="47">
        <f t="shared" si="13"/>
        <v>19.041071582019725</v>
      </c>
      <c r="AB24" s="16">
        <f t="shared" si="14"/>
        <v>292.37840090888835</v>
      </c>
    </row>
    <row r="25" spans="1:28" x14ac:dyDescent="0.25">
      <c r="A25">
        <v>2042</v>
      </c>
      <c r="B25" s="47">
        <f>'Bryant Emissions Forecast'!C27</f>
        <v>0</v>
      </c>
      <c r="C25" s="47">
        <f>'Bryant SFH Improvements'!$C$36*NG_EmissionFactor</f>
        <v>3.8116204539357557</v>
      </c>
      <c r="D25" s="47">
        <f>'Bryant Emissions Forecast'!F27</f>
        <v>0</v>
      </c>
      <c r="E25" s="48">
        <f t="shared" si="0"/>
        <v>0</v>
      </c>
      <c r="F25" s="47">
        <f>'Bryant SFH Improvements'!$C$37*NG_EmissionFactor</f>
        <v>3.0874125676879625</v>
      </c>
      <c r="G25" s="48">
        <f t="shared" si="7"/>
        <v>0.7242078862477932</v>
      </c>
      <c r="H25" s="47">
        <f t="shared" si="1"/>
        <v>0.7242078862477932</v>
      </c>
      <c r="I25" s="47">
        <f t="shared" si="8"/>
        <v>144.84157724955864</v>
      </c>
      <c r="J25" s="16">
        <f t="shared" si="9"/>
        <v>0</v>
      </c>
      <c r="K25" s="48">
        <f t="shared" si="2"/>
        <v>0</v>
      </c>
      <c r="L25" s="16">
        <f t="shared" si="10"/>
        <v>3.0874125676879625</v>
      </c>
      <c r="M25" s="48">
        <f t="shared" si="3"/>
        <v>0.7242078862477932</v>
      </c>
      <c r="N25" s="47">
        <f t="shared" si="4"/>
        <v>0.7242078862477932</v>
      </c>
      <c r="O25" s="47">
        <f t="shared" si="11"/>
        <v>36.21039431238966</v>
      </c>
      <c r="P25" s="47">
        <f>'FH MF Emissions Forecast'!I26</f>
        <v>0</v>
      </c>
      <c r="Q25" s="48">
        <f>IF($A25&lt;$R$3,0,'FH MF Emissions Forecast'!C26-P25)</f>
        <v>0</v>
      </c>
      <c r="R25" s="16">
        <f>'Forest Hills MF Improvements'!$C$35*NG_EmissionFactor</f>
        <v>1.5018989597036063</v>
      </c>
      <c r="S25" s="48">
        <f>IF($A25&lt;$L$3,0,'Forest Hills MF Improvements'!$C$33*NG_EmissionFactor-R25)</f>
        <v>0.30761785921640117</v>
      </c>
      <c r="T25" s="47">
        <f t="shared" si="5"/>
        <v>0.30761785921640117</v>
      </c>
      <c r="U25" s="47">
        <f t="shared" si="12"/>
        <v>92.285357764920349</v>
      </c>
      <c r="V25" s="16">
        <f>'FH MF Emissions Forecast'!F26</f>
        <v>0</v>
      </c>
      <c r="W25" s="48">
        <f>IF($A25&lt;$X$3,0,'FH MF Emissions Forecast'!C26-V25)</f>
        <v>0</v>
      </c>
      <c r="X25" s="16">
        <f>'Forest Hills MF Improvements'!$C$34*NG_EmissionFactor</f>
        <v>1.6364161681743736</v>
      </c>
      <c r="Y25" s="48">
        <f>IF($A25&lt;$X$3,0,'Forest Hills MF Improvements'!$C$33*NG_EmissionFactor-X25)</f>
        <v>0.17310065074563386</v>
      </c>
      <c r="Z25" s="47">
        <f t="shared" si="6"/>
        <v>0.17310065074563386</v>
      </c>
      <c r="AA25" s="47">
        <f t="shared" si="13"/>
        <v>19.041071582019725</v>
      </c>
      <c r="AB25" s="16">
        <f t="shared" si="14"/>
        <v>292.37840090888835</v>
      </c>
    </row>
    <row r="26" spans="1:28" x14ac:dyDescent="0.25">
      <c r="A26">
        <v>2043</v>
      </c>
      <c r="B26" s="47">
        <f>'Bryant Emissions Forecast'!C28</f>
        <v>0</v>
      </c>
      <c r="C26" s="47">
        <f>'Bryant SFH Improvements'!$C$36*NG_EmissionFactor</f>
        <v>3.8116204539357557</v>
      </c>
      <c r="D26" s="47">
        <f>'Bryant Emissions Forecast'!F28</f>
        <v>0</v>
      </c>
      <c r="E26" s="48">
        <f t="shared" si="0"/>
        <v>0</v>
      </c>
      <c r="F26" s="47">
        <f>'Bryant SFH Improvements'!$C$37*NG_EmissionFactor</f>
        <v>3.0874125676879625</v>
      </c>
      <c r="G26" s="48">
        <f t="shared" si="7"/>
        <v>0.7242078862477932</v>
      </c>
      <c r="H26" s="47">
        <f t="shared" si="1"/>
        <v>0.7242078862477932</v>
      </c>
      <c r="I26" s="47">
        <f t="shared" si="8"/>
        <v>144.84157724955864</v>
      </c>
      <c r="J26" s="16">
        <f t="shared" si="9"/>
        <v>0</v>
      </c>
      <c r="K26" s="48">
        <f t="shared" si="2"/>
        <v>0</v>
      </c>
      <c r="L26" s="16">
        <f t="shared" si="10"/>
        <v>3.0874125676879625</v>
      </c>
      <c r="M26" s="48">
        <f t="shared" si="3"/>
        <v>0.7242078862477932</v>
      </c>
      <c r="N26" s="47">
        <f t="shared" si="4"/>
        <v>0.7242078862477932</v>
      </c>
      <c r="O26" s="47">
        <f t="shared" si="11"/>
        <v>36.21039431238966</v>
      </c>
      <c r="P26" s="47">
        <f>'FH MF Emissions Forecast'!I27</f>
        <v>0</v>
      </c>
      <c r="Q26" s="48">
        <f>IF($A26&lt;$R$3,0,'FH MF Emissions Forecast'!C27-P26)</f>
        <v>0</v>
      </c>
      <c r="R26" s="16">
        <f>'Forest Hills MF Improvements'!$C$35*NG_EmissionFactor</f>
        <v>1.5018989597036063</v>
      </c>
      <c r="S26" s="48">
        <f>IF($A26&lt;$L$3,0,'Forest Hills MF Improvements'!$C$33*NG_EmissionFactor-R26)</f>
        <v>0.30761785921640117</v>
      </c>
      <c r="T26" s="47">
        <f t="shared" si="5"/>
        <v>0.30761785921640117</v>
      </c>
      <c r="U26" s="47">
        <f t="shared" si="12"/>
        <v>92.285357764920349</v>
      </c>
      <c r="V26" s="16">
        <f>'FH MF Emissions Forecast'!F27</f>
        <v>0</v>
      </c>
      <c r="W26" s="48">
        <f>IF($A26&lt;$X$3,0,'FH MF Emissions Forecast'!C27-V26)</f>
        <v>0</v>
      </c>
      <c r="X26" s="16">
        <f>'Forest Hills MF Improvements'!$C$34*NG_EmissionFactor</f>
        <v>1.6364161681743736</v>
      </c>
      <c r="Y26" s="48">
        <f>IF($A26&lt;$X$3,0,'Forest Hills MF Improvements'!$C$33*NG_EmissionFactor-X26)</f>
        <v>0.17310065074563386</v>
      </c>
      <c r="Z26" s="47">
        <f t="shared" si="6"/>
        <v>0.17310065074563386</v>
      </c>
      <c r="AA26" s="47">
        <f t="shared" si="13"/>
        <v>19.041071582019725</v>
      </c>
      <c r="AB26" s="16">
        <f t="shared" si="14"/>
        <v>292.37840090888835</v>
      </c>
    </row>
    <row r="27" spans="1:28" x14ac:dyDescent="0.25">
      <c r="A27">
        <v>2044</v>
      </c>
      <c r="B27" s="47">
        <f>'Bryant Emissions Forecast'!C29</f>
        <v>0</v>
      </c>
      <c r="C27" s="47">
        <f>'Bryant SFH Improvements'!$C$36*NG_EmissionFactor</f>
        <v>3.8116204539357557</v>
      </c>
      <c r="D27" s="47">
        <f>'Bryant Emissions Forecast'!F29</f>
        <v>0</v>
      </c>
      <c r="E27" s="48">
        <f t="shared" si="0"/>
        <v>0</v>
      </c>
      <c r="F27" s="47">
        <f>'Bryant SFH Improvements'!$C$37*NG_EmissionFactor</f>
        <v>3.0874125676879625</v>
      </c>
      <c r="G27" s="48">
        <f t="shared" si="7"/>
        <v>0.7242078862477932</v>
      </c>
      <c r="H27" s="47">
        <f t="shared" si="1"/>
        <v>0.7242078862477932</v>
      </c>
      <c r="I27" s="47">
        <f t="shared" si="8"/>
        <v>144.84157724955864</v>
      </c>
      <c r="J27" s="16">
        <f t="shared" si="9"/>
        <v>0</v>
      </c>
      <c r="K27" s="48">
        <f t="shared" si="2"/>
        <v>0</v>
      </c>
      <c r="L27" s="16">
        <f t="shared" si="10"/>
        <v>3.0874125676879625</v>
      </c>
      <c r="M27" s="48">
        <f t="shared" si="3"/>
        <v>0.7242078862477932</v>
      </c>
      <c r="N27" s="47">
        <f t="shared" si="4"/>
        <v>0.7242078862477932</v>
      </c>
      <c r="O27" s="47">
        <f t="shared" si="11"/>
        <v>36.21039431238966</v>
      </c>
      <c r="P27" s="47">
        <f>'FH MF Emissions Forecast'!I28</f>
        <v>0</v>
      </c>
      <c r="Q27" s="48">
        <f>IF($A27&lt;$R$3,0,'FH MF Emissions Forecast'!C28-P27)</f>
        <v>0</v>
      </c>
      <c r="R27" s="16">
        <f>'Forest Hills MF Improvements'!$C$35*NG_EmissionFactor</f>
        <v>1.5018989597036063</v>
      </c>
      <c r="S27" s="48">
        <f>IF($A27&lt;$L$3,0,'Forest Hills MF Improvements'!$C$33*NG_EmissionFactor-R27)</f>
        <v>0.30761785921640117</v>
      </c>
      <c r="T27" s="47">
        <f t="shared" si="5"/>
        <v>0.30761785921640117</v>
      </c>
      <c r="U27" s="47">
        <f t="shared" si="12"/>
        <v>92.285357764920349</v>
      </c>
      <c r="V27" s="16">
        <f>'FH MF Emissions Forecast'!F28</f>
        <v>0</v>
      </c>
      <c r="W27" s="48">
        <f>IF($A27&lt;$X$3,0,'FH MF Emissions Forecast'!C28-V27)</f>
        <v>0</v>
      </c>
      <c r="X27" s="16">
        <f>'Forest Hills MF Improvements'!$C$34*NG_EmissionFactor</f>
        <v>1.6364161681743736</v>
      </c>
      <c r="Y27" s="48">
        <f>IF($A27&lt;$X$3,0,'Forest Hills MF Improvements'!$C$33*NG_EmissionFactor-X27)</f>
        <v>0.17310065074563386</v>
      </c>
      <c r="Z27" s="47">
        <f t="shared" si="6"/>
        <v>0.17310065074563386</v>
      </c>
      <c r="AA27" s="47">
        <f t="shared" si="13"/>
        <v>19.041071582019725</v>
      </c>
      <c r="AB27" s="16">
        <f t="shared" si="14"/>
        <v>292.37840090888835</v>
      </c>
    </row>
    <row r="28" spans="1:28" x14ac:dyDescent="0.25">
      <c r="A28">
        <v>2045</v>
      </c>
      <c r="B28" s="47">
        <f>'Bryant Emissions Forecast'!C30</f>
        <v>0</v>
      </c>
      <c r="C28" s="47">
        <f>'Bryant SFH Improvements'!$C$36*NG_EmissionFactor</f>
        <v>3.8116204539357557</v>
      </c>
      <c r="D28" s="47">
        <f>'Bryant Emissions Forecast'!F30</f>
        <v>0</v>
      </c>
      <c r="E28" s="48">
        <f t="shared" si="0"/>
        <v>0</v>
      </c>
      <c r="F28" s="47">
        <f>'Bryant SFH Improvements'!$C$37*NG_EmissionFactor</f>
        <v>3.0874125676879625</v>
      </c>
      <c r="G28" s="48">
        <f t="shared" si="7"/>
        <v>0.7242078862477932</v>
      </c>
      <c r="H28" s="47">
        <f t="shared" si="1"/>
        <v>0.7242078862477932</v>
      </c>
      <c r="I28" s="47">
        <f t="shared" si="8"/>
        <v>144.84157724955864</v>
      </c>
      <c r="J28" s="16">
        <f t="shared" si="9"/>
        <v>0</v>
      </c>
      <c r="K28" s="48">
        <f t="shared" si="2"/>
        <v>0</v>
      </c>
      <c r="L28" s="16">
        <f t="shared" si="10"/>
        <v>3.0874125676879625</v>
      </c>
      <c r="M28" s="48">
        <f t="shared" si="3"/>
        <v>0.7242078862477932</v>
      </c>
      <c r="N28" s="47">
        <f t="shared" si="4"/>
        <v>0.7242078862477932</v>
      </c>
      <c r="O28" s="47">
        <f t="shared" si="11"/>
        <v>36.21039431238966</v>
      </c>
      <c r="P28" s="47">
        <f>'FH MF Emissions Forecast'!I29</f>
        <v>0</v>
      </c>
      <c r="Q28" s="48">
        <f>IF($A28&lt;$R$3,0,'FH MF Emissions Forecast'!C29-P28)</f>
        <v>0</v>
      </c>
      <c r="R28" s="16">
        <f>'Forest Hills MF Improvements'!$C$35*NG_EmissionFactor</f>
        <v>1.5018989597036063</v>
      </c>
      <c r="S28" s="48">
        <f>IF($A28&lt;$L$3,0,'Forest Hills MF Improvements'!$C$33*NG_EmissionFactor-R28)</f>
        <v>0.30761785921640117</v>
      </c>
      <c r="T28" s="47">
        <f t="shared" si="5"/>
        <v>0.30761785921640117</v>
      </c>
      <c r="U28" s="47">
        <f t="shared" si="12"/>
        <v>92.285357764920349</v>
      </c>
      <c r="V28" s="16">
        <f>'FH MF Emissions Forecast'!F29</f>
        <v>0</v>
      </c>
      <c r="W28" s="48">
        <f>IF($A28&lt;$X$3,0,'FH MF Emissions Forecast'!C29-V28)</f>
        <v>0</v>
      </c>
      <c r="X28" s="16">
        <f>'Forest Hills MF Improvements'!$C$34*NG_EmissionFactor</f>
        <v>1.6364161681743736</v>
      </c>
      <c r="Y28" s="48">
        <f>IF($A28&lt;$X$3,0,'Forest Hills MF Improvements'!$C$33*NG_EmissionFactor-X28)</f>
        <v>0.17310065074563386</v>
      </c>
      <c r="Z28" s="47">
        <f t="shared" si="6"/>
        <v>0.17310065074563386</v>
      </c>
      <c r="AA28" s="47">
        <f t="shared" si="13"/>
        <v>19.041071582019725</v>
      </c>
      <c r="AB28" s="16">
        <f t="shared" si="14"/>
        <v>292.37840090888835</v>
      </c>
    </row>
    <row r="29" spans="1:28" x14ac:dyDescent="0.25">
      <c r="A29">
        <v>2046</v>
      </c>
      <c r="B29" s="47">
        <f>'Bryant Emissions Forecast'!C31</f>
        <v>0</v>
      </c>
      <c r="C29" s="47">
        <f>'Bryant SFH Improvements'!$C$36*NG_EmissionFactor</f>
        <v>3.8116204539357557</v>
      </c>
      <c r="D29" s="47">
        <f>'Bryant Emissions Forecast'!F31</f>
        <v>0</v>
      </c>
      <c r="E29" s="48">
        <f t="shared" si="0"/>
        <v>0</v>
      </c>
      <c r="F29" s="47">
        <f>'Bryant SFH Improvements'!$C$37*NG_EmissionFactor</f>
        <v>3.0874125676879625</v>
      </c>
      <c r="G29" s="48">
        <f t="shared" si="7"/>
        <v>0.7242078862477932</v>
      </c>
      <c r="H29" s="47">
        <f t="shared" si="1"/>
        <v>0.7242078862477932</v>
      </c>
      <c r="I29" s="47">
        <f t="shared" si="8"/>
        <v>144.84157724955864</v>
      </c>
      <c r="J29" s="16">
        <f t="shared" si="9"/>
        <v>0</v>
      </c>
      <c r="K29" s="48">
        <f t="shared" si="2"/>
        <v>0</v>
      </c>
      <c r="L29" s="16">
        <f t="shared" si="10"/>
        <v>3.0874125676879625</v>
      </c>
      <c r="M29" s="48">
        <f t="shared" si="3"/>
        <v>0.7242078862477932</v>
      </c>
      <c r="N29" s="47">
        <f t="shared" si="4"/>
        <v>0.7242078862477932</v>
      </c>
      <c r="O29" s="47">
        <f t="shared" si="11"/>
        <v>36.21039431238966</v>
      </c>
      <c r="P29" s="47">
        <f>'FH MF Emissions Forecast'!I30</f>
        <v>0</v>
      </c>
      <c r="Q29" s="48">
        <f>IF($A29&lt;$R$3,0,'FH MF Emissions Forecast'!C30-P29)</f>
        <v>0</v>
      </c>
      <c r="R29" s="16">
        <f>'Forest Hills MF Improvements'!$C$35*NG_EmissionFactor</f>
        <v>1.5018989597036063</v>
      </c>
      <c r="S29" s="48">
        <f>IF($A29&lt;$L$3,0,'Forest Hills MF Improvements'!$C$33*NG_EmissionFactor-R29)</f>
        <v>0.30761785921640117</v>
      </c>
      <c r="T29" s="47">
        <f t="shared" si="5"/>
        <v>0.30761785921640117</v>
      </c>
      <c r="U29" s="47">
        <f t="shared" si="12"/>
        <v>92.285357764920349</v>
      </c>
      <c r="V29" s="16">
        <f>'FH MF Emissions Forecast'!F30</f>
        <v>0</v>
      </c>
      <c r="W29" s="48">
        <f>IF($A29&lt;$X$3,0,'FH MF Emissions Forecast'!C30-V29)</f>
        <v>0</v>
      </c>
      <c r="X29" s="16">
        <f>'Forest Hills MF Improvements'!$C$34*NG_EmissionFactor</f>
        <v>1.6364161681743736</v>
      </c>
      <c r="Y29" s="48">
        <f>IF($A29&lt;$X$3,0,'Forest Hills MF Improvements'!$C$33*NG_EmissionFactor-X29)</f>
        <v>0.17310065074563386</v>
      </c>
      <c r="Z29" s="47">
        <f t="shared" si="6"/>
        <v>0.17310065074563386</v>
      </c>
      <c r="AA29" s="47">
        <f t="shared" si="13"/>
        <v>19.041071582019725</v>
      </c>
      <c r="AB29" s="16">
        <f t="shared" si="14"/>
        <v>292.37840090888835</v>
      </c>
    </row>
    <row r="30" spans="1:28" x14ac:dyDescent="0.25">
      <c r="A30">
        <v>2047</v>
      </c>
      <c r="B30" s="47">
        <f>'Bryant Emissions Forecast'!C32</f>
        <v>0</v>
      </c>
      <c r="C30" s="47">
        <f>'Bryant SFH Improvements'!$C$36*NG_EmissionFactor</f>
        <v>3.8116204539357557</v>
      </c>
      <c r="D30" s="47">
        <f>'Bryant Emissions Forecast'!F32</f>
        <v>0</v>
      </c>
      <c r="E30" s="48">
        <f t="shared" si="0"/>
        <v>0</v>
      </c>
      <c r="F30" s="47">
        <f>'Bryant SFH Improvements'!$C$37*NG_EmissionFactor</f>
        <v>3.0874125676879625</v>
      </c>
      <c r="G30" s="48">
        <f t="shared" si="7"/>
        <v>0.7242078862477932</v>
      </c>
      <c r="H30" s="47">
        <f t="shared" si="1"/>
        <v>0.7242078862477932</v>
      </c>
      <c r="I30" s="47">
        <f t="shared" si="8"/>
        <v>144.84157724955864</v>
      </c>
      <c r="J30" s="16">
        <f t="shared" si="9"/>
        <v>0</v>
      </c>
      <c r="K30" s="48">
        <f t="shared" si="2"/>
        <v>0</v>
      </c>
      <c r="L30" s="16">
        <f t="shared" si="10"/>
        <v>3.0874125676879625</v>
      </c>
      <c r="M30" s="48">
        <f t="shared" si="3"/>
        <v>0.7242078862477932</v>
      </c>
      <c r="N30" s="47">
        <f t="shared" si="4"/>
        <v>0.7242078862477932</v>
      </c>
      <c r="O30" s="47">
        <f t="shared" si="11"/>
        <v>36.21039431238966</v>
      </c>
      <c r="P30" s="47">
        <f>'FH MF Emissions Forecast'!I31</f>
        <v>0</v>
      </c>
      <c r="Q30" s="48">
        <f>IF($A30&lt;$R$3,0,'FH MF Emissions Forecast'!C31-P30)</f>
        <v>0</v>
      </c>
      <c r="R30" s="16">
        <f>'Forest Hills MF Improvements'!$C$35*NG_EmissionFactor</f>
        <v>1.5018989597036063</v>
      </c>
      <c r="S30" s="48">
        <f>IF($A30&lt;$L$3,0,'Forest Hills MF Improvements'!$C$33*NG_EmissionFactor-R30)</f>
        <v>0.30761785921640117</v>
      </c>
      <c r="T30" s="47">
        <f t="shared" si="5"/>
        <v>0.30761785921640117</v>
      </c>
      <c r="U30" s="47">
        <f t="shared" si="12"/>
        <v>92.285357764920349</v>
      </c>
      <c r="V30" s="16">
        <f>'FH MF Emissions Forecast'!F31</f>
        <v>0</v>
      </c>
      <c r="W30" s="48">
        <f>IF($A30&lt;$X$3,0,'FH MF Emissions Forecast'!C31-V30)</f>
        <v>0</v>
      </c>
      <c r="X30" s="16">
        <f>'Forest Hills MF Improvements'!$C$34*NG_EmissionFactor</f>
        <v>1.6364161681743736</v>
      </c>
      <c r="Y30" s="48">
        <f>IF($A30&lt;$X$3,0,'Forest Hills MF Improvements'!$C$33*NG_EmissionFactor-X30)</f>
        <v>0.17310065074563386</v>
      </c>
      <c r="Z30" s="47">
        <f t="shared" si="6"/>
        <v>0.17310065074563386</v>
      </c>
      <c r="AA30" s="47">
        <f t="shared" si="13"/>
        <v>19.041071582019725</v>
      </c>
      <c r="AB30" s="16">
        <f t="shared" si="14"/>
        <v>292.37840090888835</v>
      </c>
    </row>
    <row r="31" spans="1:28" x14ac:dyDescent="0.25">
      <c r="A31">
        <v>2048</v>
      </c>
      <c r="B31" s="47">
        <f>'Bryant Emissions Forecast'!C33</f>
        <v>0</v>
      </c>
      <c r="C31" s="47">
        <f>'Bryant SFH Improvements'!$C$36*NG_EmissionFactor</f>
        <v>3.8116204539357557</v>
      </c>
      <c r="D31" s="47">
        <f>'Bryant Emissions Forecast'!F33</f>
        <v>0</v>
      </c>
      <c r="E31" s="48">
        <f t="shared" si="0"/>
        <v>0</v>
      </c>
      <c r="F31" s="47">
        <f>'Bryant SFH Improvements'!$C$37*NG_EmissionFactor</f>
        <v>3.0874125676879625</v>
      </c>
      <c r="G31" s="48">
        <f t="shared" si="7"/>
        <v>0.7242078862477932</v>
      </c>
      <c r="H31" s="47">
        <f t="shared" si="1"/>
        <v>0.7242078862477932</v>
      </c>
      <c r="I31" s="47">
        <f t="shared" si="8"/>
        <v>144.84157724955864</v>
      </c>
      <c r="J31" s="16">
        <f t="shared" si="9"/>
        <v>0</v>
      </c>
      <c r="K31" s="48">
        <f t="shared" si="2"/>
        <v>0</v>
      </c>
      <c r="L31" s="16">
        <f t="shared" si="10"/>
        <v>3.0874125676879625</v>
      </c>
      <c r="M31" s="48">
        <f t="shared" si="3"/>
        <v>0.7242078862477932</v>
      </c>
      <c r="N31" s="47">
        <f t="shared" si="4"/>
        <v>0.7242078862477932</v>
      </c>
      <c r="O31" s="47">
        <f t="shared" si="11"/>
        <v>36.21039431238966</v>
      </c>
      <c r="P31" s="47">
        <f>'FH MF Emissions Forecast'!I32</f>
        <v>0</v>
      </c>
      <c r="Q31" s="48">
        <f>IF($A31&lt;$R$3,0,'FH MF Emissions Forecast'!C32-P31)</f>
        <v>0</v>
      </c>
      <c r="R31" s="16">
        <f>'Forest Hills MF Improvements'!$C$35*NG_EmissionFactor</f>
        <v>1.5018989597036063</v>
      </c>
      <c r="S31" s="48">
        <f>IF($A31&lt;$L$3,0,'Forest Hills MF Improvements'!$C$33*NG_EmissionFactor-R31)</f>
        <v>0.30761785921640117</v>
      </c>
      <c r="T31" s="47">
        <f t="shared" si="5"/>
        <v>0.30761785921640117</v>
      </c>
      <c r="U31" s="47">
        <f t="shared" si="12"/>
        <v>92.285357764920349</v>
      </c>
      <c r="V31" s="16">
        <f>'FH MF Emissions Forecast'!F32</f>
        <v>0</v>
      </c>
      <c r="W31" s="48">
        <f>IF($A31&lt;$X$3,0,'FH MF Emissions Forecast'!C32-V31)</f>
        <v>0</v>
      </c>
      <c r="X31" s="16">
        <f>'Forest Hills MF Improvements'!$C$34*NG_EmissionFactor</f>
        <v>1.6364161681743736</v>
      </c>
      <c r="Y31" s="48">
        <f>IF($A31&lt;$X$3,0,'Forest Hills MF Improvements'!$C$33*NG_EmissionFactor-X31)</f>
        <v>0.17310065074563386</v>
      </c>
      <c r="Z31" s="47">
        <f t="shared" si="6"/>
        <v>0.17310065074563386</v>
      </c>
      <c r="AA31" s="47">
        <f t="shared" si="13"/>
        <v>19.041071582019725</v>
      </c>
      <c r="AB31" s="16">
        <f t="shared" si="14"/>
        <v>292.37840090888835</v>
      </c>
    </row>
    <row r="32" spans="1:28" x14ac:dyDescent="0.25">
      <c r="A32">
        <v>2049</v>
      </c>
      <c r="B32" s="47">
        <f>'Bryant Emissions Forecast'!C34</f>
        <v>0</v>
      </c>
      <c r="C32" s="47">
        <f>'Bryant SFH Improvements'!$C$36*NG_EmissionFactor</f>
        <v>3.8116204539357557</v>
      </c>
      <c r="D32" s="47">
        <f>'Bryant Emissions Forecast'!F34</f>
        <v>0</v>
      </c>
      <c r="E32" s="48">
        <f t="shared" si="0"/>
        <v>0</v>
      </c>
      <c r="F32" s="47">
        <f>'Bryant SFH Improvements'!$C$37*NG_EmissionFactor</f>
        <v>3.0874125676879625</v>
      </c>
      <c r="G32" s="48">
        <f t="shared" si="7"/>
        <v>0.7242078862477932</v>
      </c>
      <c r="H32" s="47">
        <f t="shared" si="1"/>
        <v>0.7242078862477932</v>
      </c>
      <c r="I32" s="47">
        <f t="shared" si="8"/>
        <v>144.84157724955864</v>
      </c>
      <c r="J32" s="16">
        <f t="shared" si="9"/>
        <v>0</v>
      </c>
      <c r="K32" s="48">
        <f t="shared" si="2"/>
        <v>0</v>
      </c>
      <c r="L32" s="16">
        <f t="shared" si="10"/>
        <v>3.0874125676879625</v>
      </c>
      <c r="M32" s="48">
        <f t="shared" si="3"/>
        <v>0.7242078862477932</v>
      </c>
      <c r="N32" s="47">
        <f t="shared" si="4"/>
        <v>0.7242078862477932</v>
      </c>
      <c r="O32" s="47">
        <f t="shared" si="11"/>
        <v>36.21039431238966</v>
      </c>
      <c r="P32" s="47">
        <f>'FH MF Emissions Forecast'!I33</f>
        <v>0</v>
      </c>
      <c r="Q32" s="48">
        <f>IF($A32&lt;$R$3,0,'FH MF Emissions Forecast'!C33-P32)</f>
        <v>0</v>
      </c>
      <c r="R32" s="16">
        <f>'Forest Hills MF Improvements'!$C$35*NG_EmissionFactor</f>
        <v>1.5018989597036063</v>
      </c>
      <c r="S32" s="48">
        <f>IF($A32&lt;$L$3,0,'Forest Hills MF Improvements'!$C$33*NG_EmissionFactor-R32)</f>
        <v>0.30761785921640117</v>
      </c>
      <c r="T32" s="47">
        <f t="shared" si="5"/>
        <v>0.30761785921640117</v>
      </c>
      <c r="U32" s="47">
        <f t="shared" si="12"/>
        <v>92.285357764920349</v>
      </c>
      <c r="V32" s="16">
        <f>'FH MF Emissions Forecast'!F33</f>
        <v>0</v>
      </c>
      <c r="W32" s="48">
        <f>IF($A32&lt;$X$3,0,'FH MF Emissions Forecast'!C33-V32)</f>
        <v>0</v>
      </c>
      <c r="X32" s="16">
        <f>'Forest Hills MF Improvements'!$C$34*NG_EmissionFactor</f>
        <v>1.6364161681743736</v>
      </c>
      <c r="Y32" s="48">
        <f>IF($A32&lt;$X$3,0,'Forest Hills MF Improvements'!$C$33*NG_EmissionFactor-X32)</f>
        <v>0.17310065074563386</v>
      </c>
      <c r="Z32" s="47">
        <f t="shared" si="6"/>
        <v>0.17310065074563386</v>
      </c>
      <c r="AA32" s="47">
        <f t="shared" si="13"/>
        <v>19.041071582019725</v>
      </c>
      <c r="AB32" s="16">
        <f t="shared" si="14"/>
        <v>292.37840090888835</v>
      </c>
    </row>
    <row r="33" spans="1:28" x14ac:dyDescent="0.25">
      <c r="A33">
        <v>2050</v>
      </c>
      <c r="B33" s="47">
        <f>'Bryant Emissions Forecast'!C35</f>
        <v>0</v>
      </c>
      <c r="C33" s="47">
        <f>'Bryant SFH Improvements'!$C$36*NG_EmissionFactor</f>
        <v>3.8116204539357557</v>
      </c>
      <c r="D33" s="47">
        <f>'Bryant Emissions Forecast'!F35</f>
        <v>0</v>
      </c>
      <c r="E33" s="48">
        <f t="shared" si="0"/>
        <v>0</v>
      </c>
      <c r="F33" s="47">
        <f>'Bryant SFH Improvements'!$C$37*NG_EmissionFactor</f>
        <v>3.0874125676879625</v>
      </c>
      <c r="G33" s="48">
        <f t="shared" si="7"/>
        <v>0.7242078862477932</v>
      </c>
      <c r="H33" s="47">
        <f t="shared" si="1"/>
        <v>0.7242078862477932</v>
      </c>
      <c r="I33" s="47">
        <f t="shared" si="8"/>
        <v>144.84157724955864</v>
      </c>
      <c r="J33" s="16">
        <f t="shared" si="9"/>
        <v>0</v>
      </c>
      <c r="K33" s="48">
        <f t="shared" si="2"/>
        <v>0</v>
      </c>
      <c r="L33" s="16">
        <f t="shared" si="10"/>
        <v>3.0874125676879625</v>
      </c>
      <c r="M33" s="48">
        <f t="shared" si="3"/>
        <v>0.7242078862477932</v>
      </c>
      <c r="N33" s="47">
        <f t="shared" si="4"/>
        <v>0.7242078862477932</v>
      </c>
      <c r="O33" s="47">
        <f t="shared" si="11"/>
        <v>36.21039431238966</v>
      </c>
      <c r="P33" s="47">
        <f>'FH MF Emissions Forecast'!I34</f>
        <v>0</v>
      </c>
      <c r="Q33" s="48">
        <f>IF($A33&lt;$R$3,0,'FH MF Emissions Forecast'!C34-P33)</f>
        <v>0</v>
      </c>
      <c r="R33" s="16">
        <f>'Forest Hills MF Improvements'!$C$35*NG_EmissionFactor</f>
        <v>1.5018989597036063</v>
      </c>
      <c r="S33" s="48">
        <f>IF($A33&lt;$L$3,0,'Forest Hills MF Improvements'!$C$33*NG_EmissionFactor-R33)</f>
        <v>0.30761785921640117</v>
      </c>
      <c r="T33" s="47">
        <f t="shared" si="5"/>
        <v>0.30761785921640117</v>
      </c>
      <c r="U33" s="47">
        <f t="shared" si="12"/>
        <v>92.285357764920349</v>
      </c>
      <c r="V33" s="16">
        <f>'FH MF Emissions Forecast'!F34</f>
        <v>0</v>
      </c>
      <c r="W33" s="48">
        <f>IF($A33&lt;$X$3,0,'FH MF Emissions Forecast'!C34-V33)</f>
        <v>0</v>
      </c>
      <c r="X33" s="16">
        <f>'Forest Hills MF Improvements'!$C$34*NG_EmissionFactor</f>
        <v>1.6364161681743736</v>
      </c>
      <c r="Y33" s="48">
        <f>IF($A33&lt;$X$3,0,'Forest Hills MF Improvements'!$C$33*NG_EmissionFactor-X33)</f>
        <v>0.17310065074563386</v>
      </c>
      <c r="Z33" s="47">
        <f t="shared" si="6"/>
        <v>0.17310065074563386</v>
      </c>
      <c r="AA33" s="47">
        <f t="shared" si="13"/>
        <v>19.041071582019725</v>
      </c>
      <c r="AB33" s="16">
        <f t="shared" si="14"/>
        <v>292.37840090888835</v>
      </c>
    </row>
    <row r="34" spans="1:28" x14ac:dyDescent="0.25">
      <c r="D34" s="6"/>
      <c r="E34" s="6"/>
      <c r="F34" s="6"/>
      <c r="G34" s="6"/>
      <c r="H34" s="6"/>
      <c r="I34" s="6"/>
    </row>
    <row r="35" spans="1:28" x14ac:dyDescent="0.25">
      <c r="A35" s="1" t="s">
        <v>168</v>
      </c>
      <c r="B35" s="1"/>
      <c r="C35" s="1"/>
      <c r="D35" s="6"/>
      <c r="E35" s="6"/>
      <c r="F35" s="6"/>
      <c r="G35" s="6"/>
      <c r="H35" s="6"/>
      <c r="I35" s="6"/>
    </row>
    <row r="36" spans="1:28" x14ac:dyDescent="0.25">
      <c r="A36" t="s">
        <v>83</v>
      </c>
      <c r="B36" s="16">
        <f>SUM(AB8:AB13)</f>
        <v>2266.9699354977652</v>
      </c>
      <c r="C36" t="s">
        <v>85</v>
      </c>
      <c r="D36" s="6"/>
      <c r="E36" s="6"/>
      <c r="F36" s="6"/>
      <c r="G36" s="6"/>
      <c r="H36" s="6"/>
      <c r="I36" s="6"/>
    </row>
    <row r="37" spans="1:28" x14ac:dyDescent="0.25">
      <c r="A37" t="s">
        <v>84</v>
      </c>
      <c r="B37" s="16">
        <f>SUM(AB8:AB33)</f>
        <v>8491.7720966860816</v>
      </c>
      <c r="C37" t="s">
        <v>85</v>
      </c>
      <c r="D37" s="6"/>
      <c r="E37" s="6"/>
      <c r="F37" s="6"/>
      <c r="G37" s="6"/>
      <c r="H37" s="6"/>
      <c r="I37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29EA5-0E7D-44A0-8541-B824A3D8404F}">
  <dimension ref="A1:W37"/>
  <sheetViews>
    <sheetView workbookViewId="0">
      <selection activeCell="W8" sqref="W8:W13"/>
    </sheetView>
  </sheetViews>
  <sheetFormatPr defaultRowHeight="15" x14ac:dyDescent="0.25"/>
  <cols>
    <col min="1" max="2" width="10.7109375" customWidth="1"/>
    <col min="3" max="3" width="12.28515625" customWidth="1"/>
    <col min="4" max="7" width="14" customWidth="1"/>
    <col min="8" max="8" width="16.7109375" customWidth="1"/>
    <col min="9" max="9" width="15" customWidth="1"/>
    <col min="10" max="10" width="18.7109375" customWidth="1"/>
    <col min="11" max="14" width="14" customWidth="1"/>
    <col min="15" max="15" width="15.140625" customWidth="1"/>
    <col min="16" max="16" width="15.7109375" customWidth="1"/>
    <col min="17" max="20" width="14" customWidth="1"/>
    <col min="21" max="21" width="16.7109375" customWidth="1"/>
    <col min="22" max="22" width="15" customWidth="1"/>
  </cols>
  <sheetData>
    <row r="1" spans="1:23" x14ac:dyDescent="0.25">
      <c r="A1" s="1" t="s">
        <v>177</v>
      </c>
      <c r="B1" s="1"/>
      <c r="C1" s="1"/>
      <c r="D1" s="6"/>
      <c r="E1" s="6"/>
      <c r="F1" s="6"/>
      <c r="G1" s="6"/>
      <c r="H1" s="6"/>
      <c r="I1" s="6"/>
      <c r="J1" s="6"/>
    </row>
    <row r="2" spans="1:23" x14ac:dyDescent="0.25">
      <c r="D2" s="6"/>
      <c r="E2" s="6"/>
      <c r="F2" s="6"/>
      <c r="G2" s="6"/>
      <c r="H2" s="6"/>
      <c r="I2" s="6"/>
      <c r="J2" s="6"/>
    </row>
    <row r="3" spans="1:23" x14ac:dyDescent="0.25">
      <c r="D3" s="52" t="s">
        <v>104</v>
      </c>
      <c r="E3" s="49" t="s">
        <v>138</v>
      </c>
      <c r="F3" s="49">
        <v>2026</v>
      </c>
      <c r="G3" s="49" t="s">
        <v>173</v>
      </c>
      <c r="H3" s="49">
        <v>200</v>
      </c>
      <c r="I3" s="49"/>
      <c r="J3" s="49"/>
      <c r="K3" s="51" t="s">
        <v>178</v>
      </c>
      <c r="L3" s="50" t="s">
        <v>138</v>
      </c>
      <c r="M3" s="50">
        <v>2025</v>
      </c>
      <c r="N3" s="50" t="s">
        <v>173</v>
      </c>
      <c r="O3" s="50">
        <v>200</v>
      </c>
      <c r="P3" s="50"/>
      <c r="Q3" s="52" t="s">
        <v>179</v>
      </c>
      <c r="R3" s="49" t="s">
        <v>138</v>
      </c>
      <c r="S3" s="49">
        <v>2025</v>
      </c>
      <c r="T3" s="49" t="s">
        <v>173</v>
      </c>
      <c r="U3" s="49">
        <v>220</v>
      </c>
      <c r="V3" s="49"/>
      <c r="W3" s="1" t="s">
        <v>180</v>
      </c>
    </row>
    <row r="4" spans="1:23" x14ac:dyDescent="0.25">
      <c r="D4" s="25" t="s">
        <v>174</v>
      </c>
      <c r="E4" s="25"/>
      <c r="F4" s="25"/>
      <c r="G4" s="25"/>
      <c r="H4" s="25"/>
      <c r="I4" s="25" t="s">
        <v>175</v>
      </c>
      <c r="J4" s="25"/>
      <c r="K4" s="25" t="s">
        <v>174</v>
      </c>
      <c r="L4" s="25"/>
      <c r="M4" s="25"/>
      <c r="N4" s="25"/>
      <c r="O4" s="25"/>
      <c r="P4" s="25" t="s">
        <v>175</v>
      </c>
      <c r="Q4" s="25" t="s">
        <v>174</v>
      </c>
      <c r="R4" s="25"/>
      <c r="S4" s="25"/>
      <c r="T4" s="25"/>
      <c r="U4" s="25"/>
      <c r="V4" s="25" t="s">
        <v>175</v>
      </c>
    </row>
    <row r="5" spans="1:23" x14ac:dyDescent="0.25">
      <c r="B5" s="25" t="s">
        <v>25</v>
      </c>
      <c r="C5" s="25" t="s">
        <v>8</v>
      </c>
      <c r="D5" s="25" t="s">
        <v>25</v>
      </c>
      <c r="E5" s="25"/>
      <c r="F5" s="25" t="s">
        <v>8</v>
      </c>
      <c r="H5" s="25"/>
      <c r="I5" s="25"/>
      <c r="J5" s="6"/>
      <c r="K5" s="25" t="s">
        <v>25</v>
      </c>
      <c r="L5" s="25"/>
      <c r="M5" s="25" t="s">
        <v>8</v>
      </c>
      <c r="N5" s="6"/>
      <c r="O5" s="25"/>
      <c r="P5" s="25"/>
      <c r="Q5" s="25" t="s">
        <v>25</v>
      </c>
      <c r="R5" s="25"/>
      <c r="S5" s="25" t="s">
        <v>8</v>
      </c>
      <c r="U5" s="25"/>
      <c r="V5" s="25"/>
    </row>
    <row r="6" spans="1:23" s="6" customFormat="1" ht="45" x14ac:dyDescent="0.25">
      <c r="A6" s="6" t="s">
        <v>80</v>
      </c>
      <c r="B6" s="6" t="s">
        <v>169</v>
      </c>
      <c r="C6" s="6" t="s">
        <v>169</v>
      </c>
      <c r="D6" s="6" t="s">
        <v>170</v>
      </c>
      <c r="E6" s="6" t="s">
        <v>171</v>
      </c>
      <c r="F6" s="6" t="s">
        <v>170</v>
      </c>
      <c r="G6" s="6" t="s">
        <v>171</v>
      </c>
      <c r="H6" s="6" t="s">
        <v>172</v>
      </c>
      <c r="I6" s="6" t="s">
        <v>172</v>
      </c>
      <c r="J6" s="6" t="s">
        <v>176</v>
      </c>
      <c r="K6" s="6" t="s">
        <v>170</v>
      </c>
      <c r="L6" s="6" t="s">
        <v>171</v>
      </c>
      <c r="M6" s="6" t="s">
        <v>170</v>
      </c>
      <c r="N6" s="6" t="s">
        <v>171</v>
      </c>
      <c r="O6" s="6" t="s">
        <v>172</v>
      </c>
      <c r="P6" s="6" t="s">
        <v>172</v>
      </c>
      <c r="Q6" s="6" t="s">
        <v>170</v>
      </c>
      <c r="R6" s="6" t="s">
        <v>171</v>
      </c>
      <c r="S6" s="6" t="s">
        <v>170</v>
      </c>
      <c r="T6" s="6" t="s">
        <v>171</v>
      </c>
      <c r="U6" s="6" t="s">
        <v>172</v>
      </c>
      <c r="V6" s="6" t="s">
        <v>172</v>
      </c>
    </row>
    <row r="7" spans="1:23" x14ac:dyDescent="0.25">
      <c r="B7" s="13" t="s">
        <v>85</v>
      </c>
      <c r="C7" s="13" t="s">
        <v>85</v>
      </c>
      <c r="D7" s="13" t="s">
        <v>85</v>
      </c>
      <c r="E7" s="13" t="s">
        <v>85</v>
      </c>
      <c r="F7" s="13" t="s">
        <v>85</v>
      </c>
      <c r="G7" s="13" t="s">
        <v>85</v>
      </c>
      <c r="H7" s="13" t="s">
        <v>85</v>
      </c>
      <c r="I7" s="13" t="s">
        <v>85</v>
      </c>
      <c r="K7" s="13" t="s">
        <v>85</v>
      </c>
      <c r="L7" s="13" t="s">
        <v>85</v>
      </c>
      <c r="M7" s="13" t="s">
        <v>85</v>
      </c>
      <c r="N7" s="13" t="s">
        <v>85</v>
      </c>
      <c r="O7" s="13" t="s">
        <v>85</v>
      </c>
      <c r="P7" s="13" t="s">
        <v>85</v>
      </c>
      <c r="Q7" s="13" t="s">
        <v>85</v>
      </c>
      <c r="R7" s="13" t="s">
        <v>85</v>
      </c>
      <c r="S7" s="13" t="s">
        <v>85</v>
      </c>
      <c r="T7" s="13" t="s">
        <v>85</v>
      </c>
      <c r="U7" s="13" t="s">
        <v>85</v>
      </c>
      <c r="V7" s="13" t="s">
        <v>85</v>
      </c>
      <c r="W7" s="13" t="s">
        <v>85</v>
      </c>
    </row>
    <row r="8" spans="1:23" x14ac:dyDescent="0.25">
      <c r="A8">
        <v>2025</v>
      </c>
      <c r="B8" s="47">
        <f>'Bryant Emissions Forecast'!C10</f>
        <v>3.3203365911783949</v>
      </c>
      <c r="C8" s="47">
        <f>'Bryant SFH Improvements'!$C$36*NG_EmissionFactor</f>
        <v>3.8116204539357557</v>
      </c>
      <c r="D8" s="47">
        <f>'Bryant Emissions Forecast'!J10</f>
        <v>4.174093022640581</v>
      </c>
      <c r="E8" s="48">
        <f t="shared" ref="E8:E33" si="0">IF($A8&lt;$F$3,0,B8-D8)</f>
        <v>0</v>
      </c>
      <c r="F8" s="47">
        <f>'Bryant SFH Improvements'!$C$39*NG_EmissionFactor</f>
        <v>0.63527007565595883</v>
      </c>
      <c r="G8" s="48">
        <f>IF($A8&lt;$F$3,0,$C8-F8)</f>
        <v>0</v>
      </c>
      <c r="H8" s="47">
        <f t="shared" ref="H8:H33" si="1">SUM(E8,G8)</f>
        <v>0</v>
      </c>
      <c r="I8" s="47">
        <f>H8*$H$3</f>
        <v>0</v>
      </c>
      <c r="K8" s="16">
        <f>'Bryant Emissions Forecast'!P10</f>
        <v>3.9570062400959021</v>
      </c>
      <c r="L8" s="48">
        <f>IF($A8&lt;$M$3,0,$B8-K8)</f>
        <v>-0.63666964891750721</v>
      </c>
      <c r="M8" s="16">
        <f>'Bryant SFH Improvements'!$C$41*NG_EmissionFactor</f>
        <v>3.222201294678424</v>
      </c>
      <c r="N8" s="48">
        <f>IF($A8&lt;$M$3,0,$C8-M8)</f>
        <v>0.58941915925733168</v>
      </c>
      <c r="O8" s="47">
        <f t="shared" ref="O8:O33" si="2">SUM(L8,N8)</f>
        <v>-4.7250489660175532E-2</v>
      </c>
      <c r="P8" s="47">
        <f>O8*$H$3</f>
        <v>-9.4500979320351064</v>
      </c>
      <c r="Q8" s="47">
        <f>'Bryant Emissions Forecast'!M10</f>
        <v>3.5016830690462912</v>
      </c>
      <c r="R8" s="48">
        <f>IF($A8&lt;$S$3,0,$B8-Q8)</f>
        <v>-0.18134647786789637</v>
      </c>
      <c r="S8" s="16">
        <f>'Bryant SFH Improvements'!$C$40*NG_EmissionFactor</f>
        <v>3.499817718688627</v>
      </c>
      <c r="T8" s="48">
        <f>IF($A8&lt;$M$3,0,$C8-S8)</f>
        <v>0.31180273524712865</v>
      </c>
      <c r="U8" s="47">
        <f t="shared" ref="U8:U33" si="3">SUM(R8,T8)</f>
        <v>0.13045625737923228</v>
      </c>
      <c r="V8" s="47">
        <f>U8*$U$3</f>
        <v>28.700376623431101</v>
      </c>
      <c r="W8" s="16">
        <f>SUM(J8,P8,V8)</f>
        <v>19.250278691395994</v>
      </c>
    </row>
    <row r="9" spans="1:23" x14ac:dyDescent="0.25">
      <c r="A9">
        <v>2026</v>
      </c>
      <c r="B9" s="47">
        <f>'Bryant Emissions Forecast'!C11</f>
        <v>3.3203365911783949</v>
      </c>
      <c r="C9" s="47">
        <f>'Bryant SFH Improvements'!$C$36*NG_EmissionFactor</f>
        <v>3.8116204539357557</v>
      </c>
      <c r="D9" s="47">
        <f>'Bryant Emissions Forecast'!J11</f>
        <v>4.174093022640581</v>
      </c>
      <c r="E9" s="48">
        <f t="shared" si="0"/>
        <v>-0.85375643146218616</v>
      </c>
      <c r="F9" s="47">
        <f>'Bryant SFH Improvements'!$C$39*NG_EmissionFactor</f>
        <v>0.63527007565595883</v>
      </c>
      <c r="G9" s="48">
        <f t="shared" ref="G9:G33" si="4">IF($A9&lt;$F$3,0,$C9-F9)</f>
        <v>3.176350378279797</v>
      </c>
      <c r="H9" s="47">
        <f t="shared" si="1"/>
        <v>2.3225939468176109</v>
      </c>
      <c r="I9" s="47">
        <f t="shared" ref="I9:I33" si="5">H9*$H$3</f>
        <v>464.51878936352216</v>
      </c>
      <c r="J9" s="16">
        <f>I9-EnergyEfficiency!I9</f>
        <v>273.19249983746596</v>
      </c>
      <c r="K9" s="16">
        <f>'Bryant Emissions Forecast'!P11</f>
        <v>3.9570062400959021</v>
      </c>
      <c r="L9" s="48">
        <f t="shared" ref="L9:L33" si="6">IF($A9&lt;$M$3,0,$B9-K9)</f>
        <v>-0.63666964891750721</v>
      </c>
      <c r="M9" s="16">
        <f>'Bryant SFH Improvements'!$C$41*NG_EmissionFactor</f>
        <v>3.222201294678424</v>
      </c>
      <c r="N9" s="48">
        <f t="shared" ref="N9:N33" si="7">IF($A9&lt;$M$3,0,$C9-M9)</f>
        <v>0.58941915925733168</v>
      </c>
      <c r="O9" s="47">
        <f t="shared" si="2"/>
        <v>-4.7250489660175532E-2</v>
      </c>
      <c r="P9" s="47">
        <f t="shared" ref="P9:P33" si="8">O9*$H$3</f>
        <v>-9.4500979320351064</v>
      </c>
      <c r="Q9" s="47">
        <f>'Bryant Emissions Forecast'!M11</f>
        <v>3.5016830690462912</v>
      </c>
      <c r="R9" s="48">
        <f t="shared" ref="R9:R33" si="9">IF($A9&lt;$S$3,0,$B9-Q9)</f>
        <v>-0.18134647786789637</v>
      </c>
      <c r="S9" s="16">
        <f>'Bryant SFH Improvements'!$C$40*NG_EmissionFactor</f>
        <v>3.499817718688627</v>
      </c>
      <c r="T9" s="48">
        <f t="shared" ref="T9:T33" si="10">IF($A9&lt;$M$3,0,$C9-S9)</f>
        <v>0.31180273524712865</v>
      </c>
      <c r="U9" s="47">
        <f t="shared" si="3"/>
        <v>0.13045625737923228</v>
      </c>
      <c r="V9" s="47">
        <f t="shared" ref="V9:V33" si="11">U9*$U$3</f>
        <v>28.700376623431101</v>
      </c>
      <c r="W9" s="16">
        <f t="shared" ref="W9:W33" si="12">SUM(J9,P9,V9)</f>
        <v>292.44277852886194</v>
      </c>
    </row>
    <row r="10" spans="1:23" x14ac:dyDescent="0.25">
      <c r="A10">
        <v>2027</v>
      </c>
      <c r="B10" s="47">
        <f>'Bryant Emissions Forecast'!C12</f>
        <v>3.3203365911783949</v>
      </c>
      <c r="C10" s="47">
        <f>'Bryant SFH Improvements'!$C$36*NG_EmissionFactor</f>
        <v>3.8116204539357557</v>
      </c>
      <c r="D10" s="47">
        <f>'Bryant Emissions Forecast'!J12</f>
        <v>4.174093022640581</v>
      </c>
      <c r="E10" s="48">
        <f t="shared" si="0"/>
        <v>-0.85375643146218616</v>
      </c>
      <c r="F10" s="47">
        <f>'Bryant SFH Improvements'!$C$39*NG_EmissionFactor</f>
        <v>0.63527007565595883</v>
      </c>
      <c r="G10" s="48">
        <f t="shared" si="4"/>
        <v>3.176350378279797</v>
      </c>
      <c r="H10" s="47">
        <f t="shared" si="1"/>
        <v>2.3225939468176109</v>
      </c>
      <c r="I10" s="47">
        <f t="shared" si="5"/>
        <v>464.51878936352216</v>
      </c>
      <c r="J10" s="16">
        <f>I10-EnergyEfficiency!I10</f>
        <v>273.19249983746596</v>
      </c>
      <c r="K10" s="16">
        <f>'Bryant Emissions Forecast'!P12</f>
        <v>3.9570062400959021</v>
      </c>
      <c r="L10" s="48">
        <f t="shared" si="6"/>
        <v>-0.63666964891750721</v>
      </c>
      <c r="M10" s="16">
        <f>'Bryant SFH Improvements'!$C$41*NG_EmissionFactor</f>
        <v>3.222201294678424</v>
      </c>
      <c r="N10" s="48">
        <f t="shared" si="7"/>
        <v>0.58941915925733168</v>
      </c>
      <c r="O10" s="47">
        <f t="shared" si="2"/>
        <v>-4.7250489660175532E-2</v>
      </c>
      <c r="P10" s="47">
        <f t="shared" si="8"/>
        <v>-9.4500979320351064</v>
      </c>
      <c r="Q10" s="47">
        <f>'Bryant Emissions Forecast'!M12</f>
        <v>3.5016830690462912</v>
      </c>
      <c r="R10" s="48">
        <f t="shared" si="9"/>
        <v>-0.18134647786789637</v>
      </c>
      <c r="S10" s="16">
        <f>'Bryant SFH Improvements'!$C$40*NG_EmissionFactor</f>
        <v>3.499817718688627</v>
      </c>
      <c r="T10" s="48">
        <f t="shared" si="10"/>
        <v>0.31180273524712865</v>
      </c>
      <c r="U10" s="47">
        <f t="shared" si="3"/>
        <v>0.13045625737923228</v>
      </c>
      <c r="V10" s="47">
        <f t="shared" si="11"/>
        <v>28.700376623431101</v>
      </c>
      <c r="W10" s="16">
        <f t="shared" si="12"/>
        <v>292.44277852886194</v>
      </c>
    </row>
    <row r="11" spans="1:23" x14ac:dyDescent="0.25">
      <c r="A11">
        <v>2028</v>
      </c>
      <c r="B11" s="47">
        <f>'Bryant Emissions Forecast'!C13</f>
        <v>2.6681276179112099</v>
      </c>
      <c r="C11" s="47">
        <f>'Bryant SFH Improvements'!$C$36*NG_EmissionFactor</f>
        <v>3.8116204539357557</v>
      </c>
      <c r="D11" s="47">
        <f>'Bryant Emissions Forecast'!J13</f>
        <v>3.3541818931933238</v>
      </c>
      <c r="E11" s="48">
        <f t="shared" si="0"/>
        <v>-0.68605427528211393</v>
      </c>
      <c r="F11" s="47">
        <f>'Bryant SFH Improvements'!$C$39*NG_EmissionFactor</f>
        <v>0.63527007565595883</v>
      </c>
      <c r="G11" s="48">
        <f t="shared" si="4"/>
        <v>3.176350378279797</v>
      </c>
      <c r="H11" s="47">
        <f t="shared" si="1"/>
        <v>2.4902961029976831</v>
      </c>
      <c r="I11" s="47">
        <f t="shared" si="5"/>
        <v>498.05922059953662</v>
      </c>
      <c r="J11" s="16">
        <f>I11-EnergyEfficiency!I11</f>
        <v>315.86385669922106</v>
      </c>
      <c r="K11" s="16">
        <f>'Bryant Emissions Forecast'!P13</f>
        <v>3.1797371572199209</v>
      </c>
      <c r="L11" s="48">
        <f t="shared" si="6"/>
        <v>-0.511609539308711</v>
      </c>
      <c r="M11" s="16">
        <f>'Bryant SFH Improvements'!$C$41*NG_EmissionFactor</f>
        <v>3.222201294678424</v>
      </c>
      <c r="N11" s="48">
        <f t="shared" si="7"/>
        <v>0.58941915925733168</v>
      </c>
      <c r="O11" s="47">
        <f t="shared" si="2"/>
        <v>7.7809619948620679E-2</v>
      </c>
      <c r="P11" s="47">
        <f t="shared" si="8"/>
        <v>15.561923989724136</v>
      </c>
      <c r="Q11" s="47">
        <f>'Bryant Emissions Forecast'!M13</f>
        <v>2.8138524661979125</v>
      </c>
      <c r="R11" s="48">
        <f t="shared" si="9"/>
        <v>-0.14572484828670262</v>
      </c>
      <c r="S11" s="16">
        <f>'Bryant SFH Improvements'!$C$40*NG_EmissionFactor</f>
        <v>3.499817718688627</v>
      </c>
      <c r="T11" s="48">
        <f t="shared" si="10"/>
        <v>0.31180273524712865</v>
      </c>
      <c r="U11" s="47">
        <f t="shared" si="3"/>
        <v>0.16607788696042602</v>
      </c>
      <c r="V11" s="47">
        <f t="shared" si="11"/>
        <v>36.537135131293724</v>
      </c>
      <c r="W11" s="16">
        <f t="shared" si="12"/>
        <v>367.96291582023895</v>
      </c>
    </row>
    <row r="12" spans="1:23" x14ac:dyDescent="0.25">
      <c r="A12">
        <v>2029</v>
      </c>
      <c r="B12" s="47">
        <f>'Bryant Emissions Forecast'!C14</f>
        <v>2.3420231312776174</v>
      </c>
      <c r="C12" s="47">
        <f>'Bryant SFH Improvements'!$C$36*NG_EmissionFactor</f>
        <v>3.8116204539357557</v>
      </c>
      <c r="D12" s="47">
        <f>'Bryant Emissions Forecast'!J14</f>
        <v>2.9442263284696955</v>
      </c>
      <c r="E12" s="48">
        <f t="shared" si="0"/>
        <v>-0.60220319719207804</v>
      </c>
      <c r="F12" s="47">
        <f>'Bryant SFH Improvements'!$C$39*NG_EmissionFactor</f>
        <v>0.63527007565595883</v>
      </c>
      <c r="G12" s="48">
        <f t="shared" si="4"/>
        <v>3.176350378279797</v>
      </c>
      <c r="H12" s="47">
        <f t="shared" si="1"/>
        <v>2.574147181087719</v>
      </c>
      <c r="I12" s="47">
        <f t="shared" si="5"/>
        <v>514.82943621754384</v>
      </c>
      <c r="J12" s="16">
        <f>I12-EnergyEfficiency!I12</f>
        <v>337.19953513009864</v>
      </c>
      <c r="K12" s="16">
        <f>'Bryant Emissions Forecast'!P14</f>
        <v>2.7911026157819308</v>
      </c>
      <c r="L12" s="48">
        <f t="shared" si="6"/>
        <v>-0.44907948450431334</v>
      </c>
      <c r="M12" s="16">
        <f>'Bryant SFH Improvements'!$C$41*NG_EmissionFactor</f>
        <v>3.222201294678424</v>
      </c>
      <c r="N12" s="48">
        <f t="shared" si="7"/>
        <v>0.58941915925733168</v>
      </c>
      <c r="O12" s="47">
        <f t="shared" si="2"/>
        <v>0.14033967475301834</v>
      </c>
      <c r="P12" s="47">
        <f t="shared" si="8"/>
        <v>28.067934950603668</v>
      </c>
      <c r="Q12" s="47">
        <f>'Bryant Emissions Forecast'!M14</f>
        <v>2.4699371647737234</v>
      </c>
      <c r="R12" s="48">
        <f t="shared" si="9"/>
        <v>-0.12791403349610597</v>
      </c>
      <c r="S12" s="16">
        <f>'Bryant SFH Improvements'!$C$40*NG_EmissionFactor</f>
        <v>3.499817718688627</v>
      </c>
      <c r="T12" s="48">
        <f t="shared" si="10"/>
        <v>0.31180273524712865</v>
      </c>
      <c r="U12" s="47">
        <f t="shared" si="3"/>
        <v>0.18388870175102268</v>
      </c>
      <c r="V12" s="47">
        <f t="shared" si="11"/>
        <v>40.455514385224987</v>
      </c>
      <c r="W12" s="16">
        <f t="shared" si="12"/>
        <v>405.72298446592731</v>
      </c>
    </row>
    <row r="13" spans="1:23" x14ac:dyDescent="0.25">
      <c r="A13">
        <v>2030</v>
      </c>
      <c r="B13" s="47">
        <f>'Bryant Emissions Forecast'!C15</f>
        <v>2.0159186446440254</v>
      </c>
      <c r="C13" s="47">
        <f>'Bryant SFH Improvements'!$C$36*NG_EmissionFactor</f>
        <v>3.8116204539357557</v>
      </c>
      <c r="D13" s="47">
        <f>'Bryant Emissions Forecast'!J15</f>
        <v>2.5342707637460671</v>
      </c>
      <c r="E13" s="48">
        <f t="shared" si="0"/>
        <v>-0.51835211910204171</v>
      </c>
      <c r="F13" s="47">
        <f>'Bryant SFH Improvements'!$C$39*NG_EmissionFactor</f>
        <v>0.63527007565595883</v>
      </c>
      <c r="G13" s="48">
        <f t="shared" si="4"/>
        <v>3.176350378279797</v>
      </c>
      <c r="H13" s="47">
        <f t="shared" si="1"/>
        <v>2.6579982591777553</v>
      </c>
      <c r="I13" s="47">
        <f t="shared" si="5"/>
        <v>531.59965183555107</v>
      </c>
      <c r="J13" s="16">
        <f>I13-EnergyEfficiency!I13</f>
        <v>358.5352135609761</v>
      </c>
      <c r="K13" s="16">
        <f>'Bryant Emissions Forecast'!P15</f>
        <v>2.4024680743439406</v>
      </c>
      <c r="L13" s="48">
        <f t="shared" si="6"/>
        <v>-0.38654942969991524</v>
      </c>
      <c r="M13" s="16">
        <f>'Bryant SFH Improvements'!$C$41*NG_EmissionFactor</f>
        <v>3.222201294678424</v>
      </c>
      <c r="N13" s="48">
        <f t="shared" si="7"/>
        <v>0.58941915925733168</v>
      </c>
      <c r="O13" s="47">
        <f t="shared" si="2"/>
        <v>0.20286972955741644</v>
      </c>
      <c r="P13" s="47">
        <f t="shared" si="8"/>
        <v>40.573945911483293</v>
      </c>
      <c r="Q13" s="47">
        <f>'Bryant Emissions Forecast'!M15</f>
        <v>2.1260218633495342</v>
      </c>
      <c r="R13" s="48">
        <f t="shared" si="9"/>
        <v>-0.11010321870550888</v>
      </c>
      <c r="S13" s="16">
        <f>'Bryant SFH Improvements'!$C$40*NG_EmissionFactor</f>
        <v>3.499817718688627</v>
      </c>
      <c r="T13" s="48">
        <f t="shared" si="10"/>
        <v>0.31180273524712865</v>
      </c>
      <c r="U13" s="47">
        <f t="shared" si="3"/>
        <v>0.20169951654161977</v>
      </c>
      <c r="V13" s="47">
        <f t="shared" si="11"/>
        <v>44.37389363915635</v>
      </c>
      <c r="W13" s="16">
        <f t="shared" si="12"/>
        <v>443.48305311161573</v>
      </c>
    </row>
    <row r="14" spans="1:23" x14ac:dyDescent="0.25">
      <c r="A14">
        <v>2031</v>
      </c>
      <c r="B14" s="47">
        <f>'Bryant Emissions Forecast'!C16</f>
        <v>2.0159186446440254</v>
      </c>
      <c r="C14" s="47">
        <f>'Bryant SFH Improvements'!$C$36*NG_EmissionFactor</f>
        <v>3.8116204539357557</v>
      </c>
      <c r="D14" s="47">
        <f>'Bryant Emissions Forecast'!J16</f>
        <v>2.5342707637460671</v>
      </c>
      <c r="E14" s="48">
        <f t="shared" si="0"/>
        <v>-0.51835211910204171</v>
      </c>
      <c r="F14" s="47">
        <f>'Bryant SFH Improvements'!$C$39*NG_EmissionFactor</f>
        <v>0.63527007565595883</v>
      </c>
      <c r="G14" s="48">
        <f t="shared" si="4"/>
        <v>3.176350378279797</v>
      </c>
      <c r="H14" s="47">
        <f t="shared" si="1"/>
        <v>2.6579982591777553</v>
      </c>
      <c r="I14" s="47">
        <f t="shared" si="5"/>
        <v>531.59965183555107</v>
      </c>
      <c r="J14" s="16">
        <f>I14-EnergyEfficiency!I14</f>
        <v>358.5352135609761</v>
      </c>
      <c r="K14" s="16">
        <f>'Bryant Emissions Forecast'!P16</f>
        <v>2.4024680743439406</v>
      </c>
      <c r="L14" s="48">
        <f t="shared" si="6"/>
        <v>-0.38654942969991524</v>
      </c>
      <c r="M14" s="16">
        <f>'Bryant SFH Improvements'!$C$41*NG_EmissionFactor</f>
        <v>3.222201294678424</v>
      </c>
      <c r="N14" s="48">
        <f t="shared" si="7"/>
        <v>0.58941915925733168</v>
      </c>
      <c r="O14" s="47">
        <f t="shared" si="2"/>
        <v>0.20286972955741644</v>
      </c>
      <c r="P14" s="47">
        <f t="shared" si="8"/>
        <v>40.573945911483293</v>
      </c>
      <c r="Q14" s="47">
        <f>'Bryant Emissions Forecast'!M16</f>
        <v>2.1260218633495342</v>
      </c>
      <c r="R14" s="48">
        <f t="shared" si="9"/>
        <v>-0.11010321870550888</v>
      </c>
      <c r="S14" s="16">
        <f>'Bryant SFH Improvements'!$C$40*NG_EmissionFactor</f>
        <v>3.499817718688627</v>
      </c>
      <c r="T14" s="48">
        <f t="shared" si="10"/>
        <v>0.31180273524712865</v>
      </c>
      <c r="U14" s="47">
        <f t="shared" si="3"/>
        <v>0.20169951654161977</v>
      </c>
      <c r="V14" s="47">
        <f t="shared" si="11"/>
        <v>44.37389363915635</v>
      </c>
      <c r="W14" s="16">
        <f t="shared" si="12"/>
        <v>443.48305311161573</v>
      </c>
    </row>
    <row r="15" spans="1:23" x14ac:dyDescent="0.25">
      <c r="A15">
        <v>2032</v>
      </c>
      <c r="B15" s="47">
        <f>'Bryant Emissions Forecast'!C17</f>
        <v>2.0159186446440254</v>
      </c>
      <c r="C15" s="47">
        <f>'Bryant SFH Improvements'!$C$36*NG_EmissionFactor</f>
        <v>3.8116204539357557</v>
      </c>
      <c r="D15" s="47">
        <f>'Bryant Emissions Forecast'!J17</f>
        <v>2.5342707637460671</v>
      </c>
      <c r="E15" s="48">
        <f t="shared" si="0"/>
        <v>-0.51835211910204171</v>
      </c>
      <c r="F15" s="47">
        <f>'Bryant SFH Improvements'!$C$39*NG_EmissionFactor</f>
        <v>0.63527007565595883</v>
      </c>
      <c r="G15" s="48">
        <f t="shared" si="4"/>
        <v>3.176350378279797</v>
      </c>
      <c r="H15" s="47">
        <f t="shared" si="1"/>
        <v>2.6579982591777553</v>
      </c>
      <c r="I15" s="47">
        <f t="shared" si="5"/>
        <v>531.59965183555107</v>
      </c>
      <c r="J15" s="16">
        <f>I15-EnergyEfficiency!I15</f>
        <v>358.5352135609761</v>
      </c>
      <c r="K15" s="16">
        <f>'Bryant Emissions Forecast'!P17</f>
        <v>2.4024680743439406</v>
      </c>
      <c r="L15" s="48">
        <f t="shared" si="6"/>
        <v>-0.38654942969991524</v>
      </c>
      <c r="M15" s="16">
        <f>'Bryant SFH Improvements'!$C$41*NG_EmissionFactor</f>
        <v>3.222201294678424</v>
      </c>
      <c r="N15" s="48">
        <f t="shared" si="7"/>
        <v>0.58941915925733168</v>
      </c>
      <c r="O15" s="47">
        <f t="shared" si="2"/>
        <v>0.20286972955741644</v>
      </c>
      <c r="P15" s="47">
        <f t="shared" si="8"/>
        <v>40.573945911483293</v>
      </c>
      <c r="Q15" s="47">
        <f>'Bryant Emissions Forecast'!M17</f>
        <v>2.1260218633495342</v>
      </c>
      <c r="R15" s="48">
        <f t="shared" si="9"/>
        <v>-0.11010321870550888</v>
      </c>
      <c r="S15" s="16">
        <f>'Bryant SFH Improvements'!$C$40*NG_EmissionFactor</f>
        <v>3.499817718688627</v>
      </c>
      <c r="T15" s="48">
        <f t="shared" si="10"/>
        <v>0.31180273524712865</v>
      </c>
      <c r="U15" s="47">
        <f t="shared" si="3"/>
        <v>0.20169951654161977</v>
      </c>
      <c r="V15" s="47">
        <f t="shared" si="11"/>
        <v>44.37389363915635</v>
      </c>
      <c r="W15" s="16">
        <f t="shared" si="12"/>
        <v>443.48305311161573</v>
      </c>
    </row>
    <row r="16" spans="1:23" x14ac:dyDescent="0.25">
      <c r="A16">
        <v>2033</v>
      </c>
      <c r="B16" s="47">
        <f>'Bryant Emissions Forecast'!C18</f>
        <v>1.6500039999019165</v>
      </c>
      <c r="C16" s="47">
        <f>'Bryant SFH Improvements'!$C$36*NG_EmissionFactor</f>
        <v>3.8116204539357557</v>
      </c>
      <c r="D16" s="47">
        <f>'Bryant Emissions Forecast'!J18</f>
        <v>2.0742686755366968</v>
      </c>
      <c r="E16" s="48">
        <f t="shared" si="0"/>
        <v>-0.42426467563478032</v>
      </c>
      <c r="F16" s="47">
        <f>'Bryant SFH Improvements'!$C$39*NG_EmissionFactor</f>
        <v>0.63527007565595883</v>
      </c>
      <c r="G16" s="48">
        <f t="shared" si="4"/>
        <v>3.176350378279797</v>
      </c>
      <c r="H16" s="47">
        <f t="shared" si="1"/>
        <v>2.752085702645017</v>
      </c>
      <c r="I16" s="47">
        <f t="shared" si="5"/>
        <v>550.4171405290034</v>
      </c>
      <c r="J16" s="16">
        <f>I16-EnergyEfficiency!I16</f>
        <v>382.47550728081785</v>
      </c>
      <c r="K16" s="16">
        <f>'Bryant Emissions Forecast'!P18</f>
        <v>1.966389835639494</v>
      </c>
      <c r="L16" s="48">
        <f t="shared" si="6"/>
        <v>-0.3163858357375775</v>
      </c>
      <c r="M16" s="16">
        <f>'Bryant SFH Improvements'!$C$41*NG_EmissionFactor</f>
        <v>3.222201294678424</v>
      </c>
      <c r="N16" s="48">
        <f t="shared" si="7"/>
        <v>0.58941915925733168</v>
      </c>
      <c r="O16" s="47">
        <f t="shared" si="2"/>
        <v>0.27303332351975418</v>
      </c>
      <c r="P16" s="47">
        <f t="shared" si="8"/>
        <v>54.606664703950834</v>
      </c>
      <c r="Q16" s="47">
        <f>'Bryant Emissions Forecast'!M18</f>
        <v>1.7401220965566773</v>
      </c>
      <c r="R16" s="48">
        <f t="shared" si="9"/>
        <v>-9.0118096654760782E-2</v>
      </c>
      <c r="S16" s="16">
        <f>'Bryant SFH Improvements'!$C$40*NG_EmissionFactor</f>
        <v>3.499817718688627</v>
      </c>
      <c r="T16" s="48">
        <f t="shared" si="10"/>
        <v>0.31180273524712865</v>
      </c>
      <c r="U16" s="47">
        <f t="shared" si="3"/>
        <v>0.22168463859236787</v>
      </c>
      <c r="V16" s="47">
        <f t="shared" si="11"/>
        <v>48.77062049032093</v>
      </c>
      <c r="W16" s="16">
        <f t="shared" si="12"/>
        <v>485.85279247508964</v>
      </c>
    </row>
    <row r="17" spans="1:23" x14ac:dyDescent="0.25">
      <c r="A17">
        <v>2034</v>
      </c>
      <c r="B17" s="47">
        <f>'Bryant Emissions Forecast'!C19</f>
        <v>1.4670466775308619</v>
      </c>
      <c r="C17" s="47">
        <f>'Bryant SFH Improvements'!$C$36*NG_EmissionFactor</f>
        <v>3.8116204539357557</v>
      </c>
      <c r="D17" s="47">
        <f>'Bryant Emissions Forecast'!J19</f>
        <v>1.8442676314320114</v>
      </c>
      <c r="E17" s="48">
        <f t="shared" si="0"/>
        <v>-0.37722095390114951</v>
      </c>
      <c r="F17" s="47">
        <f>'Bryant SFH Improvements'!$C$39*NG_EmissionFactor</f>
        <v>0.63527007565595883</v>
      </c>
      <c r="G17" s="48">
        <f t="shared" si="4"/>
        <v>3.176350378279797</v>
      </c>
      <c r="H17" s="47">
        <f t="shared" si="1"/>
        <v>2.7991294243786475</v>
      </c>
      <c r="I17" s="47">
        <f t="shared" si="5"/>
        <v>559.82588487572946</v>
      </c>
      <c r="J17" s="16">
        <f>I17-EnergyEfficiency!I17</f>
        <v>394.44565414073872</v>
      </c>
      <c r="K17" s="16">
        <f>'Bryant Emissions Forecast'!P19</f>
        <v>1.7483507162872707</v>
      </c>
      <c r="L17" s="48">
        <f t="shared" si="6"/>
        <v>-0.28130403875640875</v>
      </c>
      <c r="M17" s="16">
        <f>'Bryant SFH Improvements'!$C$41*NG_EmissionFactor</f>
        <v>3.222201294678424</v>
      </c>
      <c r="N17" s="48">
        <f t="shared" si="7"/>
        <v>0.58941915925733168</v>
      </c>
      <c r="O17" s="47">
        <f t="shared" si="2"/>
        <v>0.30811512050092293</v>
      </c>
      <c r="P17" s="47">
        <f t="shared" si="8"/>
        <v>61.623024100184587</v>
      </c>
      <c r="Q17" s="47">
        <f>'Bryant Emissions Forecast'!M19</f>
        <v>1.5471722131602488</v>
      </c>
      <c r="R17" s="48">
        <f t="shared" si="9"/>
        <v>-8.0125535629386846E-2</v>
      </c>
      <c r="S17" s="16">
        <f>'Bryant SFH Improvements'!$C$40*NG_EmissionFactor</f>
        <v>3.499817718688627</v>
      </c>
      <c r="T17" s="48">
        <f t="shared" si="10"/>
        <v>0.31180273524712865</v>
      </c>
      <c r="U17" s="47">
        <f t="shared" si="3"/>
        <v>0.2316771996177418</v>
      </c>
      <c r="V17" s="47">
        <f t="shared" si="11"/>
        <v>50.968983915903195</v>
      </c>
      <c r="W17" s="16">
        <f t="shared" si="12"/>
        <v>507.03766215682651</v>
      </c>
    </row>
    <row r="18" spans="1:23" x14ac:dyDescent="0.25">
      <c r="A18">
        <v>2035</v>
      </c>
      <c r="B18" s="47">
        <f>'Bryant Emissions Forecast'!C20</f>
        <v>1.2840893551598076</v>
      </c>
      <c r="C18" s="47">
        <f>'Bryant SFH Improvements'!$C$36*NG_EmissionFactor</f>
        <v>3.8116204539357557</v>
      </c>
      <c r="D18" s="47">
        <f>'Bryant Emissions Forecast'!J20</f>
        <v>1.6142665873273268</v>
      </c>
      <c r="E18" s="48">
        <f t="shared" si="0"/>
        <v>-0.33017723216751915</v>
      </c>
      <c r="F18" s="47">
        <f>'Bryant SFH Improvements'!$C$39*NG_EmissionFactor</f>
        <v>0.63527007565595883</v>
      </c>
      <c r="G18" s="48">
        <f t="shared" si="4"/>
        <v>3.176350378279797</v>
      </c>
      <c r="H18" s="47">
        <f t="shared" si="1"/>
        <v>2.8461731461122781</v>
      </c>
      <c r="I18" s="47">
        <f t="shared" si="5"/>
        <v>569.23462922245562</v>
      </c>
      <c r="J18" s="16">
        <f>I18-EnergyEfficiency!I18</f>
        <v>406.41580100065971</v>
      </c>
      <c r="K18" s="16">
        <f>'Bryant Emissions Forecast'!P20</f>
        <v>1.5303115969350478</v>
      </c>
      <c r="L18" s="48">
        <f t="shared" si="6"/>
        <v>-0.24622224177524021</v>
      </c>
      <c r="M18" s="16">
        <f>'Bryant SFH Improvements'!$C$41*NG_EmissionFactor</f>
        <v>3.222201294678424</v>
      </c>
      <c r="N18" s="48">
        <f t="shared" si="7"/>
        <v>0.58941915925733168</v>
      </c>
      <c r="O18" s="47">
        <f t="shared" si="2"/>
        <v>0.34319691748209147</v>
      </c>
      <c r="P18" s="47">
        <f t="shared" si="8"/>
        <v>68.63938349641829</v>
      </c>
      <c r="Q18" s="47">
        <f>'Bryant Emissions Forecast'!M20</f>
        <v>1.3542223297638207</v>
      </c>
      <c r="R18" s="48">
        <f t="shared" si="9"/>
        <v>-7.0132974604013132E-2</v>
      </c>
      <c r="S18" s="16">
        <f>'Bryant SFH Improvements'!$C$40*NG_EmissionFactor</f>
        <v>3.499817718688627</v>
      </c>
      <c r="T18" s="48">
        <f t="shared" si="10"/>
        <v>0.31180273524712865</v>
      </c>
      <c r="U18" s="47">
        <f t="shared" si="3"/>
        <v>0.24166976064311552</v>
      </c>
      <c r="V18" s="47">
        <f t="shared" si="11"/>
        <v>53.16734734148541</v>
      </c>
      <c r="W18" s="16">
        <f t="shared" si="12"/>
        <v>528.22253183856344</v>
      </c>
    </row>
    <row r="19" spans="1:23" x14ac:dyDescent="0.25">
      <c r="A19">
        <v>2036</v>
      </c>
      <c r="B19" s="47">
        <f>'Bryant Emissions Forecast'!C21</f>
        <v>1.2840893551598076</v>
      </c>
      <c r="C19" s="47">
        <f>'Bryant SFH Improvements'!$C$36*NG_EmissionFactor</f>
        <v>3.8116204539357557</v>
      </c>
      <c r="D19" s="47">
        <f>'Bryant Emissions Forecast'!J21</f>
        <v>1.6142665873273268</v>
      </c>
      <c r="E19" s="48">
        <f t="shared" si="0"/>
        <v>-0.33017723216751915</v>
      </c>
      <c r="F19" s="47">
        <f>'Bryant SFH Improvements'!$C$39*NG_EmissionFactor</f>
        <v>0.63527007565595883</v>
      </c>
      <c r="G19" s="48">
        <f t="shared" si="4"/>
        <v>3.176350378279797</v>
      </c>
      <c r="H19" s="47">
        <f t="shared" si="1"/>
        <v>2.8461731461122781</v>
      </c>
      <c r="I19" s="47">
        <f t="shared" si="5"/>
        <v>569.23462922245562</v>
      </c>
      <c r="J19" s="16">
        <f>I19-EnergyEfficiency!I19</f>
        <v>406.41580100065971</v>
      </c>
      <c r="K19" s="16">
        <f>'Bryant Emissions Forecast'!P21</f>
        <v>1.5303115969350478</v>
      </c>
      <c r="L19" s="48">
        <f t="shared" si="6"/>
        <v>-0.24622224177524021</v>
      </c>
      <c r="M19" s="16">
        <f>'Bryant SFH Improvements'!$C$41*NG_EmissionFactor</f>
        <v>3.222201294678424</v>
      </c>
      <c r="N19" s="48">
        <f t="shared" si="7"/>
        <v>0.58941915925733168</v>
      </c>
      <c r="O19" s="47">
        <f t="shared" si="2"/>
        <v>0.34319691748209147</v>
      </c>
      <c r="P19" s="47">
        <f t="shared" si="8"/>
        <v>68.63938349641829</v>
      </c>
      <c r="Q19" s="47">
        <f>'Bryant Emissions Forecast'!M21</f>
        <v>1.3542223297638207</v>
      </c>
      <c r="R19" s="48">
        <f t="shared" si="9"/>
        <v>-7.0132974604013132E-2</v>
      </c>
      <c r="S19" s="16">
        <f>'Bryant SFH Improvements'!$C$40*NG_EmissionFactor</f>
        <v>3.499817718688627</v>
      </c>
      <c r="T19" s="48">
        <f t="shared" si="10"/>
        <v>0.31180273524712865</v>
      </c>
      <c r="U19" s="47">
        <f t="shared" si="3"/>
        <v>0.24166976064311552</v>
      </c>
      <c r="V19" s="47">
        <f t="shared" si="11"/>
        <v>53.16734734148541</v>
      </c>
      <c r="W19" s="16">
        <f t="shared" si="12"/>
        <v>528.22253183856344</v>
      </c>
    </row>
    <row r="20" spans="1:23" x14ac:dyDescent="0.25">
      <c r="A20">
        <v>2037</v>
      </c>
      <c r="B20" s="47">
        <f>'Bryant Emissions Forecast'!C22</f>
        <v>1.2840893551598076</v>
      </c>
      <c r="C20" s="47">
        <f>'Bryant SFH Improvements'!$C$36*NG_EmissionFactor</f>
        <v>3.8116204539357557</v>
      </c>
      <c r="D20" s="47">
        <f>'Bryant Emissions Forecast'!J22</f>
        <v>1.6142665873273268</v>
      </c>
      <c r="E20" s="48">
        <f t="shared" si="0"/>
        <v>-0.33017723216751915</v>
      </c>
      <c r="F20" s="47">
        <f>'Bryant SFH Improvements'!$C$39*NG_EmissionFactor</f>
        <v>0.63527007565595883</v>
      </c>
      <c r="G20" s="48">
        <f t="shared" si="4"/>
        <v>3.176350378279797</v>
      </c>
      <c r="H20" s="47">
        <f t="shared" si="1"/>
        <v>2.8461731461122781</v>
      </c>
      <c r="I20" s="47">
        <f t="shared" si="5"/>
        <v>569.23462922245562</v>
      </c>
      <c r="J20" s="16">
        <f>I20-EnergyEfficiency!I20</f>
        <v>406.41580100065971</v>
      </c>
      <c r="K20" s="16">
        <f>'Bryant Emissions Forecast'!P22</f>
        <v>1.5303115969350478</v>
      </c>
      <c r="L20" s="48">
        <f t="shared" si="6"/>
        <v>-0.24622224177524021</v>
      </c>
      <c r="M20" s="16">
        <f>'Bryant SFH Improvements'!$C$41*NG_EmissionFactor</f>
        <v>3.222201294678424</v>
      </c>
      <c r="N20" s="48">
        <f t="shared" si="7"/>
        <v>0.58941915925733168</v>
      </c>
      <c r="O20" s="47">
        <f t="shared" si="2"/>
        <v>0.34319691748209147</v>
      </c>
      <c r="P20" s="47">
        <f t="shared" si="8"/>
        <v>68.63938349641829</v>
      </c>
      <c r="Q20" s="47">
        <f>'Bryant Emissions Forecast'!M22</f>
        <v>1.3542223297638207</v>
      </c>
      <c r="R20" s="48">
        <f t="shared" si="9"/>
        <v>-7.0132974604013132E-2</v>
      </c>
      <c r="S20" s="16">
        <f>'Bryant SFH Improvements'!$C$40*NG_EmissionFactor</f>
        <v>3.499817718688627</v>
      </c>
      <c r="T20" s="48">
        <f t="shared" si="10"/>
        <v>0.31180273524712865</v>
      </c>
      <c r="U20" s="47">
        <f t="shared" si="3"/>
        <v>0.24166976064311552</v>
      </c>
      <c r="V20" s="47">
        <f t="shared" si="11"/>
        <v>53.16734734148541</v>
      </c>
      <c r="W20" s="16">
        <f t="shared" si="12"/>
        <v>528.22253183856344</v>
      </c>
    </row>
    <row r="21" spans="1:23" x14ac:dyDescent="0.25">
      <c r="A21">
        <v>2038</v>
      </c>
      <c r="B21" s="47">
        <f>'Bryant Emissions Forecast'!C23</f>
        <v>0.6420446775799038</v>
      </c>
      <c r="C21" s="47">
        <f>'Bryant SFH Improvements'!$C$36*NG_EmissionFactor</f>
        <v>3.8116204539357557</v>
      </c>
      <c r="D21" s="47">
        <f>'Bryant Emissions Forecast'!J23</f>
        <v>0.80713329366366338</v>
      </c>
      <c r="E21" s="48">
        <f t="shared" si="0"/>
        <v>-0.16508861608375958</v>
      </c>
      <c r="F21" s="47">
        <f>'Bryant SFH Improvements'!$C$39*NG_EmissionFactor</f>
        <v>0.63527007565595883</v>
      </c>
      <c r="G21" s="48">
        <f t="shared" si="4"/>
        <v>3.176350378279797</v>
      </c>
      <c r="H21" s="47">
        <f t="shared" si="1"/>
        <v>3.0112617621960376</v>
      </c>
      <c r="I21" s="47">
        <f t="shared" si="5"/>
        <v>602.25235243920747</v>
      </c>
      <c r="J21" s="16">
        <f>I21-EnergyEfficiency!I21</f>
        <v>448.42214970353018</v>
      </c>
      <c r="K21" s="16">
        <f>'Bryant Emissions Forecast'!P23</f>
        <v>0.76515579846752391</v>
      </c>
      <c r="L21" s="48">
        <f t="shared" si="6"/>
        <v>-0.12311112088762011</v>
      </c>
      <c r="M21" s="16">
        <f>'Bryant SFH Improvements'!$C$41*NG_EmissionFactor</f>
        <v>3.222201294678424</v>
      </c>
      <c r="N21" s="48">
        <f t="shared" si="7"/>
        <v>0.58941915925733168</v>
      </c>
      <c r="O21" s="47">
        <f t="shared" si="2"/>
        <v>0.46630803836971157</v>
      </c>
      <c r="P21" s="47">
        <f t="shared" si="8"/>
        <v>93.261607673942308</v>
      </c>
      <c r="Q21" s="47">
        <f>'Bryant Emissions Forecast'!M23</f>
        <v>0.67711116488191037</v>
      </c>
      <c r="R21" s="48">
        <f t="shared" si="9"/>
        <v>-3.5066487302006566E-2</v>
      </c>
      <c r="S21" s="16">
        <f>'Bryant SFH Improvements'!$C$40*NG_EmissionFactor</f>
        <v>3.499817718688627</v>
      </c>
      <c r="T21" s="48">
        <f t="shared" si="10"/>
        <v>0.31180273524712865</v>
      </c>
      <c r="U21" s="47">
        <f t="shared" si="3"/>
        <v>0.27673624794512208</v>
      </c>
      <c r="V21" s="47">
        <f t="shared" si="11"/>
        <v>60.881974547926859</v>
      </c>
      <c r="W21" s="16">
        <f t="shared" si="12"/>
        <v>602.5657319253994</v>
      </c>
    </row>
    <row r="22" spans="1:23" x14ac:dyDescent="0.25">
      <c r="A22">
        <v>2039</v>
      </c>
      <c r="B22" s="47">
        <f>'Bryant Emissions Forecast'!C24</f>
        <v>0.3210223387899519</v>
      </c>
      <c r="C22" s="47">
        <f>'Bryant SFH Improvements'!$C$36*NG_EmissionFactor</f>
        <v>3.8116204539357557</v>
      </c>
      <c r="D22" s="47">
        <f>'Bryant Emissions Forecast'!J24</f>
        <v>0.40356664683183169</v>
      </c>
      <c r="E22" s="48">
        <f t="shared" si="0"/>
        <v>-8.2544308041879788E-2</v>
      </c>
      <c r="F22" s="47">
        <f>'Bryant SFH Improvements'!$C$39*NG_EmissionFactor</f>
        <v>0.63527007565595883</v>
      </c>
      <c r="G22" s="48">
        <f t="shared" si="4"/>
        <v>3.176350378279797</v>
      </c>
      <c r="H22" s="47">
        <f t="shared" si="1"/>
        <v>3.0938060702379171</v>
      </c>
      <c r="I22" s="47">
        <f t="shared" si="5"/>
        <v>618.76121404758339</v>
      </c>
      <c r="J22" s="16">
        <f>I22-EnergyEfficiency!I22</f>
        <v>469.42532405496547</v>
      </c>
      <c r="K22" s="16">
        <f>'Bryant Emissions Forecast'!P24</f>
        <v>0.38257789923376195</v>
      </c>
      <c r="L22" s="48">
        <f t="shared" si="6"/>
        <v>-6.1555560443810053E-2</v>
      </c>
      <c r="M22" s="16">
        <f>'Bryant SFH Improvements'!$C$41*NG_EmissionFactor</f>
        <v>3.222201294678424</v>
      </c>
      <c r="N22" s="48">
        <f t="shared" si="7"/>
        <v>0.58941915925733168</v>
      </c>
      <c r="O22" s="47">
        <f t="shared" si="2"/>
        <v>0.52786359881352163</v>
      </c>
      <c r="P22" s="47">
        <f t="shared" si="8"/>
        <v>105.57271976270432</v>
      </c>
      <c r="Q22" s="47">
        <f>'Bryant Emissions Forecast'!M24</f>
        <v>0.33855558244095518</v>
      </c>
      <c r="R22" s="48">
        <f t="shared" si="9"/>
        <v>-1.7533243651003283E-2</v>
      </c>
      <c r="S22" s="16">
        <f>'Bryant SFH Improvements'!$C$40*NG_EmissionFactor</f>
        <v>3.499817718688627</v>
      </c>
      <c r="T22" s="48">
        <f t="shared" si="10"/>
        <v>0.31180273524712865</v>
      </c>
      <c r="U22" s="47">
        <f t="shared" si="3"/>
        <v>0.29426949159612537</v>
      </c>
      <c r="V22" s="47">
        <f t="shared" si="11"/>
        <v>64.739288151147576</v>
      </c>
      <c r="W22" s="16">
        <f t="shared" si="12"/>
        <v>639.73733196881733</v>
      </c>
    </row>
    <row r="23" spans="1:23" x14ac:dyDescent="0.25">
      <c r="A23">
        <v>2040</v>
      </c>
      <c r="B23" s="47">
        <f>'Bryant Emissions Forecast'!C25</f>
        <v>0</v>
      </c>
      <c r="C23" s="47">
        <f>'Bryant SFH Improvements'!$C$36*NG_EmissionFactor</f>
        <v>3.8116204539357557</v>
      </c>
      <c r="D23" s="47">
        <f>'Bryant Emissions Forecast'!J25</f>
        <v>0</v>
      </c>
      <c r="E23" s="48">
        <f t="shared" si="0"/>
        <v>0</v>
      </c>
      <c r="F23" s="47">
        <f>'Bryant SFH Improvements'!$C$39*NG_EmissionFactor</f>
        <v>0.63527007565595883</v>
      </c>
      <c r="G23" s="48">
        <f t="shared" si="4"/>
        <v>3.176350378279797</v>
      </c>
      <c r="H23" s="47">
        <f t="shared" si="1"/>
        <v>3.176350378279797</v>
      </c>
      <c r="I23" s="47">
        <f t="shared" si="5"/>
        <v>635.27007565595943</v>
      </c>
      <c r="J23" s="16">
        <f>I23-EnergyEfficiency!I23</f>
        <v>490.42849840640076</v>
      </c>
      <c r="K23" s="16">
        <f>'Bryant Emissions Forecast'!P25</f>
        <v>0</v>
      </c>
      <c r="L23" s="48">
        <f t="shared" si="6"/>
        <v>0</v>
      </c>
      <c r="M23" s="16">
        <f>'Bryant SFH Improvements'!$C$41*NG_EmissionFactor</f>
        <v>3.222201294678424</v>
      </c>
      <c r="N23" s="48">
        <f t="shared" si="7"/>
        <v>0.58941915925733168</v>
      </c>
      <c r="O23" s="47">
        <f t="shared" si="2"/>
        <v>0.58941915925733168</v>
      </c>
      <c r="P23" s="47">
        <f t="shared" si="8"/>
        <v>117.88383185146634</v>
      </c>
      <c r="Q23" s="47">
        <f>'Bryant Emissions Forecast'!M25</f>
        <v>0</v>
      </c>
      <c r="R23" s="48">
        <f t="shared" si="9"/>
        <v>0</v>
      </c>
      <c r="S23" s="16">
        <f>'Bryant SFH Improvements'!$C$40*NG_EmissionFactor</f>
        <v>3.499817718688627</v>
      </c>
      <c r="T23" s="48">
        <f t="shared" si="10"/>
        <v>0.31180273524712865</v>
      </c>
      <c r="U23" s="47">
        <f t="shared" si="3"/>
        <v>0.31180273524712865</v>
      </c>
      <c r="V23" s="47">
        <f t="shared" si="11"/>
        <v>68.596601754368308</v>
      </c>
      <c r="W23" s="16">
        <f t="shared" si="12"/>
        <v>676.90893201223537</v>
      </c>
    </row>
    <row r="24" spans="1:23" x14ac:dyDescent="0.25">
      <c r="A24">
        <v>2041</v>
      </c>
      <c r="B24" s="47">
        <f>'Bryant Emissions Forecast'!C26</f>
        <v>0</v>
      </c>
      <c r="C24" s="47">
        <f>'Bryant SFH Improvements'!$C$36*NG_EmissionFactor</f>
        <v>3.8116204539357557</v>
      </c>
      <c r="D24" s="47">
        <f>'Bryant Emissions Forecast'!J26</f>
        <v>0</v>
      </c>
      <c r="E24" s="48">
        <f t="shared" si="0"/>
        <v>0</v>
      </c>
      <c r="F24" s="47">
        <f>'Bryant SFH Improvements'!$C$39*NG_EmissionFactor</f>
        <v>0.63527007565595883</v>
      </c>
      <c r="G24" s="48">
        <f t="shared" si="4"/>
        <v>3.176350378279797</v>
      </c>
      <c r="H24" s="47">
        <f t="shared" si="1"/>
        <v>3.176350378279797</v>
      </c>
      <c r="I24" s="47">
        <f t="shared" si="5"/>
        <v>635.27007565595943</v>
      </c>
      <c r="J24" s="16">
        <f>I24-EnergyEfficiency!I24</f>
        <v>490.42849840640076</v>
      </c>
      <c r="K24" s="16">
        <f>'Bryant Emissions Forecast'!P26</f>
        <v>0</v>
      </c>
      <c r="L24" s="48">
        <f t="shared" si="6"/>
        <v>0</v>
      </c>
      <c r="M24" s="16">
        <f>'Bryant SFH Improvements'!$C$41*NG_EmissionFactor</f>
        <v>3.222201294678424</v>
      </c>
      <c r="N24" s="48">
        <f t="shared" si="7"/>
        <v>0.58941915925733168</v>
      </c>
      <c r="O24" s="47">
        <f t="shared" si="2"/>
        <v>0.58941915925733168</v>
      </c>
      <c r="P24" s="47">
        <f t="shared" si="8"/>
        <v>117.88383185146634</v>
      </c>
      <c r="Q24" s="47">
        <f>'Bryant Emissions Forecast'!M26</f>
        <v>0</v>
      </c>
      <c r="R24" s="48">
        <f t="shared" si="9"/>
        <v>0</v>
      </c>
      <c r="S24" s="16">
        <f>'Bryant SFH Improvements'!$C$40*NG_EmissionFactor</f>
        <v>3.499817718688627</v>
      </c>
      <c r="T24" s="48">
        <f t="shared" si="10"/>
        <v>0.31180273524712865</v>
      </c>
      <c r="U24" s="47">
        <f t="shared" si="3"/>
        <v>0.31180273524712865</v>
      </c>
      <c r="V24" s="47">
        <f t="shared" si="11"/>
        <v>68.596601754368308</v>
      </c>
      <c r="W24" s="16">
        <f t="shared" si="12"/>
        <v>676.90893201223537</v>
      </c>
    </row>
    <row r="25" spans="1:23" x14ac:dyDescent="0.25">
      <c r="A25">
        <v>2042</v>
      </c>
      <c r="B25" s="47">
        <f>'Bryant Emissions Forecast'!C27</f>
        <v>0</v>
      </c>
      <c r="C25" s="47">
        <f>'Bryant SFH Improvements'!$C$36*NG_EmissionFactor</f>
        <v>3.8116204539357557</v>
      </c>
      <c r="D25" s="47">
        <f>'Bryant Emissions Forecast'!J27</f>
        <v>0</v>
      </c>
      <c r="E25" s="48">
        <f t="shared" si="0"/>
        <v>0</v>
      </c>
      <c r="F25" s="47">
        <f>'Bryant SFH Improvements'!$C$39*NG_EmissionFactor</f>
        <v>0.63527007565595883</v>
      </c>
      <c r="G25" s="48">
        <f t="shared" si="4"/>
        <v>3.176350378279797</v>
      </c>
      <c r="H25" s="47">
        <f t="shared" si="1"/>
        <v>3.176350378279797</v>
      </c>
      <c r="I25" s="47">
        <f t="shared" si="5"/>
        <v>635.27007565595943</v>
      </c>
      <c r="J25" s="16">
        <f>I25-EnergyEfficiency!I25</f>
        <v>490.42849840640076</v>
      </c>
      <c r="K25" s="16">
        <f>'Bryant Emissions Forecast'!P27</f>
        <v>0</v>
      </c>
      <c r="L25" s="48">
        <f t="shared" si="6"/>
        <v>0</v>
      </c>
      <c r="M25" s="16">
        <f>'Bryant SFH Improvements'!$C$41*NG_EmissionFactor</f>
        <v>3.222201294678424</v>
      </c>
      <c r="N25" s="48">
        <f t="shared" si="7"/>
        <v>0.58941915925733168</v>
      </c>
      <c r="O25" s="47">
        <f t="shared" si="2"/>
        <v>0.58941915925733168</v>
      </c>
      <c r="P25" s="47">
        <f t="shared" si="8"/>
        <v>117.88383185146634</v>
      </c>
      <c r="Q25" s="47">
        <f>'Bryant Emissions Forecast'!M27</f>
        <v>0</v>
      </c>
      <c r="R25" s="48">
        <f t="shared" si="9"/>
        <v>0</v>
      </c>
      <c r="S25" s="16">
        <f>'Bryant SFH Improvements'!$C$40*NG_EmissionFactor</f>
        <v>3.499817718688627</v>
      </c>
      <c r="T25" s="48">
        <f t="shared" si="10"/>
        <v>0.31180273524712865</v>
      </c>
      <c r="U25" s="47">
        <f t="shared" si="3"/>
        <v>0.31180273524712865</v>
      </c>
      <c r="V25" s="47">
        <f t="shared" si="11"/>
        <v>68.596601754368308</v>
      </c>
      <c r="W25" s="16">
        <f t="shared" si="12"/>
        <v>676.90893201223537</v>
      </c>
    </row>
    <row r="26" spans="1:23" x14ac:dyDescent="0.25">
      <c r="A26">
        <v>2043</v>
      </c>
      <c r="B26" s="47">
        <f>'Bryant Emissions Forecast'!C28</f>
        <v>0</v>
      </c>
      <c r="C26" s="47">
        <f>'Bryant SFH Improvements'!$C$36*NG_EmissionFactor</f>
        <v>3.8116204539357557</v>
      </c>
      <c r="D26" s="47">
        <f>'Bryant Emissions Forecast'!J28</f>
        <v>0</v>
      </c>
      <c r="E26" s="48">
        <f t="shared" si="0"/>
        <v>0</v>
      </c>
      <c r="F26" s="47">
        <f>'Bryant SFH Improvements'!$C$39*NG_EmissionFactor</f>
        <v>0.63527007565595883</v>
      </c>
      <c r="G26" s="48">
        <f t="shared" si="4"/>
        <v>3.176350378279797</v>
      </c>
      <c r="H26" s="47">
        <f t="shared" si="1"/>
        <v>3.176350378279797</v>
      </c>
      <c r="I26" s="47">
        <f t="shared" si="5"/>
        <v>635.27007565595943</v>
      </c>
      <c r="J26" s="16">
        <f>I26-EnergyEfficiency!I26</f>
        <v>490.42849840640076</v>
      </c>
      <c r="K26" s="16">
        <f>'Bryant Emissions Forecast'!P28</f>
        <v>0</v>
      </c>
      <c r="L26" s="48">
        <f t="shared" si="6"/>
        <v>0</v>
      </c>
      <c r="M26" s="16">
        <f>'Bryant SFH Improvements'!$C$41*NG_EmissionFactor</f>
        <v>3.222201294678424</v>
      </c>
      <c r="N26" s="48">
        <f t="shared" si="7"/>
        <v>0.58941915925733168</v>
      </c>
      <c r="O26" s="47">
        <f t="shared" si="2"/>
        <v>0.58941915925733168</v>
      </c>
      <c r="P26" s="47">
        <f t="shared" si="8"/>
        <v>117.88383185146634</v>
      </c>
      <c r="Q26" s="47">
        <f>'Bryant Emissions Forecast'!M28</f>
        <v>0</v>
      </c>
      <c r="R26" s="48">
        <f t="shared" si="9"/>
        <v>0</v>
      </c>
      <c r="S26" s="16">
        <f>'Bryant SFH Improvements'!$C$40*NG_EmissionFactor</f>
        <v>3.499817718688627</v>
      </c>
      <c r="T26" s="48">
        <f t="shared" si="10"/>
        <v>0.31180273524712865</v>
      </c>
      <c r="U26" s="47">
        <f t="shared" si="3"/>
        <v>0.31180273524712865</v>
      </c>
      <c r="V26" s="47">
        <f t="shared" si="11"/>
        <v>68.596601754368308</v>
      </c>
      <c r="W26" s="16">
        <f t="shared" si="12"/>
        <v>676.90893201223537</v>
      </c>
    </row>
    <row r="27" spans="1:23" x14ac:dyDescent="0.25">
      <c r="A27">
        <v>2044</v>
      </c>
      <c r="B27" s="47">
        <f>'Bryant Emissions Forecast'!C29</f>
        <v>0</v>
      </c>
      <c r="C27" s="47">
        <f>'Bryant SFH Improvements'!$C$36*NG_EmissionFactor</f>
        <v>3.8116204539357557</v>
      </c>
      <c r="D27" s="47">
        <f>'Bryant Emissions Forecast'!J29</f>
        <v>0</v>
      </c>
      <c r="E27" s="48">
        <f t="shared" si="0"/>
        <v>0</v>
      </c>
      <c r="F27" s="47">
        <f>'Bryant SFH Improvements'!$C$39*NG_EmissionFactor</f>
        <v>0.63527007565595883</v>
      </c>
      <c r="G27" s="48">
        <f t="shared" si="4"/>
        <v>3.176350378279797</v>
      </c>
      <c r="H27" s="47">
        <f t="shared" si="1"/>
        <v>3.176350378279797</v>
      </c>
      <c r="I27" s="47">
        <f t="shared" si="5"/>
        <v>635.27007565595943</v>
      </c>
      <c r="J27" s="16">
        <f>I27-EnergyEfficiency!I27</f>
        <v>490.42849840640076</v>
      </c>
      <c r="K27" s="16">
        <f>'Bryant Emissions Forecast'!P29</f>
        <v>0</v>
      </c>
      <c r="L27" s="48">
        <f t="shared" si="6"/>
        <v>0</v>
      </c>
      <c r="M27" s="16">
        <f>'Bryant SFH Improvements'!$C$41*NG_EmissionFactor</f>
        <v>3.222201294678424</v>
      </c>
      <c r="N27" s="48">
        <f t="shared" si="7"/>
        <v>0.58941915925733168</v>
      </c>
      <c r="O27" s="47">
        <f t="shared" si="2"/>
        <v>0.58941915925733168</v>
      </c>
      <c r="P27" s="47">
        <f t="shared" si="8"/>
        <v>117.88383185146634</v>
      </c>
      <c r="Q27" s="47">
        <f>'Bryant Emissions Forecast'!M29</f>
        <v>0</v>
      </c>
      <c r="R27" s="48">
        <f t="shared" si="9"/>
        <v>0</v>
      </c>
      <c r="S27" s="16">
        <f>'Bryant SFH Improvements'!$C$40*NG_EmissionFactor</f>
        <v>3.499817718688627</v>
      </c>
      <c r="T27" s="48">
        <f t="shared" si="10"/>
        <v>0.31180273524712865</v>
      </c>
      <c r="U27" s="47">
        <f t="shared" si="3"/>
        <v>0.31180273524712865</v>
      </c>
      <c r="V27" s="47">
        <f t="shared" si="11"/>
        <v>68.596601754368308</v>
      </c>
      <c r="W27" s="16">
        <f t="shared" si="12"/>
        <v>676.90893201223537</v>
      </c>
    </row>
    <row r="28" spans="1:23" x14ac:dyDescent="0.25">
      <c r="A28">
        <v>2045</v>
      </c>
      <c r="B28" s="47">
        <f>'Bryant Emissions Forecast'!C30</f>
        <v>0</v>
      </c>
      <c r="C28" s="47">
        <f>'Bryant SFH Improvements'!$C$36*NG_EmissionFactor</f>
        <v>3.8116204539357557</v>
      </c>
      <c r="D28" s="47">
        <f>'Bryant Emissions Forecast'!J30</f>
        <v>0</v>
      </c>
      <c r="E28" s="48">
        <f t="shared" si="0"/>
        <v>0</v>
      </c>
      <c r="F28" s="47">
        <f>'Bryant SFH Improvements'!$C$39*NG_EmissionFactor</f>
        <v>0.63527007565595883</v>
      </c>
      <c r="G28" s="48">
        <f t="shared" si="4"/>
        <v>3.176350378279797</v>
      </c>
      <c r="H28" s="47">
        <f t="shared" si="1"/>
        <v>3.176350378279797</v>
      </c>
      <c r="I28" s="47">
        <f t="shared" si="5"/>
        <v>635.27007565595943</v>
      </c>
      <c r="J28" s="16">
        <f>I28-EnergyEfficiency!I28</f>
        <v>490.42849840640076</v>
      </c>
      <c r="K28" s="16">
        <f>'Bryant Emissions Forecast'!P30</f>
        <v>0</v>
      </c>
      <c r="L28" s="48">
        <f t="shared" si="6"/>
        <v>0</v>
      </c>
      <c r="M28" s="16">
        <f>'Bryant SFH Improvements'!$C$41*NG_EmissionFactor</f>
        <v>3.222201294678424</v>
      </c>
      <c r="N28" s="48">
        <f t="shared" si="7"/>
        <v>0.58941915925733168</v>
      </c>
      <c r="O28" s="47">
        <f t="shared" si="2"/>
        <v>0.58941915925733168</v>
      </c>
      <c r="P28" s="47">
        <f t="shared" si="8"/>
        <v>117.88383185146634</v>
      </c>
      <c r="Q28" s="47">
        <f>'Bryant Emissions Forecast'!M30</f>
        <v>0</v>
      </c>
      <c r="R28" s="48">
        <f t="shared" si="9"/>
        <v>0</v>
      </c>
      <c r="S28" s="16">
        <f>'Bryant SFH Improvements'!$C$40*NG_EmissionFactor</f>
        <v>3.499817718688627</v>
      </c>
      <c r="T28" s="48">
        <f t="shared" si="10"/>
        <v>0.31180273524712865</v>
      </c>
      <c r="U28" s="47">
        <f t="shared" si="3"/>
        <v>0.31180273524712865</v>
      </c>
      <c r="V28" s="47">
        <f t="shared" si="11"/>
        <v>68.596601754368308</v>
      </c>
      <c r="W28" s="16">
        <f t="shared" si="12"/>
        <v>676.90893201223537</v>
      </c>
    </row>
    <row r="29" spans="1:23" x14ac:dyDescent="0.25">
      <c r="A29">
        <v>2046</v>
      </c>
      <c r="B29" s="47">
        <f>'Bryant Emissions Forecast'!C31</f>
        <v>0</v>
      </c>
      <c r="C29" s="47">
        <f>'Bryant SFH Improvements'!$C$36*NG_EmissionFactor</f>
        <v>3.8116204539357557</v>
      </c>
      <c r="D29" s="47">
        <f>'Bryant Emissions Forecast'!J31</f>
        <v>0</v>
      </c>
      <c r="E29" s="48">
        <f t="shared" si="0"/>
        <v>0</v>
      </c>
      <c r="F29" s="47">
        <f>'Bryant SFH Improvements'!$C$39*NG_EmissionFactor</f>
        <v>0.63527007565595883</v>
      </c>
      <c r="G29" s="48">
        <f t="shared" si="4"/>
        <v>3.176350378279797</v>
      </c>
      <c r="H29" s="47">
        <f t="shared" si="1"/>
        <v>3.176350378279797</v>
      </c>
      <c r="I29" s="47">
        <f t="shared" si="5"/>
        <v>635.27007565595943</v>
      </c>
      <c r="J29" s="16">
        <f>I29-EnergyEfficiency!I29</f>
        <v>490.42849840640076</v>
      </c>
      <c r="K29" s="16">
        <f>'Bryant Emissions Forecast'!P31</f>
        <v>0</v>
      </c>
      <c r="L29" s="48">
        <f t="shared" si="6"/>
        <v>0</v>
      </c>
      <c r="M29" s="16">
        <f>'Bryant SFH Improvements'!$C$41*NG_EmissionFactor</f>
        <v>3.222201294678424</v>
      </c>
      <c r="N29" s="48">
        <f t="shared" si="7"/>
        <v>0.58941915925733168</v>
      </c>
      <c r="O29" s="47">
        <f t="shared" si="2"/>
        <v>0.58941915925733168</v>
      </c>
      <c r="P29" s="47">
        <f t="shared" si="8"/>
        <v>117.88383185146634</v>
      </c>
      <c r="Q29" s="47">
        <f>'Bryant Emissions Forecast'!M31</f>
        <v>0</v>
      </c>
      <c r="R29" s="48">
        <f t="shared" si="9"/>
        <v>0</v>
      </c>
      <c r="S29" s="16">
        <f>'Bryant SFH Improvements'!$C$40*NG_EmissionFactor</f>
        <v>3.499817718688627</v>
      </c>
      <c r="T29" s="48">
        <f t="shared" si="10"/>
        <v>0.31180273524712865</v>
      </c>
      <c r="U29" s="47">
        <f t="shared" si="3"/>
        <v>0.31180273524712865</v>
      </c>
      <c r="V29" s="47">
        <f t="shared" si="11"/>
        <v>68.596601754368308</v>
      </c>
      <c r="W29" s="16">
        <f t="shared" si="12"/>
        <v>676.90893201223537</v>
      </c>
    </row>
    <row r="30" spans="1:23" x14ac:dyDescent="0.25">
      <c r="A30">
        <v>2047</v>
      </c>
      <c r="B30" s="47">
        <f>'Bryant Emissions Forecast'!C32</f>
        <v>0</v>
      </c>
      <c r="C30" s="47">
        <f>'Bryant SFH Improvements'!$C$36*NG_EmissionFactor</f>
        <v>3.8116204539357557</v>
      </c>
      <c r="D30" s="47">
        <f>'Bryant Emissions Forecast'!J32</f>
        <v>0</v>
      </c>
      <c r="E30" s="48">
        <f t="shared" si="0"/>
        <v>0</v>
      </c>
      <c r="F30" s="47">
        <f>'Bryant SFH Improvements'!$C$39*NG_EmissionFactor</f>
        <v>0.63527007565595883</v>
      </c>
      <c r="G30" s="48">
        <f t="shared" si="4"/>
        <v>3.176350378279797</v>
      </c>
      <c r="H30" s="47">
        <f t="shared" si="1"/>
        <v>3.176350378279797</v>
      </c>
      <c r="I30" s="47">
        <f t="shared" si="5"/>
        <v>635.27007565595943</v>
      </c>
      <c r="J30" s="16">
        <f>I30-EnergyEfficiency!I30</f>
        <v>490.42849840640076</v>
      </c>
      <c r="K30" s="16">
        <f>'Bryant Emissions Forecast'!P32</f>
        <v>0</v>
      </c>
      <c r="L30" s="48">
        <f t="shared" si="6"/>
        <v>0</v>
      </c>
      <c r="M30" s="16">
        <f>'Bryant SFH Improvements'!$C$41*NG_EmissionFactor</f>
        <v>3.222201294678424</v>
      </c>
      <c r="N30" s="48">
        <f t="shared" si="7"/>
        <v>0.58941915925733168</v>
      </c>
      <c r="O30" s="47">
        <f t="shared" si="2"/>
        <v>0.58941915925733168</v>
      </c>
      <c r="P30" s="47">
        <f t="shared" si="8"/>
        <v>117.88383185146634</v>
      </c>
      <c r="Q30" s="47">
        <f>'Bryant Emissions Forecast'!M32</f>
        <v>0</v>
      </c>
      <c r="R30" s="48">
        <f t="shared" si="9"/>
        <v>0</v>
      </c>
      <c r="S30" s="16">
        <f>'Bryant SFH Improvements'!$C$40*NG_EmissionFactor</f>
        <v>3.499817718688627</v>
      </c>
      <c r="T30" s="48">
        <f t="shared" si="10"/>
        <v>0.31180273524712865</v>
      </c>
      <c r="U30" s="47">
        <f t="shared" si="3"/>
        <v>0.31180273524712865</v>
      </c>
      <c r="V30" s="47">
        <f t="shared" si="11"/>
        <v>68.596601754368308</v>
      </c>
      <c r="W30" s="16">
        <f t="shared" si="12"/>
        <v>676.90893201223537</v>
      </c>
    </row>
    <row r="31" spans="1:23" x14ac:dyDescent="0.25">
      <c r="A31">
        <v>2048</v>
      </c>
      <c r="B31" s="47">
        <f>'Bryant Emissions Forecast'!C33</f>
        <v>0</v>
      </c>
      <c r="C31" s="47">
        <f>'Bryant SFH Improvements'!$C$36*NG_EmissionFactor</f>
        <v>3.8116204539357557</v>
      </c>
      <c r="D31" s="47">
        <f>'Bryant Emissions Forecast'!J33</f>
        <v>0</v>
      </c>
      <c r="E31" s="48">
        <f t="shared" si="0"/>
        <v>0</v>
      </c>
      <c r="F31" s="47">
        <f>'Bryant SFH Improvements'!$C$39*NG_EmissionFactor</f>
        <v>0.63527007565595883</v>
      </c>
      <c r="G31" s="48">
        <f t="shared" si="4"/>
        <v>3.176350378279797</v>
      </c>
      <c r="H31" s="47">
        <f t="shared" si="1"/>
        <v>3.176350378279797</v>
      </c>
      <c r="I31" s="47">
        <f t="shared" si="5"/>
        <v>635.27007565595943</v>
      </c>
      <c r="J31" s="16">
        <f>I31-EnergyEfficiency!I31</f>
        <v>490.42849840640076</v>
      </c>
      <c r="K31" s="16">
        <f>'Bryant Emissions Forecast'!P33</f>
        <v>0</v>
      </c>
      <c r="L31" s="48">
        <f t="shared" si="6"/>
        <v>0</v>
      </c>
      <c r="M31" s="16">
        <f>'Bryant SFH Improvements'!$C$41*NG_EmissionFactor</f>
        <v>3.222201294678424</v>
      </c>
      <c r="N31" s="48">
        <f t="shared" si="7"/>
        <v>0.58941915925733168</v>
      </c>
      <c r="O31" s="47">
        <f t="shared" si="2"/>
        <v>0.58941915925733168</v>
      </c>
      <c r="P31" s="47">
        <f t="shared" si="8"/>
        <v>117.88383185146634</v>
      </c>
      <c r="Q31" s="47">
        <f>'Bryant Emissions Forecast'!M33</f>
        <v>0</v>
      </c>
      <c r="R31" s="48">
        <f t="shared" si="9"/>
        <v>0</v>
      </c>
      <c r="S31" s="16">
        <f>'Bryant SFH Improvements'!$C$40*NG_EmissionFactor</f>
        <v>3.499817718688627</v>
      </c>
      <c r="T31" s="48">
        <f t="shared" si="10"/>
        <v>0.31180273524712865</v>
      </c>
      <c r="U31" s="47">
        <f t="shared" si="3"/>
        <v>0.31180273524712865</v>
      </c>
      <c r="V31" s="47">
        <f t="shared" si="11"/>
        <v>68.596601754368308</v>
      </c>
      <c r="W31" s="16">
        <f t="shared" si="12"/>
        <v>676.90893201223537</v>
      </c>
    </row>
    <row r="32" spans="1:23" x14ac:dyDescent="0.25">
      <c r="A32">
        <v>2049</v>
      </c>
      <c r="B32" s="47">
        <f>'Bryant Emissions Forecast'!C34</f>
        <v>0</v>
      </c>
      <c r="C32" s="47">
        <f>'Bryant SFH Improvements'!$C$36*NG_EmissionFactor</f>
        <v>3.8116204539357557</v>
      </c>
      <c r="D32" s="47">
        <f>'Bryant Emissions Forecast'!J34</f>
        <v>0</v>
      </c>
      <c r="E32" s="48">
        <f t="shared" si="0"/>
        <v>0</v>
      </c>
      <c r="F32" s="47">
        <f>'Bryant SFH Improvements'!$C$39*NG_EmissionFactor</f>
        <v>0.63527007565595883</v>
      </c>
      <c r="G32" s="48">
        <f t="shared" si="4"/>
        <v>3.176350378279797</v>
      </c>
      <c r="H32" s="47">
        <f t="shared" si="1"/>
        <v>3.176350378279797</v>
      </c>
      <c r="I32" s="47">
        <f t="shared" si="5"/>
        <v>635.27007565595943</v>
      </c>
      <c r="J32" s="16">
        <f>I32-EnergyEfficiency!I32</f>
        <v>490.42849840640076</v>
      </c>
      <c r="K32" s="16">
        <f>'Bryant Emissions Forecast'!P34</f>
        <v>0</v>
      </c>
      <c r="L32" s="48">
        <f t="shared" si="6"/>
        <v>0</v>
      </c>
      <c r="M32" s="16">
        <f>'Bryant SFH Improvements'!$C$41*NG_EmissionFactor</f>
        <v>3.222201294678424</v>
      </c>
      <c r="N32" s="48">
        <f t="shared" si="7"/>
        <v>0.58941915925733168</v>
      </c>
      <c r="O32" s="47">
        <f t="shared" si="2"/>
        <v>0.58941915925733168</v>
      </c>
      <c r="P32" s="47">
        <f t="shared" si="8"/>
        <v>117.88383185146634</v>
      </c>
      <c r="Q32" s="47">
        <f>'Bryant Emissions Forecast'!M34</f>
        <v>0</v>
      </c>
      <c r="R32" s="48">
        <f t="shared" si="9"/>
        <v>0</v>
      </c>
      <c r="S32" s="16">
        <f>'Bryant SFH Improvements'!$C$40*NG_EmissionFactor</f>
        <v>3.499817718688627</v>
      </c>
      <c r="T32" s="48">
        <f t="shared" si="10"/>
        <v>0.31180273524712865</v>
      </c>
      <c r="U32" s="47">
        <f t="shared" si="3"/>
        <v>0.31180273524712865</v>
      </c>
      <c r="V32" s="47">
        <f t="shared" si="11"/>
        <v>68.596601754368308</v>
      </c>
      <c r="W32" s="16">
        <f t="shared" si="12"/>
        <v>676.90893201223537</v>
      </c>
    </row>
    <row r="33" spans="1:23" x14ac:dyDescent="0.25">
      <c r="A33">
        <v>2050</v>
      </c>
      <c r="B33" s="47">
        <f>'Bryant Emissions Forecast'!C35</f>
        <v>0</v>
      </c>
      <c r="C33" s="47">
        <f>'Bryant SFH Improvements'!$C$36*NG_EmissionFactor</f>
        <v>3.8116204539357557</v>
      </c>
      <c r="D33" s="47">
        <f>'Bryant Emissions Forecast'!J35</f>
        <v>0</v>
      </c>
      <c r="E33" s="48">
        <f t="shared" si="0"/>
        <v>0</v>
      </c>
      <c r="F33" s="47">
        <f>'Bryant SFH Improvements'!$C$39*NG_EmissionFactor</f>
        <v>0.63527007565595883</v>
      </c>
      <c r="G33" s="48">
        <f t="shared" si="4"/>
        <v>3.176350378279797</v>
      </c>
      <c r="H33" s="47">
        <f t="shared" si="1"/>
        <v>3.176350378279797</v>
      </c>
      <c r="I33" s="47">
        <f t="shared" si="5"/>
        <v>635.27007565595943</v>
      </c>
      <c r="J33" s="16">
        <f>I33-EnergyEfficiency!I33</f>
        <v>490.42849840640076</v>
      </c>
      <c r="K33" s="16">
        <f>'Bryant Emissions Forecast'!P35</f>
        <v>0</v>
      </c>
      <c r="L33" s="48">
        <f t="shared" si="6"/>
        <v>0</v>
      </c>
      <c r="M33" s="16">
        <f>'Bryant SFH Improvements'!$C$41*NG_EmissionFactor</f>
        <v>3.222201294678424</v>
      </c>
      <c r="N33" s="48">
        <f t="shared" si="7"/>
        <v>0.58941915925733168</v>
      </c>
      <c r="O33" s="47">
        <f t="shared" si="2"/>
        <v>0.58941915925733168</v>
      </c>
      <c r="P33" s="47">
        <f t="shared" si="8"/>
        <v>117.88383185146634</v>
      </c>
      <c r="Q33" s="47">
        <f>'Bryant Emissions Forecast'!M35</f>
        <v>0</v>
      </c>
      <c r="R33" s="48">
        <f t="shared" si="9"/>
        <v>0</v>
      </c>
      <c r="S33" s="16">
        <f>'Bryant SFH Improvements'!$C$40*NG_EmissionFactor</f>
        <v>3.499817718688627</v>
      </c>
      <c r="T33" s="48">
        <f t="shared" si="10"/>
        <v>0.31180273524712865</v>
      </c>
      <c r="U33" s="47">
        <f t="shared" si="3"/>
        <v>0.31180273524712865</v>
      </c>
      <c r="V33" s="47">
        <f t="shared" si="11"/>
        <v>68.596601754368308</v>
      </c>
      <c r="W33" s="16">
        <f t="shared" si="12"/>
        <v>676.90893201223537</v>
      </c>
    </row>
    <row r="34" spans="1:23" x14ac:dyDescent="0.25">
      <c r="D34" s="6"/>
      <c r="E34" s="6"/>
      <c r="F34" s="6"/>
      <c r="G34" s="6"/>
      <c r="H34" s="6"/>
      <c r="I34" s="6"/>
      <c r="J34" s="6"/>
    </row>
    <row r="35" spans="1:23" x14ac:dyDescent="0.25">
      <c r="A35" s="1" t="s">
        <v>168</v>
      </c>
      <c r="B35" s="1"/>
      <c r="C35" s="1"/>
      <c r="D35" s="6"/>
      <c r="E35" s="6"/>
      <c r="F35" s="6"/>
      <c r="G35" s="6"/>
      <c r="H35" s="6"/>
      <c r="I35" s="6"/>
      <c r="J35" s="6"/>
    </row>
    <row r="36" spans="1:23" x14ac:dyDescent="0.25">
      <c r="A36" t="s">
        <v>83</v>
      </c>
      <c r="B36" s="16">
        <f>SUM(J8:J13)+SUM(P8:P13)+SUM(V8:V13)</f>
        <v>1821.3047891469018</v>
      </c>
      <c r="C36" t="s">
        <v>85</v>
      </c>
      <c r="D36" s="53"/>
      <c r="E36" s="6"/>
      <c r="F36" s="6"/>
      <c r="G36" s="6"/>
      <c r="H36" s="6"/>
      <c r="I36" s="6"/>
      <c r="J36" s="6"/>
    </row>
    <row r="37" spans="1:23" x14ac:dyDescent="0.25">
      <c r="A37" t="s">
        <v>84</v>
      </c>
      <c r="B37" s="16">
        <f>SUM(J8:J33)+SUM(P8:P33)+SUM(V8:V33)</f>
        <v>13974.130261546547</v>
      </c>
      <c r="C37" t="s">
        <v>85</v>
      </c>
      <c r="D37" s="6"/>
      <c r="E37" s="6"/>
      <c r="F37" s="6"/>
      <c r="G37" s="6"/>
      <c r="H37" s="6"/>
      <c r="I37" s="6"/>
      <c r="J3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0AE19-B45F-4973-BF08-05E957EC9FFD}">
  <dimension ref="A1:D71"/>
  <sheetViews>
    <sheetView workbookViewId="0">
      <selection activeCell="B18" sqref="B18:C21"/>
    </sheetView>
  </sheetViews>
  <sheetFormatPr defaultRowHeight="15" x14ac:dyDescent="0.25"/>
  <cols>
    <col min="1" max="1" width="36.28515625" customWidth="1"/>
    <col min="2" max="2" width="18.140625" customWidth="1"/>
    <col min="3" max="3" width="21.42578125" customWidth="1"/>
    <col min="4" max="4" width="47.140625" bestFit="1" customWidth="1"/>
  </cols>
  <sheetData>
    <row r="1" spans="1:4" x14ac:dyDescent="0.25">
      <c r="A1" s="1" t="s">
        <v>77</v>
      </c>
    </row>
    <row r="3" spans="1:4" x14ac:dyDescent="0.25">
      <c r="A3" s="1" t="s">
        <v>0</v>
      </c>
    </row>
    <row r="4" spans="1:4" x14ac:dyDescent="0.25">
      <c r="A4" s="1"/>
    </row>
    <row r="5" spans="1:4" x14ac:dyDescent="0.25">
      <c r="A5" s="60" t="s">
        <v>1</v>
      </c>
      <c r="B5" s="60"/>
      <c r="C5" s="60"/>
      <c r="D5" s="60"/>
    </row>
    <row r="6" spans="1:4" ht="30" x14ac:dyDescent="0.25">
      <c r="A6" s="3" t="s">
        <v>2</v>
      </c>
      <c r="B6" s="2" t="s">
        <v>3</v>
      </c>
      <c r="D6" t="s">
        <v>4</v>
      </c>
    </row>
    <row r="7" spans="1:4" x14ac:dyDescent="0.25">
      <c r="A7" s="4" t="s">
        <v>5</v>
      </c>
      <c r="B7">
        <v>1</v>
      </c>
    </row>
    <row r="8" spans="1:4" x14ac:dyDescent="0.25">
      <c r="A8" s="4" t="s">
        <v>6</v>
      </c>
      <c r="B8">
        <v>28</v>
      </c>
    </row>
    <row r="9" spans="1:4" x14ac:dyDescent="0.25">
      <c r="A9" s="4" t="s">
        <v>7</v>
      </c>
      <c r="B9">
        <v>265</v>
      </c>
    </row>
    <row r="13" spans="1:4" x14ac:dyDescent="0.25">
      <c r="A13" s="59" t="s">
        <v>8</v>
      </c>
      <c r="B13" s="59"/>
      <c r="C13" s="59"/>
      <c r="D13" s="59"/>
    </row>
    <row r="14" spans="1:4" x14ac:dyDescent="0.25">
      <c r="A14" s="5" t="s">
        <v>9</v>
      </c>
      <c r="B14" s="5"/>
      <c r="C14" s="5" t="s">
        <v>10</v>
      </c>
    </row>
    <row r="15" spans="1:4" x14ac:dyDescent="0.25">
      <c r="A15" s="6" t="s">
        <v>11</v>
      </c>
      <c r="B15">
        <v>5.4440000000000002E-2</v>
      </c>
      <c r="C15" t="s">
        <v>12</v>
      </c>
      <c r="D15" t="s">
        <v>13</v>
      </c>
    </row>
    <row r="16" spans="1:4" x14ac:dyDescent="0.25">
      <c r="A16" s="6" t="s">
        <v>11</v>
      </c>
      <c r="B16">
        <v>1.0300000000000001E-3</v>
      </c>
      <c r="C16" t="s">
        <v>14</v>
      </c>
    </row>
    <row r="17" spans="1:4" x14ac:dyDescent="0.25">
      <c r="A17" s="6" t="s">
        <v>11</v>
      </c>
      <c r="B17">
        <v>1E-4</v>
      </c>
      <c r="C17" t="s">
        <v>15</v>
      </c>
    </row>
    <row r="18" spans="1:4" x14ac:dyDescent="0.25">
      <c r="A18" s="6" t="s">
        <v>11</v>
      </c>
      <c r="B18">
        <f>B15*[1]Conversions!B7/[1]Conversions!B1</f>
        <v>5.4440000000000001E-3</v>
      </c>
      <c r="C18" t="s">
        <v>16</v>
      </c>
    </row>
    <row r="19" spans="1:4" x14ac:dyDescent="0.25">
      <c r="A19" s="6" t="s">
        <v>11</v>
      </c>
      <c r="B19">
        <f>B16*[1]Conversions!B8/[1]Conversions!B1</f>
        <v>1.03E-7</v>
      </c>
      <c r="C19" t="s">
        <v>17</v>
      </c>
    </row>
    <row r="20" spans="1:4" x14ac:dyDescent="0.25">
      <c r="A20" s="6" t="s">
        <v>11</v>
      </c>
      <c r="B20">
        <f>B17*[1]Conversions!B8/[1]Conversions!B1</f>
        <v>1E-8</v>
      </c>
      <c r="C20" t="s">
        <v>18</v>
      </c>
    </row>
    <row r="21" spans="1:4" x14ac:dyDescent="0.25">
      <c r="A21" s="6" t="s">
        <v>11</v>
      </c>
      <c r="B21" s="7">
        <f>B18+B19*B8+B20*B9</f>
        <v>5.4495339999999998E-3</v>
      </c>
      <c r="C21" t="s">
        <v>19</v>
      </c>
    </row>
    <row r="22" spans="1:4" x14ac:dyDescent="0.25">
      <c r="A22" s="6"/>
    </row>
    <row r="24" spans="1:4" x14ac:dyDescent="0.25">
      <c r="A24" t="s">
        <v>20</v>
      </c>
      <c r="B24">
        <v>1709.1</v>
      </c>
      <c r="C24" t="s">
        <v>21</v>
      </c>
      <c r="D24" t="s">
        <v>22</v>
      </c>
    </row>
    <row r="25" spans="1:4" x14ac:dyDescent="0.25">
      <c r="A25" t="s">
        <v>23</v>
      </c>
      <c r="B25">
        <v>209.7</v>
      </c>
      <c r="C25" t="s">
        <v>21</v>
      </c>
      <c r="D25" t="s">
        <v>22</v>
      </c>
    </row>
    <row r="26" spans="1:4" x14ac:dyDescent="0.25">
      <c r="A26" s="6" t="s">
        <v>24</v>
      </c>
      <c r="B26" s="8">
        <f>B25/B24</f>
        <v>0.12269615587151132</v>
      </c>
      <c r="C26" s="6"/>
    </row>
    <row r="27" spans="1:4" x14ac:dyDescent="0.25">
      <c r="A27" s="6" t="s">
        <v>24</v>
      </c>
      <c r="B27" s="8">
        <f>B21*B26</f>
        <v>6.6863687309110052E-4</v>
      </c>
      <c r="C27" s="6" t="s">
        <v>19</v>
      </c>
    </row>
    <row r="28" spans="1:4" x14ac:dyDescent="0.25">
      <c r="A28" s="6"/>
      <c r="B28" s="8"/>
      <c r="C28" s="6"/>
    </row>
    <row r="29" spans="1:4" x14ac:dyDescent="0.25">
      <c r="A29" s="6" t="s">
        <v>163</v>
      </c>
      <c r="B29" s="42">
        <f>B18*(1+B26)</f>
        <v>6.111957872564508E-3</v>
      </c>
      <c r="C29" s="6" t="s">
        <v>16</v>
      </c>
    </row>
    <row r="30" spans="1:4" x14ac:dyDescent="0.25">
      <c r="A30" s="6" t="s">
        <v>164</v>
      </c>
      <c r="B30" s="8">
        <f>B19*(1+B26)</f>
        <v>1.1563770405476567E-7</v>
      </c>
      <c r="C30" s="6" t="s">
        <v>17</v>
      </c>
    </row>
    <row r="31" spans="1:4" x14ac:dyDescent="0.25">
      <c r="A31" s="6" t="s">
        <v>165</v>
      </c>
      <c r="B31" s="8">
        <f>B20*(1+B26)</f>
        <v>1.1226961558715114E-8</v>
      </c>
      <c r="C31" s="6" t="s">
        <v>18</v>
      </c>
    </row>
    <row r="32" spans="1:4" x14ac:dyDescent="0.25">
      <c r="A32" s="1" t="s">
        <v>88</v>
      </c>
      <c r="B32" s="7">
        <f>B21+B27</f>
        <v>6.1181708730911003E-3</v>
      </c>
      <c r="C32" s="6" t="s">
        <v>19</v>
      </c>
    </row>
    <row r="33" spans="1:4" x14ac:dyDescent="0.25">
      <c r="A33" s="1"/>
      <c r="B33" s="7"/>
      <c r="C33" s="6"/>
    </row>
    <row r="34" spans="1:4" x14ac:dyDescent="0.25">
      <c r="A34" s="61" t="s">
        <v>25</v>
      </c>
      <c r="B34" s="61"/>
      <c r="C34" s="61"/>
      <c r="D34" s="61"/>
    </row>
    <row r="35" spans="1:4" x14ac:dyDescent="0.25">
      <c r="A35" t="s">
        <v>26</v>
      </c>
      <c r="D35" s="10" t="s">
        <v>27</v>
      </c>
    </row>
    <row r="36" spans="1:4" ht="75" x14ac:dyDescent="0.25">
      <c r="A36" s="11" t="s">
        <v>28</v>
      </c>
      <c r="B36" s="11" t="s">
        <v>29</v>
      </c>
      <c r="C36" s="11" t="s">
        <v>30</v>
      </c>
    </row>
    <row r="37" spans="1:4" x14ac:dyDescent="0.25">
      <c r="A37" t="s">
        <v>31</v>
      </c>
      <c r="B37" s="12">
        <v>0.54159999999999997</v>
      </c>
      <c r="C37" s="12">
        <v>0.41805999999999999</v>
      </c>
    </row>
    <row r="38" spans="1:4" x14ac:dyDescent="0.25">
      <c r="A38" t="s">
        <v>32</v>
      </c>
      <c r="B38" s="12">
        <v>0.18160000000000001</v>
      </c>
      <c r="C38" s="12">
        <v>0.26213999999999998</v>
      </c>
    </row>
    <row r="39" spans="1:4" x14ac:dyDescent="0.25">
      <c r="A39" t="s">
        <v>8</v>
      </c>
      <c r="B39" s="12">
        <v>0.14219999999999999</v>
      </c>
      <c r="C39" s="12">
        <v>0.23610999999999999</v>
      </c>
    </row>
    <row r="40" spans="1:4" x14ac:dyDescent="0.25">
      <c r="A40" t="s">
        <v>33</v>
      </c>
      <c r="B40" s="12">
        <v>2E-3</v>
      </c>
      <c r="C40" s="12">
        <v>4.0699999999999998E-3</v>
      </c>
    </row>
    <row r="41" spans="1:4" x14ac:dyDescent="0.25">
      <c r="A41" t="s">
        <v>34</v>
      </c>
      <c r="B41" s="12">
        <v>1.5E-3</v>
      </c>
      <c r="C41" s="12">
        <v>7.6E-3</v>
      </c>
    </row>
    <row r="42" spans="1:4" x14ac:dyDescent="0.25">
      <c r="A42" t="s">
        <v>35</v>
      </c>
      <c r="B42" s="12">
        <v>0.13109999999999999</v>
      </c>
      <c r="C42" s="12">
        <v>6.8029999999999993E-2</v>
      </c>
    </row>
    <row r="44" spans="1:4" x14ac:dyDescent="0.25">
      <c r="A44" t="s">
        <v>36</v>
      </c>
      <c r="B44" s="12">
        <v>0.17610000000000001</v>
      </c>
    </row>
    <row r="45" spans="1:4" x14ac:dyDescent="0.25">
      <c r="A45" t="s">
        <v>37</v>
      </c>
      <c r="B45" s="12">
        <f>0.15-SUM(B41:B42)</f>
        <v>1.7399999999999999E-2</v>
      </c>
      <c r="D45" t="s">
        <v>38</v>
      </c>
    </row>
    <row r="46" spans="1:4" x14ac:dyDescent="0.25">
      <c r="A46" t="s">
        <v>39</v>
      </c>
      <c r="B46" s="12">
        <f>B44-B45</f>
        <v>0.15870000000000001</v>
      </c>
    </row>
    <row r="49" spans="1:4" ht="30" x14ac:dyDescent="0.25">
      <c r="A49" s="13" t="s">
        <v>40</v>
      </c>
      <c r="B49" s="13" t="s">
        <v>41</v>
      </c>
      <c r="C49" s="13" t="s">
        <v>42</v>
      </c>
    </row>
    <row r="50" spans="1:4" x14ac:dyDescent="0.25">
      <c r="A50" t="s">
        <v>5</v>
      </c>
      <c r="B50" s="14">
        <v>2189.4</v>
      </c>
      <c r="C50" s="14">
        <v>1927</v>
      </c>
      <c r="D50" t="s">
        <v>43</v>
      </c>
    </row>
    <row r="52" spans="1:4" x14ac:dyDescent="0.25">
      <c r="A52" t="s">
        <v>44</v>
      </c>
      <c r="B52" t="s">
        <v>45</v>
      </c>
    </row>
    <row r="53" spans="1:4" x14ac:dyDescent="0.25">
      <c r="A53" t="s">
        <v>46</v>
      </c>
      <c r="B53" s="15">
        <v>0.5</v>
      </c>
    </row>
    <row r="54" spans="1:4" x14ac:dyDescent="0.25">
      <c r="A54" t="s">
        <v>166</v>
      </c>
      <c r="B54" s="15">
        <v>0.6</v>
      </c>
    </row>
    <row r="55" spans="1:4" x14ac:dyDescent="0.25">
      <c r="A55" t="s">
        <v>47</v>
      </c>
      <c r="B55" s="15">
        <v>1</v>
      </c>
    </row>
    <row r="57" spans="1:4" x14ac:dyDescent="0.25">
      <c r="B57" t="s">
        <v>48</v>
      </c>
      <c r="C57" t="s">
        <v>49</v>
      </c>
    </row>
    <row r="58" spans="1:4" x14ac:dyDescent="0.25">
      <c r="A58" t="s">
        <v>50</v>
      </c>
      <c r="B58" s="12">
        <f>B37+B39+B40</f>
        <v>0.68579999999999997</v>
      </c>
      <c r="C58" s="12">
        <f>C37+C39+C40</f>
        <v>0.65823999999999994</v>
      </c>
    </row>
    <row r="59" spans="1:4" x14ac:dyDescent="0.25">
      <c r="A59" t="s">
        <v>51</v>
      </c>
      <c r="B59" s="14">
        <f>B50*B58</f>
        <v>1501.4905200000001</v>
      </c>
      <c r="C59" s="14">
        <f>C50*C58</f>
        <v>1268.4284799999998</v>
      </c>
      <c r="D59" t="s">
        <v>43</v>
      </c>
    </row>
    <row r="60" spans="1:4" x14ac:dyDescent="0.25">
      <c r="B60" s="14"/>
      <c r="C60" s="14"/>
    </row>
    <row r="61" spans="1:4" x14ac:dyDescent="0.25">
      <c r="C61" t="s">
        <v>52</v>
      </c>
    </row>
    <row r="62" spans="1:4" x14ac:dyDescent="0.25">
      <c r="A62" t="s">
        <v>53</v>
      </c>
      <c r="B62" s="16">
        <f>(1-B44)*B59+B46*C59</f>
        <v>1438.3776392039999</v>
      </c>
      <c r="D62" t="s">
        <v>43</v>
      </c>
    </row>
    <row r="63" spans="1:4" x14ac:dyDescent="0.25">
      <c r="A63" t="s">
        <v>54</v>
      </c>
      <c r="B63" s="17">
        <f>B62*[1]Conversions!B6/1000</f>
        <v>6.5232545995646261E-4</v>
      </c>
      <c r="C63" s="15">
        <v>0.15</v>
      </c>
      <c r="D63" t="s">
        <v>55</v>
      </c>
    </row>
    <row r="64" spans="1:4" x14ac:dyDescent="0.25">
      <c r="A64" t="s">
        <v>56</v>
      </c>
      <c r="B64" s="17">
        <f>(1-(C64-C63))*B63</f>
        <v>4.2401154897170069E-4</v>
      </c>
      <c r="C64" s="15">
        <v>0.5</v>
      </c>
      <c r="D64" t="s">
        <v>55</v>
      </c>
    </row>
    <row r="65" spans="1:4" x14ac:dyDescent="0.25">
      <c r="A65" t="s">
        <v>167</v>
      </c>
      <c r="B65" s="17">
        <f>(1-(C65-C63))*B63</f>
        <v>3.5877900297605445E-4</v>
      </c>
      <c r="C65" s="15">
        <v>0.6</v>
      </c>
      <c r="D65" t="s">
        <v>55</v>
      </c>
    </row>
    <row r="66" spans="1:4" x14ac:dyDescent="0.25">
      <c r="A66" t="s">
        <v>57</v>
      </c>
      <c r="B66">
        <v>0</v>
      </c>
      <c r="C66" s="15">
        <v>1</v>
      </c>
      <c r="D66" t="s">
        <v>55</v>
      </c>
    </row>
    <row r="68" spans="1:4" x14ac:dyDescent="0.25">
      <c r="A68" s="1" t="s">
        <v>78</v>
      </c>
    </row>
    <row r="69" spans="1:4" x14ac:dyDescent="0.25">
      <c r="A69" s="1" t="s">
        <v>79</v>
      </c>
    </row>
    <row r="70" spans="1:4" x14ac:dyDescent="0.25">
      <c r="A70" t="s">
        <v>25</v>
      </c>
      <c r="B70" s="21">
        <v>0.19639999999999999</v>
      </c>
    </row>
    <row r="71" spans="1:4" x14ac:dyDescent="0.25">
      <c r="A71" t="s">
        <v>8</v>
      </c>
      <c r="B71" s="22">
        <v>0.82</v>
      </c>
    </row>
  </sheetData>
  <mergeCells count="3">
    <mergeCell ref="A5:D5"/>
    <mergeCell ref="A13:D13"/>
    <mergeCell ref="A34:D34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1EC66-634E-453E-9268-8B65F503F340}">
  <dimension ref="A1:C12"/>
  <sheetViews>
    <sheetView workbookViewId="0">
      <selection activeCell="A13" sqref="A13"/>
    </sheetView>
  </sheetViews>
  <sheetFormatPr defaultRowHeight="15" x14ac:dyDescent="0.25"/>
  <sheetData>
    <row r="1" spans="1:3" x14ac:dyDescent="0.25">
      <c r="A1" t="s">
        <v>58</v>
      </c>
      <c r="B1">
        <f>1/100</f>
        <v>0.01</v>
      </c>
      <c r="C1" t="s">
        <v>59</v>
      </c>
    </row>
    <row r="2" spans="1:3" x14ac:dyDescent="0.25">
      <c r="A2" t="s">
        <v>60</v>
      </c>
      <c r="B2">
        <v>1.038</v>
      </c>
      <c r="C2" t="s">
        <v>61</v>
      </c>
    </row>
    <row r="3" spans="1:3" x14ac:dyDescent="0.25">
      <c r="A3" t="s">
        <v>62</v>
      </c>
      <c r="B3">
        <f>1/B2</f>
        <v>0.96339113680154143</v>
      </c>
      <c r="C3" t="s">
        <v>59</v>
      </c>
    </row>
    <row r="4" spans="1:3" x14ac:dyDescent="0.25">
      <c r="A4" t="s">
        <v>62</v>
      </c>
      <c r="B4" s="18">
        <v>29.3</v>
      </c>
      <c r="C4" t="s">
        <v>63</v>
      </c>
    </row>
    <row r="5" spans="1:3" x14ac:dyDescent="0.25">
      <c r="A5" t="s">
        <v>60</v>
      </c>
      <c r="B5" s="19">
        <f>B2*B4</f>
        <v>30.413400000000003</v>
      </c>
      <c r="C5" t="s">
        <v>63</v>
      </c>
    </row>
    <row r="6" spans="1:3" x14ac:dyDescent="0.25">
      <c r="A6" t="s">
        <v>64</v>
      </c>
      <c r="B6">
        <f>1/2205</f>
        <v>4.5351473922902497E-4</v>
      </c>
      <c r="C6" t="s">
        <v>65</v>
      </c>
    </row>
    <row r="7" spans="1:3" x14ac:dyDescent="0.25">
      <c r="A7" t="s">
        <v>66</v>
      </c>
      <c r="B7">
        <f>1/1000</f>
        <v>1E-3</v>
      </c>
      <c r="C7" t="s">
        <v>65</v>
      </c>
    </row>
    <row r="8" spans="1:3" x14ac:dyDescent="0.25">
      <c r="A8" t="s">
        <v>67</v>
      </c>
      <c r="B8">
        <f>1/(1000*1000)</f>
        <v>9.9999999999999995E-7</v>
      </c>
      <c r="C8" t="s">
        <v>65</v>
      </c>
    </row>
    <row r="9" spans="1:3" x14ac:dyDescent="0.25">
      <c r="A9" t="s">
        <v>68</v>
      </c>
      <c r="B9">
        <v>3.4119999999999999</v>
      </c>
      <c r="C9" t="s">
        <v>69</v>
      </c>
    </row>
    <row r="10" spans="1:3" x14ac:dyDescent="0.25">
      <c r="A10" t="s">
        <v>60</v>
      </c>
      <c r="B10">
        <f>103600/1000</f>
        <v>103.6</v>
      </c>
      <c r="C10" t="s">
        <v>69</v>
      </c>
    </row>
    <row r="11" spans="1:3" x14ac:dyDescent="0.25">
      <c r="A11" t="s">
        <v>68</v>
      </c>
      <c r="B11">
        <f>3412/(10^6)</f>
        <v>3.4120000000000001E-3</v>
      </c>
      <c r="C11" t="s">
        <v>70</v>
      </c>
    </row>
    <row r="12" spans="1:3" x14ac:dyDescent="0.25">
      <c r="A12" t="s">
        <v>62</v>
      </c>
      <c r="B12">
        <f>99980/(10^6)</f>
        <v>9.9979999999999999E-2</v>
      </c>
      <c r="C12" t="s">
        <v>70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BEC20-BB9B-4984-9510-66A582189D05}">
  <dimension ref="A1:X43"/>
  <sheetViews>
    <sheetView topLeftCell="A9" workbookViewId="0">
      <pane xSplit="1" topLeftCell="B1" activePane="topRight" state="frozen"/>
      <selection activeCell="A21" sqref="A21"/>
      <selection pane="topRight" activeCell="G36" sqref="G36"/>
    </sheetView>
  </sheetViews>
  <sheetFormatPr defaultRowHeight="15" x14ac:dyDescent="0.25"/>
  <cols>
    <col min="1" max="1" width="42.28515625" bestFit="1" customWidth="1"/>
    <col min="2" max="3" width="15.7109375" customWidth="1"/>
    <col min="4" max="24" width="10.7109375" customWidth="1"/>
  </cols>
  <sheetData>
    <row r="1" spans="1:5" x14ac:dyDescent="0.25">
      <c r="A1" s="1" t="s">
        <v>186</v>
      </c>
    </row>
    <row r="3" spans="1:5" x14ac:dyDescent="0.25">
      <c r="A3" s="1" t="s">
        <v>71</v>
      </c>
      <c r="B3" s="20"/>
      <c r="E3" t="s">
        <v>72</v>
      </c>
    </row>
    <row r="4" spans="1:5" x14ac:dyDescent="0.25">
      <c r="A4" t="s">
        <v>73</v>
      </c>
      <c r="B4" s="20">
        <v>5090</v>
      </c>
      <c r="C4" t="s">
        <v>63</v>
      </c>
    </row>
    <row r="5" spans="1:5" x14ac:dyDescent="0.25">
      <c r="A5" t="s">
        <v>74</v>
      </c>
      <c r="B5" s="20">
        <v>623</v>
      </c>
      <c r="C5" t="s">
        <v>59</v>
      </c>
    </row>
    <row r="7" spans="1:5" x14ac:dyDescent="0.25">
      <c r="A7" s="1" t="s">
        <v>97</v>
      </c>
    </row>
    <row r="8" spans="1:5" ht="30" x14ac:dyDescent="0.25">
      <c r="A8" s="25" t="s">
        <v>89</v>
      </c>
      <c r="B8" s="25" t="s">
        <v>90</v>
      </c>
      <c r="C8" s="25" t="s">
        <v>91</v>
      </c>
      <c r="D8" s="25" t="s">
        <v>92</v>
      </c>
      <c r="E8" s="26" t="s">
        <v>93</v>
      </c>
    </row>
    <row r="9" spans="1:5" x14ac:dyDescent="0.25">
      <c r="A9" s="6" t="s">
        <v>94</v>
      </c>
      <c r="B9" s="15">
        <v>0.17</v>
      </c>
      <c r="C9" s="15">
        <v>0.19</v>
      </c>
      <c r="D9" s="15">
        <v>0.05</v>
      </c>
    </row>
    <row r="10" spans="1:5" x14ac:dyDescent="0.25">
      <c r="A10" s="27" t="s">
        <v>95</v>
      </c>
      <c r="B10" s="15"/>
      <c r="C10" s="15"/>
      <c r="D10" s="15">
        <v>7.0000000000000007E-2</v>
      </c>
      <c r="E10" t="s">
        <v>96</v>
      </c>
    </row>
    <row r="11" spans="1:5" x14ac:dyDescent="0.25">
      <c r="A11" s="27"/>
      <c r="B11" s="15"/>
      <c r="C11" s="15"/>
      <c r="D11" s="15"/>
    </row>
    <row r="12" spans="1:5" x14ac:dyDescent="0.25">
      <c r="A12" s="31" t="s">
        <v>103</v>
      </c>
      <c r="B12" s="15"/>
      <c r="C12" s="15"/>
      <c r="D12" s="15"/>
    </row>
    <row r="13" spans="1:5" x14ac:dyDescent="0.25">
      <c r="A13" s="32" t="s">
        <v>105</v>
      </c>
      <c r="B13" s="15">
        <v>0.83333333333333337</v>
      </c>
      <c r="D13" s="15" t="s">
        <v>106</v>
      </c>
    </row>
    <row r="14" spans="1:5" x14ac:dyDescent="0.25">
      <c r="A14" s="32" t="s">
        <v>107</v>
      </c>
      <c r="B14" s="14">
        <f>C36*B13</f>
        <v>519.16666666666674</v>
      </c>
      <c r="C14" s="15" t="s">
        <v>59</v>
      </c>
      <c r="D14" s="15"/>
    </row>
    <row r="15" spans="1:5" x14ac:dyDescent="0.25">
      <c r="A15" s="32" t="s">
        <v>108</v>
      </c>
      <c r="B15" s="14">
        <f>((B14*0.75)/4)*'Unit Conversions'!B5</f>
        <v>2960.5544062500007</v>
      </c>
      <c r="C15" s="15" t="s">
        <v>109</v>
      </c>
      <c r="D15" s="15" t="s">
        <v>114</v>
      </c>
    </row>
    <row r="16" spans="1:5" x14ac:dyDescent="0.25">
      <c r="A16" s="32" t="s">
        <v>110</v>
      </c>
      <c r="B16" s="15">
        <v>0.4</v>
      </c>
      <c r="D16" s="15"/>
    </row>
    <row r="17" spans="1:5" x14ac:dyDescent="0.25">
      <c r="A17" s="32" t="s">
        <v>112</v>
      </c>
      <c r="B17" s="14">
        <f>B36*B16</f>
        <v>2036</v>
      </c>
      <c r="C17" s="15" t="s">
        <v>63</v>
      </c>
      <c r="D17" s="15" t="s">
        <v>111</v>
      </c>
    </row>
    <row r="18" spans="1:5" x14ac:dyDescent="0.25">
      <c r="A18" s="32" t="s">
        <v>113</v>
      </c>
      <c r="B18" s="14">
        <f>B17*0.5</f>
        <v>1018</v>
      </c>
      <c r="C18" s="15" t="s">
        <v>63</v>
      </c>
      <c r="D18" s="15" t="s">
        <v>115</v>
      </c>
    </row>
    <row r="19" spans="1:5" x14ac:dyDescent="0.25">
      <c r="A19" s="27"/>
      <c r="B19" s="15"/>
      <c r="C19" s="15"/>
      <c r="D19" s="15"/>
    </row>
    <row r="20" spans="1:5" x14ac:dyDescent="0.25">
      <c r="A20" s="32" t="s">
        <v>118</v>
      </c>
      <c r="B20" s="14">
        <f>B15*(1-C9)</f>
        <v>2398.0490690625006</v>
      </c>
      <c r="C20" s="15" t="s">
        <v>63</v>
      </c>
      <c r="D20" s="15"/>
    </row>
    <row r="21" spans="1:5" x14ac:dyDescent="0.25">
      <c r="A21" s="32" t="s">
        <v>119</v>
      </c>
      <c r="B21" s="14">
        <f>B18*(1-D10)</f>
        <v>946.7399999999999</v>
      </c>
      <c r="C21" s="15" t="s">
        <v>63</v>
      </c>
      <c r="D21" s="15"/>
    </row>
    <row r="22" spans="1:5" x14ac:dyDescent="0.25">
      <c r="A22" s="27"/>
      <c r="B22" s="15"/>
      <c r="C22" s="15"/>
      <c r="D22" s="15"/>
    </row>
    <row r="23" spans="1:5" ht="30" x14ac:dyDescent="0.25">
      <c r="A23" s="25" t="s">
        <v>121</v>
      </c>
      <c r="B23" s="25" t="s">
        <v>122</v>
      </c>
      <c r="C23" s="1"/>
      <c r="E23" t="s">
        <v>123</v>
      </c>
    </row>
    <row r="24" spans="1:5" x14ac:dyDescent="0.25">
      <c r="A24" s="6" t="s">
        <v>124</v>
      </c>
      <c r="B24">
        <f>26.5+8.8*3</f>
        <v>52.900000000000006</v>
      </c>
      <c r="C24" t="s">
        <v>125</v>
      </c>
      <c r="D24" s="15"/>
    </row>
    <row r="25" spans="1:5" x14ac:dyDescent="0.25">
      <c r="A25" s="6" t="s">
        <v>124</v>
      </c>
      <c r="B25" s="29">
        <f>B24*'Unit Conversions'!B3</f>
        <v>50.963391136801548</v>
      </c>
      <c r="C25" t="s">
        <v>126</v>
      </c>
      <c r="D25" s="15"/>
    </row>
    <row r="26" spans="1:5" x14ac:dyDescent="0.25">
      <c r="A26" s="6" t="s">
        <v>127</v>
      </c>
      <c r="B26">
        <f>418+139*3</f>
        <v>835</v>
      </c>
      <c r="C26" t="s">
        <v>128</v>
      </c>
      <c r="D26" s="15"/>
    </row>
    <row r="27" spans="1:5" x14ac:dyDescent="0.25">
      <c r="A27" s="6" t="s">
        <v>129</v>
      </c>
      <c r="B27">
        <v>278</v>
      </c>
      <c r="C27" t="s">
        <v>128</v>
      </c>
      <c r="D27" s="15"/>
    </row>
    <row r="28" spans="1:5" x14ac:dyDescent="0.25">
      <c r="A28" s="6" t="s">
        <v>130</v>
      </c>
      <c r="B28">
        <v>100</v>
      </c>
      <c r="C28" t="s">
        <v>125</v>
      </c>
      <c r="D28" s="15"/>
    </row>
    <row r="29" spans="1:5" x14ac:dyDescent="0.25">
      <c r="A29" s="6" t="s">
        <v>130</v>
      </c>
      <c r="B29" s="29">
        <f>B28*'Unit Conversions'!B3</f>
        <v>96.339113680154142</v>
      </c>
      <c r="C29" t="s">
        <v>126</v>
      </c>
      <c r="D29" s="15"/>
    </row>
    <row r="30" spans="1:5" x14ac:dyDescent="0.25">
      <c r="A30" s="6" t="s">
        <v>131</v>
      </c>
      <c r="B30">
        <v>976</v>
      </c>
      <c r="C30" t="s">
        <v>128</v>
      </c>
    </row>
    <row r="31" spans="1:5" x14ac:dyDescent="0.25">
      <c r="A31" s="6"/>
    </row>
    <row r="32" spans="1:5" x14ac:dyDescent="0.25">
      <c r="A32" s="6"/>
    </row>
    <row r="33" spans="1:24" x14ac:dyDescent="0.25">
      <c r="E33" s="59" t="s">
        <v>102</v>
      </c>
      <c r="F33" s="59"/>
      <c r="G33" s="59" t="s">
        <v>86</v>
      </c>
      <c r="H33" s="59"/>
      <c r="I33" s="59" t="s">
        <v>86</v>
      </c>
      <c r="J33" s="59"/>
      <c r="K33" s="59" t="s">
        <v>86</v>
      </c>
      <c r="L33" s="59"/>
      <c r="M33" s="59" t="s">
        <v>86</v>
      </c>
      <c r="N33" s="59"/>
    </row>
    <row r="34" spans="1:24" x14ac:dyDescent="0.25">
      <c r="B34" s="6" t="s">
        <v>76</v>
      </c>
      <c r="C34" s="6" t="s">
        <v>101</v>
      </c>
      <c r="D34" s="6" t="s">
        <v>99</v>
      </c>
      <c r="E34" s="5" t="s">
        <v>83</v>
      </c>
      <c r="F34" s="5" t="s">
        <v>84</v>
      </c>
      <c r="G34" s="5" t="s">
        <v>83</v>
      </c>
      <c r="H34" s="5" t="s">
        <v>84</v>
      </c>
      <c r="I34" s="5" t="s">
        <v>83</v>
      </c>
      <c r="J34" s="5" t="s">
        <v>84</v>
      </c>
      <c r="K34" s="5" t="s">
        <v>83</v>
      </c>
      <c r="L34" s="5" t="s">
        <v>84</v>
      </c>
      <c r="M34" s="5" t="s">
        <v>83</v>
      </c>
      <c r="N34" s="5" t="s">
        <v>84</v>
      </c>
    </row>
    <row r="35" spans="1:24" x14ac:dyDescent="0.25">
      <c r="B35" s="6" t="s">
        <v>63</v>
      </c>
      <c r="C35" s="6" t="s">
        <v>59</v>
      </c>
      <c r="D35" s="13" t="s">
        <v>134</v>
      </c>
      <c r="E35" t="s">
        <v>85</v>
      </c>
      <c r="F35" t="s">
        <v>85</v>
      </c>
      <c r="G35" t="s">
        <v>159</v>
      </c>
      <c r="H35" t="s">
        <v>159</v>
      </c>
      <c r="I35" t="s">
        <v>160</v>
      </c>
      <c r="J35" t="s">
        <v>161</v>
      </c>
      <c r="K35" t="s">
        <v>162</v>
      </c>
      <c r="L35" t="s">
        <v>162</v>
      </c>
      <c r="M35" t="s">
        <v>85</v>
      </c>
      <c r="N35" t="s">
        <v>85</v>
      </c>
    </row>
    <row r="36" spans="1:24" s="1" customFormat="1" x14ac:dyDescent="0.25">
      <c r="A36" s="1" t="s">
        <v>75</v>
      </c>
      <c r="B36" s="33">
        <f>B4</f>
        <v>5090</v>
      </c>
      <c r="C36" s="33">
        <f>B5</f>
        <v>623</v>
      </c>
      <c r="D36" s="33"/>
      <c r="E36" s="33">
        <f>'Bryant Emissions Forecast'!C7</f>
        <v>16.987079167368037</v>
      </c>
      <c r="F36" s="33">
        <f>'Bryant Emissions Forecast'!C8</f>
        <v>28.951302215938142</v>
      </c>
      <c r="G36" s="33">
        <f t="shared" ref="G36:H41" si="0">(M36/NG_EmissionFactor)*NG_CO2_EF</f>
        <v>22.84649852764613</v>
      </c>
      <c r="H36" s="33">
        <f t="shared" si="0"/>
        <v>99.001493619799916</v>
      </c>
      <c r="I36" s="43">
        <f t="shared" ref="I36:J41" si="1">(M36/NG_EmissionFactor)*NG_CH4_EF</f>
        <v>4.3225373775671407E-4</v>
      </c>
      <c r="J36" s="43">
        <f t="shared" si="1"/>
        <v>1.8730995302790945E-3</v>
      </c>
      <c r="K36" s="44">
        <f t="shared" ref="K36:L41" si="2">(M36/NG_EmissionFactor)*NG_N2O_EF</f>
        <v>4.1966382306477096E-5</v>
      </c>
      <c r="L36" s="44">
        <f t="shared" si="2"/>
        <v>1.8185432332806743E-4</v>
      </c>
      <c r="M36" s="33">
        <f>C36*NG_EmissionFactor*(2030-2025+1)</f>
        <v>22.869722723614533</v>
      </c>
      <c r="N36" s="33">
        <f>C36*NG_EmissionFactor*(2050-2025+1)</f>
        <v>99.102131802329652</v>
      </c>
    </row>
    <row r="37" spans="1:24" x14ac:dyDescent="0.25">
      <c r="A37" t="s">
        <v>98</v>
      </c>
      <c r="B37" s="16">
        <f>B36*(1-D10)</f>
        <v>4733.7</v>
      </c>
      <c r="C37" s="16">
        <f>C36*(1-C9)</f>
        <v>504.63000000000005</v>
      </c>
      <c r="D37" s="35">
        <v>2025</v>
      </c>
      <c r="E37" s="20">
        <f>'Bryant Emissions Forecast'!F7</f>
        <v>15.797983625652273</v>
      </c>
      <c r="F37" s="20">
        <f>'Bryant Emissions Forecast'!F8</f>
        <v>26.924711060822478</v>
      </c>
      <c r="G37" s="16">
        <f t="shared" si="0"/>
        <v>18.505663807393368</v>
      </c>
      <c r="H37" s="16">
        <f t="shared" si="0"/>
        <v>80.191209832037927</v>
      </c>
      <c r="I37" s="45">
        <f t="shared" si="1"/>
        <v>3.5012552758293845E-4</v>
      </c>
      <c r="J37" s="45">
        <f t="shared" si="1"/>
        <v>1.5172106195260665E-3</v>
      </c>
      <c r="K37" s="17">
        <f t="shared" si="2"/>
        <v>3.399276966824645E-5</v>
      </c>
      <c r="L37" s="17">
        <f t="shared" si="2"/>
        <v>1.4730200189573461E-4</v>
      </c>
      <c r="M37" s="16">
        <f>C37*NG_EmissionFactor*(2030-D37+1)+$C$36*NG_EmissionFactor*(6-(2030-D37+1))</f>
        <v>18.524475406127774</v>
      </c>
      <c r="N37" s="16">
        <f>C37*NG_EmissionFactor*(2050-D37+1)+$C$36*NG_EmissionFactor*(26-(2050-D37+1))</f>
        <v>80.272726759887021</v>
      </c>
    </row>
    <row r="38" spans="1:24" x14ac:dyDescent="0.25">
      <c r="A38" t="s">
        <v>103</v>
      </c>
      <c r="B38" s="16">
        <f>B36-B17+B18+B15</f>
        <v>7032.5544062500012</v>
      </c>
      <c r="C38" s="16">
        <f>C36-B14</f>
        <v>103.83333333333326</v>
      </c>
      <c r="D38" s="36">
        <v>2026</v>
      </c>
      <c r="E38" s="20">
        <f>'Bryant Emissions Forecast'!I7</f>
        <v>22.202873079050097</v>
      </c>
      <c r="F38" s="20">
        <f>'Bryant Emissions Forecast'!I8</f>
        <v>38.733138210205212</v>
      </c>
      <c r="G38" s="16">
        <f t="shared" si="0"/>
        <v>6.9808745501140947</v>
      </c>
      <c r="H38" s="16">
        <f t="shared" si="0"/>
        <v>19.673373732139712</v>
      </c>
      <c r="I38" s="45">
        <f t="shared" si="1"/>
        <v>1.3207753098121817E-4</v>
      </c>
      <c r="J38" s="45">
        <f t="shared" si="1"/>
        <v>3.722184964016147E-4</v>
      </c>
      <c r="K38" s="17">
        <f t="shared" si="2"/>
        <v>1.2823061260312445E-5</v>
      </c>
      <c r="L38" s="17">
        <f t="shared" si="2"/>
        <v>3.6137718097244147E-5</v>
      </c>
      <c r="M38" s="16">
        <f>C38*NG_EmissionFactor*(2030-D38+1)+$C$36*NG_EmissionFactor*(6-(2030-D38+1))</f>
        <v>6.9879708322155505</v>
      </c>
      <c r="N38" s="16">
        <f>C38*NG_EmissionFactor*(2050-D38+1)+$C$36*NG_EmissionFactor*(26-(2050-D38+1))</f>
        <v>19.693372345334726</v>
      </c>
    </row>
    <row r="39" spans="1:24" x14ac:dyDescent="0.25">
      <c r="A39" t="s">
        <v>117</v>
      </c>
      <c r="B39" s="16">
        <f>B36-B17+B20+B21</f>
        <v>6398.7890690625009</v>
      </c>
      <c r="C39" s="16">
        <f>C38</f>
        <v>103.83333333333326</v>
      </c>
      <c r="D39" s="36">
        <v>2026</v>
      </c>
      <c r="E39" s="20">
        <f>'Bryant Emissions Forecast'!L7</f>
        <v>20.501201621868645</v>
      </c>
      <c r="F39" s="20">
        <f>'Bryant Emissions Forecast'!L8</f>
        <v>35.541779158806968</v>
      </c>
      <c r="G39" s="16">
        <f t="shared" si="0"/>
        <v>6.9808745501140947</v>
      </c>
      <c r="H39" s="16">
        <f t="shared" si="0"/>
        <v>19.673373732139712</v>
      </c>
      <c r="I39" s="45">
        <f t="shared" si="1"/>
        <v>1.3207753098121817E-4</v>
      </c>
      <c r="J39" s="45">
        <f t="shared" si="1"/>
        <v>3.722184964016147E-4</v>
      </c>
      <c r="K39" s="17">
        <f t="shared" si="2"/>
        <v>1.2823061260312445E-5</v>
      </c>
      <c r="L39" s="17">
        <f t="shared" si="2"/>
        <v>3.6137718097244147E-5</v>
      </c>
      <c r="M39" s="16">
        <f>C39*NG_EmissionFactor*(2030-D39+1)+$C$36*NG_EmissionFactor*(6-(2030-D39+1))</f>
        <v>6.9879708322155505</v>
      </c>
      <c r="N39" s="16">
        <f>C39*NG_EmissionFactor*(2050-D39+1)+$C$36*NG_EmissionFactor*(26-(2050-D39+1))</f>
        <v>19.693372345334726</v>
      </c>
    </row>
    <row r="40" spans="1:24" x14ac:dyDescent="0.25">
      <c r="A40" t="s">
        <v>132</v>
      </c>
      <c r="B40" s="16">
        <f>B36+B27</f>
        <v>5368</v>
      </c>
      <c r="C40" s="16">
        <f>C36-B25</f>
        <v>572.03660886319847</v>
      </c>
      <c r="D40" s="36">
        <v>2025</v>
      </c>
      <c r="E40" s="20">
        <f>'Bryant Emissions Forecast'!O7</f>
        <v>17.914860701460046</v>
      </c>
      <c r="F40" s="20">
        <f>'Bryant Emissions Forecast'!O8</f>
        <v>30.532532474490374</v>
      </c>
      <c r="G40" s="16">
        <f t="shared" si="0"/>
        <v>20.977581929619181</v>
      </c>
      <c r="H40" s="16">
        <f t="shared" si="0"/>
        <v>90.902855028349776</v>
      </c>
      <c r="I40" s="45">
        <f t="shared" si="1"/>
        <v>3.9689400050528571E-4</v>
      </c>
      <c r="J40" s="45">
        <f t="shared" si="1"/>
        <v>1.7198740021895714E-3</v>
      </c>
      <c r="K40" s="17">
        <f t="shared" si="2"/>
        <v>3.8533398107309297E-5</v>
      </c>
      <c r="L40" s="17">
        <f t="shared" si="2"/>
        <v>1.6697805846500692E-4</v>
      </c>
      <c r="M40" s="16">
        <f>C40*NG_EmissionFactor*(2030-D40+1)+$C$36*NG_EmissionFactor*(6-(2030-D40+1))</f>
        <v>20.998906312131762</v>
      </c>
      <c r="N40" s="16">
        <f>C40*NG_EmissionFactor*(2050-D40+1)+$C$36*NG_EmissionFactor*(26-(2050-D40+1))</f>
        <v>90.995260685904299</v>
      </c>
    </row>
    <row r="41" spans="1:24" x14ac:dyDescent="0.25">
      <c r="A41" t="s">
        <v>133</v>
      </c>
      <c r="B41" s="16">
        <f>B36+B30</f>
        <v>6066</v>
      </c>
      <c r="C41" s="16">
        <f>C36-B29</f>
        <v>526.66088631984587</v>
      </c>
      <c r="D41" s="36">
        <v>2025</v>
      </c>
      <c r="E41" s="20">
        <f>'Bryant Emissions Forecast'!R7</f>
        <v>20.244326567633497</v>
      </c>
      <c r="F41" s="20">
        <f>'Bryant Emissions Forecast'!R8</f>
        <v>34.502671756754566</v>
      </c>
      <c r="G41" s="16">
        <f t="shared" si="0"/>
        <v>19.313574901886298</v>
      </c>
      <c r="H41" s="16">
        <f t="shared" si="0"/>
        <v>83.692157908173968</v>
      </c>
      <c r="I41" s="45">
        <f t="shared" si="1"/>
        <v>3.6541113425684951E-4</v>
      </c>
      <c r="J41" s="45">
        <f t="shared" si="1"/>
        <v>1.583448248446348E-3</v>
      </c>
      <c r="K41" s="17">
        <f t="shared" si="2"/>
        <v>3.5476809151150438E-5</v>
      </c>
      <c r="L41" s="17">
        <f t="shared" si="2"/>
        <v>1.5373283965498525E-4</v>
      </c>
      <c r="M41" s="16">
        <f>C41*NG_EmissionFactor*(2030-D41+1)+$C$36*NG_EmissionFactor*(6-(2030-D41+1))</f>
        <v>19.333207768070544</v>
      </c>
      <c r="N41" s="16">
        <f>C41*NG_EmissionFactor*(2050-D41+1)+$C$36*NG_EmissionFactor*(26-(2050-D41+1))</f>
        <v>83.777233661639031</v>
      </c>
    </row>
    <row r="43" spans="1:24" x14ac:dyDescent="0.25">
      <c r="X43" s="15"/>
    </row>
  </sheetData>
  <mergeCells count="5">
    <mergeCell ref="G33:H33"/>
    <mergeCell ref="I33:J33"/>
    <mergeCell ref="K33:L33"/>
    <mergeCell ref="E33:F33"/>
    <mergeCell ref="M33:N33"/>
  </mergeCells>
  <hyperlinks>
    <hyperlink ref="E8" r:id="rId1" xr:uid="{7BD320E4-F99A-40D2-8758-042BB1B6D3DE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A66E5-4082-45A1-B008-FF91615DFC43}">
  <dimension ref="A1:R35"/>
  <sheetViews>
    <sheetView workbookViewId="0">
      <selection activeCell="R7" sqref="R7"/>
    </sheetView>
  </sheetViews>
  <sheetFormatPr defaultRowHeight="15" x14ac:dyDescent="0.25"/>
  <cols>
    <col min="1" max="1" width="10.5703125" bestFit="1" customWidth="1"/>
    <col min="2" max="2" width="17.7109375" customWidth="1"/>
    <col min="3" max="3" width="8.85546875" style="1"/>
    <col min="4" max="4" width="17.85546875" bestFit="1" customWidth="1"/>
    <col min="5" max="5" width="9.7109375" customWidth="1"/>
    <col min="6" max="6" width="11.28515625" customWidth="1"/>
    <col min="7" max="7" width="17.85546875" bestFit="1" customWidth="1"/>
    <col min="8" max="8" width="9.7109375" customWidth="1"/>
    <col min="9" max="9" width="10.5703125" customWidth="1"/>
    <col min="10" max="10" width="17.85546875" bestFit="1" customWidth="1"/>
    <col min="11" max="11" width="9.7109375" customWidth="1"/>
    <col min="12" max="12" width="11.42578125" customWidth="1"/>
    <col min="13" max="13" width="17.85546875" bestFit="1" customWidth="1"/>
    <col min="14" max="14" width="9.7109375" customWidth="1"/>
    <col min="15" max="15" width="10.7109375" customWidth="1"/>
    <col min="16" max="16" width="17.85546875" bestFit="1" customWidth="1"/>
    <col min="17" max="17" width="9.7109375" customWidth="1"/>
    <col min="18" max="18" width="11.7109375" customWidth="1"/>
  </cols>
  <sheetData>
    <row r="1" spans="1:18" x14ac:dyDescent="0.25">
      <c r="A1" s="1" t="s">
        <v>187</v>
      </c>
    </row>
    <row r="3" spans="1:18" x14ac:dyDescent="0.25">
      <c r="A3" s="23"/>
      <c r="B3" s="23"/>
    </row>
    <row r="4" spans="1:18" ht="30" x14ac:dyDescent="0.25">
      <c r="A4" s="6" t="s">
        <v>80</v>
      </c>
      <c r="B4" s="6" t="s">
        <v>81</v>
      </c>
      <c r="C4" s="1" t="s">
        <v>75</v>
      </c>
      <c r="D4" s="62" t="s">
        <v>98</v>
      </c>
      <c r="E4" s="62"/>
      <c r="F4" s="62"/>
      <c r="G4" s="63" t="s">
        <v>116</v>
      </c>
      <c r="H4" s="63"/>
      <c r="I4" s="63"/>
      <c r="J4" s="63" t="s">
        <v>120</v>
      </c>
      <c r="K4" s="63"/>
      <c r="L4" s="63"/>
      <c r="M4" s="63" t="s">
        <v>132</v>
      </c>
      <c r="N4" s="63"/>
      <c r="O4" s="63"/>
      <c r="P4" s="63" t="s">
        <v>133</v>
      </c>
      <c r="Q4" s="63"/>
      <c r="R4" s="63"/>
    </row>
    <row r="5" spans="1:18" ht="30" x14ac:dyDescent="0.25">
      <c r="A5" s="6"/>
      <c r="B5" s="6"/>
      <c r="D5" s="39" t="s">
        <v>135</v>
      </c>
      <c r="E5" s="39" t="s">
        <v>136</v>
      </c>
      <c r="F5" s="39" t="s">
        <v>137</v>
      </c>
      <c r="G5" s="39" t="s">
        <v>135</v>
      </c>
      <c r="H5" s="39" t="s">
        <v>136</v>
      </c>
      <c r="I5" s="39" t="s">
        <v>137</v>
      </c>
      <c r="J5" s="39" t="s">
        <v>135</v>
      </c>
      <c r="K5" s="39" t="s">
        <v>136</v>
      </c>
      <c r="L5" s="39" t="s">
        <v>137</v>
      </c>
      <c r="M5" s="39" t="s">
        <v>135</v>
      </c>
      <c r="N5" s="39" t="s">
        <v>136</v>
      </c>
      <c r="O5" s="39" t="s">
        <v>137</v>
      </c>
      <c r="P5" s="39" t="s">
        <v>135</v>
      </c>
      <c r="Q5" s="39" t="s">
        <v>136</v>
      </c>
      <c r="R5" s="39" t="s">
        <v>137</v>
      </c>
    </row>
    <row r="6" spans="1:18" x14ac:dyDescent="0.25">
      <c r="B6" t="s">
        <v>82</v>
      </c>
      <c r="C6" s="1" t="s">
        <v>85</v>
      </c>
    </row>
    <row r="7" spans="1:18" x14ac:dyDescent="0.25">
      <c r="A7" t="s">
        <v>83</v>
      </c>
      <c r="C7" s="33">
        <f>SUM(C10:C15)</f>
        <v>16.987079167368037</v>
      </c>
      <c r="F7" s="33">
        <f>SUM(F10:F15)</f>
        <v>15.797983625652273</v>
      </c>
      <c r="I7" s="33">
        <f>SUM(I10:I15)</f>
        <v>22.202873079050097</v>
      </c>
      <c r="L7" s="33">
        <f>SUM(L10:L15)</f>
        <v>20.501201621868645</v>
      </c>
      <c r="O7" s="33">
        <f>SUM(O10:O15)</f>
        <v>17.914860701460046</v>
      </c>
      <c r="R7" s="33">
        <f>SUM(R10:R15)</f>
        <v>20.244326567633497</v>
      </c>
    </row>
    <row r="8" spans="1:18" x14ac:dyDescent="0.25">
      <c r="A8" t="s">
        <v>84</v>
      </c>
      <c r="C8" s="33">
        <f>SUM(C10:C35)</f>
        <v>28.951302215938142</v>
      </c>
      <c r="F8" s="33">
        <f>SUM(F10:F35)</f>
        <v>26.924711060822478</v>
      </c>
      <c r="I8" s="33">
        <f>SUM(I10:I35)</f>
        <v>38.733138210205212</v>
      </c>
      <c r="L8" s="33">
        <f>SUM(L10:L35)</f>
        <v>35.541779158806968</v>
      </c>
      <c r="O8" s="33">
        <f>SUM(O10:O35)</f>
        <v>30.532532474490374</v>
      </c>
      <c r="R8" s="33">
        <f>SUM(R10:R35)</f>
        <v>34.502671756754566</v>
      </c>
    </row>
    <row r="9" spans="1:18" x14ac:dyDescent="0.25">
      <c r="D9" t="s">
        <v>138</v>
      </c>
      <c r="E9" s="29">
        <f>'Bryant SFH Improvements'!D37</f>
        <v>2025</v>
      </c>
      <c r="G9" t="s">
        <v>138</v>
      </c>
      <c r="H9">
        <f>'Bryant SFH Improvements'!D38</f>
        <v>2026</v>
      </c>
      <c r="J9" t="s">
        <v>138</v>
      </c>
      <c r="K9">
        <f>'Bryant SFH Improvements'!D39</f>
        <v>2026</v>
      </c>
      <c r="M9" t="s">
        <v>138</v>
      </c>
      <c r="N9">
        <f>'Bryant SFH Improvements'!D40</f>
        <v>2025</v>
      </c>
      <c r="P9" t="s">
        <v>138</v>
      </c>
      <c r="Q9">
        <f>'Bryant SFH Improvements'!D41</f>
        <v>2025</v>
      </c>
    </row>
    <row r="10" spans="1:18" x14ac:dyDescent="0.25">
      <c r="A10" s="1">
        <v>2025</v>
      </c>
      <c r="B10" s="37">
        <v>6.5232545995646261E-4</v>
      </c>
      <c r="C10" s="33">
        <f>'Bryant SFH Improvements'!$B$36*'Bryant Emissions Forecast'!B10</f>
        <v>3.3203365911783949</v>
      </c>
      <c r="D10" s="16">
        <f>'Bryant SFH Improvements'!$B$37*'Bryant Emissions Forecast'!B10</f>
        <v>3.087913029795907</v>
      </c>
      <c r="E10" s="16" t="b">
        <f>IF(E$9&lt;=$A10,TRUE,FALSE)</f>
        <v>1</v>
      </c>
      <c r="F10" s="16">
        <f>IF(E10,D10,$C10)</f>
        <v>3.087913029795907</v>
      </c>
      <c r="G10" s="16">
        <f>B10*'Bryant SFH Improvements'!$B$38</f>
        <v>4.5875142877258801</v>
      </c>
      <c r="H10" s="16" t="b">
        <f>IF(H$9&lt;=$A10,TRUE,FALSE)</f>
        <v>0</v>
      </c>
      <c r="I10" s="16">
        <f>IF(H10,G10,$C10)</f>
        <v>3.3203365911783949</v>
      </c>
      <c r="J10" s="16">
        <f>B10*'Bryant SFH Improvements'!$B$39</f>
        <v>4.174093022640581</v>
      </c>
      <c r="K10" s="16" t="b">
        <f>IF(K$9&lt;=$A10,TRUE,FALSE)</f>
        <v>0</v>
      </c>
      <c r="L10" s="16">
        <f>IF(K10,J10,$C10)</f>
        <v>3.3203365911783949</v>
      </c>
      <c r="M10" s="16">
        <f>B10*'Bryant SFH Improvements'!$B$40</f>
        <v>3.5016830690462912</v>
      </c>
      <c r="N10" s="16" t="b">
        <f>IF(N$9&lt;=$A10,TRUE,FALSE)</f>
        <v>1</v>
      </c>
      <c r="O10" s="16">
        <f>IF(N10,M10,$C10)</f>
        <v>3.5016830690462912</v>
      </c>
      <c r="P10" s="16">
        <f>B10*'Bryant SFH Improvements'!$B$41</f>
        <v>3.9570062400959021</v>
      </c>
      <c r="Q10" s="16" t="b">
        <f>IF(Q$9&lt;=$A10,TRUE,FALSE)</f>
        <v>1</v>
      </c>
      <c r="R10" s="16">
        <f>IF(Q10,P10,$C10)</f>
        <v>3.9570062400959021</v>
      </c>
    </row>
    <row r="11" spans="1:18" x14ac:dyDescent="0.25">
      <c r="A11">
        <v>2026</v>
      </c>
      <c r="B11" s="38">
        <f>B10</f>
        <v>6.5232545995646261E-4</v>
      </c>
      <c r="C11" s="33">
        <f>'Bryant SFH Improvements'!$B$36*'Bryant Emissions Forecast'!B11</f>
        <v>3.3203365911783949</v>
      </c>
      <c r="D11" s="16">
        <f>'Bryant SFH Improvements'!$B$37*'Bryant Emissions Forecast'!B11</f>
        <v>3.087913029795907</v>
      </c>
      <c r="E11" s="16" t="b">
        <f t="shared" ref="E11:E35" si="0">IF(E$9&lt;=$A11,TRUE,FALSE)</f>
        <v>1</v>
      </c>
      <c r="F11" s="16">
        <f t="shared" ref="F11:F35" si="1">IF(E11,D11,$C11)</f>
        <v>3.087913029795907</v>
      </c>
      <c r="G11" s="16">
        <f>B11*'Bryant SFH Improvements'!$B$38</f>
        <v>4.5875142877258801</v>
      </c>
      <c r="H11" s="16" t="b">
        <f t="shared" ref="H11:H35" si="2">IF(H$9&lt;=$A11,TRUE,FALSE)</f>
        <v>1</v>
      </c>
      <c r="I11" s="16">
        <f t="shared" ref="I11:I35" si="3">IF(H11,G11,$C11)</f>
        <v>4.5875142877258801</v>
      </c>
      <c r="J11" s="16">
        <f>B11*'Bryant SFH Improvements'!$B$39</f>
        <v>4.174093022640581</v>
      </c>
      <c r="K11" s="16" t="b">
        <f t="shared" ref="K11:K35" si="4">IF(K$9&lt;=$A11,TRUE,FALSE)</f>
        <v>1</v>
      </c>
      <c r="L11" s="16">
        <f t="shared" ref="L11:L35" si="5">IF(K11,J11,$C11)</f>
        <v>4.174093022640581</v>
      </c>
      <c r="M11" s="16">
        <f>B11*'Bryant SFH Improvements'!$B$40</f>
        <v>3.5016830690462912</v>
      </c>
      <c r="N11" s="16" t="b">
        <f t="shared" ref="N11:N35" si="6">IF(N$9&lt;=$A11,TRUE,FALSE)</f>
        <v>1</v>
      </c>
      <c r="O11" s="16">
        <f t="shared" ref="O11:O35" si="7">IF(N11,M11,$C11)</f>
        <v>3.5016830690462912</v>
      </c>
      <c r="P11" s="16">
        <f>B11*'Bryant SFH Improvements'!$B$41</f>
        <v>3.9570062400959021</v>
      </c>
      <c r="Q11" s="16" t="b">
        <f t="shared" ref="Q11:Q35" si="8">IF(Q$9&lt;=$A11,TRUE,FALSE)</f>
        <v>1</v>
      </c>
      <c r="R11" s="16">
        <f t="shared" ref="R11:R35" si="9">IF(Q11,P11,$C11)</f>
        <v>3.9570062400959021</v>
      </c>
    </row>
    <row r="12" spans="1:18" x14ac:dyDescent="0.25">
      <c r="A12">
        <v>2027</v>
      </c>
      <c r="B12" s="38">
        <f>B10</f>
        <v>6.5232545995646261E-4</v>
      </c>
      <c r="C12" s="33">
        <f>'Bryant SFH Improvements'!$B$36*'Bryant Emissions Forecast'!B12</f>
        <v>3.3203365911783949</v>
      </c>
      <c r="D12" s="16">
        <f>'Bryant SFH Improvements'!$B$37*'Bryant Emissions Forecast'!B12</f>
        <v>3.087913029795907</v>
      </c>
      <c r="E12" s="16" t="b">
        <f t="shared" si="0"/>
        <v>1</v>
      </c>
      <c r="F12" s="16">
        <f t="shared" si="1"/>
        <v>3.087913029795907</v>
      </c>
      <c r="G12" s="16">
        <f>B12*'Bryant SFH Improvements'!$B$38</f>
        <v>4.5875142877258801</v>
      </c>
      <c r="H12" s="16" t="b">
        <f t="shared" si="2"/>
        <v>1</v>
      </c>
      <c r="I12" s="16">
        <f t="shared" si="3"/>
        <v>4.5875142877258801</v>
      </c>
      <c r="J12" s="16">
        <f>B12*'Bryant SFH Improvements'!$B$39</f>
        <v>4.174093022640581</v>
      </c>
      <c r="K12" s="16" t="b">
        <f t="shared" si="4"/>
        <v>1</v>
      </c>
      <c r="L12" s="16">
        <f t="shared" si="5"/>
        <v>4.174093022640581</v>
      </c>
      <c r="M12" s="16">
        <f>B12*'Bryant SFH Improvements'!$B$40</f>
        <v>3.5016830690462912</v>
      </c>
      <c r="N12" s="16" t="b">
        <f t="shared" si="6"/>
        <v>1</v>
      </c>
      <c r="O12" s="16">
        <f t="shared" si="7"/>
        <v>3.5016830690462912</v>
      </c>
      <c r="P12" s="16">
        <f>B12*'Bryant SFH Improvements'!$B$41</f>
        <v>3.9570062400959021</v>
      </c>
      <c r="Q12" s="16" t="b">
        <f t="shared" si="8"/>
        <v>1</v>
      </c>
      <c r="R12" s="16">
        <f t="shared" si="9"/>
        <v>3.9570062400959021</v>
      </c>
    </row>
    <row r="13" spans="1:18" x14ac:dyDescent="0.25">
      <c r="A13">
        <v>2028</v>
      </c>
      <c r="B13" s="38">
        <f>B12-(B12-B15)*0.5</f>
        <v>5.2419010175072884E-4</v>
      </c>
      <c r="C13" s="33">
        <f>'Bryant SFH Improvements'!$B$36*'Bryant Emissions Forecast'!B13</f>
        <v>2.6681276179112099</v>
      </c>
      <c r="D13" s="16">
        <f>'Bryant SFH Improvements'!$B$37*'Bryant Emissions Forecast'!B13</f>
        <v>2.4813586846574252</v>
      </c>
      <c r="E13" s="16" t="b">
        <f t="shared" si="0"/>
        <v>1</v>
      </c>
      <c r="F13" s="16">
        <f t="shared" si="1"/>
        <v>2.4813586846574252</v>
      </c>
      <c r="G13" s="16">
        <f>B13*'Bryant SFH Improvements'!$B$38</f>
        <v>3.6863954097797245</v>
      </c>
      <c r="H13" s="16" t="b">
        <f t="shared" si="2"/>
        <v>1</v>
      </c>
      <c r="I13" s="16">
        <f t="shared" si="3"/>
        <v>3.6863954097797245</v>
      </c>
      <c r="J13" s="16">
        <f>B13*'Bryant SFH Improvements'!$B$39</f>
        <v>3.3541818931933238</v>
      </c>
      <c r="K13" s="16" t="b">
        <f t="shared" si="4"/>
        <v>1</v>
      </c>
      <c r="L13" s="16">
        <f t="shared" si="5"/>
        <v>3.3541818931933238</v>
      </c>
      <c r="M13" s="16">
        <f>B13*'Bryant SFH Improvements'!$B$40</f>
        <v>2.8138524661979125</v>
      </c>
      <c r="N13" s="16" t="b">
        <f t="shared" si="6"/>
        <v>1</v>
      </c>
      <c r="O13" s="16">
        <f t="shared" si="7"/>
        <v>2.8138524661979125</v>
      </c>
      <c r="P13" s="16">
        <f>B13*'Bryant SFH Improvements'!$B$41</f>
        <v>3.1797371572199209</v>
      </c>
      <c r="Q13" s="16" t="b">
        <f t="shared" si="8"/>
        <v>1</v>
      </c>
      <c r="R13" s="16">
        <f t="shared" si="9"/>
        <v>3.1797371572199209</v>
      </c>
    </row>
    <row r="14" spans="1:18" x14ac:dyDescent="0.25">
      <c r="A14">
        <v>2029</v>
      </c>
      <c r="B14" s="38">
        <f>B13-(B13-B16)*0.5</f>
        <v>4.60122422647862E-4</v>
      </c>
      <c r="C14" s="33">
        <f>'Bryant SFH Improvements'!$B$36*'Bryant Emissions Forecast'!B14</f>
        <v>2.3420231312776174</v>
      </c>
      <c r="D14" s="16">
        <f>'Bryant SFH Improvements'!$B$37*'Bryant Emissions Forecast'!B14</f>
        <v>2.1780815120881845</v>
      </c>
      <c r="E14" s="16" t="b">
        <f t="shared" si="0"/>
        <v>1</v>
      </c>
      <c r="F14" s="16">
        <f t="shared" si="1"/>
        <v>2.1780815120881845</v>
      </c>
      <c r="G14" s="16">
        <f>B14*'Bryant SFH Improvements'!$B$38</f>
        <v>3.2358359708066473</v>
      </c>
      <c r="H14" s="16" t="b">
        <f t="shared" si="2"/>
        <v>1</v>
      </c>
      <c r="I14" s="16">
        <f t="shared" si="3"/>
        <v>3.2358359708066473</v>
      </c>
      <c r="J14" s="16">
        <f>B14*'Bryant SFH Improvements'!$B$39</f>
        <v>2.9442263284696955</v>
      </c>
      <c r="K14" s="16" t="b">
        <f t="shared" si="4"/>
        <v>1</v>
      </c>
      <c r="L14" s="16">
        <f t="shared" si="5"/>
        <v>2.9442263284696955</v>
      </c>
      <c r="M14" s="16">
        <f>B14*'Bryant SFH Improvements'!$B$40</f>
        <v>2.4699371647737234</v>
      </c>
      <c r="N14" s="16" t="b">
        <f t="shared" si="6"/>
        <v>1</v>
      </c>
      <c r="O14" s="16">
        <f t="shared" si="7"/>
        <v>2.4699371647737234</v>
      </c>
      <c r="P14" s="16">
        <f>B14*'Bryant SFH Improvements'!$B$41</f>
        <v>2.7911026157819308</v>
      </c>
      <c r="Q14" s="16" t="b">
        <f t="shared" si="8"/>
        <v>1</v>
      </c>
      <c r="R14" s="16">
        <f t="shared" si="9"/>
        <v>2.7911026157819308</v>
      </c>
    </row>
    <row r="15" spans="1:18" x14ac:dyDescent="0.25">
      <c r="A15" s="1">
        <v>2030</v>
      </c>
      <c r="B15" s="37">
        <v>3.9605474354499517E-4</v>
      </c>
      <c r="C15" s="33">
        <f>'Bryant SFH Improvements'!$B$36*'Bryant Emissions Forecast'!B15</f>
        <v>2.0159186446440254</v>
      </c>
      <c r="D15" s="16">
        <f>'Bryant SFH Improvements'!$B$37*'Bryant Emissions Forecast'!B15</f>
        <v>1.8748043395189435</v>
      </c>
      <c r="E15" s="16" t="b">
        <f t="shared" si="0"/>
        <v>1</v>
      </c>
      <c r="F15" s="16">
        <f t="shared" si="1"/>
        <v>1.8748043395189435</v>
      </c>
      <c r="G15" s="16">
        <f>B15*'Bryant SFH Improvements'!$B$38</f>
        <v>2.7852765318335702</v>
      </c>
      <c r="H15" s="16" t="b">
        <f t="shared" si="2"/>
        <v>1</v>
      </c>
      <c r="I15" s="16">
        <f t="shared" si="3"/>
        <v>2.7852765318335702</v>
      </c>
      <c r="J15" s="16">
        <f>B15*'Bryant SFH Improvements'!$B$39</f>
        <v>2.5342707637460671</v>
      </c>
      <c r="K15" s="16" t="b">
        <f t="shared" si="4"/>
        <v>1</v>
      </c>
      <c r="L15" s="16">
        <f t="shared" si="5"/>
        <v>2.5342707637460671</v>
      </c>
      <c r="M15" s="16">
        <f>B15*'Bryant SFH Improvements'!$B$40</f>
        <v>2.1260218633495342</v>
      </c>
      <c r="N15" s="16" t="b">
        <f t="shared" si="6"/>
        <v>1</v>
      </c>
      <c r="O15" s="16">
        <f t="shared" si="7"/>
        <v>2.1260218633495342</v>
      </c>
      <c r="P15" s="16">
        <f>B15*'Bryant SFH Improvements'!$B$41</f>
        <v>2.4024680743439406</v>
      </c>
      <c r="Q15" s="16" t="b">
        <f t="shared" si="8"/>
        <v>1</v>
      </c>
      <c r="R15" s="16">
        <f t="shared" si="9"/>
        <v>2.4024680743439406</v>
      </c>
    </row>
    <row r="16" spans="1:18" x14ac:dyDescent="0.25">
      <c r="A16">
        <v>2031</v>
      </c>
      <c r="B16" s="38">
        <f>B15</f>
        <v>3.9605474354499517E-4</v>
      </c>
      <c r="C16" s="33">
        <f>'Bryant SFH Improvements'!$B$36*'Bryant Emissions Forecast'!B16</f>
        <v>2.0159186446440254</v>
      </c>
      <c r="D16" s="16">
        <f>'Bryant SFH Improvements'!$B$37*'Bryant Emissions Forecast'!B16</f>
        <v>1.8748043395189435</v>
      </c>
      <c r="E16" s="16" t="b">
        <f t="shared" si="0"/>
        <v>1</v>
      </c>
      <c r="F16" s="16">
        <f t="shared" si="1"/>
        <v>1.8748043395189435</v>
      </c>
      <c r="G16" s="16">
        <f>B16*'Bryant SFH Improvements'!$B$38</f>
        <v>2.7852765318335702</v>
      </c>
      <c r="H16" s="16" t="b">
        <f t="shared" si="2"/>
        <v>1</v>
      </c>
      <c r="I16" s="16">
        <f t="shared" si="3"/>
        <v>2.7852765318335702</v>
      </c>
      <c r="J16" s="16">
        <f>B16*'Bryant SFH Improvements'!$B$39</f>
        <v>2.5342707637460671</v>
      </c>
      <c r="K16" s="16" t="b">
        <f t="shared" si="4"/>
        <v>1</v>
      </c>
      <c r="L16" s="16">
        <f t="shared" si="5"/>
        <v>2.5342707637460671</v>
      </c>
      <c r="M16" s="16">
        <f>B16*'Bryant SFH Improvements'!$B$40</f>
        <v>2.1260218633495342</v>
      </c>
      <c r="N16" s="16" t="b">
        <f t="shared" si="6"/>
        <v>1</v>
      </c>
      <c r="O16" s="16">
        <f t="shared" si="7"/>
        <v>2.1260218633495342</v>
      </c>
      <c r="P16" s="16">
        <f>B16*'Bryant SFH Improvements'!$B$41</f>
        <v>2.4024680743439406</v>
      </c>
      <c r="Q16" s="16" t="b">
        <f t="shared" si="8"/>
        <v>1</v>
      </c>
      <c r="R16" s="16">
        <f t="shared" si="9"/>
        <v>2.4024680743439406</v>
      </c>
    </row>
    <row r="17" spans="1:18" x14ac:dyDescent="0.25">
      <c r="A17">
        <v>2032</v>
      </c>
      <c r="B17" s="38">
        <f>B15</f>
        <v>3.9605474354499517E-4</v>
      </c>
      <c r="C17" s="33">
        <f>'Bryant SFH Improvements'!$B$36*'Bryant Emissions Forecast'!B17</f>
        <v>2.0159186446440254</v>
      </c>
      <c r="D17" s="16">
        <f>'Bryant SFH Improvements'!$B$37*'Bryant Emissions Forecast'!B17</f>
        <v>1.8748043395189435</v>
      </c>
      <c r="E17" s="16" t="b">
        <f t="shared" si="0"/>
        <v>1</v>
      </c>
      <c r="F17" s="16">
        <f t="shared" si="1"/>
        <v>1.8748043395189435</v>
      </c>
      <c r="G17" s="16">
        <f>B17*'Bryant SFH Improvements'!$B$38</f>
        <v>2.7852765318335702</v>
      </c>
      <c r="H17" s="16" t="b">
        <f t="shared" si="2"/>
        <v>1</v>
      </c>
      <c r="I17" s="16">
        <f t="shared" si="3"/>
        <v>2.7852765318335702</v>
      </c>
      <c r="J17" s="16">
        <f>B17*'Bryant SFH Improvements'!$B$39</f>
        <v>2.5342707637460671</v>
      </c>
      <c r="K17" s="16" t="b">
        <f t="shared" si="4"/>
        <v>1</v>
      </c>
      <c r="L17" s="16">
        <f t="shared" si="5"/>
        <v>2.5342707637460671</v>
      </c>
      <c r="M17" s="16">
        <f>B17*'Bryant SFH Improvements'!$B$40</f>
        <v>2.1260218633495342</v>
      </c>
      <c r="N17" s="16" t="b">
        <f t="shared" si="6"/>
        <v>1</v>
      </c>
      <c r="O17" s="16">
        <f t="shared" si="7"/>
        <v>2.1260218633495342</v>
      </c>
      <c r="P17" s="16">
        <f>B17*'Bryant SFH Improvements'!$B$41</f>
        <v>2.4024680743439406</v>
      </c>
      <c r="Q17" s="16" t="b">
        <f t="shared" si="8"/>
        <v>1</v>
      </c>
      <c r="R17" s="16">
        <f t="shared" si="9"/>
        <v>2.4024680743439406</v>
      </c>
    </row>
    <row r="18" spans="1:18" x14ac:dyDescent="0.25">
      <c r="A18">
        <v>2033</v>
      </c>
      <c r="B18" s="38">
        <f>B17-(B17-B20)*0.5</f>
        <v>3.2416581530489517E-4</v>
      </c>
      <c r="C18" s="33">
        <f>'Bryant SFH Improvements'!$B$36*'Bryant Emissions Forecast'!B18</f>
        <v>1.6500039999019165</v>
      </c>
      <c r="D18" s="16">
        <f>'Bryant SFH Improvements'!$B$37*'Bryant Emissions Forecast'!B18</f>
        <v>1.5345037199087821</v>
      </c>
      <c r="E18" s="16" t="b">
        <f t="shared" si="0"/>
        <v>1</v>
      </c>
      <c r="F18" s="16">
        <f t="shared" si="1"/>
        <v>1.5345037199087821</v>
      </c>
      <c r="G18" s="16">
        <f>B18*'Bryant SFH Improvements'!$B$38</f>
        <v>2.2797137327780645</v>
      </c>
      <c r="H18" s="16" t="b">
        <f t="shared" si="2"/>
        <v>1</v>
      </c>
      <c r="I18" s="16">
        <f t="shared" si="3"/>
        <v>2.2797137327780645</v>
      </c>
      <c r="J18" s="16">
        <f>B18*'Bryant SFH Improvements'!$B$39</f>
        <v>2.0742686755366968</v>
      </c>
      <c r="K18" s="16" t="b">
        <f t="shared" si="4"/>
        <v>1</v>
      </c>
      <c r="L18" s="16">
        <f t="shared" si="5"/>
        <v>2.0742686755366968</v>
      </c>
      <c r="M18" s="16">
        <f>B18*'Bryant SFH Improvements'!$B$40</f>
        <v>1.7401220965566773</v>
      </c>
      <c r="N18" s="16" t="b">
        <f t="shared" si="6"/>
        <v>1</v>
      </c>
      <c r="O18" s="16">
        <f t="shared" si="7"/>
        <v>1.7401220965566773</v>
      </c>
      <c r="P18" s="16">
        <f>B18*'Bryant SFH Improvements'!$B$41</f>
        <v>1.966389835639494</v>
      </c>
      <c r="Q18" s="16" t="b">
        <f t="shared" si="8"/>
        <v>1</v>
      </c>
      <c r="R18" s="16">
        <f t="shared" si="9"/>
        <v>1.966389835639494</v>
      </c>
    </row>
    <row r="19" spans="1:18" x14ac:dyDescent="0.25">
      <c r="A19">
        <v>2034</v>
      </c>
      <c r="B19" s="38">
        <f>B18-(B18-B21)*0.5</f>
        <v>2.8822135118484516E-4</v>
      </c>
      <c r="C19" s="33">
        <f>'Bryant SFH Improvements'!$B$36*'Bryant Emissions Forecast'!B19</f>
        <v>1.4670466775308619</v>
      </c>
      <c r="D19" s="16">
        <f>'Bryant SFH Improvements'!$B$37*'Bryant Emissions Forecast'!B19</f>
        <v>1.3643534101037016</v>
      </c>
      <c r="E19" s="16" t="b">
        <f t="shared" si="0"/>
        <v>1</v>
      </c>
      <c r="F19" s="16">
        <f t="shared" si="1"/>
        <v>1.3643534101037016</v>
      </c>
      <c r="G19" s="16">
        <f>B19*'Bryant SFH Improvements'!$B$38</f>
        <v>2.0269323332503117</v>
      </c>
      <c r="H19" s="16" t="b">
        <f t="shared" si="2"/>
        <v>1</v>
      </c>
      <c r="I19" s="16">
        <f t="shared" si="3"/>
        <v>2.0269323332503117</v>
      </c>
      <c r="J19" s="16">
        <f>B19*'Bryant SFH Improvements'!$B$39</f>
        <v>1.8442676314320114</v>
      </c>
      <c r="K19" s="16" t="b">
        <f t="shared" si="4"/>
        <v>1</v>
      </c>
      <c r="L19" s="16">
        <f t="shared" si="5"/>
        <v>1.8442676314320114</v>
      </c>
      <c r="M19" s="16">
        <f>B19*'Bryant SFH Improvements'!$B$40</f>
        <v>1.5471722131602488</v>
      </c>
      <c r="N19" s="16" t="b">
        <f t="shared" si="6"/>
        <v>1</v>
      </c>
      <c r="O19" s="16">
        <f t="shared" si="7"/>
        <v>1.5471722131602488</v>
      </c>
      <c r="P19" s="16">
        <f>B19*'Bryant SFH Improvements'!$B$41</f>
        <v>1.7483507162872707</v>
      </c>
      <c r="Q19" s="16" t="b">
        <f t="shared" si="8"/>
        <v>1</v>
      </c>
      <c r="R19" s="16">
        <f t="shared" si="9"/>
        <v>1.7483507162872707</v>
      </c>
    </row>
    <row r="20" spans="1:18" x14ac:dyDescent="0.25">
      <c r="A20" s="1">
        <v>2035</v>
      </c>
      <c r="B20" s="37">
        <v>2.5227688706479522E-4</v>
      </c>
      <c r="C20" s="33">
        <f>'Bryant SFH Improvements'!$B$36*'Bryant Emissions Forecast'!B20</f>
        <v>1.2840893551598076</v>
      </c>
      <c r="D20" s="16">
        <f>'Bryant SFH Improvements'!$B$37*'Bryant Emissions Forecast'!B20</f>
        <v>1.1942031002986211</v>
      </c>
      <c r="E20" s="16" t="b">
        <f t="shared" si="0"/>
        <v>1</v>
      </c>
      <c r="F20" s="16">
        <f t="shared" si="1"/>
        <v>1.1942031002986211</v>
      </c>
      <c r="G20" s="16">
        <f>B20*'Bryant SFH Improvements'!$B$38</f>
        <v>1.7741509337225596</v>
      </c>
      <c r="H20" s="16" t="b">
        <f t="shared" si="2"/>
        <v>1</v>
      </c>
      <c r="I20" s="16">
        <f t="shared" si="3"/>
        <v>1.7741509337225596</v>
      </c>
      <c r="J20" s="16">
        <f>B20*'Bryant SFH Improvements'!$B$39</f>
        <v>1.6142665873273268</v>
      </c>
      <c r="K20" s="16" t="b">
        <f t="shared" si="4"/>
        <v>1</v>
      </c>
      <c r="L20" s="16">
        <f t="shared" si="5"/>
        <v>1.6142665873273268</v>
      </c>
      <c r="M20" s="16">
        <f>B20*'Bryant SFH Improvements'!$B$40</f>
        <v>1.3542223297638207</v>
      </c>
      <c r="N20" s="16" t="b">
        <f t="shared" si="6"/>
        <v>1</v>
      </c>
      <c r="O20" s="16">
        <f t="shared" si="7"/>
        <v>1.3542223297638207</v>
      </c>
      <c r="P20" s="16">
        <f>B20*'Bryant SFH Improvements'!$B$41</f>
        <v>1.5303115969350478</v>
      </c>
      <c r="Q20" s="16" t="b">
        <f t="shared" si="8"/>
        <v>1</v>
      </c>
      <c r="R20" s="16">
        <f t="shared" si="9"/>
        <v>1.5303115969350478</v>
      </c>
    </row>
    <row r="21" spans="1:18" x14ac:dyDescent="0.25">
      <c r="A21">
        <v>2036</v>
      </c>
      <c r="B21" s="38">
        <f>B20</f>
        <v>2.5227688706479522E-4</v>
      </c>
      <c r="C21" s="33">
        <f>'Bryant SFH Improvements'!$B$36*'Bryant Emissions Forecast'!B21</f>
        <v>1.2840893551598076</v>
      </c>
      <c r="D21" s="16">
        <f>'Bryant SFH Improvements'!$B$37*'Bryant Emissions Forecast'!B21</f>
        <v>1.1942031002986211</v>
      </c>
      <c r="E21" s="16" t="b">
        <f t="shared" si="0"/>
        <v>1</v>
      </c>
      <c r="F21" s="16">
        <f t="shared" si="1"/>
        <v>1.1942031002986211</v>
      </c>
      <c r="G21" s="16">
        <f>B21*'Bryant SFH Improvements'!$B$38</f>
        <v>1.7741509337225596</v>
      </c>
      <c r="H21" s="16" t="b">
        <f t="shared" si="2"/>
        <v>1</v>
      </c>
      <c r="I21" s="16">
        <f t="shared" si="3"/>
        <v>1.7741509337225596</v>
      </c>
      <c r="J21" s="16">
        <f>B21*'Bryant SFH Improvements'!$B$39</f>
        <v>1.6142665873273268</v>
      </c>
      <c r="K21" s="16" t="b">
        <f t="shared" si="4"/>
        <v>1</v>
      </c>
      <c r="L21" s="16">
        <f t="shared" si="5"/>
        <v>1.6142665873273268</v>
      </c>
      <c r="M21" s="16">
        <f>B21*'Bryant SFH Improvements'!$B$40</f>
        <v>1.3542223297638207</v>
      </c>
      <c r="N21" s="16" t="b">
        <f t="shared" si="6"/>
        <v>1</v>
      </c>
      <c r="O21" s="16">
        <f t="shared" si="7"/>
        <v>1.3542223297638207</v>
      </c>
      <c r="P21" s="16">
        <f>B21*'Bryant SFH Improvements'!$B$41</f>
        <v>1.5303115969350478</v>
      </c>
      <c r="Q21" s="16" t="b">
        <f t="shared" si="8"/>
        <v>1</v>
      </c>
      <c r="R21" s="16">
        <f t="shared" si="9"/>
        <v>1.5303115969350478</v>
      </c>
    </row>
    <row r="22" spans="1:18" x14ac:dyDescent="0.25">
      <c r="A22">
        <v>2037</v>
      </c>
      <c r="B22" s="38">
        <f>B20</f>
        <v>2.5227688706479522E-4</v>
      </c>
      <c r="C22" s="33">
        <f>'Bryant SFH Improvements'!$B$36*'Bryant Emissions Forecast'!B22</f>
        <v>1.2840893551598076</v>
      </c>
      <c r="D22" s="16">
        <f>'Bryant SFH Improvements'!$B$37*'Bryant Emissions Forecast'!B22</f>
        <v>1.1942031002986211</v>
      </c>
      <c r="E22" s="16" t="b">
        <f t="shared" si="0"/>
        <v>1</v>
      </c>
      <c r="F22" s="16">
        <f t="shared" si="1"/>
        <v>1.1942031002986211</v>
      </c>
      <c r="G22" s="16">
        <f>B22*'Bryant SFH Improvements'!$B$38</f>
        <v>1.7741509337225596</v>
      </c>
      <c r="H22" s="16" t="b">
        <f t="shared" si="2"/>
        <v>1</v>
      </c>
      <c r="I22" s="16">
        <f t="shared" si="3"/>
        <v>1.7741509337225596</v>
      </c>
      <c r="J22" s="16">
        <f>B22*'Bryant SFH Improvements'!$B$39</f>
        <v>1.6142665873273268</v>
      </c>
      <c r="K22" s="16" t="b">
        <f t="shared" si="4"/>
        <v>1</v>
      </c>
      <c r="L22" s="16">
        <f t="shared" si="5"/>
        <v>1.6142665873273268</v>
      </c>
      <c r="M22" s="16">
        <f>B22*'Bryant SFH Improvements'!$B$40</f>
        <v>1.3542223297638207</v>
      </c>
      <c r="N22" s="16" t="b">
        <f t="shared" si="6"/>
        <v>1</v>
      </c>
      <c r="O22" s="16">
        <f t="shared" si="7"/>
        <v>1.3542223297638207</v>
      </c>
      <c r="P22" s="16">
        <f>B22*'Bryant SFH Improvements'!$B$41</f>
        <v>1.5303115969350478</v>
      </c>
      <c r="Q22" s="16" t="b">
        <f t="shared" si="8"/>
        <v>1</v>
      </c>
      <c r="R22" s="16">
        <f t="shared" si="9"/>
        <v>1.5303115969350478</v>
      </c>
    </row>
    <row r="23" spans="1:18" x14ac:dyDescent="0.25">
      <c r="A23">
        <v>2038</v>
      </c>
      <c r="B23" s="38">
        <f>B20*0.5</f>
        <v>1.2613844353239761E-4</v>
      </c>
      <c r="C23" s="33">
        <f>'Bryant SFH Improvements'!$B$36*'Bryant Emissions Forecast'!B23</f>
        <v>0.6420446775799038</v>
      </c>
      <c r="D23" s="16">
        <f>'Bryant SFH Improvements'!$B$37*'Bryant Emissions Forecast'!B23</f>
        <v>0.59710155014931054</v>
      </c>
      <c r="E23" s="16" t="b">
        <f t="shared" si="0"/>
        <v>1</v>
      </c>
      <c r="F23" s="16">
        <f t="shared" si="1"/>
        <v>0.59710155014931054</v>
      </c>
      <c r="G23" s="16">
        <f>B23*'Bryant SFH Improvements'!$B$38</f>
        <v>0.8870754668612798</v>
      </c>
      <c r="H23" s="16" t="b">
        <f t="shared" si="2"/>
        <v>1</v>
      </c>
      <c r="I23" s="16">
        <f t="shared" si="3"/>
        <v>0.8870754668612798</v>
      </c>
      <c r="J23" s="16">
        <f>B23*'Bryant SFH Improvements'!$B$39</f>
        <v>0.80713329366366338</v>
      </c>
      <c r="K23" s="16" t="b">
        <f t="shared" si="4"/>
        <v>1</v>
      </c>
      <c r="L23" s="16">
        <f t="shared" si="5"/>
        <v>0.80713329366366338</v>
      </c>
      <c r="M23" s="16">
        <f>B23*'Bryant SFH Improvements'!$B$40</f>
        <v>0.67711116488191037</v>
      </c>
      <c r="N23" s="16" t="b">
        <f t="shared" si="6"/>
        <v>1</v>
      </c>
      <c r="O23" s="16">
        <f t="shared" si="7"/>
        <v>0.67711116488191037</v>
      </c>
      <c r="P23" s="16">
        <f>B23*'Bryant SFH Improvements'!$B$41</f>
        <v>0.76515579846752391</v>
      </c>
      <c r="Q23" s="16" t="b">
        <f t="shared" si="8"/>
        <v>1</v>
      </c>
      <c r="R23" s="16">
        <f t="shared" si="9"/>
        <v>0.76515579846752391</v>
      </c>
    </row>
    <row r="24" spans="1:18" x14ac:dyDescent="0.25">
      <c r="A24">
        <v>2039</v>
      </c>
      <c r="B24" s="38">
        <f>B20*0.25</f>
        <v>6.3069221766198804E-5</v>
      </c>
      <c r="C24" s="33">
        <f>'Bryant SFH Improvements'!$B$36*'Bryant Emissions Forecast'!B24</f>
        <v>0.3210223387899519</v>
      </c>
      <c r="D24" s="16">
        <f>'Bryant SFH Improvements'!$B$37*'Bryant Emissions Forecast'!B24</f>
        <v>0.29855077507465527</v>
      </c>
      <c r="E24" s="16" t="b">
        <f t="shared" si="0"/>
        <v>1</v>
      </c>
      <c r="F24" s="16">
        <f t="shared" si="1"/>
        <v>0.29855077507465527</v>
      </c>
      <c r="G24" s="16">
        <f>B24*'Bryant SFH Improvements'!$B$38</f>
        <v>0.4435377334306399</v>
      </c>
      <c r="H24" s="16" t="b">
        <f t="shared" si="2"/>
        <v>1</v>
      </c>
      <c r="I24" s="16">
        <f t="shared" si="3"/>
        <v>0.4435377334306399</v>
      </c>
      <c r="J24" s="16">
        <f>B24*'Bryant SFH Improvements'!$B$39</f>
        <v>0.40356664683183169</v>
      </c>
      <c r="K24" s="16" t="b">
        <f t="shared" si="4"/>
        <v>1</v>
      </c>
      <c r="L24" s="16">
        <f t="shared" si="5"/>
        <v>0.40356664683183169</v>
      </c>
      <c r="M24" s="16">
        <f>B24*'Bryant SFH Improvements'!$B$40</f>
        <v>0.33855558244095518</v>
      </c>
      <c r="N24" s="16" t="b">
        <f t="shared" si="6"/>
        <v>1</v>
      </c>
      <c r="O24" s="16">
        <f t="shared" si="7"/>
        <v>0.33855558244095518</v>
      </c>
      <c r="P24" s="16">
        <f>B24*'Bryant SFH Improvements'!$B$41</f>
        <v>0.38257789923376195</v>
      </c>
      <c r="Q24" s="16" t="b">
        <f t="shared" si="8"/>
        <v>1</v>
      </c>
      <c r="R24" s="16">
        <f t="shared" si="9"/>
        <v>0.38257789923376195</v>
      </c>
    </row>
    <row r="25" spans="1:18" x14ac:dyDescent="0.25">
      <c r="A25" s="1">
        <v>2040</v>
      </c>
      <c r="B25" s="38">
        <v>0</v>
      </c>
      <c r="C25" s="33">
        <f>'Bryant SFH Improvements'!$B$36*'Bryant Emissions Forecast'!B25</f>
        <v>0</v>
      </c>
      <c r="D25" s="16">
        <f>'Bryant SFH Improvements'!$B$37*'Bryant Emissions Forecast'!B25</f>
        <v>0</v>
      </c>
      <c r="E25" s="16" t="b">
        <f t="shared" si="0"/>
        <v>1</v>
      </c>
      <c r="F25" s="16">
        <f t="shared" si="1"/>
        <v>0</v>
      </c>
      <c r="G25" s="16">
        <f>B25*'Bryant SFH Improvements'!$B$38</f>
        <v>0</v>
      </c>
      <c r="H25" s="16" t="b">
        <f t="shared" si="2"/>
        <v>1</v>
      </c>
      <c r="I25" s="16">
        <f t="shared" si="3"/>
        <v>0</v>
      </c>
      <c r="J25" s="16">
        <f>B25*'Bryant SFH Improvements'!$B$39</f>
        <v>0</v>
      </c>
      <c r="K25" s="16" t="b">
        <f t="shared" si="4"/>
        <v>1</v>
      </c>
      <c r="L25" s="16">
        <f t="shared" si="5"/>
        <v>0</v>
      </c>
      <c r="M25" s="16">
        <f>B25*'Bryant SFH Improvements'!$B$40</f>
        <v>0</v>
      </c>
      <c r="N25" s="16" t="b">
        <f t="shared" si="6"/>
        <v>1</v>
      </c>
      <c r="O25" s="16">
        <f t="shared" si="7"/>
        <v>0</v>
      </c>
      <c r="P25" s="16">
        <f>B25*'Bryant SFH Improvements'!$B$41</f>
        <v>0</v>
      </c>
      <c r="Q25" s="16" t="b">
        <f t="shared" si="8"/>
        <v>1</v>
      </c>
      <c r="R25" s="16">
        <f t="shared" si="9"/>
        <v>0</v>
      </c>
    </row>
    <row r="26" spans="1:18" x14ac:dyDescent="0.25">
      <c r="A26">
        <v>2041</v>
      </c>
      <c r="B26" s="38">
        <v>0</v>
      </c>
      <c r="C26" s="33">
        <f>'Bryant SFH Improvements'!$B$36*'Bryant Emissions Forecast'!B26</f>
        <v>0</v>
      </c>
      <c r="D26" s="16">
        <f>'Bryant SFH Improvements'!$B$37*'Bryant Emissions Forecast'!B26</f>
        <v>0</v>
      </c>
      <c r="E26" s="16" t="b">
        <f t="shared" si="0"/>
        <v>1</v>
      </c>
      <c r="F26" s="16">
        <f t="shared" si="1"/>
        <v>0</v>
      </c>
      <c r="G26" s="16">
        <f>B26*'Bryant SFH Improvements'!$B$38</f>
        <v>0</v>
      </c>
      <c r="H26" s="16" t="b">
        <f t="shared" si="2"/>
        <v>1</v>
      </c>
      <c r="I26" s="16">
        <f t="shared" si="3"/>
        <v>0</v>
      </c>
      <c r="J26" s="16">
        <f>B26*'Bryant SFH Improvements'!$B$39</f>
        <v>0</v>
      </c>
      <c r="K26" s="16" t="b">
        <f t="shared" si="4"/>
        <v>1</v>
      </c>
      <c r="L26" s="16">
        <f t="shared" si="5"/>
        <v>0</v>
      </c>
      <c r="M26" s="16">
        <f>B26*'Bryant SFH Improvements'!$B$40</f>
        <v>0</v>
      </c>
      <c r="N26" s="16" t="b">
        <f t="shared" si="6"/>
        <v>1</v>
      </c>
      <c r="O26" s="16">
        <f t="shared" si="7"/>
        <v>0</v>
      </c>
      <c r="P26" s="16">
        <f>B26*'Bryant SFH Improvements'!$B$41</f>
        <v>0</v>
      </c>
      <c r="Q26" s="16" t="b">
        <f t="shared" si="8"/>
        <v>1</v>
      </c>
      <c r="R26" s="16">
        <f t="shared" si="9"/>
        <v>0</v>
      </c>
    </row>
    <row r="27" spans="1:18" x14ac:dyDescent="0.25">
      <c r="A27">
        <v>2042</v>
      </c>
      <c r="B27" s="38">
        <v>0</v>
      </c>
      <c r="C27" s="33">
        <f>'Bryant SFH Improvements'!$B$36*'Bryant Emissions Forecast'!B27</f>
        <v>0</v>
      </c>
      <c r="D27" s="16">
        <f>'Bryant SFH Improvements'!$B$37*'Bryant Emissions Forecast'!B27</f>
        <v>0</v>
      </c>
      <c r="E27" s="16" t="b">
        <f t="shared" si="0"/>
        <v>1</v>
      </c>
      <c r="F27" s="16">
        <f t="shared" si="1"/>
        <v>0</v>
      </c>
      <c r="G27" s="16">
        <f>B27*'Bryant SFH Improvements'!$B$38</f>
        <v>0</v>
      </c>
      <c r="H27" s="16" t="b">
        <f t="shared" si="2"/>
        <v>1</v>
      </c>
      <c r="I27" s="16">
        <f t="shared" si="3"/>
        <v>0</v>
      </c>
      <c r="J27" s="16">
        <f>B27*'Bryant SFH Improvements'!$B$39</f>
        <v>0</v>
      </c>
      <c r="K27" s="16" t="b">
        <f t="shared" si="4"/>
        <v>1</v>
      </c>
      <c r="L27" s="16">
        <f t="shared" si="5"/>
        <v>0</v>
      </c>
      <c r="M27" s="16">
        <f>B27*'Bryant SFH Improvements'!$B$40</f>
        <v>0</v>
      </c>
      <c r="N27" s="16" t="b">
        <f t="shared" si="6"/>
        <v>1</v>
      </c>
      <c r="O27" s="16">
        <f t="shared" si="7"/>
        <v>0</v>
      </c>
      <c r="P27" s="16">
        <f>B27*'Bryant SFH Improvements'!$B$41</f>
        <v>0</v>
      </c>
      <c r="Q27" s="16" t="b">
        <f t="shared" si="8"/>
        <v>1</v>
      </c>
      <c r="R27" s="16">
        <f t="shared" si="9"/>
        <v>0</v>
      </c>
    </row>
    <row r="28" spans="1:18" x14ac:dyDescent="0.25">
      <c r="A28">
        <v>2043</v>
      </c>
      <c r="B28" s="38">
        <v>0</v>
      </c>
      <c r="C28" s="33">
        <f>'Bryant SFH Improvements'!$B$36*'Bryant Emissions Forecast'!B28</f>
        <v>0</v>
      </c>
      <c r="D28" s="16">
        <f>'Bryant SFH Improvements'!$B$37*'Bryant Emissions Forecast'!B28</f>
        <v>0</v>
      </c>
      <c r="E28" s="16" t="b">
        <f t="shared" si="0"/>
        <v>1</v>
      </c>
      <c r="F28" s="16">
        <f t="shared" si="1"/>
        <v>0</v>
      </c>
      <c r="G28" s="16">
        <f>B28*'Bryant SFH Improvements'!$B$38</f>
        <v>0</v>
      </c>
      <c r="H28" s="16" t="b">
        <f t="shared" si="2"/>
        <v>1</v>
      </c>
      <c r="I28" s="16">
        <f t="shared" si="3"/>
        <v>0</v>
      </c>
      <c r="J28" s="16">
        <f>B28*'Bryant SFH Improvements'!$B$39</f>
        <v>0</v>
      </c>
      <c r="K28" s="16" t="b">
        <f t="shared" si="4"/>
        <v>1</v>
      </c>
      <c r="L28" s="16">
        <f t="shared" si="5"/>
        <v>0</v>
      </c>
      <c r="M28" s="16">
        <f>B28*'Bryant SFH Improvements'!$B$40</f>
        <v>0</v>
      </c>
      <c r="N28" s="16" t="b">
        <f t="shared" si="6"/>
        <v>1</v>
      </c>
      <c r="O28" s="16">
        <f t="shared" si="7"/>
        <v>0</v>
      </c>
      <c r="P28" s="16">
        <f>B28*'Bryant SFH Improvements'!$B$41</f>
        <v>0</v>
      </c>
      <c r="Q28" s="16" t="b">
        <f t="shared" si="8"/>
        <v>1</v>
      </c>
      <c r="R28" s="16">
        <f t="shared" si="9"/>
        <v>0</v>
      </c>
    </row>
    <row r="29" spans="1:18" x14ac:dyDescent="0.25">
      <c r="A29">
        <v>2044</v>
      </c>
      <c r="B29" s="38">
        <v>0</v>
      </c>
      <c r="C29" s="33">
        <f>'Bryant SFH Improvements'!$B$36*'Bryant Emissions Forecast'!B29</f>
        <v>0</v>
      </c>
      <c r="D29" s="16">
        <f>'Bryant SFH Improvements'!$B$37*'Bryant Emissions Forecast'!B29</f>
        <v>0</v>
      </c>
      <c r="E29" s="16" t="b">
        <f t="shared" si="0"/>
        <v>1</v>
      </c>
      <c r="F29" s="16">
        <f t="shared" si="1"/>
        <v>0</v>
      </c>
      <c r="G29" s="16">
        <f>B29*'Bryant SFH Improvements'!$B$38</f>
        <v>0</v>
      </c>
      <c r="H29" s="16" t="b">
        <f t="shared" si="2"/>
        <v>1</v>
      </c>
      <c r="I29" s="16">
        <f t="shared" si="3"/>
        <v>0</v>
      </c>
      <c r="J29" s="16">
        <f>B29*'Bryant SFH Improvements'!$B$39</f>
        <v>0</v>
      </c>
      <c r="K29" s="16" t="b">
        <f t="shared" si="4"/>
        <v>1</v>
      </c>
      <c r="L29" s="16">
        <f t="shared" si="5"/>
        <v>0</v>
      </c>
      <c r="M29" s="16">
        <f>B29*'Bryant SFH Improvements'!$B$40</f>
        <v>0</v>
      </c>
      <c r="N29" s="16" t="b">
        <f t="shared" si="6"/>
        <v>1</v>
      </c>
      <c r="O29" s="16">
        <f t="shared" si="7"/>
        <v>0</v>
      </c>
      <c r="P29" s="16">
        <f>B29*'Bryant SFH Improvements'!$B$41</f>
        <v>0</v>
      </c>
      <c r="Q29" s="16" t="b">
        <f t="shared" si="8"/>
        <v>1</v>
      </c>
      <c r="R29" s="16">
        <f t="shared" si="9"/>
        <v>0</v>
      </c>
    </row>
    <row r="30" spans="1:18" x14ac:dyDescent="0.25">
      <c r="A30">
        <v>2045</v>
      </c>
      <c r="B30" s="38">
        <v>0</v>
      </c>
      <c r="C30" s="33">
        <f>'Bryant SFH Improvements'!$B$36*'Bryant Emissions Forecast'!B30</f>
        <v>0</v>
      </c>
      <c r="D30" s="16">
        <f>'Bryant SFH Improvements'!$B$37*'Bryant Emissions Forecast'!B30</f>
        <v>0</v>
      </c>
      <c r="E30" s="16" t="b">
        <f t="shared" si="0"/>
        <v>1</v>
      </c>
      <c r="F30" s="16">
        <f t="shared" si="1"/>
        <v>0</v>
      </c>
      <c r="G30" s="16">
        <f>B30*'Bryant SFH Improvements'!$B$38</f>
        <v>0</v>
      </c>
      <c r="H30" s="16" t="b">
        <f t="shared" si="2"/>
        <v>1</v>
      </c>
      <c r="I30" s="16">
        <f t="shared" si="3"/>
        <v>0</v>
      </c>
      <c r="J30" s="16">
        <f>B30*'Bryant SFH Improvements'!$B$39</f>
        <v>0</v>
      </c>
      <c r="K30" s="16" t="b">
        <f t="shared" si="4"/>
        <v>1</v>
      </c>
      <c r="L30" s="16">
        <f t="shared" si="5"/>
        <v>0</v>
      </c>
      <c r="M30" s="16">
        <f>B30*'Bryant SFH Improvements'!$B$40</f>
        <v>0</v>
      </c>
      <c r="N30" s="16" t="b">
        <f t="shared" si="6"/>
        <v>1</v>
      </c>
      <c r="O30" s="16">
        <f t="shared" si="7"/>
        <v>0</v>
      </c>
      <c r="P30" s="16">
        <f>B30*'Bryant SFH Improvements'!$B$41</f>
        <v>0</v>
      </c>
      <c r="Q30" s="16" t="b">
        <f t="shared" si="8"/>
        <v>1</v>
      </c>
      <c r="R30" s="16">
        <f t="shared" si="9"/>
        <v>0</v>
      </c>
    </row>
    <row r="31" spans="1:18" x14ac:dyDescent="0.25">
      <c r="A31">
        <v>2046</v>
      </c>
      <c r="B31" s="38">
        <v>0</v>
      </c>
      <c r="C31" s="33">
        <f>'Bryant SFH Improvements'!$B$36*'Bryant Emissions Forecast'!B31</f>
        <v>0</v>
      </c>
      <c r="D31" s="16">
        <f>'Bryant SFH Improvements'!$B$37*'Bryant Emissions Forecast'!B31</f>
        <v>0</v>
      </c>
      <c r="E31" s="16" t="b">
        <f t="shared" si="0"/>
        <v>1</v>
      </c>
      <c r="F31" s="16">
        <f t="shared" si="1"/>
        <v>0</v>
      </c>
      <c r="G31" s="16">
        <f>B31*'Bryant SFH Improvements'!$B$38</f>
        <v>0</v>
      </c>
      <c r="H31" s="16" t="b">
        <f t="shared" si="2"/>
        <v>1</v>
      </c>
      <c r="I31" s="16">
        <f t="shared" si="3"/>
        <v>0</v>
      </c>
      <c r="J31" s="16">
        <f>B31*'Bryant SFH Improvements'!$B$39</f>
        <v>0</v>
      </c>
      <c r="K31" s="16" t="b">
        <f t="shared" si="4"/>
        <v>1</v>
      </c>
      <c r="L31" s="16">
        <f t="shared" si="5"/>
        <v>0</v>
      </c>
      <c r="M31" s="16">
        <f>B31*'Bryant SFH Improvements'!$B$40</f>
        <v>0</v>
      </c>
      <c r="N31" s="16" t="b">
        <f t="shared" si="6"/>
        <v>1</v>
      </c>
      <c r="O31" s="16">
        <f t="shared" si="7"/>
        <v>0</v>
      </c>
      <c r="P31" s="16">
        <f>B31*'Bryant SFH Improvements'!$B$41</f>
        <v>0</v>
      </c>
      <c r="Q31" s="16" t="b">
        <f t="shared" si="8"/>
        <v>1</v>
      </c>
      <c r="R31" s="16">
        <f t="shared" si="9"/>
        <v>0</v>
      </c>
    </row>
    <row r="32" spans="1:18" x14ac:dyDescent="0.25">
      <c r="A32">
        <v>2047</v>
      </c>
      <c r="B32" s="38">
        <v>0</v>
      </c>
      <c r="C32" s="33">
        <f>'Bryant SFH Improvements'!$B$36*'Bryant Emissions Forecast'!B32</f>
        <v>0</v>
      </c>
      <c r="D32" s="16">
        <f>'Bryant SFH Improvements'!$B$37*'Bryant Emissions Forecast'!B32</f>
        <v>0</v>
      </c>
      <c r="E32" s="16" t="b">
        <f t="shared" si="0"/>
        <v>1</v>
      </c>
      <c r="F32" s="16">
        <f t="shared" si="1"/>
        <v>0</v>
      </c>
      <c r="G32" s="16">
        <f>B32*'Bryant SFH Improvements'!$B$38</f>
        <v>0</v>
      </c>
      <c r="H32" s="16" t="b">
        <f t="shared" si="2"/>
        <v>1</v>
      </c>
      <c r="I32" s="16">
        <f t="shared" si="3"/>
        <v>0</v>
      </c>
      <c r="J32" s="16">
        <f>B32*'Bryant SFH Improvements'!$B$39</f>
        <v>0</v>
      </c>
      <c r="K32" s="16" t="b">
        <f t="shared" si="4"/>
        <v>1</v>
      </c>
      <c r="L32" s="16">
        <f t="shared" si="5"/>
        <v>0</v>
      </c>
      <c r="M32" s="16">
        <f>B32*'Bryant SFH Improvements'!$B$40</f>
        <v>0</v>
      </c>
      <c r="N32" s="16" t="b">
        <f t="shared" si="6"/>
        <v>1</v>
      </c>
      <c r="O32" s="16">
        <f t="shared" si="7"/>
        <v>0</v>
      </c>
      <c r="P32" s="16">
        <f>B32*'Bryant SFH Improvements'!$B$41</f>
        <v>0</v>
      </c>
      <c r="Q32" s="16" t="b">
        <f t="shared" si="8"/>
        <v>1</v>
      </c>
      <c r="R32" s="16">
        <f t="shared" si="9"/>
        <v>0</v>
      </c>
    </row>
    <row r="33" spans="1:18" x14ac:dyDescent="0.25">
      <c r="A33">
        <v>2048</v>
      </c>
      <c r="B33" s="38">
        <v>0</v>
      </c>
      <c r="C33" s="33">
        <f>'Bryant SFH Improvements'!$B$36*'Bryant Emissions Forecast'!B33</f>
        <v>0</v>
      </c>
      <c r="D33" s="16">
        <f>'Bryant SFH Improvements'!$B$37*'Bryant Emissions Forecast'!B33</f>
        <v>0</v>
      </c>
      <c r="E33" s="16" t="b">
        <f t="shared" si="0"/>
        <v>1</v>
      </c>
      <c r="F33" s="16">
        <f t="shared" si="1"/>
        <v>0</v>
      </c>
      <c r="G33" s="16">
        <f>B33*'Bryant SFH Improvements'!$B$38</f>
        <v>0</v>
      </c>
      <c r="H33" s="16" t="b">
        <f t="shared" si="2"/>
        <v>1</v>
      </c>
      <c r="I33" s="16">
        <f t="shared" si="3"/>
        <v>0</v>
      </c>
      <c r="J33" s="16">
        <f>B33*'Bryant SFH Improvements'!$B$39</f>
        <v>0</v>
      </c>
      <c r="K33" s="16" t="b">
        <f t="shared" si="4"/>
        <v>1</v>
      </c>
      <c r="L33" s="16">
        <f t="shared" si="5"/>
        <v>0</v>
      </c>
      <c r="M33" s="16">
        <f>B33*'Bryant SFH Improvements'!$B$40</f>
        <v>0</v>
      </c>
      <c r="N33" s="16" t="b">
        <f t="shared" si="6"/>
        <v>1</v>
      </c>
      <c r="O33" s="16">
        <f t="shared" si="7"/>
        <v>0</v>
      </c>
      <c r="P33" s="16">
        <f>B33*'Bryant SFH Improvements'!$B$41</f>
        <v>0</v>
      </c>
      <c r="Q33" s="16" t="b">
        <f t="shared" si="8"/>
        <v>1</v>
      </c>
      <c r="R33" s="16">
        <f t="shared" si="9"/>
        <v>0</v>
      </c>
    </row>
    <row r="34" spans="1:18" x14ac:dyDescent="0.25">
      <c r="A34">
        <v>2049</v>
      </c>
      <c r="B34" s="38">
        <v>0</v>
      </c>
      <c r="C34" s="33">
        <f>'Bryant SFH Improvements'!$B$36*'Bryant Emissions Forecast'!B34</f>
        <v>0</v>
      </c>
      <c r="D34" s="16">
        <f>'Bryant SFH Improvements'!$B$37*'Bryant Emissions Forecast'!B34</f>
        <v>0</v>
      </c>
      <c r="E34" s="16" t="b">
        <f t="shared" si="0"/>
        <v>1</v>
      </c>
      <c r="F34" s="16">
        <f t="shared" si="1"/>
        <v>0</v>
      </c>
      <c r="G34" s="16">
        <f>B34*'Bryant SFH Improvements'!$B$38</f>
        <v>0</v>
      </c>
      <c r="H34" s="16" t="b">
        <f t="shared" si="2"/>
        <v>1</v>
      </c>
      <c r="I34" s="16">
        <f t="shared" si="3"/>
        <v>0</v>
      </c>
      <c r="J34" s="16">
        <f>B34*'Bryant SFH Improvements'!$B$39</f>
        <v>0</v>
      </c>
      <c r="K34" s="16" t="b">
        <f t="shared" si="4"/>
        <v>1</v>
      </c>
      <c r="L34" s="16">
        <f t="shared" si="5"/>
        <v>0</v>
      </c>
      <c r="M34" s="16">
        <f>B34*'Bryant SFH Improvements'!$B$40</f>
        <v>0</v>
      </c>
      <c r="N34" s="16" t="b">
        <f t="shared" si="6"/>
        <v>1</v>
      </c>
      <c r="O34" s="16">
        <f t="shared" si="7"/>
        <v>0</v>
      </c>
      <c r="P34" s="16">
        <f>B34*'Bryant SFH Improvements'!$B$41</f>
        <v>0</v>
      </c>
      <c r="Q34" s="16" t="b">
        <f t="shared" si="8"/>
        <v>1</v>
      </c>
      <c r="R34" s="16">
        <f t="shared" si="9"/>
        <v>0</v>
      </c>
    </row>
    <row r="35" spans="1:18" x14ac:dyDescent="0.25">
      <c r="A35">
        <v>2050</v>
      </c>
      <c r="B35" s="38">
        <v>0</v>
      </c>
      <c r="C35" s="33">
        <f>'Bryant SFH Improvements'!$B$36*'Bryant Emissions Forecast'!B35</f>
        <v>0</v>
      </c>
      <c r="D35" s="16">
        <f>'Bryant SFH Improvements'!$B$37*'Bryant Emissions Forecast'!B35</f>
        <v>0</v>
      </c>
      <c r="E35" s="16" t="b">
        <f t="shared" si="0"/>
        <v>1</v>
      </c>
      <c r="F35" s="16">
        <f t="shared" si="1"/>
        <v>0</v>
      </c>
      <c r="G35" s="16">
        <f>B35*'Bryant SFH Improvements'!$B$38</f>
        <v>0</v>
      </c>
      <c r="H35" s="16" t="b">
        <f t="shared" si="2"/>
        <v>1</v>
      </c>
      <c r="I35" s="16">
        <f t="shared" si="3"/>
        <v>0</v>
      </c>
      <c r="J35" s="16">
        <f>B35*'Bryant SFH Improvements'!$B$39</f>
        <v>0</v>
      </c>
      <c r="K35" s="16" t="b">
        <f t="shared" si="4"/>
        <v>1</v>
      </c>
      <c r="L35" s="16">
        <f t="shared" si="5"/>
        <v>0</v>
      </c>
      <c r="M35" s="16">
        <f>B35*'Bryant SFH Improvements'!$B$40</f>
        <v>0</v>
      </c>
      <c r="N35" s="16" t="b">
        <f t="shared" si="6"/>
        <v>1</v>
      </c>
      <c r="O35" s="16">
        <f t="shared" si="7"/>
        <v>0</v>
      </c>
      <c r="P35" s="16">
        <f>B35*'Bryant SFH Improvements'!$B$41</f>
        <v>0</v>
      </c>
      <c r="Q35" s="16" t="b">
        <f t="shared" si="8"/>
        <v>1</v>
      </c>
      <c r="R35" s="16">
        <f t="shared" si="9"/>
        <v>0</v>
      </c>
    </row>
  </sheetData>
  <mergeCells count="5">
    <mergeCell ref="D4:F4"/>
    <mergeCell ref="G4:I4"/>
    <mergeCell ref="J4:L4"/>
    <mergeCell ref="M4:O4"/>
    <mergeCell ref="P4:R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978E6-6BF5-4D2A-8E5A-B3C7E7A8B5D4}">
  <dimension ref="A1:X39"/>
  <sheetViews>
    <sheetView workbookViewId="0">
      <pane xSplit="1" topLeftCell="B1" activePane="topRight" state="frozen"/>
      <selection activeCell="A16" sqref="A16"/>
      <selection pane="topRight" activeCell="A2" sqref="A2"/>
    </sheetView>
  </sheetViews>
  <sheetFormatPr defaultRowHeight="15" x14ac:dyDescent="0.25"/>
  <cols>
    <col min="1" max="1" width="42.28515625" bestFit="1" customWidth="1"/>
    <col min="2" max="3" width="15.7109375" customWidth="1"/>
    <col min="4" max="16" width="10.7109375" customWidth="1"/>
  </cols>
  <sheetData>
    <row r="1" spans="1:6" x14ac:dyDescent="0.25">
      <c r="A1" s="1" t="s">
        <v>188</v>
      </c>
    </row>
    <row r="3" spans="1:6" x14ac:dyDescent="0.25">
      <c r="A3" s="1" t="s">
        <v>139</v>
      </c>
      <c r="B3" s="5" t="s">
        <v>140</v>
      </c>
      <c r="C3" s="5" t="s">
        <v>141</v>
      </c>
      <c r="F3" s="26" t="s">
        <v>93</v>
      </c>
    </row>
    <row r="4" spans="1:6" x14ac:dyDescent="0.25">
      <c r="A4" t="s">
        <v>142</v>
      </c>
      <c r="B4" s="40">
        <v>52</v>
      </c>
      <c r="C4" s="5" t="s">
        <v>70</v>
      </c>
    </row>
    <row r="5" spans="1:6" x14ac:dyDescent="0.25">
      <c r="A5" t="s">
        <v>143</v>
      </c>
      <c r="B5" s="40">
        <v>6237</v>
      </c>
      <c r="C5" s="5" t="s">
        <v>63</v>
      </c>
    </row>
    <row r="6" spans="1:6" x14ac:dyDescent="0.25">
      <c r="A6" t="s">
        <v>143</v>
      </c>
      <c r="B6" s="40">
        <f>B5*[1]Conversions!B10</f>
        <v>646153.19999999995</v>
      </c>
      <c r="C6" s="5" t="s">
        <v>70</v>
      </c>
    </row>
    <row r="7" spans="1:6" x14ac:dyDescent="0.25">
      <c r="A7" t="s">
        <v>144</v>
      </c>
      <c r="B7" s="40">
        <v>307</v>
      </c>
      <c r="C7" s="5" t="s">
        <v>61</v>
      </c>
    </row>
    <row r="8" spans="1:6" x14ac:dyDescent="0.25">
      <c r="A8" t="s">
        <v>144</v>
      </c>
      <c r="B8" s="40">
        <f>B7*[1]Conversions!B11</f>
        <v>1.0474840000000001</v>
      </c>
      <c r="C8" s="5" t="s">
        <v>70</v>
      </c>
    </row>
    <row r="10" spans="1:6" x14ac:dyDescent="0.25">
      <c r="A10" s="25" t="s">
        <v>145</v>
      </c>
      <c r="F10" s="26" t="s">
        <v>149</v>
      </c>
    </row>
    <row r="11" spans="1:6" x14ac:dyDescent="0.25">
      <c r="A11" s="6" t="s">
        <v>146</v>
      </c>
      <c r="B11" s="14">
        <v>108.3</v>
      </c>
      <c r="C11" s="5" t="s">
        <v>70</v>
      </c>
    </row>
    <row r="12" spans="1:6" x14ac:dyDescent="0.25">
      <c r="A12" s="6" t="s">
        <v>147</v>
      </c>
      <c r="B12" s="14">
        <v>4.2</v>
      </c>
      <c r="C12" s="5" t="s">
        <v>70</v>
      </c>
    </row>
    <row r="13" spans="1:6" x14ac:dyDescent="0.25">
      <c r="A13" s="6" t="s">
        <v>148</v>
      </c>
      <c r="B13" s="14">
        <v>67.099999999999994</v>
      </c>
      <c r="C13" s="5" t="s">
        <v>70</v>
      </c>
    </row>
    <row r="14" spans="1:6" x14ac:dyDescent="0.25">
      <c r="A14" s="6" t="s">
        <v>101</v>
      </c>
      <c r="B14" s="14">
        <v>850</v>
      </c>
      <c r="C14" s="5" t="s">
        <v>59</v>
      </c>
    </row>
    <row r="15" spans="1:6" x14ac:dyDescent="0.25">
      <c r="A15" s="6" t="s">
        <v>101</v>
      </c>
      <c r="B15" s="14">
        <f>B14*'Unit Conversions'!B2*'Unit Conversions'!B12</f>
        <v>88.212354000000005</v>
      </c>
      <c r="C15" s="5" t="s">
        <v>70</v>
      </c>
    </row>
    <row r="16" spans="1:6" x14ac:dyDescent="0.25">
      <c r="A16" s="6" t="s">
        <v>76</v>
      </c>
      <c r="B16" s="14">
        <v>8370</v>
      </c>
      <c r="C16" s="5" t="s">
        <v>63</v>
      </c>
    </row>
    <row r="17" spans="1:24" x14ac:dyDescent="0.25">
      <c r="A17" s="6" t="s">
        <v>76</v>
      </c>
      <c r="B17" s="14">
        <f>B16*'Unit Conversions'!B11</f>
        <v>28.558440000000001</v>
      </c>
      <c r="C17" s="5" t="s">
        <v>70</v>
      </c>
    </row>
    <row r="19" spans="1:24" x14ac:dyDescent="0.25">
      <c r="A19" s="25" t="s">
        <v>150</v>
      </c>
      <c r="B19" s="1" t="s">
        <v>151</v>
      </c>
      <c r="F19" s="26" t="s">
        <v>154</v>
      </c>
    </row>
    <row r="20" spans="1:24" ht="30" x14ac:dyDescent="0.25">
      <c r="A20" s="6" t="s">
        <v>152</v>
      </c>
      <c r="B20" s="15">
        <v>0.12</v>
      </c>
    </row>
    <row r="21" spans="1:24" ht="30" x14ac:dyDescent="0.25">
      <c r="A21" s="6" t="s">
        <v>153</v>
      </c>
      <c r="B21" s="15">
        <v>0.06</v>
      </c>
    </row>
    <row r="22" spans="1:24" x14ac:dyDescent="0.25">
      <c r="A22" s="6"/>
      <c r="B22" s="15"/>
    </row>
    <row r="23" spans="1:24" ht="30" x14ac:dyDescent="0.25">
      <c r="A23" s="25" t="s">
        <v>89</v>
      </c>
      <c r="B23" s="25" t="s">
        <v>90</v>
      </c>
      <c r="C23" s="25" t="s">
        <v>91</v>
      </c>
      <c r="D23" s="25" t="s">
        <v>92</v>
      </c>
      <c r="E23" s="26" t="s">
        <v>93</v>
      </c>
    </row>
    <row r="24" spans="1:24" x14ac:dyDescent="0.25">
      <c r="A24" s="6" t="s">
        <v>94</v>
      </c>
      <c r="B24" s="15">
        <v>0.13</v>
      </c>
      <c r="C24" s="15">
        <v>0.17</v>
      </c>
      <c r="D24" s="15">
        <v>0.02</v>
      </c>
    </row>
    <row r="25" spans="1:24" x14ac:dyDescent="0.25">
      <c r="A25" s="27" t="s">
        <v>95</v>
      </c>
      <c r="B25" s="15"/>
      <c r="C25" s="15"/>
      <c r="D25" s="15">
        <v>3.5000000000000003E-2</v>
      </c>
      <c r="E25" t="s">
        <v>158</v>
      </c>
    </row>
    <row r="26" spans="1:24" x14ac:dyDescent="0.25">
      <c r="A26" s="6"/>
      <c r="B26" s="15"/>
    </row>
    <row r="27" spans="1:24" x14ac:dyDescent="0.25">
      <c r="A27" s="6"/>
      <c r="B27" s="15"/>
    </row>
    <row r="30" spans="1:24" x14ac:dyDescent="0.25">
      <c r="E30" s="59" t="s">
        <v>102</v>
      </c>
      <c r="F30" s="59"/>
      <c r="G30" s="59" t="s">
        <v>86</v>
      </c>
      <c r="H30" s="59"/>
      <c r="I30" s="59" t="s">
        <v>86</v>
      </c>
      <c r="J30" s="59"/>
      <c r="K30" s="59" t="s">
        <v>86</v>
      </c>
      <c r="L30" s="59"/>
      <c r="M30" s="59" t="s">
        <v>86</v>
      </c>
      <c r="N30" s="59"/>
      <c r="O30" s="59" t="s">
        <v>87</v>
      </c>
      <c r="P30" s="59"/>
      <c r="Q30" s="59" t="s">
        <v>100</v>
      </c>
      <c r="R30" s="59"/>
      <c r="S30" s="59"/>
      <c r="T30" s="59"/>
      <c r="U30" s="59"/>
      <c r="V30" s="59"/>
      <c r="W30" s="59"/>
      <c r="X30" s="59"/>
    </row>
    <row r="31" spans="1:24" x14ac:dyDescent="0.25">
      <c r="B31" s="6" t="s">
        <v>76</v>
      </c>
      <c r="C31" s="6" t="s">
        <v>101</v>
      </c>
      <c r="D31" s="6" t="s">
        <v>99</v>
      </c>
      <c r="E31" s="5" t="s">
        <v>83</v>
      </c>
      <c r="F31" s="5" t="s">
        <v>84</v>
      </c>
      <c r="G31" s="5" t="s">
        <v>83</v>
      </c>
      <c r="H31" s="5" t="s">
        <v>84</v>
      </c>
      <c r="I31" s="5" t="s">
        <v>83</v>
      </c>
      <c r="J31" s="5" t="s">
        <v>84</v>
      </c>
      <c r="K31" s="5" t="s">
        <v>83</v>
      </c>
      <c r="L31" s="5" t="s">
        <v>84</v>
      </c>
      <c r="M31" s="5" t="s">
        <v>83</v>
      </c>
      <c r="N31" s="5" t="s">
        <v>84</v>
      </c>
      <c r="O31" s="5" t="s">
        <v>83</v>
      </c>
      <c r="P31" s="5" t="s">
        <v>84</v>
      </c>
      <c r="Q31" s="5" t="s">
        <v>83</v>
      </c>
      <c r="R31" s="5" t="s">
        <v>84</v>
      </c>
      <c r="S31" s="5" t="s">
        <v>83</v>
      </c>
      <c r="T31" s="5" t="s">
        <v>84</v>
      </c>
      <c r="U31" s="5" t="s">
        <v>83</v>
      </c>
      <c r="V31" s="5" t="s">
        <v>84</v>
      </c>
      <c r="W31" s="5" t="s">
        <v>83</v>
      </c>
      <c r="X31" s="5" t="s">
        <v>84</v>
      </c>
    </row>
    <row r="32" spans="1:24" x14ac:dyDescent="0.25">
      <c r="B32" s="6" t="s">
        <v>63</v>
      </c>
      <c r="C32" s="6" t="s">
        <v>59</v>
      </c>
      <c r="D32" s="13" t="s">
        <v>134</v>
      </c>
      <c r="E32" t="s">
        <v>85</v>
      </c>
      <c r="F32" t="s">
        <v>85</v>
      </c>
      <c r="G32" t="s">
        <v>159</v>
      </c>
      <c r="H32" t="s">
        <v>159</v>
      </c>
      <c r="I32" t="s">
        <v>160</v>
      </c>
      <c r="J32" t="s">
        <v>161</v>
      </c>
      <c r="K32" t="s">
        <v>162</v>
      </c>
      <c r="L32" t="s">
        <v>162</v>
      </c>
      <c r="M32" t="s">
        <v>85</v>
      </c>
      <c r="N32" t="s">
        <v>85</v>
      </c>
      <c r="O32" t="s">
        <v>85</v>
      </c>
      <c r="P32" t="s">
        <v>85</v>
      </c>
      <c r="Q32" t="s">
        <v>159</v>
      </c>
      <c r="R32" t="s">
        <v>159</v>
      </c>
      <c r="S32" t="s">
        <v>160</v>
      </c>
      <c r="T32" t="s">
        <v>161</v>
      </c>
      <c r="U32" t="s">
        <v>162</v>
      </c>
      <c r="V32" t="s">
        <v>162</v>
      </c>
      <c r="W32" t="s">
        <v>85</v>
      </c>
      <c r="X32" t="s">
        <v>85</v>
      </c>
    </row>
    <row r="33" spans="1:24" s="1" customFormat="1" x14ac:dyDescent="0.25">
      <c r="A33" s="1" t="s">
        <v>75</v>
      </c>
      <c r="B33" s="41">
        <f>B5</f>
        <v>6237</v>
      </c>
      <c r="C33" s="41">
        <f>B7*'Unit Conversions'!B3</f>
        <v>295.76107899807323</v>
      </c>
      <c r="D33" s="33"/>
      <c r="E33" s="33">
        <f>'FH MF Emissions Forecast'!C6</f>
        <v>20.815012331409516</v>
      </c>
      <c r="F33" s="33">
        <f>'FH MF Emissions Forecast'!C7</f>
        <v>35.475299002123023</v>
      </c>
      <c r="G33" s="33">
        <f t="shared" ref="G33:H35" si="0">(M33/NG_EmissionFactor)*NG_CO2_EF</f>
        <v>10.846075531082681</v>
      </c>
      <c r="H33" s="33">
        <f t="shared" si="0"/>
        <v>46.999660634691622</v>
      </c>
      <c r="I33" s="43">
        <f t="shared" ref="I33:J35" si="1">(M33/NG_EmissionFactor)*NG_CH4_EF</f>
        <v>2.0520679274458416E-4</v>
      </c>
      <c r="J33" s="43">
        <f t="shared" si="1"/>
        <v>8.8922943522653142E-4</v>
      </c>
      <c r="K33" s="44">
        <f t="shared" ref="K33:L35" si="2">(M33/NG_EmissionFactor)*NG_N2O_EF</f>
        <v>1.9922989586852831E-5</v>
      </c>
      <c r="L33" s="44">
        <f t="shared" si="2"/>
        <v>8.6332954876362279E-5</v>
      </c>
      <c r="M33" s="33">
        <f>C33*NG_EmissionFactor*(2030-2025+1)</f>
        <v>10.857100913520044</v>
      </c>
      <c r="N33" s="33">
        <f>C33*NG_EmissionFactor*(2050-2025+1)</f>
        <v>47.047437291920197</v>
      </c>
      <c r="O33" s="33">
        <f t="shared" ref="O33:P35" si="3">SUM(E33,M33)</f>
        <v>31.672113244929562</v>
      </c>
      <c r="P33" s="33">
        <f t="shared" si="3"/>
        <v>82.522736294043227</v>
      </c>
      <c r="Q33" s="34"/>
      <c r="R33" s="34"/>
      <c r="S33" s="34"/>
      <c r="T33" s="34"/>
      <c r="U33" s="34"/>
      <c r="V33" s="34"/>
    </row>
    <row r="34" spans="1:24" x14ac:dyDescent="0.25">
      <c r="A34" t="s">
        <v>150</v>
      </c>
      <c r="B34" s="40">
        <f>B33-(B12/(B12+B13))*B21*B4/'Unit Conversions'!B11</f>
        <v>6183.1351652200219</v>
      </c>
      <c r="C34" s="40">
        <f>C33-((B13/(B12+B13))*B21*B4/'Unit Conversions'!B12)*'Unit Conversions'!B3</f>
        <v>267.46820285318421</v>
      </c>
      <c r="D34" s="35">
        <v>2026</v>
      </c>
      <c r="E34" s="20">
        <f>'FH MF Emissions Forecast'!F6</f>
        <v>20.635246867216061</v>
      </c>
      <c r="F34" s="20">
        <f>'FH MF Emissions Forecast'!F7</f>
        <v>35.168922359583398</v>
      </c>
      <c r="G34" s="16">
        <f t="shared" si="0"/>
        <v>9.9814511956264482</v>
      </c>
      <c r="H34" s="16">
        <f t="shared" si="0"/>
        <v>42.67653895741045</v>
      </c>
      <c r="I34" s="45">
        <f t="shared" si="1"/>
        <v>1.8884817655208012E-4</v>
      </c>
      <c r="J34" s="45">
        <f t="shared" si="1"/>
        <v>8.0743635426401106E-4</v>
      </c>
      <c r="K34" s="17">
        <f t="shared" si="2"/>
        <v>1.833477442253205E-5</v>
      </c>
      <c r="L34" s="17">
        <f t="shared" si="2"/>
        <v>7.8391879054758349E-5</v>
      </c>
      <c r="M34" s="16">
        <f>C34*NG_EmissionFactor*(2030-D34+1)+$C$33*NG_EmissionFactor*(6-(2030-D34+1))</f>
        <v>9.9915976597918768</v>
      </c>
      <c r="N34" s="16">
        <f>C34*NG_EmissionFactor*(2050-D34+1)+$C$33*NG_EmissionFactor*(26-(2050-D34+1))</f>
        <v>42.719921023279348</v>
      </c>
      <c r="O34" s="16">
        <f t="shared" si="3"/>
        <v>30.62684452700794</v>
      </c>
      <c r="P34" s="16">
        <f t="shared" si="3"/>
        <v>77.888843382862746</v>
      </c>
      <c r="Q34" s="20">
        <f>SUM(E$33+$G$33)-(E34+G34)</f>
        <v>1.0443897996496858</v>
      </c>
      <c r="R34" s="20">
        <f>SUM(F$33+$H$33)-(F34+H34)</f>
        <v>4.6294983198207973</v>
      </c>
      <c r="S34" s="46">
        <f t="shared" ref="S34:V35" si="4">I$33-I34</f>
        <v>1.6358616192504039E-5</v>
      </c>
      <c r="T34" s="46">
        <f t="shared" si="4"/>
        <v>8.179308096252036E-5</v>
      </c>
      <c r="U34" s="46">
        <f t="shared" si="4"/>
        <v>1.5882151643207805E-6</v>
      </c>
      <c r="V34" s="46">
        <f t="shared" si="4"/>
        <v>7.9410758216039298E-6</v>
      </c>
      <c r="W34" s="16">
        <f>$O$33-O34</f>
        <v>1.0452687179216227</v>
      </c>
      <c r="X34" s="16">
        <f>$P$33-P34</f>
        <v>4.6338929111804816</v>
      </c>
    </row>
    <row r="35" spans="1:24" x14ac:dyDescent="0.25">
      <c r="A35" t="s">
        <v>156</v>
      </c>
      <c r="B35" s="40">
        <f>B33*(1-D25)</f>
        <v>6018.7049999999999</v>
      </c>
      <c r="C35" s="40">
        <f>C33*(1-C24)</f>
        <v>245.48169556840077</v>
      </c>
      <c r="D35" s="35">
        <v>2025</v>
      </c>
      <c r="E35" s="16">
        <f>'FH MF Emissions Forecast'!I6</f>
        <v>20.086486899810183</v>
      </c>
      <c r="F35" s="16">
        <f>'FH MF Emissions Forecast'!I7</f>
        <v>34.23366353704872</v>
      </c>
      <c r="G35" s="16">
        <f t="shared" si="0"/>
        <v>9.0022426907986262</v>
      </c>
      <c r="H35" s="16">
        <f t="shared" si="0"/>
        <v>39.009718326794051</v>
      </c>
      <c r="I35" s="45">
        <f t="shared" si="1"/>
        <v>1.7032163797800487E-4</v>
      </c>
      <c r="J35" s="45">
        <f t="shared" si="1"/>
        <v>7.3806043123802111E-4</v>
      </c>
      <c r="K35" s="17">
        <f t="shared" si="2"/>
        <v>1.6536081357087851E-5</v>
      </c>
      <c r="L35" s="17">
        <f t="shared" si="2"/>
        <v>7.1656352547380699E-5</v>
      </c>
      <c r="M35" s="16">
        <f>C35*NG_EmissionFactor*(2030-D35+1)+$C$33*NG_EmissionFactor*(6-(2030-D35+1))</f>
        <v>9.0113937582216384</v>
      </c>
      <c r="N35" s="16">
        <f>C35*NG_EmissionFactor*(2050-D35+1)+$C$33*NG_EmissionFactor*(26-(2050-D35+1))</f>
        <v>39.049372952293766</v>
      </c>
      <c r="O35" s="16">
        <f t="shared" si="3"/>
        <v>29.097880658031819</v>
      </c>
      <c r="P35" s="16">
        <f t="shared" si="3"/>
        <v>73.283036489342493</v>
      </c>
      <c r="Q35" s="20">
        <f>SUM(E$33+$G$33)-(E35+G35)</f>
        <v>2.5723582718833882</v>
      </c>
      <c r="R35" s="20">
        <f>SUM(F$33+$H$33)-(F35+H35)</f>
        <v>9.2315777729718747</v>
      </c>
      <c r="S35" s="46">
        <f t="shared" si="4"/>
        <v>3.4885154766579288E-5</v>
      </c>
      <c r="T35" s="46">
        <f t="shared" si="4"/>
        <v>1.511690039885103E-4</v>
      </c>
      <c r="U35" s="46">
        <f t="shared" si="4"/>
        <v>3.3869082297649798E-6</v>
      </c>
      <c r="V35" s="46">
        <f t="shared" si="4"/>
        <v>1.4676602328981579E-5</v>
      </c>
      <c r="W35" s="16">
        <f>$O$33-O35</f>
        <v>2.5742325868977431</v>
      </c>
      <c r="X35" s="16">
        <f>$P$33-P35</f>
        <v>9.2396998047007344</v>
      </c>
    </row>
    <row r="38" spans="1:24" x14ac:dyDescent="0.25">
      <c r="X38" s="15"/>
    </row>
    <row r="39" spans="1:24" x14ac:dyDescent="0.25">
      <c r="X39" s="15"/>
    </row>
  </sheetData>
  <mergeCells count="7">
    <mergeCell ref="G30:H30"/>
    <mergeCell ref="I30:J30"/>
    <mergeCell ref="K30:L30"/>
    <mergeCell ref="Q30:X30"/>
    <mergeCell ref="E30:F30"/>
    <mergeCell ref="M30:N30"/>
    <mergeCell ref="O30:P30"/>
  </mergeCells>
  <hyperlinks>
    <hyperlink ref="F3" r:id="rId1" xr:uid="{CC03308F-CAAF-4EA1-80D8-454C682156AC}"/>
    <hyperlink ref="F10" r:id="rId2" xr:uid="{5CC178B6-F459-4F36-B609-BB36F725FC39}"/>
    <hyperlink ref="F19" r:id="rId3" xr:uid="{B72A0987-6798-4B25-955C-F1D267894807}"/>
    <hyperlink ref="E23" r:id="rId4" xr:uid="{3C8CE388-05A9-491A-950E-3C7FF0B223F1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AEF93183DF654784D32F1419E7A08D" ma:contentTypeVersion="16" ma:contentTypeDescription="Create a new document." ma:contentTypeScope="" ma:versionID="27c09c37f01057dfa3943725f6e56b8b">
  <xsd:schema xmlns:xsd="http://www.w3.org/2001/XMLSchema" xmlns:xs="http://www.w3.org/2001/XMLSchema" xmlns:p="http://schemas.microsoft.com/office/2006/metadata/properties" xmlns:ns2="1f35d028-fa47-4585-bdb8-989f38fb303e" xmlns:ns3="ec43dcaf-7e96-4016-bc1e-453e9e6daf4a" targetNamespace="http://schemas.microsoft.com/office/2006/metadata/properties" ma:root="true" ma:fieldsID="72f595fb890250321896e58f21255a68" ns2:_="" ns3:_="">
    <xsd:import namespace="1f35d028-fa47-4585-bdb8-989f38fb303e"/>
    <xsd:import namespace="ec43dcaf-7e96-4016-bc1e-453e9e6daf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5d028-fa47-4585-bdb8-989f38fb30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75754cb-8a63-4653-93c4-bf644ddc4b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43dcaf-7e96-4016-bc1e-453e9e6daf4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5ffef56-b423-487d-b6cc-28abf041cec2}" ma:internalName="TaxCatchAll" ma:showField="CatchAllData" ma:web="ec43dcaf-7e96-4016-bc1e-453e9e6daf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f35d028-fa47-4585-bdb8-989f38fb303e">
      <Terms xmlns="http://schemas.microsoft.com/office/infopath/2007/PartnerControls"/>
    </lcf76f155ced4ddcb4097134ff3c332f>
    <TaxCatchAll xmlns="ec43dcaf-7e96-4016-bc1e-453e9e6daf4a" xsi:nil="true"/>
  </documentManagement>
</p:properties>
</file>

<file path=customXml/itemProps1.xml><?xml version="1.0" encoding="utf-8"?>
<ds:datastoreItem xmlns:ds="http://schemas.openxmlformats.org/officeDocument/2006/customXml" ds:itemID="{D27B8F8A-662D-4E57-9BD3-E960928F9C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94A7D3-8432-4862-BD29-AD4C7CEA99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5d028-fa47-4585-bdb8-989f38fb303e"/>
    <ds:schemaRef ds:uri="ec43dcaf-7e96-4016-bc1e-453e9e6daf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BEC2E94-183C-4812-A365-592BDC48BD50}">
  <ds:schemaRefs>
    <ds:schemaRef ds:uri="http://schemas.microsoft.com/office/2006/metadata/properties"/>
    <ds:schemaRef ds:uri="http://schemas.microsoft.com/office/infopath/2007/PartnerControls"/>
    <ds:schemaRef ds:uri="1f35d028-fa47-4585-bdb8-989f38fb303e"/>
    <ds:schemaRef ds:uri="ec43dcaf-7e96-4016-bc1e-453e9e6daf4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AnnualSummary</vt:lpstr>
      <vt:lpstr>SummarybyGHG</vt:lpstr>
      <vt:lpstr>EnergyEfficiency</vt:lpstr>
      <vt:lpstr>ApplianceReplacement</vt:lpstr>
      <vt:lpstr>Factors</vt:lpstr>
      <vt:lpstr>Unit Conversions</vt:lpstr>
      <vt:lpstr>Bryant SFH Improvements</vt:lpstr>
      <vt:lpstr>Bryant Emissions Forecast</vt:lpstr>
      <vt:lpstr>Forest Hills MF Improvements</vt:lpstr>
      <vt:lpstr>FH MF Emissions Forecast</vt:lpstr>
      <vt:lpstr>kWh_UnitCost</vt:lpstr>
      <vt:lpstr>NG_CH4_EF</vt:lpstr>
      <vt:lpstr>NG_CO2_EF</vt:lpstr>
      <vt:lpstr>NG_EmissionFactor</vt:lpstr>
      <vt:lpstr>NG_N2O_EF</vt:lpstr>
      <vt:lpstr>NG_UnitCost</vt:lpstr>
    </vt:vector>
  </TitlesOfParts>
  <Company>City of Ann Arbor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Yagerlener, Thea</dc:creator>
  <cp:lastModifiedBy>Stults, Missy</cp:lastModifiedBy>
  <dcterms:created xsi:type="dcterms:W3CDTF">2024-03-29T15:22:59Z</dcterms:created>
  <dcterms:modified xsi:type="dcterms:W3CDTF">2024-03-31T15:25:10Z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0x01010067AEF93183DF654784D32F1419E7A08D</vt:lpwstr>
  </property>
</Properties>
</file>