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0620F669-A8F4-4BFA-A068-B5CD24AFE26A}" xr6:coauthVersionLast="47" xr6:coauthVersionMax="47" xr10:uidLastSave="{00000000-0000-0000-0000-000000000000}"/>
  <bookViews>
    <workbookView xWindow="1935" yWindow="1035" windowWidth="25845" windowHeight="14310" tabRatio="979" firstSheet="2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6" l="1"/>
  <c r="H14" i="16"/>
  <c r="H13" i="16"/>
  <c r="G14" i="16"/>
  <c r="J14" i="16" s="1"/>
  <c r="G13" i="16"/>
  <c r="F14" i="16"/>
  <c r="F13" i="16"/>
  <c r="E14" i="16"/>
  <c r="E13" i="16"/>
  <c r="D14" i="16"/>
  <c r="D13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45" i="16"/>
  <c r="J34" i="16"/>
  <c r="J30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J51" i="16" s="1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H16" i="16"/>
  <c r="D16" i="16"/>
  <c r="J15" i="16"/>
  <c r="J40" i="16" l="1"/>
  <c r="G16" i="16"/>
  <c r="D46" i="16"/>
  <c r="D53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6" i="16"/>
  <c r="H53" i="16" s="1"/>
  <c r="J11" i="16"/>
  <c r="J13" i="16"/>
  <c r="J55" i="29"/>
  <c r="J49" i="29"/>
  <c r="J50" i="28"/>
  <c r="J56" i="27"/>
  <c r="E46" i="16"/>
  <c r="E53" i="16" s="1"/>
  <c r="G46" i="16"/>
  <c r="G53" i="16" s="1"/>
  <c r="F46" i="16"/>
  <c r="F53" i="16" s="1"/>
  <c r="J16" i="30" l="1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<sst xmlns="http://schemas.openxmlformats.org/spreadsheetml/2006/main" count="506" uniqueCount="85">
  <si>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</si>
  <si>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</si>
  <si>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</si>
  <si>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</si>
  <si>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</si>
  <si>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</si>
  <si>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</si>
  <si>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</si>
  <si>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</si>
  <si>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</si>
  <si>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</si>
  <si>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</si>
  <si>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</si>
  <si>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</si>
  <si>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</si>
  <si>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</si>
  <si>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</si>
  <si>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</si>
  <si>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</si>
  <si>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</si>
  <si>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</si>
  <si>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</si>
  <si>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</si>
  <si>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</si>
  <si>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</si>
  <si>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</si>
  <si>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</si>
  <si>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</si>
  <si>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</si>
  <si>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</si>
  <si>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</si>
  <si>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</si>
  <si>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</si>
  <si>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</si>
  <si>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</si>
  <si>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</si>
  <si>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</si>
  <si>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</si>
  <si>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</si>
  <si>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</si>
  <si>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</si>
  <si>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</si>
  <si>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</si>
  <si>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</si>
  <si>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</si>
  <si>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</si>
  <si>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</si>
  <si>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</si>
  <si>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</si>
  <si>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</si>
  <si>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</si>
  <si>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</si>
  <si>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</si>
  <si>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</si>
  <si>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</si>
  <si>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</si>
  <si>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</si>
  <si>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</si>
  <si>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</si>
  <si>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</si>
  <si>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</si>
  <si>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</si>
  <si>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</si>
  <si>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</si>
  <si>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</si>
  <si>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</si>
  <si>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</si>
  <si>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</si>
  <si>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</si>
  <si>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</si>
  <si>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</si>
  <si>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</si>
  <si>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</si>
  <si>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</si>
  <si>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</si>
  <si>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</si>
  <si>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</si>
  <si>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</si>
  <si>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</si>
  <si>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</si>
  <si>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TBD ABOR Personnel</t>
  </si>
  <si>
    <t>Arizona State University</t>
  </si>
  <si>
    <t xml:space="preserve">Northern Arizona University </t>
  </si>
  <si>
    <t xml:space="preserve">University of Arizona </t>
  </si>
  <si>
    <t xml:space="preserve">MTDC - 10%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</si>
</sst>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B1" zoomScale="83" zoomScaleNormal="85" workbookViewId="0">
      <selection activeCell="J50" sqref="J50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84000</v>
      </c>
      <c r="E7" s="52">
        <f>'Measure 1 Budget'!E11+'Measure 2 Budget'!E11+'Measure 3 Budget'!E11+'Measure 4 Budget'!E11+'Measure 5 Budget'!E11</f>
        <v>84000</v>
      </c>
      <c r="F7" s="52">
        <f>'Measure 1 Budget'!F11+'Measure 2 Budget'!F11+'Measure 3 Budget'!F11+'Measure 4 Budget'!F11+'Measure 5 Budget'!F11</f>
        <v>84000</v>
      </c>
      <c r="G7" s="52">
        <f>'Measure 1 Budget'!G11+'Measure 2 Budget'!G11+'Measure 3 Budget'!G11+'Measure 4 Budget'!G11+'Measure 5 Budget'!G11</f>
        <v>84000</v>
      </c>
      <c r="H7" s="52">
        <f>'Measure 1 Budget'!H11+'Measure 2 Budget'!H11+'Measure 3 Budget'!H11+'Measure 4 Budget'!H11+'Measure 5 Budget'!H11</f>
        <v>84000</v>
      </c>
      <c r="I7" s="53"/>
      <c r="J7" s="52">
        <f>SUM(D7:I7)</f>
        <v>420000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23444.400000000001</v>
      </c>
      <c r="E8" s="52">
        <f>'Measure 1 Budget'!E16+'Measure 2 Budget'!E16+'Measure 3 Budget'!E16+'Measure 4 Budget'!E16</f>
        <v>23444.400000000001</v>
      </c>
      <c r="F8" s="52">
        <f>'Measure 1 Budget'!F16+'Measure 2 Budget'!F16+'Measure 3 Budget'!F16+'Measure 4 Budget'!F16</f>
        <v>23444.400000000001</v>
      </c>
      <c r="G8" s="52">
        <f>'Measure 1 Budget'!G16+'Measure 2 Budget'!G16+'Measure 3 Budget'!G16+'Measure 4 Budget'!G16</f>
        <v>23444.400000000001</v>
      </c>
      <c r="H8" s="52">
        <f>'Measure 1 Budget'!H16+'Measure 2 Budget'!H16+'Measure 3 Budget'!H16+'Measure 4 Budget'!H16</f>
        <v>23444.400000000001</v>
      </c>
      <c r="I8" s="53"/>
      <c r="J8" s="52">
        <f t="shared" ref="J8:J14" si="0">SUM(D8:I8)</f>
        <v>117222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Budget'!D34+'Measure 2 Budget'!D35+'Measure 3 Budget'!D35+'Measure 4 Budget'!D35+'Measure 5 Budget'!D35</f>
        <v>0</v>
      </c>
      <c r="E11" s="52">
        <f>'Measure 1 Budget'!E34+'Measure 2 Budget'!E35+'Measure 3 Budget'!E35+'Measure 4 Budget'!E35</f>
        <v>0</v>
      </c>
      <c r="F11" s="52">
        <f>'Measure 1 Budget'!F34+'Measure 2 Budget'!F35+'Measure 3 Budget'!F35+'Measure 4 Budget'!F35</f>
        <v>0</v>
      </c>
      <c r="G11" s="52">
        <f>'Measure 1 Budget'!G34+'Measure 2 Budget'!G35+'Measure 3 Budget'!G35+'Measure 4 Budget'!G35</f>
        <v>0</v>
      </c>
      <c r="H11" s="52">
        <f>'Measure 1 Budget'!H34+'Measure 2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Budget'!D40+'Measure 2 Budget'!D42+'Measure 3 Budget'!D42+'Measure 4 Budget'!D41+'Measure 5 Budget'!D41</f>
        <v>25994238</v>
      </c>
      <c r="E12" s="52">
        <f>'Measure 1 Budget'!E40+'Measure 2 Budget'!E42+'Measure 3 Budget'!E42+'Measure 4 Budget'!E41</f>
        <v>17813035</v>
      </c>
      <c r="F12" s="52">
        <f>'Measure 1 Budget'!F40+'Measure 2 Budget'!F42+'Measure 3 Budget'!F42+'Measure 4 Budget'!F41</f>
        <v>3780020</v>
      </c>
      <c r="G12" s="52">
        <f>'Measure 1 Budget'!G40+'Measure 2 Budget'!G42+'Measure 3 Budget'!G42+'Measure 4 Budget'!G41</f>
        <v>116108</v>
      </c>
      <c r="H12" s="52">
        <f>'Measure 1 Budget'!H40+'Measure 2 Budget'!H42+'Measure 3 Budget'!H42+'Measure 4 Budget'!H41</f>
        <v>116262</v>
      </c>
      <c r="I12" s="53"/>
      <c r="J12" s="52">
        <f t="shared" si="0"/>
        <v>47819663</v>
      </c>
    </row>
    <row r="13" spans="2:39" x14ac:dyDescent="0.25">
      <c r="B13" s="23"/>
      <c r="C13" s="51" t="s">
        <v>18</v>
      </c>
      <c r="D13" s="52">
        <f>'Measure 1 Budget'!D45+'Measure 2 Budget'!D50+'Measure 3 Budget'!D50+'Measure 4 Budget'!D49+'Measure 5 Budget'!D49</f>
        <v>0</v>
      </c>
      <c r="E13" s="52">
        <f>'Measure 1 Budget'!E45+'Measure 2 Budget'!E50+'Measure 3 Budget'!E50+'Measure 4 Budget'!E49</f>
        <v>0</v>
      </c>
      <c r="F13" s="52">
        <f>'Measure 1 Budget'!F45+'Measure 2 Budget'!F50+'Measure 3 Budget'!F50+'Measure 4 Budget'!F49</f>
        <v>0</v>
      </c>
      <c r="G13" s="52">
        <f>'Measure 1 Budget'!G45+'Measure 2 Budget'!G50+'Measure 3 Budget'!G50+'Measure 4 Budget'!G49</f>
        <v>0</v>
      </c>
      <c r="H13" s="52">
        <f>'Measure 1 Budget'!H45+'Measure 2 Budget'!H50+'Measure 3 Budget'!H50+'Measure 4 Budget'!H49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26101682.399999999</v>
      </c>
      <c r="E14" s="16">
        <f>E13+E12+E11+E10+E9+E8+E7</f>
        <v>17920479.399999999</v>
      </c>
      <c r="F14" s="16">
        <f>F13+F12+F11+F10+F9+F8+F7</f>
        <v>3887464.4</v>
      </c>
      <c r="G14" s="16">
        <f>G13+G12+G11+G10+G9+G8+G7</f>
        <v>223552.4</v>
      </c>
      <c r="H14" s="16">
        <f>H13+H12+H11+H10+H9+H8+H7</f>
        <v>223706.4</v>
      </c>
      <c r="J14" s="16">
        <f t="shared" si="0"/>
        <v>48356884.999999993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Budget'!D51+'Measure 2 Budget'!D56+'Measure 3 Budget'!D56+'Measure 4 Budget'!D55+'Measure 5 Budget'!D55</f>
        <v>18244</v>
      </c>
      <c r="E16" s="59">
        <f>'Measure 1 Budget'!E51+'Measure 2 Budget'!E56+'Measure 3 Budget'!E56+'Measure 4 Budget'!E55</f>
        <v>10744</v>
      </c>
      <c r="F16" s="59">
        <f>'Measure 1 Budget'!F51+'Measure 2 Budget'!F56+'Measure 3 Budget'!F56+'Measure 4 Budget'!F55</f>
        <v>10744</v>
      </c>
      <c r="G16" s="59">
        <f>'Measure 1 Budget'!G51+'Measure 2 Budget'!G56+'Measure 3 Budget'!G56+'Measure 4 Budget'!G55</f>
        <v>10744</v>
      </c>
      <c r="H16" s="59">
        <f>'Measure 1 Budget'!H51+'Measure 2 Budget'!H56+'Measure 3 Budget'!H56+'Measure 4 Budget'!H55</f>
        <v>10744</v>
      </c>
      <c r="J16" s="9">
        <f>SUM(D16:H16)</f>
        <v>61220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26119926.399999999</v>
      </c>
      <c r="E18" s="54">
        <f>E14+E16</f>
        <v>17931223.399999999</v>
      </c>
      <c r="F18" s="54">
        <f>F14+F16</f>
        <v>3898208.4</v>
      </c>
      <c r="G18" s="54">
        <f>G14+G16</f>
        <v>234296.4</v>
      </c>
      <c r="H18" s="54">
        <f>H14+H16</f>
        <v>234450.4</v>
      </c>
      <c r="I18" s="55"/>
      <c r="J18" s="70">
        <f>J14+J16</f>
        <v>48418104.999999993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'Measure 1 Budget'!J53</f>
        <v>48418104.999999993</v>
      </c>
      <c r="E23" s="73">
        <f>D23/D$29</f>
        <v>1</v>
      </c>
      <c r="F23" s="73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'Measure 2 Budget'!J58</f>
        <v>0</v>
      </c>
      <c r="E24" s="73">
        <f t="shared" ref="E24:E27" si="1">D24/D$29</f>
        <v>0</v>
      </c>
      <c r="F24" s="73"/>
      <c r="H24"/>
      <c r="I24"/>
    </row>
    <row r="25" spans="2:10" ht="15" customHeight="1" x14ac:dyDescent="0.25">
      <c r="B25" s="51">
        <v>3</v>
      </c>
      <c r="C25" s="52" t="s">
        <v>30</v>
      </c>
      <c r="D25" s="58">
        <f>'Measure 3 Budget'!J58</f>
        <v>0</v>
      </c>
      <c r="E25" s="73">
        <f t="shared" si="1"/>
        <v>0</v>
      </c>
      <c r="F25" s="73"/>
      <c r="H25"/>
      <c r="I25"/>
    </row>
    <row r="26" spans="2:10" ht="15" customHeight="1" x14ac:dyDescent="0.25">
      <c r="B26" s="51">
        <v>4</v>
      </c>
      <c r="C26" s="52" t="s">
        <v>31</v>
      </c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25">
      <c r="B27" s="51">
        <v>5</v>
      </c>
      <c r="C27" s="52" t="s">
        <v>32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33</v>
      </c>
      <c r="C29" s="52"/>
      <c r="D29" s="58">
        <f>SUM(D23:D28)</f>
        <v>48418104.999999993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abSelected="1" zoomScale="85" zoomScaleNormal="85" workbookViewId="0">
      <selection activeCell="I49" sqref="I4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80</v>
      </c>
      <c r="D8" s="15">
        <v>42000</v>
      </c>
      <c r="E8" s="15">
        <v>42000</v>
      </c>
      <c r="F8" s="15">
        <v>42000</v>
      </c>
      <c r="G8" s="15">
        <v>42000</v>
      </c>
      <c r="H8" s="15">
        <v>42000</v>
      </c>
      <c r="I8" s="35"/>
      <c r="J8" s="15">
        <f>SUM(D8:H8)</f>
        <v>210000</v>
      </c>
    </row>
    <row r="9" spans="2:39" x14ac:dyDescent="0.25">
      <c r="B9" s="23"/>
      <c r="C9" s="25" t="s">
        <v>80</v>
      </c>
      <c r="D9" s="15">
        <v>42000</v>
      </c>
      <c r="E9" s="15">
        <v>42000</v>
      </c>
      <c r="F9" s="15">
        <v>42000</v>
      </c>
      <c r="G9" s="15">
        <v>42000</v>
      </c>
      <c r="H9" s="15">
        <v>42000</v>
      </c>
      <c r="J9" s="15">
        <f>SUM(D9:H9)</f>
        <v>210000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84000</v>
      </c>
      <c r="E11" s="16">
        <f t="shared" ref="E11:J11" si="0">SUM(E8:E10)</f>
        <v>84000</v>
      </c>
      <c r="F11" s="16">
        <f t="shared" si="0"/>
        <v>84000</v>
      </c>
      <c r="G11" s="16">
        <f t="shared" si="0"/>
        <v>84000</v>
      </c>
      <c r="H11" s="16">
        <f t="shared" si="0"/>
        <v>84000</v>
      </c>
      <c r="J11" s="16">
        <f t="shared" si="0"/>
        <v>420000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80</v>
      </c>
      <c r="D13" s="15">
        <f t="shared" ref="D13:H14" si="1">D8*0.2791</f>
        <v>11722.2</v>
      </c>
      <c r="E13" s="15">
        <f t="shared" si="1"/>
        <v>11722.2</v>
      </c>
      <c r="F13" s="15">
        <f t="shared" si="1"/>
        <v>11722.2</v>
      </c>
      <c r="G13" s="15">
        <f t="shared" si="1"/>
        <v>11722.2</v>
      </c>
      <c r="H13" s="15">
        <f t="shared" si="1"/>
        <v>11722.2</v>
      </c>
      <c r="J13" s="15">
        <f>SUM(D13:H13)</f>
        <v>58611</v>
      </c>
    </row>
    <row r="14" spans="2:39" x14ac:dyDescent="0.25">
      <c r="B14" s="23"/>
      <c r="C14" s="25" t="s">
        <v>80</v>
      </c>
      <c r="D14" s="15">
        <f t="shared" si="1"/>
        <v>11722.2</v>
      </c>
      <c r="E14" s="15">
        <f t="shared" si="1"/>
        <v>11722.2</v>
      </c>
      <c r="F14" s="15">
        <f t="shared" si="1"/>
        <v>11722.2</v>
      </c>
      <c r="G14" s="15">
        <f t="shared" si="1"/>
        <v>11722.2</v>
      </c>
      <c r="H14" s="15">
        <f t="shared" si="1"/>
        <v>11722.2</v>
      </c>
      <c r="J14" s="15">
        <f t="shared" ref="J14:J15" si="2">SUM(D14:H14)</f>
        <v>58611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23444.400000000001</v>
      </c>
      <c r="E16" s="16">
        <f t="shared" ref="E16:H16" si="3">SUM(E13:E15)</f>
        <v>23444.400000000001</v>
      </c>
      <c r="F16" s="16">
        <f t="shared" si="3"/>
        <v>23444.400000000001</v>
      </c>
      <c r="G16" s="16">
        <f t="shared" si="3"/>
        <v>23444.400000000001</v>
      </c>
      <c r="H16" s="16">
        <f t="shared" si="3"/>
        <v>23444.400000000001</v>
      </c>
      <c r="J16" s="16">
        <f>SUM(J13:J15)-2</f>
        <v>117220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4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4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4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4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5">SUM(E19:E25)</f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J26" s="16">
        <f>SUM(J18:J25)</f>
        <v>0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>SUM(J28:J29)</f>
        <v>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15"/>
      <c r="F32" s="15"/>
      <c r="G32" s="15"/>
      <c r="H32" s="15"/>
      <c r="I32" s="35"/>
      <c r="J32" s="15">
        <f t="shared" si="6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>SUM(J32:J33)</f>
        <v>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x14ac:dyDescent="0.25">
      <c r="B36" s="23"/>
      <c r="C36" s="25" t="s">
        <v>81</v>
      </c>
      <c r="D36" s="15">
        <v>7325500</v>
      </c>
      <c r="E36" s="15">
        <v>7325500</v>
      </c>
      <c r="F36" s="15">
        <v>111000</v>
      </c>
      <c r="G36" s="15">
        <v>111000</v>
      </c>
      <c r="H36" s="15">
        <v>111000</v>
      </c>
      <c r="I36" s="35"/>
      <c r="J36" s="15">
        <f t="shared" si="6"/>
        <v>14984000</v>
      </c>
    </row>
    <row r="37" spans="2:10" x14ac:dyDescent="0.25">
      <c r="B37" s="23"/>
      <c r="C37" s="25" t="s">
        <v>82</v>
      </c>
      <c r="D37" s="15">
        <v>11228685</v>
      </c>
      <c r="E37" s="15">
        <v>5179588</v>
      </c>
      <c r="F37" s="15">
        <v>4959</v>
      </c>
      <c r="G37" s="15">
        <v>5108</v>
      </c>
      <c r="H37" s="15">
        <v>5262</v>
      </c>
      <c r="I37" s="35"/>
      <c r="J37" s="15">
        <f t="shared" si="6"/>
        <v>16423602</v>
      </c>
    </row>
    <row r="38" spans="2:10" x14ac:dyDescent="0.25">
      <c r="B38" s="23"/>
      <c r="C38" s="25" t="s">
        <v>83</v>
      </c>
      <c r="D38" s="15">
        <v>7440053</v>
      </c>
      <c r="E38" s="15">
        <v>5307947</v>
      </c>
      <c r="F38" s="15">
        <v>3664061</v>
      </c>
      <c r="G38" s="15">
        <v>0</v>
      </c>
      <c r="H38" s="15">
        <v>0</v>
      </c>
      <c r="I38" s="35"/>
      <c r="J38" s="15">
        <f t="shared" si="6"/>
        <v>16412061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25994238</v>
      </c>
      <c r="E40" s="16">
        <f t="shared" ref="E40:H40" si="9">SUM(E36:E39)</f>
        <v>17813035</v>
      </c>
      <c r="F40" s="16">
        <f t="shared" si="9"/>
        <v>3780020</v>
      </c>
      <c r="G40" s="16">
        <f t="shared" si="9"/>
        <v>116108</v>
      </c>
      <c r="H40" s="16">
        <f t="shared" si="9"/>
        <v>116262</v>
      </c>
      <c r="J40" s="16">
        <f>SUM(J36:J39)</f>
        <v>47819663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x14ac:dyDescent="0.25">
      <c r="B42" s="23"/>
      <c r="C42" s="25"/>
      <c r="D42" s="15"/>
      <c r="E42" s="44"/>
      <c r="F42" s="44"/>
      <c r="G42" s="44"/>
      <c r="H42" s="44"/>
      <c r="J42" s="15">
        <f t="shared" si="6"/>
        <v>0</v>
      </c>
    </row>
    <row r="43" spans="2:10" x14ac:dyDescent="0.25">
      <c r="B43" s="23"/>
      <c r="C43" s="25"/>
      <c r="D43" s="15"/>
      <c r="E43" s="60"/>
      <c r="F43" s="60"/>
      <c r="G43" s="60"/>
      <c r="H43" s="60"/>
      <c r="J43" s="15">
        <f t="shared" si="6"/>
        <v>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0</v>
      </c>
      <c r="E45" s="16">
        <f>SUM(E42:E44)</f>
        <v>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0</v>
      </c>
    </row>
    <row r="46" spans="2:10" x14ac:dyDescent="0.25">
      <c r="B46" s="24"/>
      <c r="C46" s="9" t="s">
        <v>19</v>
      </c>
      <c r="D46" s="16">
        <f>SUM(D45,D40,D34,D30,D26,D16,D11)</f>
        <v>26101682.399999999</v>
      </c>
      <c r="E46" s="16">
        <f>SUM(E45,E40,E34,E30,E26,E16,E11)</f>
        <v>17920479.399999999</v>
      </c>
      <c r="F46" s="16">
        <f>SUM(F45,F40,F34,F30,F26,F16,F11)</f>
        <v>3887464.4</v>
      </c>
      <c r="G46" s="16">
        <f>SUM(G45,G40,G34,G30,G26,G16,G11)</f>
        <v>223552.4</v>
      </c>
      <c r="H46" s="16">
        <f>SUM(H45,H40,H34,H30,H26,H16,H11)</f>
        <v>223706.4</v>
      </c>
      <c r="J46" s="16">
        <f t="shared" si="6"/>
        <v>48356884.999999993</v>
      </c>
    </row>
    <row r="47" spans="2:10" x14ac:dyDescent="0.25">
      <c r="B47" s="6"/>
      <c r="D47"/>
      <c r="E47"/>
      <c r="H47"/>
      <c r="I47"/>
      <c r="J47" t="s">
        <v>20</v>
      </c>
    </row>
    <row r="48" spans="2:10" ht="30" x14ac:dyDescent="0.25">
      <c r="B48" s="71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 t="s">
        <v>84</v>
      </c>
      <c r="D49" s="13">
        <v>18244</v>
      </c>
      <c r="E49" s="10">
        <v>10744</v>
      </c>
      <c r="F49" s="10">
        <v>10744</v>
      </c>
      <c r="G49" s="10">
        <v>10744</v>
      </c>
      <c r="H49" s="10">
        <v>10744</v>
      </c>
      <c r="J49" s="15">
        <f>SUM(D49:H49)</f>
        <v>61220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10">SUM(D50:H50)</f>
        <v>0</v>
      </c>
    </row>
    <row r="51" spans="2:10" x14ac:dyDescent="0.25">
      <c r="B51" s="24"/>
      <c r="C51" s="9" t="s">
        <v>21</v>
      </c>
      <c r="D51" s="16">
        <f>SUM(D49:D50)</f>
        <v>18244</v>
      </c>
      <c r="E51" s="16">
        <f t="shared" ref="E51:H51" si="11">SUM(E49:E50)</f>
        <v>10744</v>
      </c>
      <c r="F51" s="16">
        <f t="shared" si="11"/>
        <v>10744</v>
      </c>
      <c r="G51" s="16">
        <f t="shared" si="11"/>
        <v>10744</v>
      </c>
      <c r="H51" s="16">
        <f t="shared" si="11"/>
        <v>10744</v>
      </c>
      <c r="J51" s="16">
        <f>SUM(J49:J50)</f>
        <v>61220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26119926.399999999</v>
      </c>
      <c r="E53" s="20">
        <f t="shared" ref="E53:J53" si="12">SUM(E51,E46)</f>
        <v>17931223.399999999</v>
      </c>
      <c r="F53" s="20">
        <f t="shared" si="12"/>
        <v>3898208.4</v>
      </c>
      <c r="G53" s="20">
        <f t="shared" si="12"/>
        <v>234296.4</v>
      </c>
      <c r="H53" s="20">
        <f t="shared" si="12"/>
        <v>234450.4</v>
      </c>
      <c r="I53" s="7"/>
      <c r="J53" s="20">
        <f t="shared" si="12"/>
        <v>48418104.999999993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C8" sqref="C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25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2024-04-01T20:40:57Z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