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amedeloitte-my.sharepoint.com/personal/agudgeon_deloitte_com/Documents/Desktop/"/>
    </mc:Choice>
  </mc:AlternateContent>
  <xr:revisionPtr revIDLastSave="314" documentId="11_09FAAE4DC1F100283D7021DD84615E3426111B0F" xr6:coauthVersionLast="47" xr6:coauthVersionMax="47" xr10:uidLastSave="{F2844C6E-1EAE-4E37-A958-C5A9E999225F}"/>
  <bookViews>
    <workbookView xWindow="-120" yWindow="-120" windowWidth="29040" windowHeight="15840" xr2:uid="{00000000-000D-0000-FFFF-FFFF00000000}"/>
  </bookViews>
  <sheets>
    <sheet name="Program Costs" sheetId="1" r:id="rId1"/>
    <sheet name="GHG Calcs" sheetId="2" r:id="rId2"/>
    <sheet name="2030 Co-Pollutant Benefi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9OoikI86p3diRer+RTSexBjXIxemqzNIsM51pV6WiDo="/>
    </ext>
  </extLst>
</workbook>
</file>

<file path=xl/calcChain.xml><?xml version="1.0" encoding="utf-8"?>
<calcChain xmlns="http://schemas.openxmlformats.org/spreadsheetml/2006/main">
  <c r="B47" i="1" l="1"/>
  <c r="B37" i="2"/>
  <c r="C7" i="1"/>
  <c r="B17" i="3"/>
  <c r="B16" i="3"/>
  <c r="B15" i="3"/>
  <c r="B14" i="3"/>
  <c r="B13" i="3"/>
  <c r="D8" i="2"/>
  <c r="B8" i="2"/>
  <c r="D30" i="1" l="1"/>
  <c r="C30" i="1"/>
  <c r="B38" i="1" l="1"/>
  <c r="B29" i="1"/>
  <c r="D3" i="1"/>
  <c r="B5" i="1"/>
  <c r="I9" i="3" l="1"/>
  <c r="H9" i="3"/>
  <c r="G9" i="3"/>
  <c r="F9" i="3"/>
  <c r="J9" i="3" s="1"/>
  <c r="K9" i="3" s="1"/>
  <c r="I8" i="3"/>
  <c r="H8" i="3"/>
  <c r="G8" i="3"/>
  <c r="F8" i="3"/>
  <c r="J8" i="3" s="1"/>
  <c r="K8" i="3" s="1"/>
  <c r="J7" i="3"/>
  <c r="K7" i="3" s="1"/>
  <c r="I7" i="3"/>
  <c r="H7" i="3"/>
  <c r="G7" i="3"/>
  <c r="F7" i="3"/>
  <c r="J6" i="3"/>
  <c r="K6" i="3" s="1"/>
  <c r="I6" i="3"/>
  <c r="H6" i="3"/>
  <c r="G6" i="3"/>
  <c r="F6" i="3"/>
  <c r="I5" i="3"/>
  <c r="H5" i="3"/>
  <c r="G5" i="3"/>
  <c r="F5" i="3"/>
  <c r="J5" i="3" s="1"/>
  <c r="K5" i="3" s="1"/>
  <c r="D35" i="2"/>
  <c r="D36" i="2" s="1"/>
  <c r="F21" i="2"/>
  <c r="F23" i="2" s="1"/>
  <c r="D21" i="2"/>
  <c r="B21" i="2"/>
  <c r="B23" i="2" s="1"/>
  <c r="C43" i="1"/>
  <c r="B36" i="1"/>
  <c r="B31" i="1"/>
  <c r="B30" i="1" s="1"/>
  <c r="C20" i="1"/>
  <c r="D20" i="1" s="1"/>
  <c r="C19" i="1"/>
  <c r="D19" i="1" s="1"/>
  <c r="D4" i="1"/>
  <c r="C4" i="1"/>
  <c r="C3" i="1"/>
  <c r="B25" i="2" l="1"/>
  <c r="B26" i="2" s="1"/>
  <c r="B28" i="2" s="1"/>
  <c r="F25" i="2"/>
  <c r="F26" i="2" s="1"/>
  <c r="F28" i="2" s="1"/>
  <c r="D23" i="2"/>
  <c r="C22" i="1"/>
  <c r="D22" i="1" s="1"/>
  <c r="C24" i="1"/>
  <c r="B24" i="1"/>
  <c r="B8" i="1"/>
  <c r="B7" i="1"/>
  <c r="C5" i="1"/>
  <c r="D5" i="1"/>
  <c r="B9" i="1"/>
  <c r="B10" i="1" s="1"/>
  <c r="C23" i="1"/>
  <c r="B23" i="1"/>
  <c r="C25" i="1"/>
  <c r="B25" i="1"/>
  <c r="D24" i="1"/>
  <c r="B22" i="1"/>
  <c r="D25" i="1"/>
  <c r="D43" i="1" s="1"/>
  <c r="D23" i="1"/>
  <c r="D25" i="2" l="1"/>
  <c r="D26" i="2" s="1"/>
  <c r="D28" i="2" s="1"/>
  <c r="B30" i="2" s="1"/>
  <c r="B31" i="2" s="1"/>
  <c r="B13" i="1"/>
  <c r="B14" i="1" s="1"/>
  <c r="A43" i="1" s="1"/>
  <c r="C8" i="1"/>
  <c r="C9" i="1"/>
  <c r="B38" i="2" l="1"/>
  <c r="B39" i="2" s="1"/>
  <c r="C10" i="1"/>
  <c r="B43" i="1" s="1"/>
  <c r="B45" i="1" s="1"/>
  <c r="B12" i="1"/>
  <c r="C39" i="2" l="1"/>
  <c r="B40" i="2"/>
  <c r="C37" i="2" l="1"/>
  <c r="D37" i="2" s="1"/>
  <c r="C38" i="2"/>
  <c r="B41" i="2"/>
  <c r="C40" i="2"/>
  <c r="D38" i="2" l="1"/>
  <c r="D39" i="2" s="1"/>
  <c r="D40" i="2" s="1"/>
  <c r="C41" i="2"/>
  <c r="B42" i="2"/>
  <c r="D41" i="2" l="1"/>
  <c r="B43" i="2"/>
  <c r="C42" i="2"/>
  <c r="D42" i="2" l="1"/>
  <c r="C43" i="2"/>
  <c r="B44" i="2"/>
  <c r="D43" i="2" l="1"/>
  <c r="C44" i="2"/>
  <c r="B45" i="2"/>
  <c r="D44" i="2" l="1"/>
  <c r="B46" i="2"/>
  <c r="C45" i="2"/>
  <c r="D45" i="2" l="1"/>
  <c r="B47" i="2"/>
  <c r="C46" i="2"/>
  <c r="D46" i="2" l="1"/>
  <c r="B48" i="2"/>
  <c r="C47" i="2"/>
  <c r="D47" i="2" l="1"/>
  <c r="C48" i="2"/>
  <c r="B49" i="2"/>
  <c r="D48" i="2" l="1"/>
  <c r="C49" i="2"/>
  <c r="B50" i="2"/>
  <c r="D49" i="2" l="1"/>
  <c r="B51" i="2"/>
  <c r="C50" i="2"/>
  <c r="D50" i="2" l="1"/>
  <c r="B52" i="2"/>
  <c r="C51" i="2"/>
  <c r="D51" i="2" l="1"/>
  <c r="C52" i="2"/>
  <c r="D52" i="2" s="1"/>
  <c r="B53" i="2"/>
  <c r="B54" i="2" l="1"/>
  <c r="C53" i="2"/>
  <c r="D53" i="2" s="1"/>
  <c r="B55" i="2" l="1"/>
  <c r="C54" i="2"/>
  <c r="D54" i="2" s="1"/>
  <c r="B56" i="2" l="1"/>
  <c r="C55" i="2"/>
  <c r="D55" i="2" s="1"/>
  <c r="B57" i="2" l="1"/>
  <c r="C56" i="2"/>
  <c r="D56" i="2" s="1"/>
  <c r="C57" i="2" l="1"/>
  <c r="D57" i="2" s="1"/>
  <c r="B58" i="2"/>
  <c r="B59" i="2" l="1"/>
  <c r="C58" i="2"/>
  <c r="D58" i="2" s="1"/>
  <c r="C59" i="2" l="1"/>
  <c r="D59" i="2" s="1"/>
  <c r="B60" i="2"/>
  <c r="C60" i="2" s="1"/>
  <c r="D60" i="2" l="1"/>
  <c r="B48" i="1" s="1"/>
</calcChain>
</file>

<file path=xl/sharedStrings.xml><?xml version="1.0" encoding="utf-8"?>
<sst xmlns="http://schemas.openxmlformats.org/spreadsheetml/2006/main" count="184" uniqueCount="139">
  <si>
    <t>Clean Transportation Corridor Infrastructure Competition</t>
  </si>
  <si>
    <t>Charging and Refueling Infrastructure (CRI)</t>
  </si>
  <si>
    <t>Costs</t>
  </si>
  <si>
    <t>Federal Tax Credits</t>
  </si>
  <si>
    <t>OK Tax Credits (limit 10,000 per year)</t>
  </si>
  <si>
    <t>Hydrogen Refueling Station (2 dispensers, one tank)</t>
  </si>
  <si>
    <t xml:space="preserve">Note: The OK tax credits available to claim are up to $10 million per year and could support just over one station contemplated under this proposal. </t>
  </si>
  <si>
    <t>4 x 350 kW DC Fast Charging EVSE</t>
  </si>
  <si>
    <t>Total per site</t>
  </si>
  <si>
    <t>Proposed CRI location costs after tax credits</t>
  </si>
  <si>
    <t>CPRG Participant Support</t>
  </si>
  <si>
    <t>Tax Credits</t>
  </si>
  <si>
    <t>Tulsa (within 1 mile of Hwy 412 near intersection of Hwy 412 and I-44</t>
  </si>
  <si>
    <t>Springdale (within 1 mile of Hwy 412 near intersection of Hwy 42 and I-49</t>
  </si>
  <si>
    <t>Little Rock (within 1 mile of I-40)</t>
  </si>
  <si>
    <t>Total</t>
  </si>
  <si>
    <t>CRI Program Budget</t>
  </si>
  <si>
    <t>Administrative Costs</t>
  </si>
  <si>
    <t>Participant Support Costs (for engineering and installation)</t>
  </si>
  <si>
    <t>Clean Transportation Corridor Heavy-Duty Truck Replacement Competition</t>
  </si>
  <si>
    <t>Class 8- Heavy Duty Truck Type by Fuel</t>
  </si>
  <si>
    <t>Cost</t>
  </si>
  <si>
    <t>Cost differential vs diesel</t>
  </si>
  <si>
    <t>OK Tax Credits</t>
  </si>
  <si>
    <t>Diesel</t>
  </si>
  <si>
    <t>NA</t>
  </si>
  <si>
    <t>Fuel Cell</t>
  </si>
  <si>
    <t>Battery Electric</t>
  </si>
  <si>
    <t>Proposed costs per each after tax credits</t>
  </si>
  <si>
    <t>Costs after Tax Credits</t>
  </si>
  <si>
    <t>Remaining Differential after Tax Credits</t>
  </si>
  <si>
    <t>Fuel Cell (AR)</t>
  </si>
  <si>
    <t xml:space="preserve">Battery Electric (AR) </t>
  </si>
  <si>
    <t>Fuel Cell (OK)</t>
  </si>
  <si>
    <t>Battery Electric (OK)</t>
  </si>
  <si>
    <t>CPRG Heavy-Duty Replacement Incentive Program</t>
  </si>
  <si>
    <t>Incentive level</t>
  </si>
  <si>
    <t># of incentives</t>
  </si>
  <si>
    <t>Total Participant Support Costs</t>
  </si>
  <si>
    <t>Clean Transportation Corridor  Technical Assistance and Capacity Building</t>
  </si>
  <si>
    <t>Arkansas (See budget spreadsheet less contractual and subawards)</t>
  </si>
  <si>
    <t xml:space="preserve">Total CPRG Proposal </t>
  </si>
  <si>
    <t>Estimated Private Investment</t>
  </si>
  <si>
    <t>CPRG Funded Costs</t>
  </si>
  <si>
    <t>Other Federal and State Funding Estimate</t>
  </si>
  <si>
    <t>low-end</t>
  </si>
  <si>
    <t>high-end</t>
  </si>
  <si>
    <t>GHG annual cost-effectiveness value proration factor (Credit received for GHG emission reductions for Proposal implementation)</t>
  </si>
  <si>
    <t>Infrastructure GHG Reduction Calculations</t>
  </si>
  <si>
    <t>Metric</t>
  </si>
  <si>
    <t>H2</t>
  </si>
  <si>
    <t>Units</t>
  </si>
  <si>
    <t>EV</t>
  </si>
  <si>
    <t>Dispensing units per site</t>
  </si>
  <si>
    <t>Refueling lanes, one tank</t>
  </si>
  <si>
    <t>350 kW EVSE</t>
  </si>
  <si>
    <t>Annual Fuel Consumption per unit</t>
  </si>
  <si>
    <t>kg H2</t>
  </si>
  <si>
    <t>kWh</t>
  </si>
  <si>
    <t>Emission Factor</t>
  </si>
  <si>
    <t>kg CO2e per kg H2</t>
  </si>
  <si>
    <t xml:space="preserve"> kg CO2e per kWh</t>
  </si>
  <si>
    <t>g/gallon</t>
  </si>
  <si>
    <t>kg H2 per DGE</t>
  </si>
  <si>
    <t>kWh per DGE</t>
  </si>
  <si>
    <t xml:space="preserve">kg CO2e </t>
  </si>
  <si>
    <t>DGE</t>
  </si>
  <si>
    <t>Metric tons CO2e</t>
  </si>
  <si>
    <t>Emissions Reduced/year</t>
  </si>
  <si>
    <t>Fleet Transition GHG Reduction Calculations</t>
  </si>
  <si>
    <t>Engine Model Year</t>
  </si>
  <si>
    <t>Remaining Life</t>
  </si>
  <si>
    <t>Annual Class 8 truck mileage</t>
  </si>
  <si>
    <t>miles</t>
  </si>
  <si>
    <t xml:space="preserve">Fuel Economy </t>
  </si>
  <si>
    <t>miles/DGE</t>
  </si>
  <si>
    <t>Diesel Gallon Equivalents (DGE)</t>
  </si>
  <si>
    <t>Fuel Used</t>
  </si>
  <si>
    <t>gallons</t>
  </si>
  <si>
    <t>Annual Emissions per unit WTW</t>
  </si>
  <si>
    <t>kg CO2e</t>
  </si>
  <si>
    <t>grams CO2e</t>
  </si>
  <si>
    <t>Change in Vehicles as a result of competition</t>
  </si>
  <si>
    <t>trucks</t>
  </si>
  <si>
    <t>Annual Emissions For Fleet</t>
  </si>
  <si>
    <t>Annual Net Emissions Change</t>
  </si>
  <si>
    <t>Annual Emission Reductions</t>
  </si>
  <si>
    <t>Cumulative GHG Reduction Calculations</t>
  </si>
  <si>
    <t>Year</t>
  </si>
  <si>
    <t>GHG emission reductions</t>
  </si>
  <si>
    <t>Prorated GHG Emissions based on other State and Federal Funding</t>
  </si>
  <si>
    <t>Cumulative GHG Emission Reductions</t>
  </si>
  <si>
    <t>Infrastructure Co-Pollutant Benefits</t>
  </si>
  <si>
    <t>Pollutant</t>
  </si>
  <si>
    <t>Class 8 Combination Long-Haul Truck Emission Factors (g/mi)</t>
  </si>
  <si>
    <t>2012 Diesel</t>
  </si>
  <si>
    <t>New Fuel Cell</t>
  </si>
  <si>
    <t>New Battery Electric</t>
  </si>
  <si>
    <t>Carbon monoxide</t>
  </si>
  <si>
    <t>Nitrogen oxides</t>
  </si>
  <si>
    <t>Coarse particulate matter (PM10)</t>
  </si>
  <si>
    <t>Fine particulate (PM2.5)</t>
  </si>
  <si>
    <t>Volatile organic compounds (VOC)</t>
  </si>
  <si>
    <t>Fleet Transition Co-Pollutant Benefits</t>
  </si>
  <si>
    <t>Annual Mileage per truck</t>
  </si>
  <si>
    <t>Class 8 Combination Long-Haul Truck Emissions</t>
  </si>
  <si>
    <t>Replaced Diesels</t>
  </si>
  <si>
    <t>Emissions Reduced (grams) if replacement vehicle is fuel cell or battery electric</t>
  </si>
  <si>
    <t>Emissions Reduced (short tons)</t>
  </si>
  <si>
    <t>2030 Co-Pollutant Benefits</t>
  </si>
  <si>
    <t>Tons Reduced</t>
  </si>
  <si>
    <t>Contract for technical assistance and support for Clean Transportation Infrastructure and Fleet Transition Projects*5 years</t>
  </si>
  <si>
    <t>Contract for workforce development</t>
  </si>
  <si>
    <t>2025 - 2030 Cost Effectiveness (Based on Confidential Truck Stop and Original Equipment Manufacturer Estimates)</t>
  </si>
  <si>
    <t>2025 - 2050 Cost Effectiveness (Based on Confidential Truck Stop and Original Equipment Manufacturer Estimates)</t>
  </si>
  <si>
    <t>Diesel Gallon Equivalents Factor</t>
  </si>
  <si>
    <t>GHGs</t>
  </si>
  <si>
    <t>CO</t>
  </si>
  <si>
    <t>NOx</t>
  </si>
  <si>
    <t>PM10</t>
  </si>
  <si>
    <t>PM2.5</t>
  </si>
  <si>
    <t>VOC</t>
  </si>
  <si>
    <t>SOx</t>
  </si>
  <si>
    <t>Fuel Dispensed</t>
  </si>
  <si>
    <t>Fuel</t>
  </si>
  <si>
    <t>AFV Fueling Infrastructure</t>
  </si>
  <si>
    <t>(short tons)</t>
  </si>
  <si>
    <t>(lb)</t>
  </si>
  <si>
    <t>(fuel unit)</t>
  </si>
  <si>
    <t>Unit</t>
  </si>
  <si>
    <t>DCFC EVSE</t>
  </si>
  <si>
    <t>Hydrogen</t>
  </si>
  <si>
    <t>kg</t>
  </si>
  <si>
    <t>Fueling Infrastructure Total</t>
  </si>
  <si>
    <t>CFI Tool Output</t>
  </si>
  <si>
    <t>Total number of units (all sites)</t>
  </si>
  <si>
    <t>Source of Electricity: Region 9</t>
  </si>
  <si>
    <t>H2 production proces: NG SMR</t>
  </si>
  <si>
    <t>Oklahoma ($143,780/year for five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</si>
</sst>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"/>
  </numFmts>
  <fonts count="12" x14ac:knownFonts="1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b/>
      <sz val="18"/>
      <color theme="1"/>
      <name val="Aptos narrow"/>
    </font>
    <font>
      <b/>
      <sz val="11"/>
      <color theme="1"/>
      <name val="Aptos narrow"/>
    </font>
    <font>
      <sz val="11"/>
      <color theme="1"/>
      <name val="Aptos narrow"/>
    </font>
    <font>
      <sz val="11"/>
      <color rgb="FFFF0000"/>
      <name val="Aptos narrow"/>
    </font>
    <font>
      <sz val="11"/>
      <color theme="1"/>
      <name val="aptos narrow"/>
      <scheme val="minor"/>
    </font>
    <font>
      <sz val="11"/>
      <color theme="1"/>
      <name val="Calibri"/>
    </font>
    <font>
      <sz val="11"/>
      <color rgb="FF000000"/>
      <name val="Calibri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44" fontId="4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right"/>
    </xf>
    <xf numFmtId="3" fontId="4" fillId="0" borderId="0" xfId="0" applyNumberFormat="1" applyFont="1"/>
    <xf numFmtId="0" fontId="3" fillId="0" borderId="0" xfId="0" applyFont="1" applyAlignment="1">
      <alignment horizontal="left"/>
    </xf>
    <xf numFmtId="6" fontId="4" fillId="0" borderId="0" xfId="0" applyNumberFormat="1" applyFont="1"/>
    <xf numFmtId="0" fontId="6" fillId="0" borderId="0" xfId="0" applyFont="1"/>
    <xf numFmtId="8" fontId="4" fillId="0" borderId="0" xfId="0" applyNumberFormat="1" applyFont="1"/>
    <xf numFmtId="9" fontId="4" fillId="0" borderId="0" xfId="0" applyNumberFormat="1" applyFont="1"/>
    <xf numFmtId="43" fontId="4" fillId="0" borderId="0" xfId="0" applyNumberFormat="1" applyFont="1"/>
    <xf numFmtId="0" fontId="7" fillId="0" borderId="0" xfId="0" applyFont="1"/>
    <xf numFmtId="3" fontId="7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44" fontId="0" fillId="0" borderId="0" xfId="0" applyNumberFormat="1"/>
    <xf numFmtId="44" fontId="4" fillId="0" borderId="0" xfId="0" applyNumberFormat="1" applyFont="1" applyAlignment="1">
      <alignment horizontal="left" indent="59"/>
    </xf>
    <xf numFmtId="0" fontId="9" fillId="0" borderId="0" xfId="0" applyFont="1"/>
    <xf numFmtId="43" fontId="11" fillId="0" borderId="0" xfId="0" applyNumberFormat="1" applyFont="1"/>
    <xf numFmtId="0" fontId="10" fillId="0" borderId="0" xfId="0" applyFont="1" applyAlignment="1">
      <alignment horizontal="left"/>
    </xf>
    <xf numFmtId="8" fontId="0" fillId="0" borderId="0" xfId="0" applyNumberFormat="1"/>
    <xf numFmtId="0" fontId="1" fillId="0" borderId="0" xfId="0" applyFont="1"/>
    <xf numFmtId="0" fontId="9" fillId="2" borderId="1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right"/>
    </xf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/>
    <xf numFmtId="0" fontId="9" fillId="2" borderId="0" xfId="0" applyFont="1" applyFill="1" applyAlignment="1">
      <alignment horizontal="right"/>
    </xf>
    <xf numFmtId="0" fontId="9" fillId="2" borderId="5" xfId="0" applyFont="1" applyFill="1" applyBorder="1" applyAlignment="1">
      <alignment horizontal="right"/>
    </xf>
    <xf numFmtId="0" fontId="0" fillId="3" borderId="4" xfId="0" applyFill="1" applyBorder="1" applyAlignment="1">
      <alignment horizontal="left" indent="1"/>
    </xf>
    <xf numFmtId="165" fontId="0" fillId="3" borderId="0" xfId="0" applyNumberFormat="1" applyFill="1" applyAlignment="1">
      <alignment horizontal="right"/>
    </xf>
    <xf numFmtId="3" fontId="0" fillId="3" borderId="0" xfId="0" applyNumberFormat="1" applyFill="1" applyAlignment="1">
      <alignment horizontal="right"/>
    </xf>
    <xf numFmtId="165" fontId="0" fillId="3" borderId="5" xfId="0" applyNumberFormat="1" applyFill="1" applyBorder="1" applyAlignment="1">
      <alignment horizontal="right"/>
    </xf>
    <xf numFmtId="0" fontId="0" fillId="3" borderId="6" xfId="0" applyFill="1" applyBorder="1" applyAlignment="1">
      <alignment horizontal="left"/>
    </xf>
    <xf numFmtId="165" fontId="0" fillId="3" borderId="7" xfId="0" applyNumberFormat="1" applyFill="1" applyBorder="1" applyAlignment="1">
      <alignment horizontal="right"/>
    </xf>
    <xf numFmtId="3" fontId="0" fillId="3" borderId="7" xfId="0" applyNumberFormat="1" applyFill="1" applyBorder="1" applyAlignment="1">
      <alignment horizontal="right"/>
    </xf>
    <xf numFmtId="3" fontId="0" fillId="3" borderId="8" xfId="0" applyNumberForma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workbookViewId="0">
      <selection activeCell="B49" sqref="B49"/>
    </sheetView>
  </sheetViews>
  <sheetFormatPr defaultColWidth="12.5703125" defaultRowHeight="15" customHeight="1" x14ac:dyDescent="0.25"/>
  <cols>
    <col min="1" max="1" width="104" customWidth="1"/>
    <col min="2" max="2" width="34.7109375" customWidth="1"/>
    <col min="3" max="3" width="23.5703125" customWidth="1"/>
    <col min="4" max="4" width="34.140625" customWidth="1"/>
    <col min="5" max="5" width="22.140625" customWidth="1"/>
    <col min="6" max="6" width="18.7109375" customWidth="1"/>
    <col min="7" max="26" width="8.5703125" customWidth="1"/>
  </cols>
  <sheetData>
    <row r="1" spans="1:5" ht="30.75" customHeight="1" x14ac:dyDescent="0.4">
      <c r="A1" s="1" t="s">
        <v>0</v>
      </c>
    </row>
    <row r="2" spans="1:5" ht="14.25" customHeight="1" x14ac:dyDescent="0.25">
      <c r="A2" s="2" t="s">
        <v>1</v>
      </c>
      <c r="B2" s="2" t="s">
        <v>2</v>
      </c>
      <c r="C2" s="2" t="s">
        <v>3</v>
      </c>
      <c r="D2" s="2" t="s">
        <v>4</v>
      </c>
    </row>
    <row r="3" spans="1:5" x14ac:dyDescent="0.25">
      <c r="A3" s="3" t="s">
        <v>5</v>
      </c>
      <c r="B3" s="4">
        <v>14000000</v>
      </c>
      <c r="C3" s="4">
        <f>MIN(B3*0.3,100000)</f>
        <v>100000</v>
      </c>
      <c r="D3" s="4">
        <f>B3*0.45</f>
        <v>6300000</v>
      </c>
      <c r="E3" s="5" t="s">
        <v>6</v>
      </c>
    </row>
    <row r="4" spans="1:5" ht="14.25" customHeight="1" x14ac:dyDescent="0.25">
      <c r="A4" s="3" t="s">
        <v>7</v>
      </c>
      <c r="B4" s="4">
        <v>3500000</v>
      </c>
      <c r="C4" s="4">
        <f>MIN(B4*0.3, 4*100000)</f>
        <v>400000</v>
      </c>
      <c r="D4" s="4">
        <f t="shared" ref="D4" si="0">B4*0.45</f>
        <v>1575000</v>
      </c>
      <c r="E4" s="5" t="s">
        <v>6</v>
      </c>
    </row>
    <row r="5" spans="1:5" ht="14.25" customHeight="1" x14ac:dyDescent="0.25">
      <c r="A5" s="3" t="s">
        <v>8</v>
      </c>
      <c r="B5" s="4">
        <f>SUM(B3:B4)</f>
        <v>17500000</v>
      </c>
      <c r="C5" s="4">
        <f t="shared" ref="C5:D5" si="1">SUM(C3:C4)</f>
        <v>500000</v>
      </c>
      <c r="D5" s="4">
        <f t="shared" si="1"/>
        <v>7875000</v>
      </c>
      <c r="E5" s="5"/>
    </row>
    <row r="6" spans="1:5" ht="14.25" customHeight="1" x14ac:dyDescent="0.25">
      <c r="A6" s="2" t="s">
        <v>9</v>
      </c>
      <c r="B6" s="2" t="s">
        <v>10</v>
      </c>
      <c r="C6" s="2" t="s">
        <v>11</v>
      </c>
    </row>
    <row r="7" spans="1:5" ht="14.25" customHeight="1" x14ac:dyDescent="0.25">
      <c r="A7" s="3" t="s">
        <v>12</v>
      </c>
      <c r="B7" s="4">
        <f>(B3-C3-D3)+(B4-C4-D4)</f>
        <v>9125000</v>
      </c>
      <c r="C7" s="4">
        <f>D5+C5</f>
        <v>8375000</v>
      </c>
    </row>
    <row r="8" spans="1:5" ht="14.25" customHeight="1" x14ac:dyDescent="0.25">
      <c r="A8" s="3" t="s">
        <v>13</v>
      </c>
      <c r="B8" s="4">
        <f>(B3-C3)+(B4-C4)</f>
        <v>17000000</v>
      </c>
      <c r="C8" s="4">
        <f>C5</f>
        <v>500000</v>
      </c>
    </row>
    <row r="9" spans="1:5" ht="14.25" customHeight="1" x14ac:dyDescent="0.25">
      <c r="A9" s="3" t="s">
        <v>14</v>
      </c>
      <c r="B9" s="4">
        <f>(B3-C3)+(B4-C4)</f>
        <v>17000000</v>
      </c>
      <c r="C9" s="4">
        <f>C5</f>
        <v>500000</v>
      </c>
      <c r="D9" s="21"/>
    </row>
    <row r="10" spans="1:5" ht="14.25" customHeight="1" x14ac:dyDescent="0.25">
      <c r="A10" s="3" t="s">
        <v>15</v>
      </c>
      <c r="B10" s="4">
        <f t="shared" ref="B10:C10" si="2">SUM(B7:B9)</f>
        <v>43125000</v>
      </c>
      <c r="C10" s="4">
        <f t="shared" si="2"/>
        <v>9375000</v>
      </c>
    </row>
    <row r="11" spans="1:5" ht="14.25" customHeight="1" x14ac:dyDescent="0.25">
      <c r="A11" s="2" t="s">
        <v>16</v>
      </c>
    </row>
    <row r="12" spans="1:5" ht="14.25" customHeight="1" x14ac:dyDescent="0.25">
      <c r="A12" s="3" t="s">
        <v>17</v>
      </c>
      <c r="B12" s="4">
        <f>B14*0.15</f>
        <v>7610294.1176470583</v>
      </c>
    </row>
    <row r="13" spans="1:5" ht="14.25" customHeight="1" x14ac:dyDescent="0.25">
      <c r="A13" s="3" t="s">
        <v>18</v>
      </c>
      <c r="B13" s="4">
        <f>B10</f>
        <v>43125000</v>
      </c>
    </row>
    <row r="14" spans="1:5" ht="14.25" customHeight="1" x14ac:dyDescent="0.25">
      <c r="A14" s="3" t="s">
        <v>15</v>
      </c>
      <c r="B14" s="4">
        <f>B13/0.85</f>
        <v>50735294.117647059</v>
      </c>
    </row>
    <row r="15" spans="1:5" ht="14.25" customHeight="1" x14ac:dyDescent="0.25">
      <c r="A15" s="3"/>
      <c r="B15" s="4"/>
    </row>
    <row r="16" spans="1:5" ht="24" x14ac:dyDescent="0.4">
      <c r="A16" s="1" t="s">
        <v>19</v>
      </c>
    </row>
    <row r="17" spans="1:26" ht="14.25" customHeight="1" x14ac:dyDescent="0.25">
      <c r="A17" s="2" t="s">
        <v>20</v>
      </c>
      <c r="B17" s="2" t="s">
        <v>21</v>
      </c>
      <c r="C17" s="2" t="s">
        <v>22</v>
      </c>
      <c r="D17" s="2" t="s">
        <v>3</v>
      </c>
      <c r="E17" s="2" t="s">
        <v>23</v>
      </c>
    </row>
    <row r="18" spans="1:26" ht="14.25" customHeight="1" x14ac:dyDescent="0.25">
      <c r="A18" s="3" t="s">
        <v>24</v>
      </c>
      <c r="B18" s="4">
        <v>150000</v>
      </c>
      <c r="C18" s="6" t="s">
        <v>25</v>
      </c>
      <c r="D18" s="6" t="s">
        <v>25</v>
      </c>
      <c r="E18" s="6" t="s">
        <v>25</v>
      </c>
    </row>
    <row r="19" spans="1:26" ht="14.25" customHeight="1" x14ac:dyDescent="0.25">
      <c r="A19" s="3" t="s">
        <v>26</v>
      </c>
      <c r="B19" s="4">
        <v>675000</v>
      </c>
      <c r="C19" s="4">
        <f>B19-B18</f>
        <v>525000</v>
      </c>
      <c r="D19" s="4">
        <f t="shared" ref="D19:D20" si="3">MIN(B19*0.3,C19,40000)</f>
        <v>40000</v>
      </c>
      <c r="E19" s="4">
        <v>100000</v>
      </c>
      <c r="F19" s="7"/>
    </row>
    <row r="20" spans="1:26" ht="14.25" customHeight="1" x14ac:dyDescent="0.25">
      <c r="A20" s="3" t="s">
        <v>27</v>
      </c>
      <c r="B20" s="4">
        <v>850000</v>
      </c>
      <c r="C20" s="4">
        <f>B20-B18</f>
        <v>700000</v>
      </c>
      <c r="D20" s="4">
        <f t="shared" si="3"/>
        <v>40000</v>
      </c>
      <c r="E20" s="4">
        <v>0</v>
      </c>
      <c r="F20" s="7"/>
    </row>
    <row r="21" spans="1:26" ht="14.25" customHeight="1" x14ac:dyDescent="0.25">
      <c r="A21" s="2" t="s">
        <v>28</v>
      </c>
      <c r="B21" s="2" t="s">
        <v>29</v>
      </c>
      <c r="C21" s="2" t="s">
        <v>11</v>
      </c>
      <c r="D21" s="2" t="s">
        <v>30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4.25" customHeight="1" x14ac:dyDescent="0.25">
      <c r="A22" s="3" t="s">
        <v>31</v>
      </c>
      <c r="B22" s="4">
        <f t="shared" ref="B22:B23" si="4">B19-D19</f>
        <v>635000</v>
      </c>
      <c r="C22" s="4">
        <f t="shared" ref="C22:C23" si="5">D19</f>
        <v>40000</v>
      </c>
      <c r="D22" s="4">
        <f>C19-C22</f>
        <v>485000</v>
      </c>
    </row>
    <row r="23" spans="1:26" ht="14.25" customHeight="1" x14ac:dyDescent="0.25">
      <c r="A23" s="3" t="s">
        <v>32</v>
      </c>
      <c r="B23" s="4">
        <f t="shared" si="4"/>
        <v>810000</v>
      </c>
      <c r="C23" s="4">
        <f t="shared" si="5"/>
        <v>40000</v>
      </c>
      <c r="D23" s="4">
        <f>C20-D20</f>
        <v>660000</v>
      </c>
    </row>
    <row r="24" spans="1:26" ht="14.25" customHeight="1" x14ac:dyDescent="0.25">
      <c r="A24" s="3" t="s">
        <v>33</v>
      </c>
      <c r="B24" s="4">
        <f t="shared" ref="B24:B25" si="6">B19-D19-E19</f>
        <v>535000</v>
      </c>
      <c r="C24" s="4">
        <f>SUM(D19:E19)</f>
        <v>140000</v>
      </c>
      <c r="D24" s="4">
        <f>C19-D19-E19</f>
        <v>385000</v>
      </c>
    </row>
    <row r="25" spans="1:26" ht="14.25" customHeight="1" x14ac:dyDescent="0.25">
      <c r="A25" s="3" t="s">
        <v>34</v>
      </c>
      <c r="B25" s="4">
        <f t="shared" si="6"/>
        <v>810000</v>
      </c>
      <c r="C25" s="4">
        <f>D20</f>
        <v>40000</v>
      </c>
      <c r="D25" s="4">
        <f>C20-D20</f>
        <v>660000</v>
      </c>
    </row>
    <row r="26" spans="1:26" ht="14.25" customHeight="1" x14ac:dyDescent="0.25">
      <c r="A26" s="8" t="s">
        <v>35</v>
      </c>
      <c r="C26" s="4"/>
      <c r="D26" s="4"/>
    </row>
    <row r="27" spans="1:26" ht="14.25" customHeight="1" x14ac:dyDescent="0.25">
      <c r="A27" s="3" t="s">
        <v>36</v>
      </c>
      <c r="B27" s="9">
        <v>385000</v>
      </c>
    </row>
    <row r="28" spans="1:26" ht="14.25" customHeight="1" x14ac:dyDescent="0.25">
      <c r="A28" s="3" t="s">
        <v>37</v>
      </c>
      <c r="B28" s="10">
        <v>50</v>
      </c>
    </row>
    <row r="29" spans="1:26" ht="14.25" customHeight="1" x14ac:dyDescent="0.25">
      <c r="A29" s="3" t="s">
        <v>38</v>
      </c>
      <c r="B29" s="9">
        <f>B27*B28</f>
        <v>19250000</v>
      </c>
    </row>
    <row r="30" spans="1:26" ht="14.25" customHeight="1" x14ac:dyDescent="0.25">
      <c r="A30" s="3" t="s">
        <v>17</v>
      </c>
      <c r="B30" s="11">
        <f>B31*0.15</f>
        <v>3397058.8235294116</v>
      </c>
      <c r="C30" s="26">
        <f>B30+B12</f>
        <v>11007352.94117647</v>
      </c>
      <c r="D30" s="26">
        <f>C30/3</f>
        <v>3669117.6470588236</v>
      </c>
    </row>
    <row r="31" spans="1:26" ht="14.25" customHeight="1" x14ac:dyDescent="0.25">
      <c r="A31" s="3" t="s">
        <v>15</v>
      </c>
      <c r="B31" s="11">
        <f>B29/0.85</f>
        <v>22647058.823529411</v>
      </c>
    </row>
    <row r="32" spans="1:26" x14ac:dyDescent="0.25"/>
    <row r="33" spans="1:4" ht="24" x14ac:dyDescent="0.4">
      <c r="A33" s="1" t="s">
        <v>39</v>
      </c>
      <c r="B33" s="4"/>
    </row>
    <row r="34" spans="1:4" ht="14.25" customHeight="1" x14ac:dyDescent="0.25">
      <c r="A34" s="3" t="s">
        <v>40</v>
      </c>
      <c r="B34" s="4">
        <v>648818</v>
      </c>
    </row>
    <row r="35" spans="1:4" ht="14.25" customHeight="1" x14ac:dyDescent="0.25">
      <c r="A35" s="3" t="s">
        <v>138</v>
      </c>
      <c r="B35" s="4">
        <v>718902</v>
      </c>
    </row>
    <row r="36" spans="1:4" ht="14.25" customHeight="1" x14ac:dyDescent="0.25">
      <c r="A36" s="25" t="s">
        <v>111</v>
      </c>
      <c r="B36" s="4">
        <f>400000*5</f>
        <v>2000000</v>
      </c>
      <c r="D36" s="21"/>
    </row>
    <row r="37" spans="1:4" ht="14.25" customHeight="1" x14ac:dyDescent="0.25">
      <c r="A37" s="25" t="s">
        <v>112</v>
      </c>
      <c r="B37" s="4">
        <v>5000000</v>
      </c>
    </row>
    <row r="38" spans="1:4" ht="14.25" customHeight="1" x14ac:dyDescent="0.25">
      <c r="A38" s="3" t="s">
        <v>15</v>
      </c>
      <c r="B38" s="4">
        <f>SUM(B33:B37)</f>
        <v>8367720</v>
      </c>
    </row>
    <row r="39" spans="1:4" ht="14.25" customHeight="1" x14ac:dyDescent="0.25"/>
    <row r="40" spans="1:4" ht="24" x14ac:dyDescent="0.4">
      <c r="A40" s="1" t="s">
        <v>41</v>
      </c>
    </row>
    <row r="41" spans="1:4" ht="14.25" customHeight="1" x14ac:dyDescent="0.4">
      <c r="A41" s="1"/>
      <c r="C41" s="42" t="s">
        <v>42</v>
      </c>
      <c r="D41" s="43"/>
    </row>
    <row r="42" spans="1:4" ht="14.25" customHeight="1" x14ac:dyDescent="0.25">
      <c r="A42" s="10" t="s">
        <v>43</v>
      </c>
      <c r="B42" s="10" t="s">
        <v>44</v>
      </c>
      <c r="C42" s="10" t="s">
        <v>45</v>
      </c>
      <c r="D42" s="10" t="s">
        <v>46</v>
      </c>
    </row>
    <row r="43" spans="1:4" ht="14.25" customHeight="1" x14ac:dyDescent="0.25">
      <c r="A43" s="22">
        <f>SUM(B38,B31,B14)</f>
        <v>81750072.941176474</v>
      </c>
      <c r="B43" s="4">
        <f>C10+D19*50</f>
        <v>11375000</v>
      </c>
      <c r="C43" s="4">
        <f>150000*50</f>
        <v>7500000</v>
      </c>
      <c r="D43" s="4">
        <f>(D25-B27+B18)*50</f>
        <v>21250000</v>
      </c>
    </row>
    <row r="44" spans="1:4" ht="14.25" customHeight="1" x14ac:dyDescent="0.25"/>
    <row r="45" spans="1:4" ht="14.25" customHeight="1" x14ac:dyDescent="0.25">
      <c r="A45" s="10" t="s">
        <v>47</v>
      </c>
      <c r="B45" s="12">
        <f>A43/(A43+B43)</f>
        <v>0.87785244466669954</v>
      </c>
    </row>
    <row r="46" spans="1:4" ht="14.25" customHeight="1" x14ac:dyDescent="0.25"/>
    <row r="47" spans="1:4" ht="14.25" customHeight="1" x14ac:dyDescent="0.25">
      <c r="A47" s="10" t="s">
        <v>113</v>
      </c>
      <c r="B47" s="4">
        <f>A43/'GHG Calcs'!D40</f>
        <v>1967.9769056073737</v>
      </c>
    </row>
    <row r="48" spans="1:4" ht="14.25" customHeight="1" x14ac:dyDescent="0.25">
      <c r="A48" s="10" t="s">
        <v>114</v>
      </c>
      <c r="B48" s="4">
        <f>A43/'GHG Calcs'!D60</f>
        <v>293.10294338833216</v>
      </c>
    </row>
    <row r="49" spans="2:2" ht="14.25" customHeight="1" x14ac:dyDescent="0.25">
      <c r="B49" s="13"/>
    </row>
    <row r="50" spans="2:2" ht="14.25" customHeight="1" x14ac:dyDescent="0.25">
      <c r="B50" s="13"/>
    </row>
    <row r="51" spans="2:2" ht="14.25" customHeight="1" x14ac:dyDescent="0.25"/>
    <row r="52" spans="2:2" ht="14.25" customHeight="1" x14ac:dyDescent="0.25"/>
    <row r="53" spans="2:2" ht="14.25" customHeight="1" x14ac:dyDescent="0.25"/>
    <row r="54" spans="2:2" ht="14.25" customHeight="1" x14ac:dyDescent="0.25"/>
    <row r="55" spans="2:2" ht="14.25" customHeight="1" x14ac:dyDescent="0.25"/>
    <row r="56" spans="2:2" ht="14.25" customHeight="1" x14ac:dyDescent="0.25"/>
    <row r="57" spans="2:2" ht="14.25" customHeight="1" x14ac:dyDescent="0.25"/>
    <row r="58" spans="2:2" ht="14.25" customHeight="1" x14ac:dyDescent="0.25"/>
    <row r="59" spans="2:2" ht="14.25" customHeight="1" x14ac:dyDescent="0.25"/>
    <row r="60" spans="2:2" ht="14.25" customHeight="1" x14ac:dyDescent="0.25"/>
    <row r="61" spans="2:2" ht="14.25" customHeight="1" x14ac:dyDescent="0.25"/>
    <row r="62" spans="2:2" ht="14.25" customHeight="1" x14ac:dyDescent="0.25"/>
    <row r="63" spans="2:2" ht="14.25" customHeight="1" x14ac:dyDescent="0.25"/>
    <row r="64" spans="2:2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</sheetData>
  <mergeCells count="1">
    <mergeCell ref="C41:D41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93"/>
  <sheetViews>
    <sheetView workbookViewId="0">
      <selection activeCell="B38" sqref="B38"/>
    </sheetView>
  </sheetViews>
  <sheetFormatPr defaultColWidth="12.5703125" defaultRowHeight="15" customHeight="1" x14ac:dyDescent="0.25"/>
  <cols>
    <col min="1" max="1" width="79.7109375" bestFit="1" customWidth="1"/>
    <col min="2" max="3" width="23" customWidth="1"/>
    <col min="4" max="4" width="17.42578125" customWidth="1"/>
    <col min="5" max="5" width="15.5703125" customWidth="1"/>
    <col min="6" max="6" width="16.42578125" customWidth="1"/>
    <col min="7" max="7" width="9.42578125" customWidth="1"/>
    <col min="8" max="26" width="8.5703125" customWidth="1"/>
  </cols>
  <sheetData>
    <row r="1" spans="1:10" ht="24" x14ac:dyDescent="0.4">
      <c r="A1" s="1" t="s">
        <v>48</v>
      </c>
    </row>
    <row r="2" spans="1:10" ht="14.25" customHeight="1" x14ac:dyDescent="0.25">
      <c r="A2" s="23" t="s">
        <v>49</v>
      </c>
      <c r="B2" s="23" t="s">
        <v>50</v>
      </c>
      <c r="C2" s="23" t="s">
        <v>51</v>
      </c>
      <c r="D2" s="23" t="s">
        <v>52</v>
      </c>
      <c r="E2" s="23" t="s">
        <v>51</v>
      </c>
      <c r="F2" s="23"/>
      <c r="G2" s="23"/>
    </row>
    <row r="3" spans="1:10" ht="14.25" customHeight="1" x14ac:dyDescent="0.25">
      <c r="A3" s="10" t="s">
        <v>53</v>
      </c>
      <c r="B3" s="10">
        <v>2</v>
      </c>
      <c r="C3" s="10" t="s">
        <v>54</v>
      </c>
      <c r="D3" s="10">
        <v>4</v>
      </c>
      <c r="E3" s="10" t="s">
        <v>55</v>
      </c>
    </row>
    <row r="4" spans="1:10" ht="14.25" customHeight="1" x14ac:dyDescent="0.25">
      <c r="A4" s="10" t="s">
        <v>56</v>
      </c>
      <c r="B4" s="10">
        <v>28000</v>
      </c>
      <c r="C4" s="10" t="s">
        <v>57</v>
      </c>
      <c r="D4" s="10">
        <v>28000</v>
      </c>
      <c r="E4" s="10" t="s">
        <v>58</v>
      </c>
    </row>
    <row r="5" spans="1:10" ht="14.25" customHeight="1" x14ac:dyDescent="0.25">
      <c r="A5" s="27" t="s">
        <v>135</v>
      </c>
      <c r="B5" s="10">
        <v>6</v>
      </c>
      <c r="C5" s="10"/>
      <c r="D5" s="14">
        <v>12</v>
      </c>
      <c r="E5" s="10"/>
      <c r="F5" s="15"/>
      <c r="G5" s="27"/>
    </row>
    <row r="6" spans="1:10" ht="14.25" customHeight="1" x14ac:dyDescent="0.25">
      <c r="A6" s="27" t="s">
        <v>136</v>
      </c>
      <c r="B6" s="10"/>
      <c r="C6" s="10"/>
      <c r="D6" s="14"/>
      <c r="E6" s="10"/>
      <c r="F6" s="15"/>
      <c r="G6" s="27"/>
    </row>
    <row r="7" spans="1:10" ht="14.25" customHeight="1" x14ac:dyDescent="0.25">
      <c r="A7" s="27" t="s">
        <v>137</v>
      </c>
      <c r="B7" s="10"/>
      <c r="C7" s="10"/>
      <c r="D7" s="14"/>
      <c r="E7" s="10"/>
      <c r="F7" s="15"/>
      <c r="G7" s="27"/>
    </row>
    <row r="8" spans="1:10" ht="14.25" customHeight="1" thickBot="1" x14ac:dyDescent="0.3">
      <c r="A8" s="10" t="s">
        <v>68</v>
      </c>
      <c r="B8" s="13">
        <f>B12</f>
        <v>704.43732269921475</v>
      </c>
      <c r="D8" s="13">
        <f>B11</f>
        <v>148.97852558772985</v>
      </c>
    </row>
    <row r="9" spans="1:10" ht="14.25" customHeight="1" x14ac:dyDescent="0.25">
      <c r="A9" s="28" t="s">
        <v>134</v>
      </c>
      <c r="B9" s="29" t="s">
        <v>116</v>
      </c>
      <c r="C9" s="29" t="s">
        <v>117</v>
      </c>
      <c r="D9" s="29" t="s">
        <v>118</v>
      </c>
      <c r="E9" s="29" t="s">
        <v>119</v>
      </c>
      <c r="F9" s="29" t="s">
        <v>120</v>
      </c>
      <c r="G9" s="29" t="s">
        <v>121</v>
      </c>
      <c r="H9" s="29" t="s">
        <v>122</v>
      </c>
      <c r="I9" s="29" t="s">
        <v>123</v>
      </c>
      <c r="J9" s="30" t="s">
        <v>124</v>
      </c>
    </row>
    <row r="10" spans="1:10" ht="26.25" customHeight="1" x14ac:dyDescent="0.25">
      <c r="A10" s="31" t="s">
        <v>125</v>
      </c>
      <c r="B10" s="32" t="s">
        <v>126</v>
      </c>
      <c r="C10" s="32" t="s">
        <v>127</v>
      </c>
      <c r="D10" s="32" t="s">
        <v>127</v>
      </c>
      <c r="E10" s="32" t="s">
        <v>127</v>
      </c>
      <c r="F10" s="32" t="s">
        <v>127</v>
      </c>
      <c r="G10" s="32" t="s">
        <v>127</v>
      </c>
      <c r="H10" s="32" t="s">
        <v>127</v>
      </c>
      <c r="I10" s="32" t="s">
        <v>128</v>
      </c>
      <c r="J10" s="33" t="s">
        <v>129</v>
      </c>
    </row>
    <row r="11" spans="1:10" ht="14.25" customHeight="1" x14ac:dyDescent="0.25">
      <c r="A11" s="34" t="s">
        <v>130</v>
      </c>
      <c r="B11" s="35">
        <v>148.97852558772985</v>
      </c>
      <c r="C11" s="35">
        <v>455.83565069908451</v>
      </c>
      <c r="D11" s="35">
        <v>695.83992189839614</v>
      </c>
      <c r="E11" s="35">
        <v>6.1292372422660426</v>
      </c>
      <c r="F11" s="35">
        <v>5.7259757296447908</v>
      </c>
      <c r="G11" s="35">
        <v>31.862928007517866</v>
      </c>
      <c r="H11" s="35">
        <v>1.3767585262196376</v>
      </c>
      <c r="I11" s="36">
        <v>336000</v>
      </c>
      <c r="J11" s="37" t="s">
        <v>58</v>
      </c>
    </row>
    <row r="12" spans="1:10" ht="14.25" customHeight="1" x14ac:dyDescent="0.25">
      <c r="A12" s="34" t="s">
        <v>131</v>
      </c>
      <c r="B12" s="35">
        <v>704.43732269921475</v>
      </c>
      <c r="C12" s="35">
        <v>4515.6877249367171</v>
      </c>
      <c r="D12" s="35">
        <v>6893.2646865565193</v>
      </c>
      <c r="E12" s="35">
        <v>60.718641325394991</v>
      </c>
      <c r="F12" s="35">
        <v>56.723773746059209</v>
      </c>
      <c r="G12" s="35">
        <v>315.64673070969116</v>
      </c>
      <c r="H12" s="35">
        <v>36.068586488989922</v>
      </c>
      <c r="I12" s="36">
        <v>168000</v>
      </c>
      <c r="J12" s="37" t="s">
        <v>132</v>
      </c>
    </row>
    <row r="13" spans="1:10" ht="21" customHeight="1" thickBot="1" x14ac:dyDescent="0.3">
      <c r="A13" s="38" t="s">
        <v>133</v>
      </c>
      <c r="B13" s="39">
        <v>853.41584828694454</v>
      </c>
      <c r="C13" s="39">
        <v>4971.523375635802</v>
      </c>
      <c r="D13" s="39">
        <v>7589.1046084549153</v>
      </c>
      <c r="E13" s="39">
        <v>66.847878567661027</v>
      </c>
      <c r="F13" s="39">
        <v>62.449749475703996</v>
      </c>
      <c r="G13" s="39">
        <v>347.50965871720905</v>
      </c>
      <c r="H13" s="39">
        <v>37.445345015209561</v>
      </c>
      <c r="I13" s="40"/>
      <c r="J13" s="41"/>
    </row>
    <row r="14" spans="1:10" ht="20.45" customHeight="1" x14ac:dyDescent="0.25">
      <c r="A14" s="10"/>
      <c r="B14" s="13"/>
      <c r="D14" s="13"/>
    </row>
    <row r="15" spans="1:10" ht="30" customHeight="1" x14ac:dyDescent="0.4">
      <c r="A15" s="1" t="s">
        <v>69</v>
      </c>
      <c r="B15" s="13"/>
      <c r="D15" s="13"/>
    </row>
    <row r="16" spans="1:10" ht="14.25" customHeight="1" x14ac:dyDescent="0.25">
      <c r="A16" s="23" t="s">
        <v>49</v>
      </c>
      <c r="B16" s="24" t="s">
        <v>50</v>
      </c>
      <c r="C16" s="23"/>
      <c r="D16" s="24" t="s">
        <v>52</v>
      </c>
      <c r="E16" s="23"/>
      <c r="F16" s="24" t="s">
        <v>24</v>
      </c>
    </row>
    <row r="17" spans="1:7" ht="14.25" customHeight="1" x14ac:dyDescent="0.25">
      <c r="A17" s="10" t="s">
        <v>70</v>
      </c>
      <c r="B17" s="10">
        <v>2027</v>
      </c>
      <c r="D17" s="10">
        <v>2027</v>
      </c>
      <c r="F17" s="10">
        <v>2012</v>
      </c>
    </row>
    <row r="18" spans="1:7" ht="14.25" customHeight="1" x14ac:dyDescent="0.25">
      <c r="A18" s="10" t="s">
        <v>71</v>
      </c>
      <c r="B18" s="10">
        <v>28</v>
      </c>
      <c r="D18" s="10">
        <v>28</v>
      </c>
      <c r="F18" s="13">
        <v>13</v>
      </c>
    </row>
    <row r="19" spans="1:7" ht="14.25" customHeight="1" x14ac:dyDescent="0.25">
      <c r="A19" s="10" t="s">
        <v>72</v>
      </c>
      <c r="B19" s="10">
        <v>170000</v>
      </c>
      <c r="C19" s="10" t="s">
        <v>73</v>
      </c>
      <c r="D19" s="10">
        <v>170000</v>
      </c>
      <c r="E19" s="10" t="s">
        <v>73</v>
      </c>
      <c r="F19" s="10">
        <v>170000</v>
      </c>
      <c r="G19" s="10" t="s">
        <v>73</v>
      </c>
    </row>
    <row r="20" spans="1:7" ht="14.25" customHeight="1" x14ac:dyDescent="0.25">
      <c r="A20" s="10" t="s">
        <v>74</v>
      </c>
      <c r="B20" s="10">
        <v>7.9</v>
      </c>
      <c r="C20" s="10" t="s">
        <v>75</v>
      </c>
      <c r="D20" s="10">
        <v>12.7</v>
      </c>
      <c r="E20" s="10" t="s">
        <v>75</v>
      </c>
      <c r="F20" s="10">
        <v>7.3</v>
      </c>
      <c r="G20" s="10" t="s">
        <v>75</v>
      </c>
    </row>
    <row r="21" spans="1:7" ht="14.25" customHeight="1" x14ac:dyDescent="0.25">
      <c r="A21" s="10" t="s">
        <v>76</v>
      </c>
      <c r="B21" s="13">
        <f>B19/B20</f>
        <v>21518.98734177215</v>
      </c>
      <c r="C21" s="10" t="s">
        <v>66</v>
      </c>
      <c r="D21" s="13">
        <f>D19/D20</f>
        <v>13385.826771653545</v>
      </c>
      <c r="E21" s="10" t="s">
        <v>66</v>
      </c>
      <c r="F21" s="13">
        <f>F19/F20</f>
        <v>23287.671232876713</v>
      </c>
      <c r="G21" s="10" t="s">
        <v>66</v>
      </c>
    </row>
    <row r="22" spans="1:7" ht="14.25" customHeight="1" x14ac:dyDescent="0.25">
      <c r="A22" s="27" t="s">
        <v>115</v>
      </c>
      <c r="B22" s="10">
        <v>1.1499999999999999</v>
      </c>
      <c r="C22" s="10" t="s">
        <v>63</v>
      </c>
      <c r="D22" s="10">
        <v>37.949141969176985</v>
      </c>
      <c r="E22" s="10" t="s">
        <v>64</v>
      </c>
      <c r="F22" s="13"/>
      <c r="G22" s="10"/>
    </row>
    <row r="23" spans="1:7" x14ac:dyDescent="0.25">
      <c r="A23" s="10" t="s">
        <v>77</v>
      </c>
      <c r="B23" s="13">
        <f>B21/1.15</f>
        <v>18712.162905888828</v>
      </c>
      <c r="C23" s="10" t="s">
        <v>57</v>
      </c>
      <c r="D23" s="13">
        <f>D21/D22</f>
        <v>352.73068314761287</v>
      </c>
      <c r="E23" s="10" t="s">
        <v>58</v>
      </c>
      <c r="F23" s="13">
        <f>F21</f>
        <v>23287.671232876713</v>
      </c>
      <c r="G23" s="10" t="s">
        <v>78</v>
      </c>
    </row>
    <row r="24" spans="1:7" x14ac:dyDescent="0.25">
      <c r="A24" s="27" t="s">
        <v>59</v>
      </c>
      <c r="B24" s="10">
        <v>4</v>
      </c>
      <c r="C24" s="10" t="s">
        <v>60</v>
      </c>
      <c r="D24" s="14">
        <v>0.46800000000000003</v>
      </c>
      <c r="E24" s="10" t="s">
        <v>61</v>
      </c>
      <c r="F24" s="15">
        <v>12489</v>
      </c>
      <c r="G24" s="27" t="s">
        <v>62</v>
      </c>
    </row>
    <row r="25" spans="1:7" ht="14.25" customHeight="1" x14ac:dyDescent="0.25">
      <c r="A25" s="10" t="s">
        <v>79</v>
      </c>
      <c r="B25" s="13">
        <f>B23*B24</f>
        <v>74848.651623555314</v>
      </c>
      <c r="C25" s="10" t="s">
        <v>80</v>
      </c>
      <c r="D25" s="13">
        <f>D23*D24</f>
        <v>165.07795971308283</v>
      </c>
      <c r="E25" s="10" t="s">
        <v>65</v>
      </c>
      <c r="F25" s="13">
        <f>F23*F24</f>
        <v>290839726.02739727</v>
      </c>
      <c r="G25" s="10" t="s">
        <v>81</v>
      </c>
    </row>
    <row r="26" spans="1:7" ht="14.25" customHeight="1" x14ac:dyDescent="0.25">
      <c r="A26" s="10" t="s">
        <v>79</v>
      </c>
      <c r="B26" s="13">
        <f>B25/1000</f>
        <v>74.848651623555313</v>
      </c>
      <c r="C26" s="10" t="s">
        <v>67</v>
      </c>
      <c r="D26" s="13">
        <f>D25/1000</f>
        <v>0.16507795971308284</v>
      </c>
      <c r="E26" s="10" t="s">
        <v>67</v>
      </c>
      <c r="F26" s="13">
        <f>F25/1000000</f>
        <v>290.83972602739726</v>
      </c>
      <c r="G26" s="10" t="s">
        <v>67</v>
      </c>
    </row>
    <row r="27" spans="1:7" ht="14.25" customHeight="1" x14ac:dyDescent="0.25">
      <c r="A27" s="10" t="s">
        <v>82</v>
      </c>
      <c r="B27" s="10">
        <v>25</v>
      </c>
      <c r="C27" s="10" t="s">
        <v>83</v>
      </c>
      <c r="D27" s="10">
        <v>25</v>
      </c>
      <c r="E27" s="10" t="s">
        <v>83</v>
      </c>
      <c r="F27" s="10">
        <v>-50</v>
      </c>
      <c r="G27" s="10" t="s">
        <v>83</v>
      </c>
    </row>
    <row r="28" spans="1:7" ht="14.25" customHeight="1" x14ac:dyDescent="0.25">
      <c r="A28" s="10" t="s">
        <v>84</v>
      </c>
      <c r="B28" s="13">
        <f>B27*B26</f>
        <v>1871.2162905888829</v>
      </c>
      <c r="C28" s="10" t="s">
        <v>67</v>
      </c>
      <c r="D28" s="13">
        <f>D27*D26</f>
        <v>4.1269489928270708</v>
      </c>
      <c r="E28" s="10" t="s">
        <v>67</v>
      </c>
      <c r="F28" s="13">
        <f>F27*F26</f>
        <v>-14541.986301369863</v>
      </c>
      <c r="G28" s="10" t="s">
        <v>67</v>
      </c>
    </row>
    <row r="29" spans="1:7" ht="14.25" customHeight="1" x14ac:dyDescent="0.25"/>
    <row r="30" spans="1:7" ht="14.25" customHeight="1" x14ac:dyDescent="0.25">
      <c r="A30" s="10" t="s">
        <v>85</v>
      </c>
      <c r="B30" s="13">
        <f>B28+D28+F28</f>
        <v>-12666.643061788152</v>
      </c>
    </row>
    <row r="31" spans="1:7" ht="14.25" customHeight="1" x14ac:dyDescent="0.25">
      <c r="A31" s="10" t="s">
        <v>86</v>
      </c>
      <c r="B31" s="10">
        <f>ABS(B30)</f>
        <v>12666.643061788152</v>
      </c>
    </row>
    <row r="32" spans="1:7" ht="14.25" customHeight="1" x14ac:dyDescent="0.25"/>
    <row r="33" spans="1:4" ht="20.100000000000001" customHeight="1" x14ac:dyDescent="0.4">
      <c r="A33" s="1" t="s">
        <v>87</v>
      </c>
    </row>
    <row r="34" spans="1:4" ht="14.25" customHeight="1" x14ac:dyDescent="0.25">
      <c r="A34" s="23" t="s">
        <v>88</v>
      </c>
      <c r="B34" s="23" t="s">
        <v>89</v>
      </c>
      <c r="C34" s="23" t="s">
        <v>90</v>
      </c>
      <c r="D34" s="23" t="s">
        <v>91</v>
      </c>
    </row>
    <row r="35" spans="1:4" ht="14.25" customHeight="1" x14ac:dyDescent="0.25">
      <c r="A35" s="10">
        <v>2025</v>
      </c>
      <c r="B35" s="16">
        <v>0</v>
      </c>
      <c r="C35" s="16"/>
      <c r="D35" s="16">
        <f>C35</f>
        <v>0</v>
      </c>
    </row>
    <row r="36" spans="1:4" ht="14.25" customHeight="1" x14ac:dyDescent="0.25">
      <c r="A36" s="10">
        <v>2026</v>
      </c>
      <c r="B36" s="16">
        <v>0</v>
      </c>
      <c r="C36" s="16"/>
      <c r="D36" s="16">
        <f t="shared" ref="D36:D59" si="0">C36+D35</f>
        <v>0</v>
      </c>
    </row>
    <row r="37" spans="1:4" ht="14.25" customHeight="1" x14ac:dyDescent="0.25">
      <c r="A37" s="10">
        <v>2027</v>
      </c>
      <c r="B37" s="16">
        <f>(B31+B8+D8)/2</f>
        <v>6760.0294550375484</v>
      </c>
      <c r="C37" s="16">
        <f>B37*'Program Costs'!$B$45</f>
        <v>5934.3083831236081</v>
      </c>
      <c r="D37" s="16">
        <f>C37+D36</f>
        <v>5934.3083831236081</v>
      </c>
    </row>
    <row r="38" spans="1:4" ht="14.25" customHeight="1" x14ac:dyDescent="0.25">
      <c r="A38" s="10">
        <v>2028</v>
      </c>
      <c r="B38" s="16">
        <f>(B31+B8+D8)</f>
        <v>13520.058910075097</v>
      </c>
      <c r="C38" s="16">
        <f>B38*'Program Costs'!$B$45</f>
        <v>11868.616766247216</v>
      </c>
      <c r="D38" s="16">
        <f t="shared" si="0"/>
        <v>17802.925149370825</v>
      </c>
    </row>
    <row r="39" spans="1:4" ht="14.25" customHeight="1" x14ac:dyDescent="0.25">
      <c r="A39" s="10">
        <v>2029</v>
      </c>
      <c r="B39" s="16">
        <f t="shared" ref="B39:B60" si="1">B38</f>
        <v>13520.058910075097</v>
      </c>
      <c r="C39" s="16">
        <f>B39*'Program Costs'!$B$45</f>
        <v>11868.616766247216</v>
      </c>
      <c r="D39" s="16">
        <f t="shared" si="0"/>
        <v>29671.541915618043</v>
      </c>
    </row>
    <row r="40" spans="1:4" ht="14.25" customHeight="1" x14ac:dyDescent="0.25">
      <c r="A40" s="10">
        <v>2030</v>
      </c>
      <c r="B40" s="16">
        <f t="shared" si="1"/>
        <v>13520.058910075097</v>
      </c>
      <c r="C40" s="16">
        <f>B40*'Program Costs'!$B$45</f>
        <v>11868.616766247216</v>
      </c>
      <c r="D40" s="17">
        <f t="shared" si="0"/>
        <v>41540.158681865258</v>
      </c>
    </row>
    <row r="41" spans="1:4" ht="14.25" customHeight="1" x14ac:dyDescent="0.25">
      <c r="A41" s="10">
        <v>2031</v>
      </c>
      <c r="B41" s="16">
        <f t="shared" si="1"/>
        <v>13520.058910075097</v>
      </c>
      <c r="C41" s="16">
        <f>B41*'Program Costs'!$B$45</f>
        <v>11868.616766247216</v>
      </c>
      <c r="D41" s="16">
        <f t="shared" si="0"/>
        <v>53408.775448112472</v>
      </c>
    </row>
    <row r="42" spans="1:4" ht="14.25" customHeight="1" x14ac:dyDescent="0.25">
      <c r="A42" s="10">
        <v>2032</v>
      </c>
      <c r="B42" s="16">
        <f t="shared" si="1"/>
        <v>13520.058910075097</v>
      </c>
      <c r="C42" s="16">
        <f>B42*'Program Costs'!$B$45</f>
        <v>11868.616766247216</v>
      </c>
      <c r="D42" s="16">
        <f t="shared" si="0"/>
        <v>65277.392214359686</v>
      </c>
    </row>
    <row r="43" spans="1:4" ht="14.25" customHeight="1" x14ac:dyDescent="0.25">
      <c r="A43" s="10">
        <v>2033</v>
      </c>
      <c r="B43" s="16">
        <f t="shared" si="1"/>
        <v>13520.058910075097</v>
      </c>
      <c r="C43" s="16">
        <f>B43*'Program Costs'!$B$45</f>
        <v>11868.616766247216</v>
      </c>
      <c r="D43" s="16">
        <f t="shared" si="0"/>
        <v>77146.008980606901</v>
      </c>
    </row>
    <row r="44" spans="1:4" ht="14.25" customHeight="1" x14ac:dyDescent="0.25">
      <c r="A44" s="10">
        <v>2034</v>
      </c>
      <c r="B44" s="16">
        <f t="shared" si="1"/>
        <v>13520.058910075097</v>
      </c>
      <c r="C44" s="16">
        <f>B44*'Program Costs'!$B$45</f>
        <v>11868.616766247216</v>
      </c>
      <c r="D44" s="16">
        <f t="shared" si="0"/>
        <v>89014.625746854115</v>
      </c>
    </row>
    <row r="45" spans="1:4" ht="14.25" customHeight="1" x14ac:dyDescent="0.25">
      <c r="A45" s="10">
        <v>2035</v>
      </c>
      <c r="B45" s="16">
        <f t="shared" si="1"/>
        <v>13520.058910075097</v>
      </c>
      <c r="C45" s="16">
        <f>B45*'Program Costs'!$B$45</f>
        <v>11868.616766247216</v>
      </c>
      <c r="D45" s="16">
        <f t="shared" si="0"/>
        <v>100883.24251310133</v>
      </c>
    </row>
    <row r="46" spans="1:4" ht="14.25" customHeight="1" x14ac:dyDescent="0.25">
      <c r="A46" s="10">
        <v>2036</v>
      </c>
      <c r="B46" s="16">
        <f t="shared" si="1"/>
        <v>13520.058910075097</v>
      </c>
      <c r="C46" s="16">
        <f>B46*'Program Costs'!$B$45</f>
        <v>11868.616766247216</v>
      </c>
      <c r="D46" s="16">
        <f t="shared" si="0"/>
        <v>112751.85927934854</v>
      </c>
    </row>
    <row r="47" spans="1:4" ht="14.25" customHeight="1" x14ac:dyDescent="0.25">
      <c r="A47" s="10">
        <v>2037</v>
      </c>
      <c r="B47" s="16">
        <f t="shared" si="1"/>
        <v>13520.058910075097</v>
      </c>
      <c r="C47" s="16">
        <f>B47*'Program Costs'!$B$45</f>
        <v>11868.616766247216</v>
      </c>
      <c r="D47" s="16">
        <f t="shared" si="0"/>
        <v>124620.47604559576</v>
      </c>
    </row>
    <row r="48" spans="1:4" ht="14.25" customHeight="1" x14ac:dyDescent="0.25">
      <c r="A48" s="10">
        <v>2038</v>
      </c>
      <c r="B48" s="16">
        <f t="shared" si="1"/>
        <v>13520.058910075097</v>
      </c>
      <c r="C48" s="16">
        <f>B48*'Program Costs'!$B$45</f>
        <v>11868.616766247216</v>
      </c>
      <c r="D48" s="16">
        <f t="shared" si="0"/>
        <v>136489.09281184297</v>
      </c>
    </row>
    <row r="49" spans="1:4" ht="14.25" customHeight="1" x14ac:dyDescent="0.25">
      <c r="A49" s="10">
        <v>2039</v>
      </c>
      <c r="B49" s="16">
        <f t="shared" si="1"/>
        <v>13520.058910075097</v>
      </c>
      <c r="C49" s="16">
        <f>B49*'Program Costs'!$B$45</f>
        <v>11868.616766247216</v>
      </c>
      <c r="D49" s="16">
        <f t="shared" si="0"/>
        <v>148357.7095780902</v>
      </c>
    </row>
    <row r="50" spans="1:4" ht="14.25" customHeight="1" x14ac:dyDescent="0.25">
      <c r="A50" s="10">
        <v>2040</v>
      </c>
      <c r="B50" s="16">
        <f t="shared" si="1"/>
        <v>13520.058910075097</v>
      </c>
      <c r="C50" s="16">
        <f>B50*'Program Costs'!$B$45</f>
        <v>11868.616766247216</v>
      </c>
      <c r="D50" s="16">
        <f t="shared" si="0"/>
        <v>160226.32634433743</v>
      </c>
    </row>
    <row r="51" spans="1:4" ht="14.25" customHeight="1" x14ac:dyDescent="0.25">
      <c r="A51" s="10">
        <v>2041</v>
      </c>
      <c r="B51" s="16">
        <f t="shared" si="1"/>
        <v>13520.058910075097</v>
      </c>
      <c r="C51" s="16">
        <f>B51*'Program Costs'!$B$45</f>
        <v>11868.616766247216</v>
      </c>
      <c r="D51" s="16">
        <f t="shared" si="0"/>
        <v>172094.94311058466</v>
      </c>
    </row>
    <row r="52" spans="1:4" ht="14.25" customHeight="1" x14ac:dyDescent="0.25">
      <c r="A52" s="10">
        <v>2042</v>
      </c>
      <c r="B52" s="16">
        <f t="shared" si="1"/>
        <v>13520.058910075097</v>
      </c>
      <c r="C52" s="16">
        <f>B52*'Program Costs'!$B$45</f>
        <v>11868.616766247216</v>
      </c>
      <c r="D52" s="16">
        <f t="shared" si="0"/>
        <v>183963.55987683189</v>
      </c>
    </row>
    <row r="53" spans="1:4" ht="14.25" customHeight="1" x14ac:dyDescent="0.25">
      <c r="A53" s="10">
        <v>2043</v>
      </c>
      <c r="B53" s="16">
        <f t="shared" si="1"/>
        <v>13520.058910075097</v>
      </c>
      <c r="C53" s="16">
        <f>B53*'Program Costs'!$B$45</f>
        <v>11868.616766247216</v>
      </c>
      <c r="D53" s="16">
        <f t="shared" si="0"/>
        <v>195832.17664307912</v>
      </c>
    </row>
    <row r="54" spans="1:4" ht="14.25" customHeight="1" x14ac:dyDescent="0.25">
      <c r="A54" s="10">
        <v>2044</v>
      </c>
      <c r="B54" s="16">
        <f t="shared" si="1"/>
        <v>13520.058910075097</v>
      </c>
      <c r="C54" s="16">
        <f>B54*'Program Costs'!$B$45</f>
        <v>11868.616766247216</v>
      </c>
      <c r="D54" s="16">
        <f t="shared" si="0"/>
        <v>207700.79340932635</v>
      </c>
    </row>
    <row r="55" spans="1:4" ht="14.25" customHeight="1" x14ac:dyDescent="0.25">
      <c r="A55" s="10">
        <v>2045</v>
      </c>
      <c r="B55" s="16">
        <f t="shared" si="1"/>
        <v>13520.058910075097</v>
      </c>
      <c r="C55" s="16">
        <f>B55*'Program Costs'!$B$45</f>
        <v>11868.616766247216</v>
      </c>
      <c r="D55" s="16">
        <f t="shared" si="0"/>
        <v>219569.41017557358</v>
      </c>
    </row>
    <row r="56" spans="1:4" ht="14.25" customHeight="1" x14ac:dyDescent="0.25">
      <c r="A56" s="10">
        <v>2046</v>
      </c>
      <c r="B56" s="16">
        <f t="shared" si="1"/>
        <v>13520.058910075097</v>
      </c>
      <c r="C56" s="16">
        <f>B56*'Program Costs'!$B$45</f>
        <v>11868.616766247216</v>
      </c>
      <c r="D56" s="16">
        <f t="shared" si="0"/>
        <v>231438.0269418208</v>
      </c>
    </row>
    <row r="57" spans="1:4" ht="14.25" customHeight="1" x14ac:dyDescent="0.25">
      <c r="A57" s="10">
        <v>2047</v>
      </c>
      <c r="B57" s="16">
        <f t="shared" si="1"/>
        <v>13520.058910075097</v>
      </c>
      <c r="C57" s="16">
        <f>B57*'Program Costs'!$B$45</f>
        <v>11868.616766247216</v>
      </c>
      <c r="D57" s="16">
        <f t="shared" si="0"/>
        <v>243306.64370806803</v>
      </c>
    </row>
    <row r="58" spans="1:4" ht="14.25" customHeight="1" x14ac:dyDescent="0.25">
      <c r="A58" s="10">
        <v>2048</v>
      </c>
      <c r="B58" s="16">
        <f t="shared" si="1"/>
        <v>13520.058910075097</v>
      </c>
      <c r="C58" s="16">
        <f>B58*'Program Costs'!$B$45</f>
        <v>11868.616766247216</v>
      </c>
      <c r="D58" s="16">
        <f t="shared" si="0"/>
        <v>255175.26047431526</v>
      </c>
    </row>
    <row r="59" spans="1:4" ht="14.25" customHeight="1" x14ac:dyDescent="0.25">
      <c r="A59" s="10">
        <v>2049</v>
      </c>
      <c r="B59" s="16">
        <f t="shared" si="1"/>
        <v>13520.058910075097</v>
      </c>
      <c r="C59" s="16">
        <f>B59*'Program Costs'!$B$45</f>
        <v>11868.616766247216</v>
      </c>
      <c r="D59" s="16">
        <f t="shared" si="0"/>
        <v>267043.87724056246</v>
      </c>
    </row>
    <row r="60" spans="1:4" ht="14.25" customHeight="1" x14ac:dyDescent="0.25">
      <c r="A60" s="10">
        <v>2050</v>
      </c>
      <c r="B60" s="16">
        <f t="shared" si="1"/>
        <v>13520.058910075097</v>
      </c>
      <c r="C60" s="16">
        <f>B60*'Program Costs'!$B$45</f>
        <v>11868.616766247216</v>
      </c>
      <c r="D60" s="17">
        <f>C60+D59</f>
        <v>278912.49400680966</v>
      </c>
    </row>
    <row r="61" spans="1:4" ht="14.25" customHeight="1" x14ac:dyDescent="0.25"/>
    <row r="62" spans="1:4" ht="14.25" customHeight="1" x14ac:dyDescent="0.25"/>
    <row r="63" spans="1:4" ht="14.25" customHeight="1" x14ac:dyDescent="0.25"/>
    <row r="64" spans="1: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</sheetData>
  <pageMargins left="0.7" right="0.7" top="0.75" bottom="0.75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93"/>
  <sheetViews>
    <sheetView workbookViewId="0">
      <selection activeCell="C19" sqref="C19"/>
    </sheetView>
  </sheetViews>
  <sheetFormatPr defaultColWidth="12.5703125" defaultRowHeight="15" customHeight="1" x14ac:dyDescent="0.25"/>
  <cols>
    <col min="1" max="1" width="29.42578125" customWidth="1"/>
    <col min="2" max="2" width="15.42578125" customWidth="1"/>
    <col min="3" max="3" width="16.42578125" customWidth="1"/>
    <col min="4" max="4" width="16" customWidth="1"/>
    <col min="5" max="5" width="13.140625" customWidth="1"/>
    <col min="6" max="9" width="8.5703125" customWidth="1"/>
    <col min="10" max="10" width="19.42578125" customWidth="1"/>
    <col min="11" max="11" width="14.85546875" customWidth="1"/>
    <col min="12" max="12" width="10.85546875" customWidth="1"/>
    <col min="13" max="13" width="8.5703125" customWidth="1"/>
    <col min="14" max="14" width="9.85546875" customWidth="1"/>
    <col min="15" max="26" width="8.5703125" customWidth="1"/>
  </cols>
  <sheetData>
    <row r="1" spans="1:11" ht="24" x14ac:dyDescent="0.4">
      <c r="A1" s="1" t="s">
        <v>92</v>
      </c>
    </row>
    <row r="2" spans="1:11" ht="24" x14ac:dyDescent="0.4">
      <c r="A2" s="1" t="s">
        <v>103</v>
      </c>
    </row>
    <row r="3" spans="1:11" ht="43.5" customHeight="1" x14ac:dyDescent="0.25">
      <c r="A3" s="45" t="s">
        <v>93</v>
      </c>
      <c r="B3" s="46" t="s">
        <v>94</v>
      </c>
      <c r="C3" s="43"/>
      <c r="D3" s="43"/>
      <c r="E3" s="44" t="s">
        <v>104</v>
      </c>
      <c r="F3" s="46" t="s">
        <v>105</v>
      </c>
      <c r="G3" s="43"/>
      <c r="H3" s="43"/>
      <c r="I3" s="44" t="s">
        <v>106</v>
      </c>
      <c r="J3" s="44" t="s">
        <v>107</v>
      </c>
      <c r="K3" s="44" t="s">
        <v>108</v>
      </c>
    </row>
    <row r="4" spans="1:11" ht="14.25" customHeight="1" x14ac:dyDescent="0.25">
      <c r="A4" s="43"/>
      <c r="B4" s="18" t="s">
        <v>95</v>
      </c>
      <c r="C4" s="18" t="s">
        <v>96</v>
      </c>
      <c r="D4" s="18" t="s">
        <v>97</v>
      </c>
      <c r="E4" s="43"/>
      <c r="F4" s="18" t="s">
        <v>95</v>
      </c>
      <c r="G4" s="18" t="s">
        <v>96</v>
      </c>
      <c r="H4" s="18" t="s">
        <v>97</v>
      </c>
      <c r="I4" s="43"/>
      <c r="J4" s="43"/>
      <c r="K4" s="43"/>
    </row>
    <row r="5" spans="1:11" ht="14.25" customHeight="1" x14ac:dyDescent="0.25">
      <c r="A5" s="18" t="s">
        <v>98</v>
      </c>
      <c r="B5" s="18">
        <v>3.3769999999999998</v>
      </c>
      <c r="C5" s="18">
        <v>0</v>
      </c>
      <c r="D5" s="18">
        <v>0</v>
      </c>
      <c r="E5" s="18">
        <v>170000</v>
      </c>
      <c r="F5" s="18">
        <f t="shared" ref="F5:H5" si="0">B5*$E5</f>
        <v>574090</v>
      </c>
      <c r="G5" s="18">
        <f t="shared" si="0"/>
        <v>0</v>
      </c>
      <c r="H5" s="18">
        <f t="shared" si="0"/>
        <v>0</v>
      </c>
      <c r="I5" s="10">
        <f t="shared" ref="I5:I9" si="1">50</f>
        <v>50</v>
      </c>
      <c r="J5" s="16">
        <f t="shared" ref="J5:J9" si="2">F5*50</f>
        <v>28704500</v>
      </c>
      <c r="K5" s="16">
        <f t="shared" ref="K5:K9" si="3">J5*1.10231131*10^-6</f>
        <v>31.641294997894999</v>
      </c>
    </row>
    <row r="6" spans="1:11" ht="14.25" customHeight="1" x14ac:dyDescent="0.25">
      <c r="A6" s="18" t="s">
        <v>99</v>
      </c>
      <c r="B6" s="19">
        <v>4.125</v>
      </c>
      <c r="C6" s="18">
        <v>0</v>
      </c>
      <c r="D6" s="18">
        <v>0</v>
      </c>
      <c r="E6" s="18">
        <v>170000</v>
      </c>
      <c r="F6" s="18">
        <f t="shared" ref="F6:H6" si="4">B6*$E6</f>
        <v>701250</v>
      </c>
      <c r="G6" s="18">
        <f t="shared" si="4"/>
        <v>0</v>
      </c>
      <c r="H6" s="18">
        <f t="shared" si="4"/>
        <v>0</v>
      </c>
      <c r="I6" s="10">
        <f t="shared" si="1"/>
        <v>50</v>
      </c>
      <c r="J6" s="16">
        <f t="shared" si="2"/>
        <v>35062500</v>
      </c>
      <c r="K6" s="16">
        <f t="shared" si="3"/>
        <v>38.649790306874998</v>
      </c>
    </row>
    <row r="7" spans="1:11" ht="14.25" customHeight="1" x14ac:dyDescent="0.25">
      <c r="A7" s="18" t="s">
        <v>100</v>
      </c>
      <c r="B7" s="19">
        <v>2.9000000000000001E-2</v>
      </c>
      <c r="C7" s="18">
        <v>0</v>
      </c>
      <c r="D7" s="18">
        <v>0</v>
      </c>
      <c r="E7" s="18">
        <v>170000</v>
      </c>
      <c r="F7" s="18">
        <f t="shared" ref="F7:H7" si="5">B7*$E7</f>
        <v>4930</v>
      </c>
      <c r="G7" s="18">
        <f t="shared" si="5"/>
        <v>0</v>
      </c>
      <c r="H7" s="18">
        <f t="shared" si="5"/>
        <v>0</v>
      </c>
      <c r="I7" s="10">
        <f t="shared" si="1"/>
        <v>50</v>
      </c>
      <c r="J7" s="16">
        <f t="shared" si="2"/>
        <v>246500</v>
      </c>
      <c r="K7" s="16">
        <f t="shared" si="3"/>
        <v>0.27171973791499998</v>
      </c>
    </row>
    <row r="8" spans="1:11" ht="14.25" customHeight="1" x14ac:dyDescent="0.25">
      <c r="A8" s="18" t="s">
        <v>101</v>
      </c>
      <c r="B8" s="19">
        <v>2.5999999999999999E-2</v>
      </c>
      <c r="C8" s="18">
        <v>0</v>
      </c>
      <c r="D8" s="18">
        <v>0</v>
      </c>
      <c r="E8" s="18">
        <v>170000</v>
      </c>
      <c r="F8" s="18">
        <f t="shared" ref="F8:H8" si="6">B8*$E8</f>
        <v>4420</v>
      </c>
      <c r="G8" s="18">
        <f t="shared" si="6"/>
        <v>0</v>
      </c>
      <c r="H8" s="18">
        <f t="shared" si="6"/>
        <v>0</v>
      </c>
      <c r="I8" s="10">
        <f t="shared" si="1"/>
        <v>50</v>
      </c>
      <c r="J8" s="16">
        <f t="shared" si="2"/>
        <v>221000</v>
      </c>
      <c r="K8" s="16">
        <f t="shared" si="3"/>
        <v>0.24361079950999998</v>
      </c>
    </row>
    <row r="9" spans="1:11" ht="14.25" customHeight="1" x14ac:dyDescent="0.25">
      <c r="A9" s="18" t="s">
        <v>102</v>
      </c>
      <c r="B9" s="19">
        <v>0.114</v>
      </c>
      <c r="C9" s="18">
        <v>0</v>
      </c>
      <c r="D9" s="18">
        <v>0</v>
      </c>
      <c r="E9" s="20">
        <v>170000</v>
      </c>
      <c r="F9" s="18">
        <f t="shared" ref="F9:H9" si="7">B9*$E9</f>
        <v>19380</v>
      </c>
      <c r="G9" s="18">
        <f t="shared" si="7"/>
        <v>0</v>
      </c>
      <c r="H9" s="18">
        <f t="shared" si="7"/>
        <v>0</v>
      </c>
      <c r="I9" s="10">
        <f t="shared" si="1"/>
        <v>50</v>
      </c>
      <c r="J9" s="16">
        <f t="shared" si="2"/>
        <v>969000</v>
      </c>
      <c r="K9" s="16">
        <f t="shared" si="3"/>
        <v>1.0681396593899999</v>
      </c>
    </row>
    <row r="10" spans="1:11" ht="14.25" customHeight="1" x14ac:dyDescent="0.25">
      <c r="A10" s="18"/>
      <c r="B10" s="19"/>
      <c r="C10" s="18"/>
    </row>
    <row r="11" spans="1:11" ht="24" x14ac:dyDescent="0.4">
      <c r="A11" s="1" t="s">
        <v>109</v>
      </c>
    </row>
    <row r="12" spans="1:11" ht="14.25" customHeight="1" x14ac:dyDescent="0.25">
      <c r="A12" s="18" t="s">
        <v>93</v>
      </c>
      <c r="B12" s="10" t="s">
        <v>110</v>
      </c>
    </row>
    <row r="13" spans="1:11" ht="14.25" customHeight="1" x14ac:dyDescent="0.25">
      <c r="A13" s="18" t="s">
        <v>98</v>
      </c>
      <c r="B13" s="16">
        <f>K5+'GHG Calcs'!C13/2000</f>
        <v>34.127056685712901</v>
      </c>
    </row>
    <row r="14" spans="1:11" ht="14.25" customHeight="1" x14ac:dyDescent="0.25">
      <c r="A14" s="18" t="s">
        <v>99</v>
      </c>
      <c r="B14" s="16">
        <f>K6+'GHG Calcs'!D13/2000</f>
        <v>42.444342611102456</v>
      </c>
    </row>
    <row r="15" spans="1:11" ht="14.25" customHeight="1" x14ac:dyDescent="0.25">
      <c r="A15" s="18" t="s">
        <v>100</v>
      </c>
      <c r="B15" s="16">
        <f>K7+'GHG Calcs'!E13/2000</f>
        <v>0.30514367719883051</v>
      </c>
    </row>
    <row r="16" spans="1:11" ht="14.25" customHeight="1" x14ac:dyDescent="0.25">
      <c r="A16" s="18" t="s">
        <v>101</v>
      </c>
      <c r="B16" s="16">
        <f>K8+'GHG Calcs'!F13/2000</f>
        <v>0.27483567424785199</v>
      </c>
    </row>
    <row r="17" spans="1:2" ht="14.25" customHeight="1" x14ac:dyDescent="0.25">
      <c r="A17" s="18" t="s">
        <v>102</v>
      </c>
      <c r="B17" s="16">
        <f>K9+'GHG Calcs'!G13/2000</f>
        <v>1.2418944887486045</v>
      </c>
    </row>
    <row r="18" spans="1:2" ht="14.25" customHeight="1" x14ac:dyDescent="0.25"/>
    <row r="19" spans="1:2" ht="14.25" customHeight="1" x14ac:dyDescent="0.25"/>
    <row r="20" spans="1:2" ht="14.25" customHeight="1" x14ac:dyDescent="0.25"/>
    <row r="21" spans="1:2" ht="14.25" customHeight="1" x14ac:dyDescent="0.25"/>
    <row r="22" spans="1:2" ht="14.25" customHeight="1" x14ac:dyDescent="0.25"/>
    <row r="23" spans="1:2" ht="14.25" customHeight="1" x14ac:dyDescent="0.25"/>
    <row r="24" spans="1:2" ht="14.25" customHeight="1" x14ac:dyDescent="0.25"/>
    <row r="25" spans="1:2" ht="14.25" customHeight="1" x14ac:dyDescent="0.25"/>
    <row r="26" spans="1:2" ht="14.25" customHeight="1" x14ac:dyDescent="0.25"/>
    <row r="27" spans="1:2" ht="14.25" customHeight="1" x14ac:dyDescent="0.25"/>
    <row r="28" spans="1:2" ht="14.25" customHeight="1" x14ac:dyDescent="0.25"/>
    <row r="29" spans="1:2" ht="14.25" customHeight="1" x14ac:dyDescent="0.25"/>
    <row r="30" spans="1:2" ht="14.25" customHeight="1" x14ac:dyDescent="0.25"/>
    <row r="31" spans="1:2" ht="14.25" customHeight="1" x14ac:dyDescent="0.25"/>
    <row r="32" spans="1: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</sheetData>
  <mergeCells count="7">
    <mergeCell ref="J3:J4"/>
    <mergeCell ref="K3:K4"/>
    <mergeCell ref="A3:A4"/>
    <mergeCell ref="B3:D3"/>
    <mergeCell ref="E3:E4"/>
    <mergeCell ref="F3:H3"/>
    <mergeCell ref="I3:I4"/>
  </mergeCells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A252EBDF6F524FA1072FD16DBEC92E" ma:contentTypeVersion="20" ma:contentTypeDescription="Create a new document." ma:contentTypeScope="" ma:versionID="4618db940bb2365e21e0fb0c9378e3f8">
  <xsd:schema xmlns:xsd="http://www.w3.org/2001/XMLSchema" xmlns:xs="http://www.w3.org/2001/XMLSchema" xmlns:p="http://schemas.microsoft.com/office/2006/metadata/properties" xmlns:ns2="e4659101-95b7-4adb-821b-6722ac5be579" xmlns:ns3="76bbe881-14e6-49aa-b45f-14d5bad8d103" targetNamespace="http://schemas.microsoft.com/office/2006/metadata/properties" ma:root="true" ma:fieldsID="321e906a2c6f8a3581b758bd8da93d31" ns2:_="" ns3:_="">
    <xsd:import namespace="e4659101-95b7-4adb-821b-6722ac5be579"/>
    <xsd:import namespace="76bbe881-14e6-49aa-b45f-14d5bad8d1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Not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59101-95b7-4adb-821b-6722ac5be5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Notes" ma:index="24" nillable="true" ma:displayName="Notes" ma:format="Dropdown" ma:internalName="Notes">
      <xsd:simpleType>
        <xsd:restriction base="dms:Note">
          <xsd:maxLength value="255"/>
        </xsd:restriction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be881-14e6-49aa-b45f-14d5bad8d1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49e4eea-d76a-4f05-99ce-33de427adef9}" ma:internalName="TaxCatchAll" ma:showField="CatchAllData" ma:web="76bbe881-14e6-49aa-b45f-14d5bad8d1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6bbe881-14e6-49aa-b45f-14d5bad8d103" xsi:nil="true"/>
    <Notes xmlns="e4659101-95b7-4adb-821b-6722ac5be579" xsi:nil="true"/>
    <lcf76f155ced4ddcb4097134ff3c332f xmlns="e4659101-95b7-4adb-821b-6722ac5be57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EC4560-15B6-44FA-A7D9-999278D8BE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659101-95b7-4adb-821b-6722ac5be579"/>
    <ds:schemaRef ds:uri="76bbe881-14e6-49aa-b45f-14d5bad8d1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9D347E-33AB-462D-8502-27448110291B}">
  <ds:schemaRefs>
    <ds:schemaRef ds:uri="http://schemas.microsoft.com/office/2006/metadata/properties"/>
    <ds:schemaRef ds:uri="http://schemas.microsoft.com/office/infopath/2007/PartnerControls"/>
    <ds:schemaRef ds:uri="76bbe881-14e6-49aa-b45f-14d5bad8d103"/>
    <ds:schemaRef ds:uri="e4659101-95b7-4adb-821b-6722ac5be579"/>
  </ds:schemaRefs>
</ds:datastoreItem>
</file>

<file path=customXml/itemProps3.xml><?xml version="1.0" encoding="utf-8"?>
<ds:datastoreItem xmlns:ds="http://schemas.openxmlformats.org/officeDocument/2006/customXml" ds:itemID="{296DF2A5-D487-44F1-B869-CC347502A4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Costs</vt:lpstr>
      <vt:lpstr>GHG Calcs</vt:lpstr>
      <vt:lpstr>2030 Co-Pollutant Benefits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 Treece</dc:creator>
  <cp:lastModifiedBy>Gudgeon, Austin</cp:lastModifiedBy>
  <dcterms:created xsi:type="dcterms:W3CDTF">2024-03-01T19:42:00Z</dcterms:created>
  <dcterms:modified xsi:type="dcterms:W3CDTF">2024-03-23T16:47:22Z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2024-03-12T16:39:33Z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344117f3-8b0f-4874-afb3-cd2279a4600b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0x01010092A252EBDF6F524FA1072FD16DBEC92E</vt:lpwstr>
  </property>
</Properties>
</file>