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608A45EF-49B2-4289-91F4-7C11908CCD0B}" xr6:coauthVersionLast="47" xr6:coauthVersionMax="47" xr10:uidLastSave="{00000000-0000-0000-0000-000000000000}"/>
  <bookViews>
    <workbookView xWindow="28680" yWindow="-120" windowWidth="19440" windowHeight="14880" tabRatio="979" activeTab="2" xr2:uid="{AAC398A2-E95D-4231-A920-55B8B1C73F3F}"/>
  </bookViews>
  <sheets>
    <sheet name="Overview" sheetId="26" r:id="rId1"/>
    <sheet name="Consolidated Budget" sheetId="30" r:id="rId2"/>
    <sheet name="GC Program Budget" sheetId="32" r:id="rId3"/>
  </sheets>
  <definedNames>
    <definedName name="_xlnm._FilterDatabase" localSheetId="1" hidden="1">'Consolidated Budget'!#REF!</definedName>
    <definedName name="_xlnm._FilterDatabase" localSheetId="2" hidden="1">'GC Program Budget'!#REF!</definedName>
    <definedName name="_xlnm.Print_Area" localSheetId="2">'GC Program Budget'!$B$1:$J$71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1" i="32" l="1"/>
  <c r="D23" i="30"/>
  <c r="E16" i="30"/>
  <c r="F16" i="30"/>
  <c r="G16" i="30"/>
  <c r="H16" i="30"/>
  <c r="D16" i="30"/>
  <c r="E13" i="30"/>
  <c r="F13" i="30"/>
  <c r="G13" i="30"/>
  <c r="H13" i="30"/>
  <c r="D13" i="30"/>
  <c r="E12" i="30"/>
  <c r="F12" i="30"/>
  <c r="G12" i="30"/>
  <c r="H12" i="30"/>
  <c r="D12" i="30"/>
  <c r="E11" i="30"/>
  <c r="F11" i="30"/>
  <c r="G11" i="30"/>
  <c r="H11" i="30"/>
  <c r="D11" i="30"/>
  <c r="E10" i="30"/>
  <c r="F10" i="30"/>
  <c r="G10" i="30"/>
  <c r="H10" i="30"/>
  <c r="D10" i="30"/>
  <c r="E9" i="30"/>
  <c r="F9" i="30"/>
  <c r="G9" i="30"/>
  <c r="H9" i="30"/>
  <c r="D9" i="30"/>
  <c r="E8" i="30"/>
  <c r="F8" i="30"/>
  <c r="G8" i="30"/>
  <c r="H8" i="30"/>
  <c r="D8" i="30"/>
  <c r="E7" i="30"/>
  <c r="F7" i="30"/>
  <c r="G7" i="30"/>
  <c r="H7" i="30"/>
  <c r="D7" i="30"/>
  <c r="H24" i="32"/>
  <c r="E28" i="32"/>
  <c r="F28" i="32" s="1"/>
  <c r="G28" i="32" s="1"/>
  <c r="H28" i="32" s="1"/>
  <c r="E31" i="32"/>
  <c r="F31" i="32" s="1"/>
  <c r="G31" i="32" s="1"/>
  <c r="H31" i="32" s="1"/>
  <c r="D63" i="32"/>
  <c r="J58" i="32"/>
  <c r="J59" i="32"/>
  <c r="E62" i="32"/>
  <c r="F62" i="32" s="1"/>
  <c r="E61" i="32"/>
  <c r="E60" i="32"/>
  <c r="F53" i="32"/>
  <c r="G53" i="32" s="1"/>
  <c r="H53" i="32" s="1"/>
  <c r="H56" i="32" s="1"/>
  <c r="D38" i="32"/>
  <c r="E32" i="32"/>
  <c r="F32" i="32" s="1"/>
  <c r="G32" i="32" s="1"/>
  <c r="H32" i="32" s="1"/>
  <c r="J32" i="32" s="1"/>
  <c r="E33" i="32"/>
  <c r="F33" i="32" s="1"/>
  <c r="G33" i="32" s="1"/>
  <c r="E34" i="32"/>
  <c r="F34" i="32" s="1"/>
  <c r="G34" i="32" s="1"/>
  <c r="H34" i="32" s="1"/>
  <c r="J34" i="32" s="1"/>
  <c r="E35" i="32"/>
  <c r="F35" i="32" s="1"/>
  <c r="G35" i="32" s="1"/>
  <c r="H35" i="32" s="1"/>
  <c r="E40" i="32"/>
  <c r="E41" i="32"/>
  <c r="F41" i="32" s="1"/>
  <c r="G41" i="32" s="1"/>
  <c r="H41" i="32" s="1"/>
  <c r="E30" i="32"/>
  <c r="F30" i="32" s="1"/>
  <c r="G30" i="32" s="1"/>
  <c r="D39" i="32"/>
  <c r="E39" i="32" s="1"/>
  <c r="D37" i="32"/>
  <c r="E37" i="32" s="1"/>
  <c r="F37" i="32" s="1"/>
  <c r="G37" i="32" s="1"/>
  <c r="D36" i="32"/>
  <c r="E36" i="32" s="1"/>
  <c r="F36" i="32" s="1"/>
  <c r="H12" i="32"/>
  <c r="H22" i="32" s="1"/>
  <c r="G12" i="32"/>
  <c r="F12" i="32"/>
  <c r="E12" i="32"/>
  <c r="J9" i="32"/>
  <c r="J10" i="32"/>
  <c r="J11" i="32"/>
  <c r="J15" i="32"/>
  <c r="J16" i="32"/>
  <c r="J17" i="32"/>
  <c r="J18" i="32"/>
  <c r="J19" i="32"/>
  <c r="J20" i="32"/>
  <c r="J21" i="32"/>
  <c r="J48" i="32"/>
  <c r="D47" i="32"/>
  <c r="J47" i="32" s="1"/>
  <c r="J68" i="32"/>
  <c r="E56" i="32"/>
  <c r="D56" i="32"/>
  <c r="J55" i="32"/>
  <c r="J54" i="32"/>
  <c r="J52" i="32"/>
  <c r="H50" i="32"/>
  <c r="G50" i="32"/>
  <c r="F50" i="32"/>
  <c r="E50" i="32"/>
  <c r="J49" i="32"/>
  <c r="H45" i="32"/>
  <c r="G45" i="32"/>
  <c r="F45" i="32"/>
  <c r="E45" i="32"/>
  <c r="D45" i="32"/>
  <c r="J44" i="32"/>
  <c r="E63" i="32" l="1"/>
  <c r="D50" i="32"/>
  <c r="F56" i="32"/>
  <c r="J56" i="32" s="1"/>
  <c r="J28" i="32"/>
  <c r="G62" i="32"/>
  <c r="H62" i="32" s="1"/>
  <c r="F61" i="32"/>
  <c r="G61" i="32" s="1"/>
  <c r="H61" i="32" s="1"/>
  <c r="F60" i="32"/>
  <c r="G36" i="32"/>
  <c r="H36" i="32" s="1"/>
  <c r="D42" i="32"/>
  <c r="G56" i="32"/>
  <c r="J53" i="32"/>
  <c r="E38" i="32"/>
  <c r="F40" i="32"/>
  <c r="G40" i="32" s="1"/>
  <c r="H40" i="32" s="1"/>
  <c r="F39" i="32"/>
  <c r="G39" i="32" s="1"/>
  <c r="H33" i="32"/>
  <c r="J33" i="32" s="1"/>
  <c r="H37" i="32"/>
  <c r="J37" i="32" s="1"/>
  <c r="J31" i="32"/>
  <c r="H30" i="32"/>
  <c r="J30" i="32"/>
  <c r="J12" i="32"/>
  <c r="D22" i="32"/>
  <c r="D24" i="32" s="1"/>
  <c r="J45" i="32"/>
  <c r="J50" i="32"/>
  <c r="J10" i="30"/>
  <c r="J16" i="30"/>
  <c r="F38" i="32" l="1"/>
  <c r="E42" i="32"/>
  <c r="F63" i="32"/>
  <c r="D26" i="32"/>
  <c r="D64" i="32" s="1"/>
  <c r="J62" i="32"/>
  <c r="G60" i="32"/>
  <c r="G63" i="32" s="1"/>
  <c r="J61" i="32"/>
  <c r="J36" i="32"/>
  <c r="H39" i="32"/>
  <c r="J39" i="32" s="1"/>
  <c r="J40" i="32"/>
  <c r="J11" i="30"/>
  <c r="E14" i="30"/>
  <c r="E18" i="30" s="1"/>
  <c r="J12" i="30"/>
  <c r="F14" i="30"/>
  <c r="F18" i="30" s="1"/>
  <c r="J9" i="30"/>
  <c r="J8" i="30"/>
  <c r="G14" i="30"/>
  <c r="G18" i="30" s="1"/>
  <c r="J7" i="30"/>
  <c r="H14" i="30"/>
  <c r="H18" i="30" s="1"/>
  <c r="D14" i="30"/>
  <c r="J13" i="30"/>
  <c r="G38" i="32" l="1"/>
  <c r="F42" i="32"/>
  <c r="D67" i="32"/>
  <c r="H60" i="32"/>
  <c r="J14" i="30"/>
  <c r="J18" i="30" s="1"/>
  <c r="D18" i="30"/>
  <c r="D29" i="30"/>
  <c r="H38" i="32" l="1"/>
  <c r="H42" i="32" s="1"/>
  <c r="G42" i="32"/>
  <c r="D69" i="32"/>
  <c r="H63" i="32"/>
  <c r="J63" i="32" s="1"/>
  <c r="J60" i="32"/>
  <c r="E23" i="30"/>
  <c r="J42" i="32" l="1"/>
  <c r="J38" i="32"/>
  <c r="D71" i="32"/>
  <c r="E29" i="30"/>
  <c r="E22" i="32" l="1"/>
  <c r="E24" i="32" s="1"/>
  <c r="E26" i="32" l="1"/>
  <c r="E64" i="32" s="1"/>
  <c r="E67" i="32" l="1"/>
  <c r="F22" i="32"/>
  <c r="F24" i="32" s="1"/>
  <c r="F26" i="32" l="1"/>
  <c r="F64" i="32" s="1"/>
  <c r="E69" i="32"/>
  <c r="G22" i="32"/>
  <c r="G24" i="32" s="1"/>
  <c r="F67" i="32" l="1"/>
  <c r="F69" i="32" s="1"/>
  <c r="F71" i="32" s="1"/>
  <c r="E71" i="32"/>
  <c r="G26" i="32"/>
  <c r="G64" i="32" s="1"/>
  <c r="J14" i="32"/>
  <c r="J13" i="32"/>
  <c r="G67" i="32" l="1"/>
  <c r="G69" i="32" s="1"/>
  <c r="J22" i="32"/>
  <c r="J24" i="32"/>
  <c r="J26" i="32" s="1"/>
  <c r="H26" i="32"/>
  <c r="G71" i="32" l="1"/>
  <c r="H64" i="32"/>
  <c r="J64" i="32" s="1"/>
  <c r="H67" i="32"/>
  <c r="H69" i="32" l="1"/>
  <c r="J67" i="32"/>
  <c r="H71" i="32" l="1"/>
  <c r="J69" i="32"/>
</calcChain>
</file>

<file path=xl/sharedStrings.xml><?xml version="1.0" encoding="utf-8"?>
<sst xmlns="http://schemas.openxmlformats.org/spreadsheetml/2006/main" count="119" uniqueCount="79">
  <si>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</si>
  <si>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</si>
  <si>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</si>
  <si>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</si>
  <si>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</si>
  <si>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</si>
  <si>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</si>
  <si>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</si>
  <si>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</si>
  <si>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</si>
  <si>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</si>
  <si>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</si>
  <si>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</si>
  <si>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</si>
  <si>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</si>
  <si>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</si>
  <si>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</si>
  <si>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</si>
  <si>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</si>
  <si>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</si>
  <si>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</si>
  <si>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</si>
  <si>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</si>
  <si>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</si>
  <si>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</si>
  <si>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</si>
  <si>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</si>
  <si>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</si>
  <si>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</si>
  <si>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 </t>
  </si>
  <si>
    <t xml:space="preserve"> Fringe Benefits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</si>
  <si>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</si>
  <si>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</si>
  <si>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</si>
  <si>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</si>
  <si>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</si>
  <si>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</si>
  <si>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Luggage Fees - $25 per flight @ 2 flights per year</t>
  </si>
  <si>
    <t>Per Diem - $71 per day @ 3.5 days per year</t>
  </si>
  <si>
    <t>Full-time Employees @ 50% of salary</t>
  </si>
  <si>
    <t>Meeting Materials</t>
  </si>
  <si>
    <t>Office Supplies</t>
  </si>
  <si>
    <t>Mileage for local travel (9000 miles per year at $0.66/mi)</t>
  </si>
  <si>
    <t>Senior Advisor (Existing) @ $104,121/yr, .5FTE in year 1, .33FTE in years 2-5, with salary increase</t>
  </si>
  <si>
    <t>GHG Technical Advisor (Existing) @ $82,914/yr, 80 hours/year</t>
  </si>
  <si>
    <t>Project Manager and Technical Lead (New) @ $93,771/yr, 1FTE, (0.5 FTE year one), with salary increase</t>
  </si>
  <si>
    <t>Executive Assistant (Existing) @ $67,445/yr, 80 hours/year, with salary increase</t>
  </si>
  <si>
    <t>Techcnical Grant Writer (New) @ $87,301/yr, 1FTE, (0.5 FTE year one), with salary increase</t>
  </si>
  <si>
    <t>Outreach Coordinator (New) @ $81,276/yr, 1FTE, (0.5 FTE year one), with salary increase</t>
  </si>
  <si>
    <t>Deputy COO (Existing) @ $220,935/yr, 20 hours/year, with salary increase</t>
  </si>
  <si>
    <t>Managing Director (Existing) @ $160,198/yr, 20 hours/year, with salary increase</t>
  </si>
  <si>
    <t>Climate and Resilience Manager (Existing) @ $142,041/yr, 120 hours/year, with salary increase</t>
  </si>
  <si>
    <t>Financial Services Administrator (Existing) @ $154,193/yr, 40 hours/year, with salary increase</t>
  </si>
  <si>
    <t>Senior Financial Analyst (Existing) @ $104,442/yr, 14 hours/year, with salary increase</t>
  </si>
  <si>
    <t>Financial Analyst (Existing) @ $69,293/yr, 14 hours/year, with salary increase</t>
  </si>
  <si>
    <t>3 Fellows (New) @  $60,205/yr (2-year Fellowships; starting Year 2)</t>
  </si>
  <si>
    <t>Airfare - $500 roundtrip @ 1 roundtrip per year</t>
  </si>
  <si>
    <t>"Peer Learning" via 1, 3-day trip per year to other City/Region:</t>
  </si>
  <si>
    <t>Taxi/Transit - $100 per year</t>
  </si>
  <si>
    <t>Airfare - $500 roundtrip @ 2 roundtrip per year</t>
  </si>
  <si>
    <t>Luggage Fees - $25 per flight @ 4 flights per year</t>
  </si>
  <si>
    <t>Per Diem - $71 per day @ 3.5 days per year for 2 people</t>
  </si>
  <si>
    <t xml:space="preserve"> Travel (assumes 3% increase in cost per year)</t>
  </si>
  <si>
    <t>Hotel - $250 per day @ 3 days per year</t>
  </si>
  <si>
    <t>Hotel - $250 per day @ 3 days per year for 2 people</t>
  </si>
  <si>
    <t>Contractor to develop online Green Communities Program webbased platform and dashboard</t>
  </si>
  <si>
    <t>Contractor support for additional communication, web-based, or technical needs (assumes 3% increase per year)</t>
  </si>
  <si>
    <t>Rent</t>
  </si>
  <si>
    <t>IT</t>
  </si>
  <si>
    <t>Printing, etc.</t>
  </si>
  <si>
    <t>Annual Summit</t>
  </si>
  <si>
    <t>National Conference Registration Fees</t>
  </si>
  <si>
    <t>Full-Time Employees @ 33.2% of Salary + Fringe</t>
  </si>
  <si>
    <t>"National Conference Attendance" for 2 people, via 1, 3-day trip per year:</t>
  </si>
  <si>
    <t xml:space="preserve">Personnel </t>
  </si>
  <si>
    <r>
      <t xml:space="preserve">Note: ARC salaries listed in Column C are based on an annual year of 1,950 hours, inclusive of holidays and leave; what is shown in Columns D-H uses </t>
    </r>
    <r>
      <rPr>
        <b/>
        <i/>
        <sz val="11"/>
        <color theme="1"/>
        <rFont val="Calibri"/>
        <family val="2"/>
        <scheme val="minor"/>
      </rPr>
      <t>raw</t>
    </r>
    <r>
      <rPr>
        <b/>
        <sz val="11"/>
        <color theme="1"/>
        <rFont val="Calibri"/>
        <family val="2"/>
        <scheme val="minor"/>
      </rPr>
      <t xml:space="preserve"> annual salaries based on an ARC annual work year of 1,777 hours</t>
    </r>
  </si>
  <si>
    <t>Green Communities Program</t>
  </si>
  <si>
    <t>ARC Enhanced Green Communities Detailed Budget Table</t>
  </si>
  <si>
    <t xml:space="preserve">6 Laptop Computers and Stations @ $2,500 each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</si>
</sst>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9" fillId="0" borderId="11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1" xfId="0" applyFont="1" applyBorder="1" applyAlignment="1">
      <alignment vertical="top"/>
    </xf>
    <xf numFmtId="0" fontId="12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0" fontId="11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0" fontId="11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1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9" fillId="0" borderId="19" xfId="0" applyNumberFormat="1" applyFont="1" applyBorder="1" applyAlignment="1">
      <alignment wrapText="1"/>
    </xf>
    <xf numFmtId="0" fontId="9" fillId="0" borderId="0" xfId="0" applyFont="1"/>
    <xf numFmtId="0" fontId="9" fillId="3" borderId="20" xfId="0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9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6" fontId="9" fillId="0" borderId="1" xfId="0" applyNumberFormat="1" applyFont="1" applyBorder="1" applyAlignment="1">
      <alignment wrapText="1"/>
    </xf>
    <xf numFmtId="0" fontId="0" fillId="0" borderId="5" xfId="0" applyBorder="1"/>
    <xf numFmtId="0" fontId="2" fillId="0" borderId="5" xfId="0" applyFont="1" applyBorder="1" applyAlignment="1">
      <alignment vertical="top"/>
    </xf>
    <xf numFmtId="164" fontId="6" fillId="4" borderId="1" xfId="1" applyNumberFormat="1" applyFont="1" applyFill="1" applyBorder="1" applyAlignment="1">
      <alignment wrapText="1"/>
    </xf>
    <xf numFmtId="6" fontId="3" fillId="0" borderId="1" xfId="0" applyNumberFormat="1" applyFont="1" applyBorder="1" applyAlignment="1">
      <alignment wrapText="1"/>
    </xf>
    <xf numFmtId="0" fontId="0" fillId="4" borderId="1" xfId="0" applyFill="1" applyBorder="1" applyAlignment="1">
      <alignment wrapText="1"/>
    </xf>
    <xf numFmtId="6" fontId="3" fillId="4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left" wrapText="1" indent="2"/>
    </xf>
    <xf numFmtId="6" fontId="0" fillId="0" borderId="1" xfId="0" applyNumberFormat="1" applyBorder="1" applyAlignment="1">
      <alignment wrapText="1"/>
    </xf>
    <xf numFmtId="0" fontId="3" fillId="0" borderId="1" xfId="0" applyFont="1" applyBorder="1" applyAlignment="1">
      <alignment horizontal="left" wrapText="1" indent="4"/>
    </xf>
    <xf numFmtId="6" fontId="3" fillId="4" borderId="4" xfId="0" applyNumberFormat="1" applyFont="1" applyFill="1" applyBorder="1" applyAlignment="1">
      <alignment wrapText="1"/>
    </xf>
    <xf numFmtId="164" fontId="3" fillId="4" borderId="1" xfId="0" applyNumberFormat="1" applyFont="1" applyFill="1" applyBorder="1" applyAlignment="1">
      <alignment wrapText="1"/>
    </xf>
    <xf numFmtId="8" fontId="3" fillId="0" borderId="1" xfId="0" applyNumberFormat="1" applyFont="1" applyBorder="1" applyAlignment="1">
      <alignment wrapText="1"/>
    </xf>
    <xf numFmtId="0" fontId="2" fillId="0" borderId="11" xfId="0" applyFont="1" applyBorder="1" applyAlignment="1">
      <alignment wrapText="1"/>
    </xf>
    <xf numFmtId="6" fontId="13" fillId="0" borderId="12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6" fontId="3" fillId="7" borderId="1" xfId="0" applyNumberFormat="1" applyFont="1" applyFill="1" applyBorder="1" applyAlignment="1">
      <alignment wrapText="1"/>
    </xf>
    <xf numFmtId="0" fontId="0" fillId="8" borderId="0" xfId="0" applyFont="1" applyFill="1"/>
    <xf numFmtId="0" fontId="0" fillId="0" borderId="0" xfId="0" applyFont="1"/>
    <xf numFmtId="6" fontId="3" fillId="7" borderId="1" xfId="0" applyNumberFormat="1" applyFont="1" applyFill="1" applyBorder="1" applyAlignment="1">
      <alignment horizontal="left" vertical="top" wrapText="1"/>
    </xf>
    <xf numFmtId="6" fontId="3" fillId="7" borderId="8" xfId="0" applyNumberFormat="1" applyFont="1" applyFill="1" applyBorder="1" applyAlignment="1">
      <alignment wrapText="1"/>
    </xf>
    <xf numFmtId="9" fontId="3" fillId="7" borderId="1" xfId="2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5" x14ac:dyDescent="0.35"/>
  <cols>
    <col min="1" max="1" width="1.81640625" customWidth="1"/>
    <col min="5" max="5" width="13.453125" bestFit="1" customWidth="1"/>
    <col min="6" max="6" width="14.453125" bestFit="1" customWidth="1"/>
    <col min="7" max="9" width="14.453125" customWidth="1"/>
    <col min="10" max="10" width="10.81640625" bestFit="1" customWidth="1"/>
    <col min="11" max="11" width="15.54296875" customWidth="1"/>
    <col min="18" max="18" width="37.54296875" customWidth="1"/>
  </cols>
  <sheetData>
    <row r="1" spans="4:11" ht="10.5" customHeight="1" x14ac:dyDescent="0.35"/>
    <row r="2" spans="4:11" x14ac:dyDescent="0.35">
      <c r="D2" s="3"/>
      <c r="E2" s="3"/>
      <c r="J2" s="22"/>
      <c r="K2" s="3"/>
    </row>
    <row r="3" spans="4:11" x14ac:dyDescent="0.35">
      <c r="D3" s="3"/>
      <c r="E3" s="3"/>
      <c r="J3" s="20"/>
      <c r="K3" s="21"/>
    </row>
    <row r="4" spans="4:11" x14ac:dyDescent="0.35">
      <c r="D4" s="4"/>
      <c r="E4" s="3"/>
    </row>
    <row r="9" spans="4:11" x14ac:dyDescent="0.35">
      <c r="J9" s="14"/>
    </row>
    <row r="17" spans="5:18" x14ac:dyDescent="0.35">
      <c r="E17" s="23"/>
      <c r="F17" s="23"/>
      <c r="G17" s="23"/>
      <c r="H17" s="23"/>
      <c r="I17" s="23"/>
    </row>
    <row r="18" spans="5:18" x14ac:dyDescent="0.35">
      <c r="E18" s="23"/>
      <c r="F18" s="23"/>
      <c r="G18" s="23"/>
      <c r="H18" s="23"/>
      <c r="I18" s="23"/>
    </row>
    <row r="27" spans="5:18" ht="23.5" x14ac:dyDescent="0.55000000000000004">
      <c r="Q27" s="19"/>
    </row>
    <row r="28" spans="5:18" x14ac:dyDescent="0.35">
      <c r="Q28" s="43"/>
      <c r="R28" s="4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C23" sqref="C23:F29"/>
    </sheetView>
  </sheetViews>
  <sheetFormatPr defaultColWidth="9.1796875" defaultRowHeight="15" customHeight="1" x14ac:dyDescent="0.35"/>
  <cols>
    <col min="1" max="1" width="3.1796875" customWidth="1"/>
    <col min="2" max="2" width="12.1796875" customWidth="1"/>
    <col min="3" max="3" width="29.1796875" customWidth="1"/>
    <col min="4" max="4" width="12.81640625" style="6" bestFit="1" customWidth="1"/>
    <col min="5" max="5" width="11.81640625" style="2" customWidth="1"/>
    <col min="6" max="6" width="12.1796875" customWidth="1"/>
    <col min="7" max="7" width="11.453125" customWidth="1"/>
    <col min="8" max="8" width="12" style="2" customWidth="1"/>
    <col min="9" max="9" width="3.54296875" style="7" customWidth="1"/>
    <col min="10" max="10" width="14.26953125" bestFit="1" customWidth="1"/>
    <col min="11" max="11" width="10.1796875" customWidth="1"/>
  </cols>
  <sheetData>
    <row r="2" spans="2:39" ht="23.5" x14ac:dyDescent="0.55000000000000004">
      <c r="B2" s="19" t="s">
        <v>0</v>
      </c>
    </row>
    <row r="3" spans="2:39" ht="26.5" customHeight="1" x14ac:dyDescent="0.35">
      <c r="B3" s="67" t="s">
        <v>1</v>
      </c>
      <c r="C3" s="67"/>
      <c r="D3" s="67"/>
      <c r="E3" s="67"/>
      <c r="F3" s="67"/>
      <c r="G3" s="67"/>
      <c r="H3" s="67"/>
      <c r="I3" s="67"/>
      <c r="J3" s="67"/>
    </row>
    <row r="4" spans="2:39" ht="15" customHeight="1" x14ac:dyDescent="0.35">
      <c r="B4" s="5"/>
    </row>
    <row r="5" spans="2:39" ht="18.5" x14ac:dyDescent="0.45">
      <c r="B5" s="32" t="s">
        <v>2</v>
      </c>
      <c r="C5" s="33"/>
      <c r="D5" s="33"/>
      <c r="E5" s="33"/>
      <c r="F5" s="33"/>
      <c r="G5" s="33"/>
      <c r="H5" s="33"/>
      <c r="I5" s="33"/>
      <c r="J5" s="47"/>
    </row>
    <row r="6" spans="2:39" ht="17.149999999999999" customHeight="1" x14ac:dyDescent="0.35">
      <c r="B6" s="34" t="s">
        <v>3</v>
      </c>
      <c r="C6" s="34" t="s">
        <v>4</v>
      </c>
      <c r="D6" s="34" t="s">
        <v>5</v>
      </c>
      <c r="E6" s="35" t="s">
        <v>6</v>
      </c>
      <c r="F6" s="35" t="s">
        <v>7</v>
      </c>
      <c r="G6" s="35" t="s">
        <v>8</v>
      </c>
      <c r="H6" s="36" t="s">
        <v>9</v>
      </c>
      <c r="I6" s="37"/>
      <c r="J6" s="48" t="s">
        <v>10</v>
      </c>
    </row>
    <row r="7" spans="2:39" s="5" customFormat="1" ht="14.5" x14ac:dyDescent="0.35">
      <c r="B7" s="15" t="s">
        <v>11</v>
      </c>
      <c r="C7" s="38" t="s">
        <v>12</v>
      </c>
      <c r="D7" s="73">
        <f>'GC Program Budget'!D22</f>
        <v>190207.04099487179</v>
      </c>
      <c r="E7" s="73">
        <f>'GC Program Budget'!E22</f>
        <v>488455.24872639589</v>
      </c>
      <c r="F7" s="73">
        <f>'GC Program Budget'!F22</f>
        <v>503108.90618818771</v>
      </c>
      <c r="G7" s="73">
        <f>'GC Program Budget'!G22</f>
        <v>518202.17337383342</v>
      </c>
      <c r="H7" s="73">
        <f>'GC Program Budget'!H22</f>
        <v>533748.2385750484</v>
      </c>
      <c r="I7" s="74"/>
      <c r="J7" s="73">
        <f>SUM(D7:I7)</f>
        <v>2233721.607858337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16"/>
      <c r="C8" s="38" t="s">
        <v>13</v>
      </c>
      <c r="D8" s="73">
        <f>'GC Program Budget'!D26</f>
        <v>95103.520497435893</v>
      </c>
      <c r="E8" s="73">
        <f>'GC Program Budget'!E26</f>
        <v>244227.62436319795</v>
      </c>
      <c r="F8" s="73">
        <f>'GC Program Budget'!F26</f>
        <v>251554.45309409386</v>
      </c>
      <c r="G8" s="73">
        <f>'GC Program Budget'!G26</f>
        <v>259101.08668691671</v>
      </c>
      <c r="H8" s="73">
        <f>'GC Program Budget'!H26</f>
        <v>266874.1192875242</v>
      </c>
      <c r="I8" s="74"/>
      <c r="J8" s="73">
        <f t="shared" ref="J8:J14" si="0">SUM(D8:I8)</f>
        <v>1116860.8039291685</v>
      </c>
    </row>
    <row r="9" spans="2:39" ht="14.5" x14ac:dyDescent="0.35">
      <c r="B9" s="16"/>
      <c r="C9" s="38" t="s">
        <v>14</v>
      </c>
      <c r="D9" s="73">
        <f>'GC Program Budget'!D42</f>
        <v>10784</v>
      </c>
      <c r="E9" s="73">
        <f>'GC Program Budget'!E42</f>
        <v>11107.519999999999</v>
      </c>
      <c r="F9" s="73">
        <f>'GC Program Budget'!F42</f>
        <v>11440.745600000002</v>
      </c>
      <c r="G9" s="73">
        <f>'GC Program Budget'!G42</f>
        <v>11783.967968000001</v>
      </c>
      <c r="H9" s="73">
        <f>'GC Program Budget'!H42</f>
        <v>12137.487007039999</v>
      </c>
      <c r="I9" s="74"/>
      <c r="J9" s="73">
        <f t="shared" si="0"/>
        <v>57253.720575039995</v>
      </c>
    </row>
    <row r="10" spans="2:39" ht="14.5" x14ac:dyDescent="0.35">
      <c r="B10" s="16"/>
      <c r="C10" s="38" t="s">
        <v>15</v>
      </c>
      <c r="D10" s="73">
        <f>'GC Program Budget'!D45</f>
        <v>0</v>
      </c>
      <c r="E10" s="73">
        <f>'GC Program Budget'!E45</f>
        <v>0</v>
      </c>
      <c r="F10" s="73">
        <f>'GC Program Budget'!F45</f>
        <v>0</v>
      </c>
      <c r="G10" s="73">
        <f>'GC Program Budget'!G45</f>
        <v>0</v>
      </c>
      <c r="H10" s="73">
        <f>'GC Program Budget'!H45</f>
        <v>0</v>
      </c>
      <c r="I10" s="74"/>
      <c r="J10" s="73">
        <f t="shared" si="0"/>
        <v>0</v>
      </c>
    </row>
    <row r="11" spans="2:39" ht="14.5" x14ac:dyDescent="0.35">
      <c r="B11" s="16"/>
      <c r="C11" s="38" t="s">
        <v>16</v>
      </c>
      <c r="D11" s="73">
        <f>'GC Program Budget'!D50</f>
        <v>16000</v>
      </c>
      <c r="E11" s="73">
        <f>'GC Program Budget'!E50</f>
        <v>1545</v>
      </c>
      <c r="F11" s="73">
        <f>'GC Program Budget'!F50</f>
        <v>1591</v>
      </c>
      <c r="G11" s="73">
        <f>'GC Program Budget'!G50</f>
        <v>1639</v>
      </c>
      <c r="H11" s="73">
        <f>'GC Program Budget'!H50</f>
        <v>1689</v>
      </c>
      <c r="I11" s="74"/>
      <c r="J11" s="73">
        <f t="shared" si="0"/>
        <v>22464</v>
      </c>
    </row>
    <row r="12" spans="2:39" ht="14.5" x14ac:dyDescent="0.35">
      <c r="B12" s="16"/>
      <c r="C12" s="38" t="s">
        <v>17</v>
      </c>
      <c r="D12" s="73">
        <f>'GC Program Budget'!D56</f>
        <v>100000</v>
      </c>
      <c r="E12" s="73">
        <f>'GC Program Budget'!E56</f>
        <v>20000</v>
      </c>
      <c r="F12" s="73">
        <f>'GC Program Budget'!F56</f>
        <v>20600</v>
      </c>
      <c r="G12" s="73">
        <f>'GC Program Budget'!G56</f>
        <v>21218</v>
      </c>
      <c r="H12" s="73">
        <f>'GC Program Budget'!H56</f>
        <v>21854.54</v>
      </c>
      <c r="I12" s="74"/>
      <c r="J12" s="73">
        <f t="shared" si="0"/>
        <v>183672.54</v>
      </c>
    </row>
    <row r="13" spans="2:39" ht="14.5" x14ac:dyDescent="0.35">
      <c r="B13" s="16"/>
      <c r="C13" s="38" t="s">
        <v>18</v>
      </c>
      <c r="D13" s="73">
        <f>'GC Program Budget'!D63</f>
        <v>83996.244791634512</v>
      </c>
      <c r="E13" s="73">
        <f>'GC Program Budget'!E63</f>
        <v>86516.132135383552</v>
      </c>
      <c r="F13" s="73">
        <f>'GC Program Budget'!F63</f>
        <v>89111.616099445047</v>
      </c>
      <c r="G13" s="73">
        <f>'GC Program Budget'!G63</f>
        <v>91784.964582428409</v>
      </c>
      <c r="H13" s="73">
        <f>'GC Program Budget'!H63</f>
        <v>94538.513519901273</v>
      </c>
      <c r="I13" s="74"/>
      <c r="J13" s="73">
        <f t="shared" si="0"/>
        <v>445947.47112879273</v>
      </c>
    </row>
    <row r="14" spans="2:39" ht="14.5" x14ac:dyDescent="0.35">
      <c r="B14" s="17"/>
      <c r="C14" s="9" t="s">
        <v>19</v>
      </c>
      <c r="D14" s="55">
        <f>D13+D12+D11+D10+D9+D8+D7</f>
        <v>496090.80628394219</v>
      </c>
      <c r="E14" s="55">
        <f>E13+E12+E11+E10+E9+E8+E7</f>
        <v>851851.52522497741</v>
      </c>
      <c r="F14" s="55">
        <f>F13+F12+F11+F10+F9+F8+F7</f>
        <v>877406.72098172666</v>
      </c>
      <c r="G14" s="55">
        <f>G13+G12+G11+G10+G9+G8+G7</f>
        <v>903729.1926111785</v>
      </c>
      <c r="H14" s="55">
        <f>H13+H12+H11+H10+H9+H8+H7</f>
        <v>930841.89838951384</v>
      </c>
      <c r="I14" s="75"/>
      <c r="J14" s="55">
        <f t="shared" si="0"/>
        <v>4059920.143491338</v>
      </c>
    </row>
    <row r="15" spans="2:39" ht="14.5" x14ac:dyDescent="0.35">
      <c r="B15" s="46"/>
      <c r="D15"/>
      <c r="E15"/>
      <c r="H15"/>
      <c r="I15"/>
      <c r="J15" s="12" t="s">
        <v>20</v>
      </c>
    </row>
    <row r="16" spans="2:39" ht="20.149999999999999" customHeight="1" x14ac:dyDescent="0.35">
      <c r="B16" s="46"/>
      <c r="C16" s="9" t="s">
        <v>21</v>
      </c>
      <c r="D16" s="42">
        <f>'GC Program Budget'!D69</f>
        <v>94723.106415446164</v>
      </c>
      <c r="E16" s="42">
        <f>'GC Program Budget'!E69</f>
        <v>243250.71386574517</v>
      </c>
      <c r="F16" s="42">
        <f>'GC Program Budget'!F69</f>
        <v>250548.2352817175</v>
      </c>
      <c r="G16" s="42">
        <f>'GC Program Budget'!G69</f>
        <v>258064.68234016906</v>
      </c>
      <c r="H16" s="42">
        <f>'GC Program Budget'!H69</f>
        <v>265806.62281037413</v>
      </c>
      <c r="J16" s="52">
        <f>SUM(D16:H16)</f>
        <v>1112393.3607134521</v>
      </c>
    </row>
    <row r="17" spans="2:10" thickBot="1" x14ac:dyDescent="0.4">
      <c r="B17" s="46"/>
      <c r="D17"/>
      <c r="E17"/>
      <c r="H17"/>
      <c r="I17"/>
      <c r="J17" s="12" t="s">
        <v>20</v>
      </c>
    </row>
    <row r="18" spans="2:10" ht="31" customHeight="1" thickBot="1" x14ac:dyDescent="0.4">
      <c r="B18" s="45" t="s">
        <v>22</v>
      </c>
      <c r="C18" s="13"/>
      <c r="D18" s="39">
        <f>D14+D16</f>
        <v>590813.91269938834</v>
      </c>
      <c r="E18" s="39">
        <f>E14+E16</f>
        <v>1095102.2390907225</v>
      </c>
      <c r="F18" s="39">
        <f>F14+F16</f>
        <v>1127954.9562634442</v>
      </c>
      <c r="G18" s="39">
        <f>G14+G16</f>
        <v>1161793.8749513475</v>
      </c>
      <c r="H18" s="39">
        <f>H14+H16</f>
        <v>1196648.5211998881</v>
      </c>
      <c r="I18" s="40"/>
      <c r="J18" s="49">
        <f>J14+J16</f>
        <v>5172313.5042047901</v>
      </c>
    </row>
    <row r="19" spans="2:10" s="1" customFormat="1" ht="14.5" x14ac:dyDescent="0.3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5">
      <c r="B20" s="6"/>
    </row>
    <row r="21" spans="2:10" ht="15" customHeight="1" x14ac:dyDescent="0.45">
      <c r="B21" s="32" t="s">
        <v>23</v>
      </c>
      <c r="C21" s="33"/>
      <c r="D21" s="33"/>
      <c r="E21" s="68"/>
      <c r="F21" s="68"/>
      <c r="H21"/>
      <c r="I21"/>
    </row>
    <row r="22" spans="2:10" ht="29.15" customHeight="1" x14ac:dyDescent="0.35">
      <c r="B22" s="34" t="s">
        <v>24</v>
      </c>
      <c r="C22" s="34" t="s">
        <v>25</v>
      </c>
      <c r="D22" s="41" t="s">
        <v>26</v>
      </c>
      <c r="E22" s="69" t="s">
        <v>27</v>
      </c>
      <c r="F22" s="69"/>
      <c r="H22"/>
      <c r="I22"/>
    </row>
    <row r="23" spans="2:10" ht="15" customHeight="1" x14ac:dyDescent="0.35">
      <c r="B23" s="38">
        <v>1</v>
      </c>
      <c r="C23" s="76" t="s">
        <v>76</v>
      </c>
      <c r="D23" s="77">
        <f>J18</f>
        <v>5172313.5042047901</v>
      </c>
      <c r="E23" s="78">
        <f>D23/D$29</f>
        <v>1</v>
      </c>
      <c r="F23" s="78"/>
      <c r="H23"/>
      <c r="I23"/>
    </row>
    <row r="24" spans="2:10" ht="15" customHeight="1" x14ac:dyDescent="0.35">
      <c r="B24" s="38">
        <v>2</v>
      </c>
      <c r="C24" s="73"/>
      <c r="D24" s="77"/>
      <c r="E24" s="78"/>
      <c r="F24" s="78"/>
      <c r="H24"/>
      <c r="I24"/>
    </row>
    <row r="25" spans="2:10" ht="15" customHeight="1" x14ac:dyDescent="0.35">
      <c r="B25" s="38">
        <v>3</v>
      </c>
      <c r="C25" s="73"/>
      <c r="D25" s="77"/>
      <c r="E25" s="78"/>
      <c r="F25" s="78"/>
      <c r="H25"/>
      <c r="I25"/>
    </row>
    <row r="26" spans="2:10" ht="15" customHeight="1" x14ac:dyDescent="0.35">
      <c r="B26" s="38">
        <v>4</v>
      </c>
      <c r="C26" s="73"/>
      <c r="D26" s="77"/>
      <c r="E26" s="78"/>
      <c r="F26" s="78"/>
      <c r="H26"/>
      <c r="I26"/>
    </row>
    <row r="27" spans="2:10" ht="15" customHeight="1" x14ac:dyDescent="0.35">
      <c r="B27" s="38">
        <v>5</v>
      </c>
      <c r="C27" s="73"/>
      <c r="D27" s="77"/>
      <c r="E27" s="78"/>
      <c r="F27" s="78"/>
      <c r="H27"/>
      <c r="I27"/>
    </row>
    <row r="28" spans="2:10" ht="15" customHeight="1" x14ac:dyDescent="0.35">
      <c r="B28" s="38"/>
      <c r="C28" s="73"/>
      <c r="D28" s="77"/>
      <c r="E28" s="78"/>
      <c r="F28" s="78"/>
      <c r="H28"/>
      <c r="I28"/>
    </row>
    <row r="29" spans="2:10" ht="15" customHeight="1" x14ac:dyDescent="0.35">
      <c r="B29" s="38" t="s">
        <v>28</v>
      </c>
      <c r="C29" s="73"/>
      <c r="D29" s="77">
        <f>SUM(D23:D28)</f>
        <v>5172313.5042047901</v>
      </c>
      <c r="E29" s="78">
        <f t="shared" ref="E29" si="1">SUM(E23:E28)</f>
        <v>1</v>
      </c>
      <c r="F29" s="78"/>
      <c r="H29"/>
      <c r="I29"/>
    </row>
    <row r="30" spans="2:10" ht="15" customHeight="1" x14ac:dyDescent="0.3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9" tint="0.39997558519241921"/>
  </sheetPr>
  <dimension ref="B2:AM86"/>
  <sheetViews>
    <sheetView showGridLines="0" tabSelected="1" topLeftCell="A31" zoomScale="90" zoomScaleNormal="90" workbookViewId="0">
      <selection activeCell="J71" sqref="J71"/>
    </sheetView>
  </sheetViews>
  <sheetFormatPr defaultColWidth="9.1796875" defaultRowHeight="14.5" x14ac:dyDescent="0.35"/>
  <cols>
    <col min="1" max="1" width="3.1796875" customWidth="1"/>
    <col min="2" max="2" width="12.1796875" customWidth="1"/>
    <col min="3" max="3" width="52.81640625" customWidth="1"/>
    <col min="4" max="4" width="15.26953125" style="6" bestFit="1" customWidth="1"/>
    <col min="5" max="5" width="12.54296875" style="2" customWidth="1"/>
    <col min="6" max="6" width="13.1796875" bestFit="1" customWidth="1"/>
    <col min="7" max="7" width="13" customWidth="1"/>
    <col min="8" max="8" width="13.1796875" style="2" bestFit="1" customWidth="1"/>
    <col min="9" max="9" width="1.7265625" style="7" customWidth="1"/>
    <col min="10" max="10" width="14.54296875" customWidth="1"/>
    <col min="11" max="11" width="10.1796875" customWidth="1"/>
  </cols>
  <sheetData>
    <row r="2" spans="2:39" ht="23.5" x14ac:dyDescent="0.55000000000000004">
      <c r="B2" s="19" t="s">
        <v>77</v>
      </c>
    </row>
    <row r="3" spans="2:39" x14ac:dyDescent="0.35">
      <c r="B3" s="5"/>
    </row>
    <row r="4" spans="2:39" x14ac:dyDescent="0.35">
      <c r="B4" s="5"/>
    </row>
    <row r="5" spans="2:39" ht="18.5" x14ac:dyDescent="0.45">
      <c r="B5" s="24" t="s">
        <v>2</v>
      </c>
      <c r="C5" s="25"/>
      <c r="D5" s="25"/>
      <c r="E5" s="25"/>
      <c r="F5" s="25"/>
      <c r="G5" s="25"/>
      <c r="H5" s="25"/>
      <c r="I5" s="25"/>
      <c r="J5" s="26"/>
    </row>
    <row r="6" spans="2:39" x14ac:dyDescent="0.35">
      <c r="B6" s="27" t="s">
        <v>3</v>
      </c>
      <c r="C6" s="27" t="s">
        <v>4</v>
      </c>
      <c r="D6" s="27" t="s">
        <v>5</v>
      </c>
      <c r="E6" s="28" t="s">
        <v>6</v>
      </c>
      <c r="F6" s="28" t="s">
        <v>7</v>
      </c>
      <c r="G6" s="28" t="s">
        <v>8</v>
      </c>
      <c r="H6" s="29" t="s">
        <v>9</v>
      </c>
      <c r="I6" s="30"/>
      <c r="J6" s="31" t="s">
        <v>10</v>
      </c>
      <c r="O6" s="1"/>
    </row>
    <row r="7" spans="2:39" s="5" customFormat="1" x14ac:dyDescent="0.35">
      <c r="B7" s="15" t="s">
        <v>11</v>
      </c>
      <c r="C7" s="18" t="s">
        <v>74</v>
      </c>
      <c r="D7" s="10" t="s">
        <v>29</v>
      </c>
      <c r="E7" s="10" t="s">
        <v>29</v>
      </c>
      <c r="F7" s="10" t="s">
        <v>29</v>
      </c>
      <c r="G7" s="10"/>
      <c r="H7" s="10" t="s">
        <v>29</v>
      </c>
      <c r="I7" s="7"/>
      <c r="J7" s="8" t="s">
        <v>29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ht="39.75" customHeight="1" x14ac:dyDescent="0.35">
      <c r="B8" s="51"/>
      <c r="C8" s="70" t="s">
        <v>75</v>
      </c>
      <c r="D8" s="71"/>
      <c r="E8" s="71"/>
      <c r="F8" s="71"/>
      <c r="G8" s="71"/>
      <c r="H8" s="72"/>
      <c r="I8" s="7"/>
      <c r="J8" s="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ht="29" x14ac:dyDescent="0.35">
      <c r="B9" s="50"/>
      <c r="C9" s="53" t="s">
        <v>45</v>
      </c>
      <c r="D9" s="53">
        <v>42725.914615384616</v>
      </c>
      <c r="E9" s="53">
        <v>88015.384107692298</v>
      </c>
      <c r="F9" s="53">
        <v>90655.845630923082</v>
      </c>
      <c r="G9" s="53">
        <v>93375.520999850778</v>
      </c>
      <c r="H9" s="53">
        <v>96176.786629846305</v>
      </c>
      <c r="I9" s="23"/>
      <c r="J9" s="53">
        <f>SUM(D9:H9)</f>
        <v>410949.45198369707</v>
      </c>
    </row>
    <row r="10" spans="2:39" ht="29" x14ac:dyDescent="0.35">
      <c r="B10" s="50"/>
      <c r="C10" s="53" t="s">
        <v>47</v>
      </c>
      <c r="D10" s="53">
        <v>39777.91717948718</v>
      </c>
      <c r="E10" s="53">
        <v>81942.509389743602</v>
      </c>
      <c r="F10" s="53">
        <v>84400.784671435904</v>
      </c>
      <c r="G10" s="53">
        <v>86932.808211578973</v>
      </c>
      <c r="H10" s="53">
        <v>89540.792457926349</v>
      </c>
      <c r="I10" s="23"/>
      <c r="J10" s="53">
        <f>SUM(D10:H10)</f>
        <v>382594.81191017199</v>
      </c>
    </row>
    <row r="11" spans="2:39" ht="29" x14ac:dyDescent="0.35">
      <c r="B11" s="50"/>
      <c r="C11" s="53" t="s">
        <v>48</v>
      </c>
      <c r="D11" s="53">
        <v>37032.68</v>
      </c>
      <c r="E11" s="53">
        <v>76287.320800000001</v>
      </c>
      <c r="F11" s="53">
        <v>78575.940424</v>
      </c>
      <c r="G11" s="53">
        <v>80933.218636720005</v>
      </c>
      <c r="H11" s="53">
        <v>83361.215195821598</v>
      </c>
      <c r="I11" s="23"/>
      <c r="J11" s="53">
        <f>SUM(D11:H11)</f>
        <v>356190.37505654164</v>
      </c>
    </row>
    <row r="12" spans="2:39" ht="29" x14ac:dyDescent="0.35">
      <c r="B12" s="50"/>
      <c r="C12" s="53" t="s">
        <v>55</v>
      </c>
      <c r="D12" s="53">
        <v>0</v>
      </c>
      <c r="E12" s="53">
        <f>3*(62011.15)</f>
        <v>186033.45</v>
      </c>
      <c r="F12" s="53">
        <f>3*(63871.4845)</f>
        <v>191614.4535</v>
      </c>
      <c r="G12" s="53">
        <f>3*(65787.629035)</f>
        <v>197362.88710500003</v>
      </c>
      <c r="H12" s="53">
        <f>3*(67761.25790605)</f>
        <v>203283.77371814998</v>
      </c>
      <c r="I12"/>
      <c r="J12" s="53">
        <f>SUM(D12:H12)</f>
        <v>778294.56432314997</v>
      </c>
    </row>
    <row r="13" spans="2:39" ht="29" x14ac:dyDescent="0.35">
      <c r="B13" s="50"/>
      <c r="C13" s="53" t="s">
        <v>43</v>
      </c>
      <c r="D13" s="53">
        <v>47441.635200000004</v>
      </c>
      <c r="E13" s="53">
        <v>32250.82360896</v>
      </c>
      <c r="F13" s="53">
        <v>33218.348317228803</v>
      </c>
      <c r="G13" s="53">
        <v>34214.898766745668</v>
      </c>
      <c r="H13" s="53">
        <v>35241.345729748035</v>
      </c>
      <c r="I13" s="23"/>
      <c r="J13" s="53">
        <f t="shared" ref="J13:J21" si="0">SUM(D13:H13)</f>
        <v>182367.05162268248</v>
      </c>
    </row>
    <row r="14" spans="2:39" ht="29" x14ac:dyDescent="0.35">
      <c r="B14" s="50"/>
      <c r="C14" s="53" t="s">
        <v>44</v>
      </c>
      <c r="D14" s="53">
        <v>3401.6000000000004</v>
      </c>
      <c r="E14" s="53">
        <v>3503.6480000000006</v>
      </c>
      <c r="F14" s="53">
        <v>3608.7574400000003</v>
      </c>
      <c r="G14" s="53">
        <v>3717.0201632000003</v>
      </c>
      <c r="H14" s="53">
        <v>3828.5307680960004</v>
      </c>
      <c r="I14" s="23"/>
      <c r="J14" s="53">
        <f t="shared" si="0"/>
        <v>18059.556371296003</v>
      </c>
    </row>
    <row r="15" spans="2:39" ht="29" x14ac:dyDescent="0.35">
      <c r="B15" s="50"/>
      <c r="C15" s="53" t="s">
        <v>49</v>
      </c>
      <c r="D15" s="53">
        <v>2266</v>
      </c>
      <c r="E15" s="53">
        <v>2333.98</v>
      </c>
      <c r="F15" s="53">
        <v>2403.9994000000002</v>
      </c>
      <c r="G15" s="53">
        <v>2476.1193820000003</v>
      </c>
      <c r="H15" s="53">
        <v>2550.4029634600001</v>
      </c>
      <c r="I15" s="23"/>
      <c r="J15" s="53">
        <f t="shared" si="0"/>
        <v>12030.501745460002</v>
      </c>
    </row>
    <row r="16" spans="2:39" ht="29" x14ac:dyDescent="0.35">
      <c r="B16" s="50"/>
      <c r="C16" s="53" t="s">
        <v>50</v>
      </c>
      <c r="D16" s="53">
        <v>1643.0560000000003</v>
      </c>
      <c r="E16" s="53">
        <v>1692.3476800000003</v>
      </c>
      <c r="F16" s="53">
        <v>1743.1181104000004</v>
      </c>
      <c r="G16" s="53">
        <v>1795.4116537120003</v>
      </c>
      <c r="H16" s="53">
        <v>1849.2740033233604</v>
      </c>
      <c r="I16" s="23"/>
      <c r="J16" s="53">
        <f t="shared" si="0"/>
        <v>8723.2074474353612</v>
      </c>
    </row>
    <row r="17" spans="2:10" ht="29" x14ac:dyDescent="0.35">
      <c r="B17" s="50"/>
      <c r="C17" s="53" t="s">
        <v>51</v>
      </c>
      <c r="D17" s="53">
        <v>8740.9920000000002</v>
      </c>
      <c r="E17" s="53">
        <v>9003.2217600000004</v>
      </c>
      <c r="F17" s="53">
        <v>9273.3184128000012</v>
      </c>
      <c r="G17" s="53">
        <v>9551.5179651840008</v>
      </c>
      <c r="H17" s="53">
        <v>9838.0635041395217</v>
      </c>
      <c r="I17" s="23"/>
      <c r="J17" s="53">
        <f t="shared" si="0"/>
        <v>46407.113642123521</v>
      </c>
    </row>
    <row r="18" spans="2:10" ht="29" x14ac:dyDescent="0.35">
      <c r="B18" s="50"/>
      <c r="C18" s="53" t="s">
        <v>46</v>
      </c>
      <c r="D18" s="53">
        <v>2766.9920000000002</v>
      </c>
      <c r="E18" s="53">
        <v>2850.0017600000001</v>
      </c>
      <c r="F18" s="53">
        <v>2935.5018128000002</v>
      </c>
      <c r="G18" s="53">
        <v>3023.5668671839999</v>
      </c>
      <c r="H18" s="53">
        <v>3114.27387319952</v>
      </c>
      <c r="I18" s="23"/>
      <c r="J18" s="53">
        <f t="shared" si="0"/>
        <v>14690.336313183519</v>
      </c>
    </row>
    <row r="19" spans="2:10" ht="29" x14ac:dyDescent="0.35">
      <c r="B19" s="50"/>
      <c r="C19" s="53" t="s">
        <v>52</v>
      </c>
      <c r="D19" s="53">
        <v>3162.924</v>
      </c>
      <c r="E19" s="53">
        <v>3257.8117199999997</v>
      </c>
      <c r="F19" s="53">
        <v>3355.5460715999998</v>
      </c>
      <c r="G19" s="53">
        <v>3456.2124537480004</v>
      </c>
      <c r="H19" s="53">
        <v>3559.89882736044</v>
      </c>
      <c r="I19" s="23"/>
      <c r="J19" s="53">
        <f t="shared" si="0"/>
        <v>16792.393072708441</v>
      </c>
    </row>
    <row r="20" spans="2:10" ht="29" x14ac:dyDescent="0.35">
      <c r="B20" s="50"/>
      <c r="C20" s="53" t="s">
        <v>53</v>
      </c>
      <c r="D20" s="53">
        <v>749.84</v>
      </c>
      <c r="E20" s="53">
        <v>772.33519999999999</v>
      </c>
      <c r="F20" s="53">
        <v>795.50525600000003</v>
      </c>
      <c r="G20" s="53">
        <v>819.37041367999996</v>
      </c>
      <c r="H20" s="53">
        <v>843.95152609040008</v>
      </c>
      <c r="I20" s="23"/>
      <c r="J20" s="53">
        <f t="shared" si="0"/>
        <v>3981.0023957703997</v>
      </c>
    </row>
    <row r="21" spans="2:10" ht="29" x14ac:dyDescent="0.35">
      <c r="B21" s="50"/>
      <c r="C21" s="53" t="s">
        <v>54</v>
      </c>
      <c r="D21" s="53">
        <v>497.49000000000007</v>
      </c>
      <c r="E21" s="53">
        <v>512.41470000000015</v>
      </c>
      <c r="F21" s="53">
        <v>527.78714100000013</v>
      </c>
      <c r="G21" s="53">
        <v>543.62075523000021</v>
      </c>
      <c r="H21" s="53">
        <v>559.92937788690028</v>
      </c>
      <c r="I21"/>
      <c r="J21" s="53">
        <f t="shared" si="0"/>
        <v>2641.2419741169006</v>
      </c>
    </row>
    <row r="22" spans="2:10" x14ac:dyDescent="0.35">
      <c r="B22" s="16"/>
      <c r="C22" s="54" t="s">
        <v>12</v>
      </c>
      <c r="D22" s="55">
        <f>SUM(D9:D21)</f>
        <v>190207.04099487179</v>
      </c>
      <c r="E22" s="55">
        <f>SUM(E9:E21)</f>
        <v>488455.24872639589</v>
      </c>
      <c r="F22" s="55">
        <f>SUM(F9:F21)</f>
        <v>503108.90618818771</v>
      </c>
      <c r="G22" s="55">
        <f>SUM(G9:G21)</f>
        <v>518202.17337383342</v>
      </c>
      <c r="H22" s="55">
        <f>SUM(H9:H21)</f>
        <v>533748.2385750484</v>
      </c>
      <c r="I22"/>
      <c r="J22" s="55">
        <f>SUM(J9:J21)</f>
        <v>2233721.607858337</v>
      </c>
    </row>
    <row r="23" spans="2:10" x14ac:dyDescent="0.35">
      <c r="B23" s="16"/>
      <c r="C23" s="56" t="s">
        <v>30</v>
      </c>
      <c r="D23" s="57" t="s">
        <v>29</v>
      </c>
      <c r="E23" s="58"/>
      <c r="F23" s="58"/>
      <c r="G23" s="58"/>
      <c r="H23" s="58"/>
      <c r="I23"/>
      <c r="J23" s="12" t="s">
        <v>29</v>
      </c>
    </row>
    <row r="24" spans="2:10" x14ac:dyDescent="0.35">
      <c r="B24" s="16"/>
      <c r="C24" s="59" t="s">
        <v>39</v>
      </c>
      <c r="D24" s="53">
        <f>0.5*(D22)</f>
        <v>95103.520497435893</v>
      </c>
      <c r="E24" s="53">
        <f t="shared" ref="E24:H24" si="1">0.5*(E22)</f>
        <v>244227.62436319795</v>
      </c>
      <c r="F24" s="53">
        <f t="shared" si="1"/>
        <v>251554.45309409386</v>
      </c>
      <c r="G24" s="53">
        <f t="shared" si="1"/>
        <v>259101.08668691671</v>
      </c>
      <c r="H24" s="53">
        <f t="shared" si="1"/>
        <v>266874.1192875242</v>
      </c>
      <c r="I24"/>
      <c r="J24" s="53">
        <f>SUM(D24:H24)</f>
        <v>1116860.8039291685</v>
      </c>
    </row>
    <row r="25" spans="2:10" x14ac:dyDescent="0.35">
      <c r="B25" s="16"/>
      <c r="C25" s="58"/>
      <c r="D25" s="53"/>
      <c r="E25" s="60"/>
      <c r="F25" s="60"/>
      <c r="G25" s="60"/>
      <c r="H25" s="60"/>
      <c r="I25"/>
      <c r="J25" s="53"/>
    </row>
    <row r="26" spans="2:10" x14ac:dyDescent="0.35">
      <c r="B26" s="16"/>
      <c r="C26" s="54" t="s">
        <v>13</v>
      </c>
      <c r="D26" s="55">
        <f>SUM(D24:D25)</f>
        <v>95103.520497435893</v>
      </c>
      <c r="E26" s="55">
        <f>SUM(E24:E25)</f>
        <v>244227.62436319795</v>
      </c>
      <c r="F26" s="55">
        <f>SUM(F24:F25)</f>
        <v>251554.45309409386</v>
      </c>
      <c r="G26" s="55">
        <f>SUM(G24:G25)</f>
        <v>259101.08668691671</v>
      </c>
      <c r="H26" s="55">
        <f>SUM(H24:H25)</f>
        <v>266874.1192875242</v>
      </c>
      <c r="I26"/>
      <c r="J26" s="55">
        <f>SUM(J24:J25)</f>
        <v>1116860.8039291685</v>
      </c>
    </row>
    <row r="27" spans="2:10" x14ac:dyDescent="0.35">
      <c r="B27" s="16"/>
      <c r="C27" s="56" t="s">
        <v>62</v>
      </c>
      <c r="D27" s="57" t="s">
        <v>29</v>
      </c>
      <c r="E27" s="58"/>
      <c r="F27" s="58"/>
      <c r="G27" s="58"/>
      <c r="H27" s="58"/>
      <c r="I27"/>
      <c r="J27" s="12" t="s">
        <v>29</v>
      </c>
    </row>
    <row r="28" spans="2:10" ht="29" x14ac:dyDescent="0.35">
      <c r="B28" s="16"/>
      <c r="C28" s="61" t="s">
        <v>42</v>
      </c>
      <c r="D28" s="53">
        <v>5940</v>
      </c>
      <c r="E28" s="53">
        <f t="shared" ref="E28:H28" si="2">D28*1.03</f>
        <v>6118.2</v>
      </c>
      <c r="F28" s="53">
        <f t="shared" si="2"/>
        <v>6301.7460000000001</v>
      </c>
      <c r="G28" s="53">
        <f t="shared" si="2"/>
        <v>6490.7983800000002</v>
      </c>
      <c r="H28" s="53">
        <f t="shared" si="2"/>
        <v>6685.5223314000004</v>
      </c>
      <c r="I28"/>
      <c r="J28" s="53">
        <f>SUM(D28:H28)</f>
        <v>31536.2667114</v>
      </c>
    </row>
    <row r="29" spans="2:10" x14ac:dyDescent="0.35">
      <c r="B29" s="16"/>
      <c r="C29" s="57" t="s">
        <v>57</v>
      </c>
      <c r="D29" s="60"/>
      <c r="E29" s="60"/>
      <c r="F29" s="60"/>
      <c r="G29" s="60"/>
      <c r="H29" s="60"/>
      <c r="I29"/>
      <c r="J29" s="53"/>
    </row>
    <row r="30" spans="2:10" x14ac:dyDescent="0.35">
      <c r="B30" s="16"/>
      <c r="C30" s="61" t="s">
        <v>56</v>
      </c>
      <c r="D30" s="53">
        <v>500</v>
      </c>
      <c r="E30" s="53">
        <f>D30*1.03</f>
        <v>515</v>
      </c>
      <c r="F30" s="53">
        <f t="shared" ref="F30:H31" si="3">E30*1.03</f>
        <v>530.45000000000005</v>
      </c>
      <c r="G30" s="53">
        <f t="shared" si="3"/>
        <v>546.36350000000004</v>
      </c>
      <c r="H30" s="53">
        <f t="shared" si="3"/>
        <v>562.75440500000002</v>
      </c>
      <c r="I30" s="23"/>
      <c r="J30" s="53">
        <f>SUM(D30:H30)</f>
        <v>2654.5679050000003</v>
      </c>
    </row>
    <row r="31" spans="2:10" x14ac:dyDescent="0.35">
      <c r="B31" s="16"/>
      <c r="C31" s="61" t="s">
        <v>37</v>
      </c>
      <c r="D31" s="53">
        <v>50</v>
      </c>
      <c r="E31" s="53">
        <f>D31*1.03</f>
        <v>51.5</v>
      </c>
      <c r="F31" s="53">
        <f t="shared" si="3"/>
        <v>53.045000000000002</v>
      </c>
      <c r="G31" s="53">
        <f t="shared" si="3"/>
        <v>54.63635</v>
      </c>
      <c r="H31" s="53">
        <f t="shared" si="3"/>
        <v>56.275440500000002</v>
      </c>
      <c r="I31" s="23"/>
      <c r="J31" s="53">
        <f t="shared" ref="J31:J34" si="4">SUM(D31:H31)</f>
        <v>265.45679050000001</v>
      </c>
    </row>
    <row r="32" spans="2:10" x14ac:dyDescent="0.35">
      <c r="B32" s="16"/>
      <c r="C32" s="59" t="s">
        <v>63</v>
      </c>
      <c r="D32" s="53">
        <v>750</v>
      </c>
      <c r="E32" s="53">
        <f t="shared" ref="E32:E41" si="5">D32*1.03</f>
        <v>772.5</v>
      </c>
      <c r="F32" s="53">
        <f t="shared" ref="F32:H40" si="6">E32*1.03</f>
        <v>795.67500000000007</v>
      </c>
      <c r="G32" s="53">
        <f t="shared" si="6"/>
        <v>819.54525000000012</v>
      </c>
      <c r="H32" s="53">
        <f t="shared" si="6"/>
        <v>844.1316075000002</v>
      </c>
      <c r="I32" s="23"/>
      <c r="J32" s="53">
        <f t="shared" si="4"/>
        <v>3981.8518575000007</v>
      </c>
    </row>
    <row r="33" spans="2:10" x14ac:dyDescent="0.35">
      <c r="B33" s="16"/>
      <c r="C33" s="61" t="s">
        <v>38</v>
      </c>
      <c r="D33" s="53">
        <v>248</v>
      </c>
      <c r="E33" s="53">
        <f t="shared" si="5"/>
        <v>255.44</v>
      </c>
      <c r="F33" s="53">
        <f t="shared" si="6"/>
        <v>263.10320000000002</v>
      </c>
      <c r="G33" s="53">
        <f t="shared" si="6"/>
        <v>270.99629600000003</v>
      </c>
      <c r="H33" s="53">
        <f t="shared" si="6"/>
        <v>279.12618488000004</v>
      </c>
      <c r="I33" s="23"/>
      <c r="J33" s="53">
        <f t="shared" si="4"/>
        <v>1316.6656808800001</v>
      </c>
    </row>
    <row r="34" spans="2:10" x14ac:dyDescent="0.35">
      <c r="B34" s="16"/>
      <c r="C34" s="61" t="s">
        <v>58</v>
      </c>
      <c r="D34" s="53">
        <v>100</v>
      </c>
      <c r="E34" s="53">
        <f t="shared" si="5"/>
        <v>103</v>
      </c>
      <c r="F34" s="53">
        <f t="shared" si="6"/>
        <v>106.09</v>
      </c>
      <c r="G34" s="53">
        <f t="shared" si="6"/>
        <v>109.2727</v>
      </c>
      <c r="H34" s="53">
        <f t="shared" si="6"/>
        <v>112.550881</v>
      </c>
      <c r="I34" s="23"/>
      <c r="J34" s="53">
        <f t="shared" si="4"/>
        <v>530.91358100000002</v>
      </c>
    </row>
    <row r="35" spans="2:10" ht="29" x14ac:dyDescent="0.35">
      <c r="B35" s="16"/>
      <c r="C35" s="57" t="s">
        <v>73</v>
      </c>
      <c r="D35" s="60"/>
      <c r="E35" s="53">
        <f t="shared" si="5"/>
        <v>0</v>
      </c>
      <c r="F35" s="53">
        <f t="shared" si="6"/>
        <v>0</v>
      </c>
      <c r="G35" s="53">
        <f t="shared" si="6"/>
        <v>0</v>
      </c>
      <c r="H35" s="53">
        <f t="shared" si="6"/>
        <v>0</v>
      </c>
      <c r="I35"/>
      <c r="J35" s="53"/>
    </row>
    <row r="36" spans="2:10" x14ac:dyDescent="0.35">
      <c r="B36" s="16"/>
      <c r="C36" s="61" t="s">
        <v>59</v>
      </c>
      <c r="D36" s="53">
        <f>2*500</f>
        <v>1000</v>
      </c>
      <c r="E36" s="53">
        <f t="shared" si="5"/>
        <v>1030</v>
      </c>
      <c r="F36" s="53">
        <f t="shared" si="6"/>
        <v>1060.9000000000001</v>
      </c>
      <c r="G36" s="53">
        <f t="shared" si="6"/>
        <v>1092.7270000000001</v>
      </c>
      <c r="H36" s="53">
        <f t="shared" si="6"/>
        <v>1125.50881</v>
      </c>
      <c r="I36" s="23"/>
      <c r="J36" s="53">
        <f>SUM(D36:H36)</f>
        <v>5309.1358100000007</v>
      </c>
    </row>
    <row r="37" spans="2:10" x14ac:dyDescent="0.35">
      <c r="B37" s="16"/>
      <c r="C37" s="61" t="s">
        <v>60</v>
      </c>
      <c r="D37" s="53">
        <f>2*50</f>
        <v>100</v>
      </c>
      <c r="E37" s="53">
        <f t="shared" si="5"/>
        <v>103</v>
      </c>
      <c r="F37" s="53">
        <f t="shared" si="6"/>
        <v>106.09</v>
      </c>
      <c r="G37" s="53">
        <f t="shared" si="6"/>
        <v>109.2727</v>
      </c>
      <c r="H37" s="53">
        <f t="shared" si="6"/>
        <v>112.550881</v>
      </c>
      <c r="I37" s="23"/>
      <c r="J37" s="53">
        <f t="shared" ref="J37:J40" si="7">SUM(D37:H37)</f>
        <v>530.91358100000002</v>
      </c>
    </row>
    <row r="38" spans="2:10" x14ac:dyDescent="0.35">
      <c r="B38" s="16"/>
      <c r="C38" s="59" t="s">
        <v>64</v>
      </c>
      <c r="D38" s="53">
        <f>2*750</f>
        <v>1500</v>
      </c>
      <c r="E38" s="53">
        <f t="shared" si="5"/>
        <v>1545</v>
      </c>
      <c r="F38" s="53">
        <f t="shared" si="6"/>
        <v>1591.3500000000001</v>
      </c>
      <c r="G38" s="53">
        <f t="shared" si="6"/>
        <v>1639.0905000000002</v>
      </c>
      <c r="H38" s="53">
        <f t="shared" si="6"/>
        <v>1688.2632150000004</v>
      </c>
      <c r="I38" s="23"/>
      <c r="J38" s="53">
        <f t="shared" si="7"/>
        <v>7963.7037150000015</v>
      </c>
    </row>
    <row r="39" spans="2:10" ht="29" x14ac:dyDescent="0.35">
      <c r="B39" s="16"/>
      <c r="C39" s="61" t="s">
        <v>61</v>
      </c>
      <c r="D39" s="53">
        <f>2*248</f>
        <v>496</v>
      </c>
      <c r="E39" s="53">
        <f t="shared" si="5"/>
        <v>510.88</v>
      </c>
      <c r="F39" s="53">
        <f t="shared" si="6"/>
        <v>526.20640000000003</v>
      </c>
      <c r="G39" s="53">
        <f t="shared" si="6"/>
        <v>541.99259200000006</v>
      </c>
      <c r="H39" s="53">
        <f t="shared" si="6"/>
        <v>558.25236976000008</v>
      </c>
      <c r="I39" s="23"/>
      <c r="J39" s="53">
        <f t="shared" si="7"/>
        <v>2633.3313617600002</v>
      </c>
    </row>
    <row r="40" spans="2:10" x14ac:dyDescent="0.35">
      <c r="B40" s="16"/>
      <c r="C40" s="61" t="s">
        <v>58</v>
      </c>
      <c r="D40" s="53">
        <v>100</v>
      </c>
      <c r="E40" s="53">
        <f t="shared" si="5"/>
        <v>103</v>
      </c>
      <c r="F40" s="53">
        <f t="shared" si="6"/>
        <v>106.09</v>
      </c>
      <c r="G40" s="53">
        <f t="shared" si="6"/>
        <v>109.2727</v>
      </c>
      <c r="H40" s="53">
        <f t="shared" si="6"/>
        <v>112.550881</v>
      </c>
      <c r="I40" s="23"/>
      <c r="J40" s="53">
        <f t="shared" si="7"/>
        <v>530.91358100000002</v>
      </c>
    </row>
    <row r="41" spans="2:10" x14ac:dyDescent="0.35">
      <c r="B41" s="16"/>
      <c r="C41" s="61"/>
      <c r="D41" s="53"/>
      <c r="E41" s="53">
        <f t="shared" si="5"/>
        <v>0</v>
      </c>
      <c r="F41" s="53">
        <f t="shared" ref="F41:H41" si="8">E41*1.03</f>
        <v>0</v>
      </c>
      <c r="G41" s="53">
        <f t="shared" si="8"/>
        <v>0</v>
      </c>
      <c r="H41" s="53">
        <f t="shared" si="8"/>
        <v>0</v>
      </c>
      <c r="I41" s="23"/>
      <c r="J41" s="53"/>
    </row>
    <row r="42" spans="2:10" x14ac:dyDescent="0.35">
      <c r="B42" s="16"/>
      <c r="C42" s="54" t="s">
        <v>14</v>
      </c>
      <c r="D42" s="55">
        <f>SUM(D28:D41)</f>
        <v>10784</v>
      </c>
      <c r="E42" s="55">
        <f t="shared" ref="E42:H42" si="9">SUM(E28:E41)</f>
        <v>11107.519999999999</v>
      </c>
      <c r="F42" s="55">
        <f t="shared" si="9"/>
        <v>11440.745600000002</v>
      </c>
      <c r="G42" s="55">
        <f t="shared" si="9"/>
        <v>11783.967968000001</v>
      </c>
      <c r="H42" s="55">
        <f t="shared" si="9"/>
        <v>12137.487007039999</v>
      </c>
      <c r="I42"/>
      <c r="J42" s="55">
        <f>SUM(D42:H42)</f>
        <v>57253.720575039995</v>
      </c>
    </row>
    <row r="43" spans="2:10" x14ac:dyDescent="0.35">
      <c r="B43" s="16"/>
      <c r="C43" s="56" t="s">
        <v>31</v>
      </c>
      <c r="D43" s="53"/>
      <c r="E43" s="58"/>
      <c r="F43" s="58"/>
      <c r="G43" s="58"/>
      <c r="H43" s="58"/>
      <c r="I43"/>
      <c r="J43" s="53" t="s">
        <v>20</v>
      </c>
    </row>
    <row r="44" spans="2:10" x14ac:dyDescent="0.35">
      <c r="B44" s="16" t="s">
        <v>32</v>
      </c>
      <c r="C44" s="57" t="s">
        <v>32</v>
      </c>
      <c r="D44" s="57" t="s">
        <v>29</v>
      </c>
      <c r="E44" s="58"/>
      <c r="F44" s="58"/>
      <c r="G44" s="58"/>
      <c r="H44" s="58"/>
      <c r="I44"/>
      <c r="J44" s="53">
        <f t="shared" ref="J44:J64" si="10">SUM(D44:H44)</f>
        <v>0</v>
      </c>
    </row>
    <row r="45" spans="2:10" x14ac:dyDescent="0.35">
      <c r="B45" s="16"/>
      <c r="C45" s="54" t="s">
        <v>15</v>
      </c>
      <c r="D45" s="62">
        <f>SUM(D44:D44)</f>
        <v>0</v>
      </c>
      <c r="E45" s="62">
        <f>SUM(E44:E44)</f>
        <v>0</v>
      </c>
      <c r="F45" s="62">
        <f>SUM(F44:F44)</f>
        <v>0</v>
      </c>
      <c r="G45" s="62">
        <f>SUM(G44:G44)</f>
        <v>0</v>
      </c>
      <c r="H45" s="62">
        <f>SUM(H44:H44)</f>
        <v>0</v>
      </c>
      <c r="I45"/>
      <c r="J45" s="55">
        <f t="shared" si="10"/>
        <v>0</v>
      </c>
    </row>
    <row r="46" spans="2:10" x14ac:dyDescent="0.35">
      <c r="B46" s="16"/>
      <c r="C46" s="56" t="s">
        <v>33</v>
      </c>
      <c r="D46" s="57" t="s">
        <v>29</v>
      </c>
      <c r="E46" s="58"/>
      <c r="F46" s="58"/>
      <c r="G46" s="58"/>
      <c r="H46" s="58"/>
      <c r="I46"/>
      <c r="J46" s="53"/>
    </row>
    <row r="47" spans="2:10" x14ac:dyDescent="0.35">
      <c r="B47" s="16"/>
      <c r="C47" s="61" t="s">
        <v>78</v>
      </c>
      <c r="D47" s="53">
        <f>6*2500</f>
        <v>15000</v>
      </c>
      <c r="E47" s="53">
        <v>0</v>
      </c>
      <c r="F47" s="53">
        <v>0</v>
      </c>
      <c r="G47" s="53">
        <v>0</v>
      </c>
      <c r="H47" s="53">
        <v>0</v>
      </c>
      <c r="I47" s="23"/>
      <c r="J47" s="53">
        <f t="shared" si="10"/>
        <v>15000</v>
      </c>
    </row>
    <row r="48" spans="2:10" x14ac:dyDescent="0.35">
      <c r="B48" s="16"/>
      <c r="C48" s="61" t="s">
        <v>40</v>
      </c>
      <c r="D48" s="53">
        <v>1000</v>
      </c>
      <c r="E48" s="53">
        <v>1030</v>
      </c>
      <c r="F48" s="53">
        <v>1061</v>
      </c>
      <c r="G48" s="53">
        <v>1093</v>
      </c>
      <c r="H48" s="53">
        <v>1126</v>
      </c>
      <c r="I48" s="23"/>
      <c r="J48" s="53">
        <f t="shared" si="10"/>
        <v>5310</v>
      </c>
    </row>
    <row r="49" spans="2:10" x14ac:dyDescent="0.35">
      <c r="B49" s="16"/>
      <c r="C49" s="61" t="s">
        <v>41</v>
      </c>
      <c r="D49" s="53"/>
      <c r="E49" s="53">
        <v>515</v>
      </c>
      <c r="F49" s="53">
        <v>530</v>
      </c>
      <c r="G49" s="53">
        <v>546</v>
      </c>
      <c r="H49" s="53">
        <v>563</v>
      </c>
      <c r="I49"/>
      <c r="J49" s="53">
        <f t="shared" si="10"/>
        <v>2154</v>
      </c>
    </row>
    <row r="50" spans="2:10" x14ac:dyDescent="0.35">
      <c r="B50" s="16"/>
      <c r="C50" s="54" t="s">
        <v>16</v>
      </c>
      <c r="D50" s="55">
        <f>SUM(D47:D49)</f>
        <v>16000</v>
      </c>
      <c r="E50" s="55">
        <f t="shared" ref="E50:H50" si="11">SUM(E47:E49)</f>
        <v>1545</v>
      </c>
      <c r="F50" s="55">
        <f t="shared" si="11"/>
        <v>1591</v>
      </c>
      <c r="G50" s="55">
        <f t="shared" si="11"/>
        <v>1639</v>
      </c>
      <c r="H50" s="55">
        <f t="shared" si="11"/>
        <v>1689</v>
      </c>
      <c r="I50"/>
      <c r="J50" s="55">
        <f t="shared" si="10"/>
        <v>22464</v>
      </c>
    </row>
    <row r="51" spans="2:10" x14ac:dyDescent="0.35">
      <c r="B51" s="16"/>
      <c r="C51" s="56" t="s">
        <v>34</v>
      </c>
      <c r="D51" s="57" t="s">
        <v>29</v>
      </c>
      <c r="E51" s="58"/>
      <c r="F51" s="58"/>
      <c r="G51" s="58"/>
      <c r="H51" s="58"/>
      <c r="I51"/>
      <c r="J51" s="53"/>
    </row>
    <row r="52" spans="2:10" ht="29" x14ac:dyDescent="0.35">
      <c r="B52" s="16"/>
      <c r="C52" s="59" t="s">
        <v>65</v>
      </c>
      <c r="D52" s="53">
        <v>100000</v>
      </c>
      <c r="E52" s="53"/>
      <c r="F52" s="53"/>
      <c r="G52" s="53"/>
      <c r="H52" s="53"/>
      <c r="I52" s="23"/>
      <c r="J52" s="53">
        <f t="shared" si="10"/>
        <v>100000</v>
      </c>
    </row>
    <row r="53" spans="2:10" ht="29" x14ac:dyDescent="0.35">
      <c r="B53" s="16"/>
      <c r="C53" s="59" t="s">
        <v>66</v>
      </c>
      <c r="D53" s="53"/>
      <c r="E53" s="53">
        <v>20000</v>
      </c>
      <c r="F53" s="53">
        <f>E53*1.03</f>
        <v>20600</v>
      </c>
      <c r="G53" s="53">
        <f t="shared" ref="G53:H53" si="12">F53*1.03</f>
        <v>21218</v>
      </c>
      <c r="H53" s="53">
        <f t="shared" si="12"/>
        <v>21854.54</v>
      </c>
      <c r="I53" s="23"/>
      <c r="J53" s="53">
        <f t="shared" si="10"/>
        <v>83672.540000000008</v>
      </c>
    </row>
    <row r="54" spans="2:10" x14ac:dyDescent="0.35">
      <c r="B54" s="16"/>
      <c r="C54" s="59"/>
      <c r="D54" s="53"/>
      <c r="E54" s="53"/>
      <c r="F54" s="53"/>
      <c r="G54" s="53"/>
      <c r="H54" s="53"/>
      <c r="I54" s="23"/>
      <c r="J54" s="53">
        <f t="shared" si="10"/>
        <v>0</v>
      </c>
    </row>
    <row r="55" spans="2:10" x14ac:dyDescent="0.35">
      <c r="B55" s="16"/>
      <c r="C55" s="59"/>
      <c r="D55" s="53"/>
      <c r="E55" s="60"/>
      <c r="F55" s="60"/>
      <c r="G55" s="60"/>
      <c r="H55" s="60"/>
      <c r="I55"/>
      <c r="J55" s="53">
        <f t="shared" si="10"/>
        <v>0</v>
      </c>
    </row>
    <row r="56" spans="2:10" x14ac:dyDescent="0.35">
      <c r="B56" s="16"/>
      <c r="C56" s="54" t="s">
        <v>17</v>
      </c>
      <c r="D56" s="55">
        <f>SUM(D52:D55)</f>
        <v>100000</v>
      </c>
      <c r="E56" s="55">
        <f t="shared" ref="E56:H56" si="13">SUM(E52:E55)</f>
        <v>20000</v>
      </c>
      <c r="F56" s="55">
        <f t="shared" si="13"/>
        <v>20600</v>
      </c>
      <c r="G56" s="55">
        <f t="shared" si="13"/>
        <v>21218</v>
      </c>
      <c r="H56" s="55">
        <f t="shared" si="13"/>
        <v>21854.54</v>
      </c>
      <c r="I56"/>
      <c r="J56" s="55">
        <f t="shared" si="10"/>
        <v>183672.54</v>
      </c>
    </row>
    <row r="57" spans="2:10" x14ac:dyDescent="0.35">
      <c r="B57" s="16"/>
      <c r="C57" s="56" t="s">
        <v>35</v>
      </c>
      <c r="D57" s="57" t="s">
        <v>29</v>
      </c>
      <c r="E57" s="58"/>
      <c r="F57" s="58"/>
      <c r="G57" s="58"/>
      <c r="H57" s="58"/>
      <c r="I57"/>
      <c r="J57" s="53"/>
    </row>
    <row r="58" spans="2:10" x14ac:dyDescent="0.35">
      <c r="B58" s="16"/>
      <c r="C58" s="59" t="s">
        <v>67</v>
      </c>
      <c r="D58" s="53">
        <v>30142.633160012127</v>
      </c>
      <c r="E58" s="53">
        <v>31046.912154812489</v>
      </c>
      <c r="F58" s="53">
        <v>31978.319519456865</v>
      </c>
      <c r="G58" s="53">
        <v>32937.669105040572</v>
      </c>
      <c r="H58" s="53">
        <v>33925.799178191795</v>
      </c>
      <c r="I58"/>
      <c r="J58" s="53">
        <f t="shared" si="10"/>
        <v>160031.33311751386</v>
      </c>
    </row>
    <row r="59" spans="2:10" x14ac:dyDescent="0.35">
      <c r="B59" s="16"/>
      <c r="C59" s="59" t="s">
        <v>68</v>
      </c>
      <c r="D59" s="53">
        <v>41353.611631622385</v>
      </c>
      <c r="E59" s="53">
        <v>42594.219980571055</v>
      </c>
      <c r="F59" s="53">
        <v>43872.046579988186</v>
      </c>
      <c r="G59" s="53">
        <v>45188.207977387836</v>
      </c>
      <c r="H59" s="53">
        <v>46543.854216709478</v>
      </c>
      <c r="I59"/>
      <c r="J59" s="53">
        <f t="shared" si="10"/>
        <v>219551.94038627893</v>
      </c>
    </row>
    <row r="60" spans="2:10" x14ac:dyDescent="0.35">
      <c r="B60" s="16"/>
      <c r="C60" s="59" t="s">
        <v>69</v>
      </c>
      <c r="D60" s="53">
        <v>1000</v>
      </c>
      <c r="E60" s="53">
        <f>D60*1.03</f>
        <v>1030</v>
      </c>
      <c r="F60" s="53">
        <f t="shared" ref="F60:H62" si="14">E60*1.03</f>
        <v>1060.9000000000001</v>
      </c>
      <c r="G60" s="53">
        <f t="shared" si="14"/>
        <v>1092.7270000000001</v>
      </c>
      <c r="H60" s="53">
        <f t="shared" si="14"/>
        <v>1125.50881</v>
      </c>
      <c r="I60"/>
      <c r="J60" s="53">
        <f t="shared" si="10"/>
        <v>5309.1358100000007</v>
      </c>
    </row>
    <row r="61" spans="2:10" x14ac:dyDescent="0.35">
      <c r="B61" s="16"/>
      <c r="C61" s="59" t="s">
        <v>70</v>
      </c>
      <c r="D61" s="53">
        <v>10000</v>
      </c>
      <c r="E61" s="53">
        <f>D61*1.03</f>
        <v>10300</v>
      </c>
      <c r="F61" s="53">
        <f t="shared" si="14"/>
        <v>10609</v>
      </c>
      <c r="G61" s="53">
        <f t="shared" si="14"/>
        <v>10927.27</v>
      </c>
      <c r="H61" s="53">
        <f t="shared" si="14"/>
        <v>11255.088100000001</v>
      </c>
      <c r="I61"/>
      <c r="J61" s="53">
        <f t="shared" si="10"/>
        <v>53091.358100000005</v>
      </c>
    </row>
    <row r="62" spans="2:10" x14ac:dyDescent="0.35">
      <c r="B62" s="16"/>
      <c r="C62" s="59" t="s">
        <v>71</v>
      </c>
      <c r="D62" s="53">
        <v>1500</v>
      </c>
      <c r="E62" s="53">
        <f>D62*1.03</f>
        <v>1545</v>
      </c>
      <c r="F62" s="53">
        <f t="shared" si="14"/>
        <v>1591.3500000000001</v>
      </c>
      <c r="G62" s="53">
        <f t="shared" si="14"/>
        <v>1639.0905000000002</v>
      </c>
      <c r="H62" s="53">
        <f t="shared" si="14"/>
        <v>1688.2632150000004</v>
      </c>
      <c r="I62"/>
      <c r="J62" s="53">
        <f t="shared" si="10"/>
        <v>7963.7037150000015</v>
      </c>
    </row>
    <row r="63" spans="2:10" x14ac:dyDescent="0.35">
      <c r="B63" s="17"/>
      <c r="C63" s="54" t="s">
        <v>18</v>
      </c>
      <c r="D63" s="63">
        <f>SUM(D58:D62)</f>
        <v>83996.244791634512</v>
      </c>
      <c r="E63" s="63">
        <f t="shared" ref="E63:H63" si="15">SUM(E58:E62)</f>
        <v>86516.132135383552</v>
      </c>
      <c r="F63" s="63">
        <f t="shared" si="15"/>
        <v>89111.616099445047</v>
      </c>
      <c r="G63" s="63">
        <f t="shared" si="15"/>
        <v>91784.964582428409</v>
      </c>
      <c r="H63" s="63">
        <f t="shared" si="15"/>
        <v>94538.513519901273</v>
      </c>
      <c r="I63"/>
      <c r="J63" s="55">
        <f t="shared" si="10"/>
        <v>445947.47112879273</v>
      </c>
    </row>
    <row r="64" spans="2:10" x14ac:dyDescent="0.35">
      <c r="B64" s="17"/>
      <c r="C64" s="54" t="s">
        <v>19</v>
      </c>
      <c r="D64" s="55">
        <f>SUM(D63,D56,D50,D45,D42,D26,D22)</f>
        <v>496090.80628394219</v>
      </c>
      <c r="E64" s="55">
        <f>SUM(E63,E56,E50,E45,E42,E26,E22)</f>
        <v>851851.52522497741</v>
      </c>
      <c r="F64" s="55">
        <f>SUM(F63,F56,F50,F45,F42,F26,F22)</f>
        <v>877406.72098172666</v>
      </c>
      <c r="G64" s="55">
        <f>SUM(G63,G56,G50,G45,G42,G26,G22)</f>
        <v>903729.1926111785</v>
      </c>
      <c r="H64" s="55">
        <f>SUM(H63,H56,H50,H45,H42,H26,H22)</f>
        <v>930841.89838951384</v>
      </c>
      <c r="I64"/>
      <c r="J64" s="55">
        <f t="shared" si="10"/>
        <v>4059920.143491338</v>
      </c>
    </row>
    <row r="65" spans="2:10" x14ac:dyDescent="0.35">
      <c r="B65" s="6"/>
      <c r="D65"/>
      <c r="E65"/>
      <c r="H65"/>
      <c r="I65"/>
      <c r="J65" t="s">
        <v>20</v>
      </c>
    </row>
    <row r="66" spans="2:10" x14ac:dyDescent="0.35">
      <c r="B66" s="15" t="s">
        <v>36</v>
      </c>
      <c r="C66" s="11" t="s">
        <v>36</v>
      </c>
      <c r="D66" s="12"/>
      <c r="E66" s="12"/>
      <c r="F66" s="12"/>
      <c r="G66" s="12"/>
      <c r="H66" s="12"/>
      <c r="I66"/>
      <c r="J66" s="12" t="s">
        <v>20</v>
      </c>
    </row>
    <row r="67" spans="2:10" x14ac:dyDescent="0.35">
      <c r="B67" s="16"/>
      <c r="C67" s="59" t="s">
        <v>72</v>
      </c>
      <c r="D67" s="64">
        <f>(D22+D26)*0.332</f>
        <v>94723.106415446164</v>
      </c>
      <c r="E67" s="64">
        <f>(E22+E26)*0.332</f>
        <v>243250.71386574517</v>
      </c>
      <c r="F67" s="64">
        <f>(F22+F26)*0.332</f>
        <v>250548.2352817175</v>
      </c>
      <c r="G67" s="64">
        <f>(G22+G26)*0.332</f>
        <v>258064.68234016906</v>
      </c>
      <c r="H67" s="64">
        <f>(H22+H26)*0.332</f>
        <v>265806.62281037413</v>
      </c>
      <c r="I67"/>
      <c r="J67" s="53">
        <f>SUM(D67:H67)</f>
        <v>1112393.3607134521</v>
      </c>
    </row>
    <row r="68" spans="2:10" x14ac:dyDescent="0.35">
      <c r="B68" s="16"/>
      <c r="C68" s="59"/>
      <c r="D68" s="57"/>
      <c r="E68" s="58"/>
      <c r="F68" s="58"/>
      <c r="G68" s="58"/>
      <c r="H68" s="58"/>
      <c r="I68"/>
      <c r="J68" s="53">
        <f t="shared" ref="J68:J69" si="16">SUM(D68:H68)</f>
        <v>0</v>
      </c>
    </row>
    <row r="69" spans="2:10" x14ac:dyDescent="0.35">
      <c r="B69" s="17"/>
      <c r="C69" s="54" t="s">
        <v>21</v>
      </c>
      <c r="D69" s="55">
        <f>SUM(D67:D68)</f>
        <v>94723.106415446164</v>
      </c>
      <c r="E69" s="55">
        <f t="shared" ref="E69:H69" si="17">SUM(E67:E68)</f>
        <v>243250.71386574517</v>
      </c>
      <c r="F69" s="55">
        <f t="shared" si="17"/>
        <v>250548.2352817175</v>
      </c>
      <c r="G69" s="55">
        <f t="shared" si="17"/>
        <v>258064.68234016906</v>
      </c>
      <c r="H69" s="55">
        <f t="shared" si="17"/>
        <v>265806.62281037413</v>
      </c>
      <c r="I69"/>
      <c r="J69" s="55">
        <f t="shared" si="16"/>
        <v>1112393.3607134521</v>
      </c>
    </row>
    <row r="70" spans="2:10" ht="15" thickBot="1" x14ac:dyDescent="0.4">
      <c r="B70" s="6"/>
      <c r="D70"/>
      <c r="E70"/>
      <c r="H70"/>
      <c r="I70"/>
      <c r="J70" t="s">
        <v>20</v>
      </c>
    </row>
    <row r="71" spans="2:10" s="1" customFormat="1" ht="29.5" thickBot="1" x14ac:dyDescent="0.4">
      <c r="B71" s="13" t="s">
        <v>22</v>
      </c>
      <c r="C71" s="65"/>
      <c r="D71" s="66">
        <f>SUM(D69,D64)</f>
        <v>590813.91269938834</v>
      </c>
      <c r="E71" s="66">
        <f t="shared" ref="E71:J71" si="18">SUM(E69,E64)</f>
        <v>1095102.2390907225</v>
      </c>
      <c r="F71" s="66">
        <f t="shared" si="18"/>
        <v>1127954.9562634442</v>
      </c>
      <c r="G71" s="66">
        <f t="shared" si="18"/>
        <v>1161793.8749513475</v>
      </c>
      <c r="H71" s="66">
        <f t="shared" si="18"/>
        <v>1196648.5211998881</v>
      </c>
      <c r="I71"/>
      <c r="J71" s="66">
        <f t="shared" si="18"/>
        <v>5172313.5042047901</v>
      </c>
    </row>
    <row r="72" spans="2:10" x14ac:dyDescent="0.35">
      <c r="B72" s="6"/>
    </row>
    <row r="73" spans="2:10" x14ac:dyDescent="0.35">
      <c r="B73" s="6"/>
    </row>
    <row r="74" spans="2:10" x14ac:dyDescent="0.35">
      <c r="B74" s="6"/>
    </row>
    <row r="75" spans="2:10" x14ac:dyDescent="0.35">
      <c r="B75" s="6"/>
    </row>
    <row r="76" spans="2:10" x14ac:dyDescent="0.35">
      <c r="B76" s="6"/>
    </row>
    <row r="77" spans="2:10" x14ac:dyDescent="0.35">
      <c r="B77" s="6"/>
    </row>
    <row r="78" spans="2:10" x14ac:dyDescent="0.35">
      <c r="B78" s="6"/>
    </row>
    <row r="79" spans="2:10" x14ac:dyDescent="0.35">
      <c r="B79" s="6"/>
    </row>
    <row r="80" spans="2:10" x14ac:dyDescent="0.35">
      <c r="B80" s="6"/>
    </row>
    <row r="81" spans="2:2" x14ac:dyDescent="0.35">
      <c r="B81" s="6"/>
    </row>
    <row r="82" spans="2:2" x14ac:dyDescent="0.35">
      <c r="B82" s="6"/>
    </row>
    <row r="83" spans="2:2" x14ac:dyDescent="0.35">
      <c r="B83" s="6"/>
    </row>
    <row r="84" spans="2:2" x14ac:dyDescent="0.35">
      <c r="B84" s="6"/>
    </row>
    <row r="85" spans="2:2" x14ac:dyDescent="0.35">
      <c r="B85" s="6"/>
    </row>
    <row r="86" spans="2:2" x14ac:dyDescent="0.35">
      <c r="B86" s="6"/>
    </row>
  </sheetData>
  <mergeCells count="1">
    <mergeCell ref="C8:H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D90C895F0B1A44B15105A094377489" ma:contentTypeVersion="13" ma:contentTypeDescription="Create a new document." ma:contentTypeScope="" ma:versionID="3c5ecdc446bf6ed323451433769c6bed">
  <xsd:schema xmlns:xsd="http://www.w3.org/2001/XMLSchema" xmlns:xs="http://www.w3.org/2001/XMLSchema" xmlns:p="http://schemas.microsoft.com/office/2006/metadata/properties" xmlns:ns2="303c44ff-fe6e-485b-bc52-68850477ef0b" xmlns:ns3="6d43c15e-1959-4200-a9f7-66c078748649" targetNamespace="http://schemas.microsoft.com/office/2006/metadata/properties" ma:root="true" ma:fieldsID="d293dafb290a238f7f7767b5df10cf91" ns2:_="" ns3:_="">
    <xsd:import namespace="303c44ff-fe6e-485b-bc52-68850477ef0b"/>
    <xsd:import namespace="6d43c15e-1959-4200-a9f7-66c0787486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3c44ff-fe6e-485b-bc52-68850477ef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b928028b-1cc5-45ee-9164-1a2f8d0dcd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43c15e-1959-4200-a9f7-66c0787486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6c5048-32e6-4e95-b9ab-a89ed70d6a21}" ma:internalName="TaxCatchAll" ma:showField="CatchAllData" ma:web="6d43c15e-1959-4200-a9f7-66c0787486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d43c15e-1959-4200-a9f7-66c078748649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03c44ff-fe6e-485b-bc52-68850477ef0b">
      <Terms xmlns="http://schemas.microsoft.com/office/infopath/2007/PartnerControls"/>
    </lcf76f155ced4ddcb4097134ff3c332f>
    <TaxCatchAll xmlns="6d43c15e-1959-4200-a9f7-66c078748649" xsi:nil="true"/>
  </documentManagement>
</p:propertie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9CA05064-9C99-4D0E-9A9F-9EBBFF3F1BD1}"/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Overview</vt:lpstr>
      <vt:lpstr>Consolidated Budget</vt:lpstr>
      <vt:lpstr>GC Program Budget</vt:lpstr>
      <vt:lpstr>'GC Program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2024-03-30T01:18:53Z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0x010100BDD90C895F0B1A44B15105A094377489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