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40F71B37-F4DC-4303-A676-95A4A65537A2}" xr6:coauthVersionLast="47" xr6:coauthVersionMax="47" xr10:uidLastSave="{00000000-0000-0000-0000-000000000000}"/>
  <bookViews>
    <workbookView xWindow="30420" yWindow="1725" windowWidth="25980" windowHeight="12390" firstSheet="1" activeTab="1" xr2:uid="{AAC398A2-E95D-4231-A920-55B8B1C73F3F}"/>
  </bookViews>
  <sheets>
    <sheet name="Overview" sheetId="26" state="hidden" r:id="rId1"/>
    <sheet name="Consolidated Budget" sheetId="30" r:id="rId2"/>
    <sheet name="Measure 1 Budget" sheetId="16" r:id="rId3"/>
    <sheet name="Measure 2 Budget" sheetId="27" r:id="rId4"/>
    <sheet name="Measure 3 Budget" sheetId="28" state="hidden" r:id="rId5"/>
    <sheet name="Measure 4 Budget" sheetId="29" state="hidden" r:id="rId6"/>
    <sheet name="Measure 5 Budget" sheetId="31" state="hidden" r:id="rId7"/>
    <sheet name="Sample Budget 1" sheetId="32" state="hidden" r:id="rId8"/>
    <sheet name="Sample Budget 2" sheetId="33" state="hidden" r:id="rId9"/>
    <sheet name="Sample Budget 3" sheetId="34" state="hidden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6" l="1"/>
  <c r="E36" i="16"/>
  <c r="E34" i="16"/>
  <c r="F34" i="16" s="1"/>
  <c r="G34" i="16" s="1"/>
  <c r="H34" i="16" s="1"/>
  <c r="F35" i="16"/>
  <c r="G35" i="16" s="1"/>
  <c r="H35" i="16" s="1"/>
  <c r="D34" i="16"/>
  <c r="J34" i="16" s="1"/>
  <c r="F39" i="27"/>
  <c r="E39" i="27"/>
  <c r="D39" i="27"/>
  <c r="C60" i="27"/>
  <c r="C56" i="27"/>
  <c r="I51" i="27"/>
  <c r="I52" i="27"/>
  <c r="I53" i="27"/>
  <c r="C49" i="27"/>
  <c r="G49" i="27"/>
  <c r="I47" i="27"/>
  <c r="I46" i="27"/>
  <c r="I45" i="27"/>
  <c r="I44" i="27"/>
  <c r="I26" i="27"/>
  <c r="I25" i="27"/>
  <c r="I24" i="27"/>
  <c r="H52" i="16"/>
  <c r="J51" i="16"/>
  <c r="J50" i="16"/>
  <c r="J49" i="16"/>
  <c r="J40" i="16"/>
  <c r="J41" i="16"/>
  <c r="J42" i="16"/>
  <c r="J43" i="16"/>
  <c r="J44" i="16"/>
  <c r="J45" i="16"/>
  <c r="J25" i="16"/>
  <c r="J27" i="16"/>
  <c r="E29" i="16"/>
  <c r="J13" i="16"/>
  <c r="J12" i="16"/>
  <c r="J11" i="16"/>
  <c r="J10" i="16"/>
  <c r="J9" i="16"/>
  <c r="J8" i="16"/>
  <c r="J14" i="16"/>
  <c r="H29" i="16"/>
  <c r="G29" i="16"/>
  <c r="F29" i="16"/>
  <c r="D29" i="16"/>
  <c r="J52" i="16" l="1"/>
  <c r="F36" i="16"/>
  <c r="G36" i="16" s="1"/>
  <c r="H36" i="16" s="1"/>
  <c r="D38" i="16"/>
  <c r="I39" i="27"/>
  <c r="I49" i="27"/>
  <c r="J47" i="16"/>
  <c r="J35" i="16"/>
  <c r="E38" i="16"/>
  <c r="D49" i="27"/>
  <c r="F49" i="27"/>
  <c r="E49" i="27"/>
  <c r="H38" i="16"/>
  <c r="F38" i="16" l="1"/>
  <c r="G38" i="16"/>
  <c r="J36" i="16"/>
  <c r="D52" i="16"/>
  <c r="E52" i="16"/>
  <c r="F52" i="16"/>
  <c r="J38" i="16"/>
  <c r="G52" i="16" l="1"/>
  <c r="D51" i="33" l="1"/>
  <c r="D50" i="33"/>
  <c r="D46" i="32"/>
  <c r="J46" i="32" s="1"/>
  <c r="J53" i="32" s="1"/>
  <c r="G56" i="27"/>
  <c r="F56" i="27"/>
  <c r="D56" i="27"/>
  <c r="D32" i="27"/>
  <c r="E32" i="27"/>
  <c r="F32" i="27"/>
  <c r="G32" i="27"/>
  <c r="C32" i="27"/>
  <c r="D47" i="16" l="1"/>
  <c r="D17" i="16" l="1"/>
  <c r="D19" i="16" s="1"/>
  <c r="D56" i="16" s="1"/>
  <c r="C16" i="27"/>
  <c r="C18" i="27" l="1"/>
  <c r="D13" i="32"/>
  <c r="D16" i="27" l="1"/>
  <c r="D18" i="27" s="1"/>
  <c r="E17" i="16"/>
  <c r="E19" i="16" s="1"/>
  <c r="E56" i="16" s="1"/>
  <c r="I12" i="27"/>
  <c r="D22" i="16"/>
  <c r="F17" i="16" l="1"/>
  <c r="F19" i="16" s="1"/>
  <c r="F56" i="16" s="1"/>
  <c r="I10" i="27"/>
  <c r="E16" i="27"/>
  <c r="G17" i="16"/>
  <c r="I11" i="27"/>
  <c r="J18" i="31"/>
  <c r="J19" i="31"/>
  <c r="J18" i="29"/>
  <c r="J19" i="29"/>
  <c r="J18" i="28"/>
  <c r="J19" i="28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6" i="32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H64" i="27"/>
  <c r="I61" i="27"/>
  <c r="E56" i="27"/>
  <c r="I55" i="27"/>
  <c r="I54" i="27"/>
  <c r="G41" i="27"/>
  <c r="F41" i="27"/>
  <c r="E41" i="27"/>
  <c r="D41" i="27"/>
  <c r="C41" i="27"/>
  <c r="C57" i="27" s="1"/>
  <c r="C64" i="27" s="1"/>
  <c r="I40" i="27"/>
  <c r="G36" i="27"/>
  <c r="F36" i="27"/>
  <c r="E36" i="27"/>
  <c r="D36" i="27"/>
  <c r="C36" i="27"/>
  <c r="I35" i="27"/>
  <c r="I34" i="27"/>
  <c r="I31" i="27"/>
  <c r="I30" i="27"/>
  <c r="I29" i="27"/>
  <c r="I28" i="27"/>
  <c r="I27" i="27"/>
  <c r="H21" i="27"/>
  <c r="I20" i="27"/>
  <c r="H16" i="27"/>
  <c r="E58" i="16"/>
  <c r="F58" i="16"/>
  <c r="D58" i="16"/>
  <c r="E47" i="16"/>
  <c r="F47" i="16"/>
  <c r="G47" i="16"/>
  <c r="H47" i="16"/>
  <c r="E32" i="16"/>
  <c r="F32" i="16"/>
  <c r="G32" i="16"/>
  <c r="H32" i="16"/>
  <c r="D32" i="16"/>
  <c r="J26" i="16"/>
  <c r="F22" i="16"/>
  <c r="F16" i="27" l="1"/>
  <c r="F18" i="27" s="1"/>
  <c r="F21" i="27" s="1"/>
  <c r="F57" i="27" s="1"/>
  <c r="G19" i="16"/>
  <c r="G22" i="16" s="1"/>
  <c r="G53" i="16" s="1"/>
  <c r="I8" i="27"/>
  <c r="E18" i="27"/>
  <c r="E21" i="27" s="1"/>
  <c r="E60" i="27" s="1"/>
  <c r="E62" i="27" s="1"/>
  <c r="F16" i="30" s="1"/>
  <c r="I9" i="27"/>
  <c r="I13" i="27"/>
  <c r="I32" i="27"/>
  <c r="E22" i="16"/>
  <c r="E53" i="16" s="1"/>
  <c r="E60" i="16" s="1"/>
  <c r="D53" i="16"/>
  <c r="D21" i="27"/>
  <c r="I56" i="27"/>
  <c r="I41" i="27"/>
  <c r="I36" i="27"/>
  <c r="J29" i="16"/>
  <c r="J32" i="16"/>
  <c r="E10" i="30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55" i="29"/>
  <c r="J49" i="29"/>
  <c r="J50" i="28"/>
  <c r="F53" i="16"/>
  <c r="F60" i="16" s="1"/>
  <c r="D60" i="16" l="1"/>
  <c r="H17" i="16"/>
  <c r="J17" i="16"/>
  <c r="G16" i="27"/>
  <c r="G56" i="16"/>
  <c r="F60" i="27"/>
  <c r="F62" i="27" s="1"/>
  <c r="F64" i="27" s="1"/>
  <c r="D57" i="27"/>
  <c r="D60" i="27"/>
  <c r="D62" i="27" s="1"/>
  <c r="E16" i="30" s="1"/>
  <c r="I16" i="27"/>
  <c r="E57" i="27"/>
  <c r="E64" i="27" s="1"/>
  <c r="F8" i="30"/>
  <c r="F14" i="30" s="1"/>
  <c r="F18" i="30" s="1"/>
  <c r="J9" i="30"/>
  <c r="G8" i="30"/>
  <c r="G14" i="30" s="1"/>
  <c r="E8" i="30"/>
  <c r="E14" i="30" s="1"/>
  <c r="C21" i="27"/>
  <c r="J10" i="30"/>
  <c r="J11" i="30"/>
  <c r="D58" i="34"/>
  <c r="J51" i="34"/>
  <c r="J58" i="34" s="1"/>
  <c r="J51" i="33"/>
  <c r="J58" i="33" s="1"/>
  <c r="D58" i="33"/>
  <c r="J12" i="30"/>
  <c r="J51" i="28"/>
  <c r="J58" i="28" s="1"/>
  <c r="F58" i="28"/>
  <c r="J13" i="30"/>
  <c r="J50" i="31"/>
  <c r="J57" i="31" s="1"/>
  <c r="J50" i="29"/>
  <c r="J57" i="29" s="1"/>
  <c r="E18" i="30" l="1"/>
  <c r="G18" i="27"/>
  <c r="H19" i="16"/>
  <c r="H7" i="30"/>
  <c r="J7" i="30" s="1"/>
  <c r="G58" i="16"/>
  <c r="D64" i="27"/>
  <c r="D8" i="30"/>
  <c r="C62" i="27" l="1"/>
  <c r="I18" i="27"/>
  <c r="I21" i="27" s="1"/>
  <c r="G21" i="27"/>
  <c r="H56" i="16"/>
  <c r="J56" i="16" s="1"/>
  <c r="J58" i="16" s="1"/>
  <c r="H22" i="16"/>
  <c r="H53" i="16" s="1"/>
  <c r="J19" i="16"/>
  <c r="J22" i="16" s="1"/>
  <c r="G16" i="30"/>
  <c r="G18" i="30" s="1"/>
  <c r="G60" i="16"/>
  <c r="D14" i="30"/>
  <c r="J53" i="16" l="1"/>
  <c r="H8" i="30"/>
  <c r="H58" i="16"/>
  <c r="H60" i="16" s="1"/>
  <c r="G57" i="27"/>
  <c r="I57" i="27" s="1"/>
  <c r="G60" i="27"/>
  <c r="D16" i="30"/>
  <c r="D18" i="30" s="1"/>
  <c r="H14" i="30" l="1"/>
  <c r="J8" i="30"/>
  <c r="G62" i="27"/>
  <c r="H16" i="30" s="1"/>
  <c r="J16" i="30" s="1"/>
  <c r="I60" i="27"/>
  <c r="J60" i="16"/>
  <c r="D23" i="30" l="1"/>
  <c r="G64" i="27"/>
  <c r="I62" i="27"/>
  <c r="H18" i="30"/>
  <c r="J14" i="30"/>
  <c r="J18" i="30" s="1"/>
  <c r="D29" i="30" s="1"/>
  <c r="I64" i="27" l="1"/>
  <c r="D24" i="30" l="1"/>
  <c r="E24" i="30" l="1"/>
  <c r="E23" i="30"/>
  <c r="E29" i="30" l="1"/>
</calcChain>
</file>

<file path=xl/sharedStrings.xml><?xml version="1.0" encoding="utf-8"?>
<sst xmlns="http://schemas.openxmlformats.org/spreadsheetml/2006/main" count="540" uniqueCount="111">
  <si>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</si>
  <si>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</si>
  <si>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</si>
  <si>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</si>
  <si>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</si>
  <si>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</si>
  <si>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</si>
  <si>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</si>
  <si>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</si>
  <si>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</si>
  <si>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</si>
  <si>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</si>
  <si>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</si>
  <si>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</si>
  <si>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</si>
  <si>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</si>
  <si>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</si>
  <si>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</si>
  <si>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</si>
  <si>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</si>
  <si>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</si>
  <si>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</si>
  <si>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</si>
  <si>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</si>
  <si>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</si>
  <si>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</si>
  <si>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</si>
  <si>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</si>
  <si>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E-Bike Rebate</t>
  </si>
  <si>
    <t>Mobility Wallet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</si>
  <si>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</si>
  <si>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</si>
  <si>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</si>
  <si>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</si>
  <si>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</si>
  <si>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Program Administrator - $91,000/yr - 682.5 hrs/year</t>
  </si>
  <si>
    <t>Program Coordinator/Contract Manager  - $80,000/yr - 1365 hrs/yr</t>
  </si>
  <si>
    <t>Data Analyst - $60,200/yr - 1365 hrs/yr</t>
  </si>
  <si>
    <t>Financial Services support staff - $1050</t>
  </si>
  <si>
    <t>Senior Program/Project Analyst- $82,000/yr - 350 hrs</t>
  </si>
  <si>
    <t>Workforce - Program Administrator $103,000/yr - 190 hrs/yr</t>
  </si>
  <si>
    <t>Rates escalated 3% per year after Year 1</t>
  </si>
  <si>
    <t xml:space="preserve"> Fringe Benefits </t>
  </si>
  <si>
    <t>Fringe - 50%</t>
  </si>
  <si>
    <t xml:space="preserve"> Travel/Conference/Training</t>
  </si>
  <si>
    <t>Out of Region Travel for conference and workshop presentations:</t>
  </si>
  <si>
    <t xml:space="preserve">       Lodging/Parking/Airfare/Per Diem/Misc &amp; Other Trans</t>
  </si>
  <si>
    <t>Local Travel (Gas,Parking/Mileage/Rideshare/Allowable Meals/Per Diem/Misc</t>
  </si>
  <si>
    <t>Conference/Training</t>
  </si>
  <si>
    <t xml:space="preserve"> Equipment </t>
  </si>
  <si>
    <t xml:space="preserve"> </t>
  </si>
  <si>
    <t xml:space="preserve"> Supplies </t>
  </si>
  <si>
    <t>Computers/ Hardware/Software (New/License Renewal)</t>
  </si>
  <si>
    <t>Meeting Supplies, Photocopying &amp; Postage</t>
  </si>
  <si>
    <t>Telephone/Cell Phones</t>
  </si>
  <si>
    <t xml:space="preserve"> Contractual </t>
  </si>
  <si>
    <t>Workforce</t>
  </si>
  <si>
    <t>Coalition ($78,825 per city x4, per year)</t>
  </si>
  <si>
    <t>Contract Admin for voucher processing - 8% of total ebike vouchers</t>
  </si>
  <si>
    <t>Marketing</t>
  </si>
  <si>
    <t>Performance Evaluation (including Health)</t>
  </si>
  <si>
    <t>Community Engagement/Outreach</t>
  </si>
  <si>
    <t>OTHER</t>
  </si>
  <si>
    <t>Office Rent</t>
  </si>
  <si>
    <t>IT Allocation</t>
  </si>
  <si>
    <t>E-Bike Voucher Funds</t>
  </si>
  <si>
    <t>Indirect Costs</t>
  </si>
  <si>
    <t>Agency @33.20% (33.2% x Personnel &amp; Fringe)</t>
  </si>
  <si>
    <t>Program Administrator - $91,000/yr - 292.5 hrs/year</t>
  </si>
  <si>
    <t>Program Coordinator/Contract Manager  - $80,000/yr - 585 hrs/yr</t>
  </si>
  <si>
    <t>Data Analyst - $60,200/yr - 585 hrs/yr</t>
  </si>
  <si>
    <t xml:space="preserve">Financial Services support staff - $450/year </t>
  </si>
  <si>
    <t>Senior Program/Project Analyst- $82,000/yr - 150 hrs</t>
  </si>
  <si>
    <t>All rates escalated 3% per year after Year 1</t>
  </si>
  <si>
    <t xml:space="preserve"> Travel </t>
  </si>
  <si>
    <t>Contract Admin for Mobility wallet processing - 8% of total mobility wallets</t>
  </si>
  <si>
    <t>Performance Eval (including Health)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</si>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</sst>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9" fillId="0" borderId="1" xfId="1" applyNumberFormat="1" applyFont="1" applyBorder="1" applyAlignment="1">
      <alignment wrapText="1"/>
    </xf>
    <xf numFmtId="164" fontId="7" fillId="0" borderId="1" xfId="1" applyNumberFormat="1" applyFont="1" applyBorder="1" applyAlignment="1">
      <alignment wrapText="1"/>
    </xf>
    <xf numFmtId="0" fontId="2" fillId="0" borderId="5" xfId="0" applyFont="1" applyBorder="1" applyAlignment="1">
      <alignment vertical="top"/>
    </xf>
    <xf numFmtId="164" fontId="3" fillId="4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vertical="top" indent="4"/>
    </xf>
    <xf numFmtId="0" fontId="3" fillId="0" borderId="1" xfId="0" applyFont="1" applyBorder="1" applyAlignment="1">
      <alignment horizontal="left" vertical="top" wrapText="1" indent="4"/>
    </xf>
    <xf numFmtId="0" fontId="0" fillId="4" borderId="1" xfId="0" applyFill="1" applyBorder="1" applyAlignment="1">
      <alignment wrapText="1"/>
    </xf>
    <xf numFmtId="0" fontId="3" fillId="0" borderId="1" xfId="0" applyFont="1" applyBorder="1"/>
    <xf numFmtId="0" fontId="3" fillId="0" borderId="3" xfId="0" applyFont="1" applyBorder="1"/>
    <xf numFmtId="0" fontId="3" fillId="0" borderId="1" xfId="0" applyFont="1" applyBorder="1" applyAlignment="1">
      <alignment horizontal="left" indent="1"/>
    </xf>
    <xf numFmtId="164" fontId="3" fillId="0" borderId="1" xfId="0" applyNumberFormat="1" applyFont="1" applyBorder="1" applyAlignment="1">
      <alignment wrapText="1"/>
    </xf>
    <xf numFmtId="164" fontId="3" fillId="4" borderId="1" xfId="1" applyNumberFormat="1" applyFont="1" applyFill="1" applyBorder="1" applyAlignment="1">
      <alignment wrapText="1"/>
    </xf>
    <xf numFmtId="164" fontId="0" fillId="0" borderId="0" xfId="1" applyNumberFormat="1" applyFont="1"/>
    <xf numFmtId="164" fontId="4" fillId="0" borderId="1" xfId="1" applyNumberFormat="1" applyFont="1" applyBorder="1" applyAlignment="1">
      <alignment wrapText="1"/>
    </xf>
    <xf numFmtId="164" fontId="4" fillId="0" borderId="0" xfId="0" applyNumberFormat="1" applyFont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164" fontId="3" fillId="4" borderId="4" xfId="0" applyNumberFormat="1" applyFont="1" applyFill="1" applyBorder="1" applyAlignment="1">
      <alignment wrapText="1"/>
    </xf>
    <xf numFmtId="164" fontId="19" fillId="0" borderId="12" xfId="0" applyNumberFormat="1" applyFont="1" applyBorder="1" applyAlignment="1">
      <alignment wrapText="1"/>
    </xf>
    <xf numFmtId="164" fontId="7" fillId="0" borderId="0" xfId="1" applyNumberFormat="1" applyFont="1"/>
    <xf numFmtId="164" fontId="7" fillId="0" borderId="1" xfId="1" applyNumberFormat="1" applyFont="1" applyBorder="1"/>
    <xf numFmtId="164" fontId="3" fillId="0" borderId="1" xfId="1" applyNumberFormat="1" applyFont="1" applyBorder="1" applyAlignment="1">
      <alignment wrapText="1"/>
    </xf>
    <xf numFmtId="164" fontId="3" fillId="4" borderId="4" xfId="1" applyNumberFormat="1" applyFont="1" applyFill="1" applyBorder="1" applyAlignment="1">
      <alignment wrapText="1"/>
    </xf>
    <xf numFmtId="164" fontId="0" fillId="0" borderId="1" xfId="1" applyNumberFormat="1" applyFont="1" applyBorder="1"/>
    <xf numFmtId="164" fontId="19" fillId="0" borderId="12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wrapText="1" indent="4"/>
    </xf>
    <xf numFmtId="0" fontId="2" fillId="0" borderId="11" xfId="0" applyFont="1" applyBorder="1" applyAlignment="1">
      <alignment wrapText="1"/>
    </xf>
    <xf numFmtId="0" fontId="0" fillId="0" borderId="2" xfId="0" applyBorder="1" applyAlignment="1">
      <alignment vertical="top"/>
    </xf>
    <xf numFmtId="0" fontId="10" fillId="0" borderId="19" xfId="0" applyFont="1" applyBorder="1" applyAlignment="1">
      <alignment wrapText="1"/>
    </xf>
    <xf numFmtId="0" fontId="0" fillId="0" borderId="2" xfId="0" applyBorder="1"/>
    <xf numFmtId="0" fontId="5" fillId="0" borderId="0" xfId="0" applyFon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6" zoomScale="90" zoomScaleNormal="90" workbookViewId="0">
      <selection activeCell="F58" sqref="F58"/>
    </sheetView>
  </sheetViews>
  <sheetFormatPr defaultColWidth="8.85546875"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42578125" customWidth="1"/>
    <col min="18" max="18" width="37.42578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42578125" style="2" customWidth="1"/>
    <col min="6" max="7" width="12.42578125" customWidth="1"/>
    <col min="8" max="8" width="12.42578125" style="2" customWidth="1"/>
    <col min="9" max="9" width="0.85546875" style="7" customWidth="1"/>
    <col min="10" max="10" width="13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102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80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81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97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82</v>
      </c>
      <c r="D19" s="15" t="s">
        <v>50</v>
      </c>
      <c r="E19" s="11" t="s">
        <v>50</v>
      </c>
      <c r="F19" s="11" t="s">
        <v>50</v>
      </c>
      <c r="G19" s="11"/>
      <c r="H19" s="11"/>
      <c r="J19" s="15"/>
    </row>
    <row r="20" spans="2:10" x14ac:dyDescent="0.25">
      <c r="B20" s="23"/>
      <c r="C20" s="29" t="s">
        <v>83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84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103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86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87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88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51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91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55</v>
      </c>
      <c r="D36" s="13" t="s">
        <v>34</v>
      </c>
      <c r="E36" s="10"/>
      <c r="F36" s="10"/>
      <c r="G36" s="10"/>
      <c r="H36" s="10"/>
      <c r="J36" s="15"/>
    </row>
    <row r="37" spans="2:10" ht="30" x14ac:dyDescent="0.25">
      <c r="B37" s="23"/>
      <c r="C37" s="60" t="s">
        <v>104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105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106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107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108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62</v>
      </c>
      <c r="D43" s="13" t="s">
        <v>34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109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66</v>
      </c>
      <c r="C53" s="17" t="s">
        <v>66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110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3" zoomScale="90" zoomScaleNormal="90" workbookViewId="0">
      <selection activeCell="N18" sqref="N1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4" style="2" customWidth="1"/>
    <col min="6" max="6" width="12.140625" customWidth="1"/>
    <col min="7" max="7" width="12.140625" bestFit="1" customWidth="1"/>
    <col min="8" max="8" width="12" style="2" customWidth="1"/>
    <col min="9" max="9" width="3.42578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04" t="s">
        <v>1</v>
      </c>
      <c r="C3" s="104"/>
      <c r="D3" s="104"/>
      <c r="E3" s="104"/>
      <c r="F3" s="104"/>
      <c r="G3" s="104"/>
      <c r="H3" s="104"/>
      <c r="I3" s="104"/>
      <c r="J3" s="104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6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7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Budget'!D17+'Measure 2 Budget'!C16+'Measure 3 Budget'!D11+'Measure 4 Budget'!D11+'Measure 5 Budget'!D11</f>
        <v>193435</v>
      </c>
      <c r="E7" s="52">
        <f>'Measure 1 Budget'!E17+'Measure 2 Budget'!D16+'Measure 3 Budget'!E11+'Measure 4 Budget'!E11+'Measure 5 Budget'!E11</f>
        <v>315743</v>
      </c>
      <c r="F7" s="52">
        <f>'Measure 1 Budget'!F17+'Measure 2 Budget'!E16+'Measure 3 Budget'!F11+'Measure 4 Budget'!F11+'Measure 5 Budget'!F11</f>
        <v>314905</v>
      </c>
      <c r="G7" s="52">
        <f>'Measure 1 Budget'!G17+'Measure 2 Budget'!F16+'Measure 3 Budget'!G11+'Measure 4 Budget'!G11+'Measure 5 Budget'!G11</f>
        <v>324349</v>
      </c>
      <c r="H7" s="52">
        <f>'Measure 1 Budget'!H17+'Measure 2 Budget'!G16+'Measure 3 Budget'!H11+'Measure 4 Budget'!H11+'Measure 5 Budget'!H11</f>
        <v>206445</v>
      </c>
      <c r="I7" s="53"/>
      <c r="J7" s="52">
        <f>SUM(D7:I7)</f>
        <v>1354877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Budget'!D22+'Measure 2 Budget'!C21+'Measure 3 Budget'!D16+'Measure 4 Budget'!D16+'Measure 5 Budget'!D16</f>
        <v>96717.5</v>
      </c>
      <c r="E8" s="52">
        <f>'Measure 1 Budget'!E22+'Measure 2 Budget'!D21+'Measure 3 Budget'!E16+'Measure 4 Budget'!E16</f>
        <v>157871.5</v>
      </c>
      <c r="F8" s="52">
        <f>'Measure 1 Budget'!F22+'Measure 2 Budget'!E21+'Measure 3 Budget'!F16+'Measure 4 Budget'!F16</f>
        <v>157452.5</v>
      </c>
      <c r="G8" s="52">
        <f>'Measure 1 Budget'!G22+'Measure 2 Budget'!F21+'Measure 3 Budget'!G16+'Measure 4 Budget'!G16</f>
        <v>162174.5</v>
      </c>
      <c r="H8" s="52">
        <f>'Measure 1 Budget'!H22+'Measure 2 Budget'!G21+'Measure 3 Budget'!H16+'Measure 4 Budget'!H16</f>
        <v>103222.5</v>
      </c>
      <c r="I8" s="53"/>
      <c r="J8" s="52">
        <f t="shared" ref="J8:J14" si="0">SUM(D8:I8)</f>
        <v>677438.5</v>
      </c>
    </row>
    <row r="9" spans="2:39" x14ac:dyDescent="0.25">
      <c r="B9" s="23"/>
      <c r="C9" s="51" t="s">
        <v>14</v>
      </c>
      <c r="D9" s="52">
        <f>'Measure 1 Budget'!D29+'Measure 2 Budget'!C32+'Measure 3 Budget'!D27+'Measure 4 Budget'!D27+'Measure 5 Budget'!D27</f>
        <v>6000</v>
      </c>
      <c r="E9" s="52">
        <f>'Measure 1 Budget'!E29+'Measure 2 Budget'!D32+'Measure 3 Budget'!E27+'Measure 4 Budget'!E27</f>
        <v>16000</v>
      </c>
      <c r="F9" s="52">
        <f>'Measure 1 Budget'!F29+'Measure 2 Budget'!E32+'Measure 3 Budget'!F27+'Measure 4 Budget'!F27</f>
        <v>16000</v>
      </c>
      <c r="G9" s="52">
        <f>'Measure 1 Budget'!G29+'Measure 2 Budget'!F32+'Measure 3 Budget'!G27+'Measure 4 Budget'!G27</f>
        <v>16000</v>
      </c>
      <c r="H9" s="52">
        <f>'Measure 1 Budget'!H29+'Measure 2 Budget'!G32+'Measure 3 Budget'!H27+'Measure 4 Budget'!H27</f>
        <v>13500</v>
      </c>
      <c r="I9" s="53"/>
      <c r="J9" s="52">
        <f>SUM(D9:I9)</f>
        <v>67500</v>
      </c>
    </row>
    <row r="10" spans="2:39" x14ac:dyDescent="0.25">
      <c r="B10" s="23"/>
      <c r="C10" s="51" t="s">
        <v>15</v>
      </c>
      <c r="D10" s="52">
        <f>'Measure 1 Budget'!D32+'Measure 2 Budget'!C36+'Measure 3 Budget'!D31+'Measure 4 Budget'!D31+'Measure 5 Budget'!D31</f>
        <v>0</v>
      </c>
      <c r="E10" s="52">
        <f>'Measure 1 Budget'!E32+'Measure 2 Budget'!D36+'Measure 3 Budget'!E31+'Measure 4 Budget'!E31</f>
        <v>0</v>
      </c>
      <c r="F10" s="52">
        <f>'Measure 1 Budget'!F32+'Measure 2 Budget'!E36+'Measure 3 Budget'!F31+'Measure 4 Budget'!F31</f>
        <v>0</v>
      </c>
      <c r="G10" s="52">
        <f>'Measure 1 Budget'!G32+'Measure 2 Budget'!F36+'Measure 3 Budget'!G31+'Measure 4 Budget'!G31</f>
        <v>0</v>
      </c>
      <c r="H10" s="52">
        <f>'Measure 1 Budget'!H32+'Measure 2 Budget'!G36+'Measure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Budget'!D38+'Measure 2 Budget'!C41+'Measure 3 Budget'!D35+'Measure 4 Budget'!D35+'Measure 5 Budget'!D35</f>
        <v>25570</v>
      </c>
      <c r="E11" s="52">
        <f>'Measure 1 Budget'!E38+'Measure 2 Budget'!D41+'Measure 3 Budget'!E35+'Measure 4 Budget'!E35</f>
        <v>13829.6</v>
      </c>
      <c r="F11" s="52">
        <f>'Measure 1 Budget'!F38+'Measure 2 Budget'!E41+'Measure 3 Budget'!F35+'Measure 4 Budget'!F35</f>
        <v>14241.688000000002</v>
      </c>
      <c r="G11" s="52">
        <f>'Measure 1 Budget'!G38+'Measure 2 Budget'!F41+'Measure 3 Budget'!G35+'Measure 4 Budget'!G35</f>
        <v>14665.538640000002</v>
      </c>
      <c r="H11" s="52">
        <f>'Measure 1 Budget'!H38+'Measure 2 Budget'!G41+'Measure 3 Budget'!H35+'Measure 4 Budget'!H35</f>
        <v>15215.5047992</v>
      </c>
      <c r="I11" s="53"/>
      <c r="J11" s="52">
        <f t="shared" si="0"/>
        <v>83522.331439200003</v>
      </c>
    </row>
    <row r="12" spans="2:39" x14ac:dyDescent="0.25">
      <c r="B12" s="23"/>
      <c r="C12" s="51" t="s">
        <v>17</v>
      </c>
      <c r="D12" s="52">
        <f>'Measure 1 Budget'!D47+'Measure 2 Budget'!C49+'Measure 3 Budget'!D42+'Measure 4 Budget'!D41+'Measure 5 Budget'!D41</f>
        <v>1665300</v>
      </c>
      <c r="E12" s="52">
        <f>'Measure 1 Budget'!E47+'Measure 2 Budget'!D49+'Measure 3 Budget'!E42+'Measure 4 Budget'!E41</f>
        <v>1768800</v>
      </c>
      <c r="F12" s="52">
        <f>'Measure 1 Budget'!F47+'Measure 2 Budget'!E49+'Measure 3 Budget'!F42+'Measure 4 Budget'!F41</f>
        <v>1688800</v>
      </c>
      <c r="G12" s="52">
        <f>'Measure 1 Budget'!G47+'Measure 2 Budget'!F49+'Measure 3 Budget'!G42+'Measure 4 Budget'!G41</f>
        <v>1688800</v>
      </c>
      <c r="H12" s="52">
        <f>'Measure 1 Budget'!H47+'Measure 2 Budget'!G49+'Measure 3 Budget'!H42+'Measure 4 Budget'!H41</f>
        <v>1488800</v>
      </c>
      <c r="I12" s="53"/>
      <c r="J12" s="52">
        <f t="shared" si="0"/>
        <v>8300500</v>
      </c>
    </row>
    <row r="13" spans="2:39" x14ac:dyDescent="0.25">
      <c r="B13" s="23"/>
      <c r="C13" s="51" t="s">
        <v>18</v>
      </c>
      <c r="D13" s="52">
        <f>'Measure 1 Budget'!D52+'Measure 2 Budget'!C56+'Measure 3 Budget'!D50+'Measure 4 Budget'!D49+'Measure 5 Budget'!D49</f>
        <v>2555194.2857142859</v>
      </c>
      <c r="E13" s="52">
        <f>'Measure 1 Budget'!E52+'Measure 2 Budget'!D56+'Measure 3 Budget'!E50+'Measure 4 Budget'!E49</f>
        <v>7756850.1142857149</v>
      </c>
      <c r="F13" s="52">
        <f>'Measure 1 Budget'!F52+'Measure 2 Budget'!E56+'Measure 3 Budget'!F50+'Measure 4 Budget'!F49</f>
        <v>7758555.6177142859</v>
      </c>
      <c r="G13" s="52">
        <f>'Measure 1 Budget'!G52+'Measure 2 Budget'!F56+'Measure 3 Budget'!G50+'Measure 4 Budget'!G49</f>
        <v>7760312.2862457139</v>
      </c>
      <c r="H13" s="52">
        <f>'Measure 1 Budget'!H52+'Measure 2 Budget'!G56+'Measure 3 Budget'!H50+'Measure 4 Budget'!H49</f>
        <v>5262121.6548330858</v>
      </c>
      <c r="I13" s="53"/>
      <c r="J13" s="52">
        <f t="shared" si="0"/>
        <v>31093033.958793085</v>
      </c>
    </row>
    <row r="14" spans="2:39" x14ac:dyDescent="0.25">
      <c r="B14" s="24"/>
      <c r="C14" s="9" t="s">
        <v>19</v>
      </c>
      <c r="D14" s="16">
        <f>D13+D12+D11+D10+D9+D8+D7</f>
        <v>4542216.7857142854</v>
      </c>
      <c r="E14" s="16">
        <f>E13+E12+E11+E10+E9+E8+E7</f>
        <v>10029094.214285715</v>
      </c>
      <c r="F14" s="16">
        <f>F13+F12+F11+F10+F9+F8+F7</f>
        <v>9949954.805714285</v>
      </c>
      <c r="G14" s="16">
        <f>G13+G12+G11+G10+G9+G8+G7</f>
        <v>9966301.3248857148</v>
      </c>
      <c r="H14" s="16">
        <f>H13+H12+H11+H10+H9+H8+H7</f>
        <v>7089304.6596322861</v>
      </c>
      <c r="J14" s="16">
        <f t="shared" si="0"/>
        <v>41576871.790232293</v>
      </c>
    </row>
    <row r="15" spans="2:39" x14ac:dyDescent="0.25">
      <c r="B15" s="65"/>
      <c r="D15"/>
      <c r="E15"/>
      <c r="H15"/>
      <c r="I15"/>
      <c r="J15" s="18" t="s">
        <v>20</v>
      </c>
    </row>
    <row r="16" spans="2:39" ht="20.100000000000001" customHeight="1" x14ac:dyDescent="0.25">
      <c r="B16" s="65"/>
      <c r="C16" s="9" t="s">
        <v>21</v>
      </c>
      <c r="D16" s="16">
        <f>'Measure 1 Budget'!D58+'Measure 2 Budget'!C62+'Measure 3 Budget'!D56+'Measure 4 Budget'!D55+'Measure 5 Budget'!D55</f>
        <v>96330.63</v>
      </c>
      <c r="E16" s="16">
        <f>'Measure 1 Budget'!E58+'Measure 2 Budget'!D62+'Measure 3 Budget'!E56+'Measure 4 Budget'!E55</f>
        <v>157240.01400000002</v>
      </c>
      <c r="F16" s="16">
        <f>'Measure 1 Budget'!F58+'Measure 2 Budget'!E62+'Measure 3 Budget'!F56+'Measure 4 Budget'!F55</f>
        <v>156822.69</v>
      </c>
      <c r="G16" s="16">
        <f>'Measure 1 Budget'!G58+'Measure 2 Budget'!F62+'Measure 3 Budget'!G56+'Measure 4 Budget'!G55</f>
        <v>161525.80200000003</v>
      </c>
      <c r="H16" s="16">
        <f>'Measure 1 Budget'!H58+'Measure 2 Budget'!G62+'Measure 3 Budget'!H56+'Measure 4 Budget'!H55</f>
        <v>102809.61</v>
      </c>
      <c r="I16" s="103"/>
      <c r="J16" s="16">
        <f>SUM(D16:H16)</f>
        <v>674728.74600000004</v>
      </c>
    </row>
    <row r="17" spans="2:10" ht="15.75" thickBot="1" x14ac:dyDescent="0.3">
      <c r="B17" s="100"/>
      <c r="D17"/>
      <c r="E17"/>
      <c r="H17"/>
      <c r="I17"/>
      <c r="J17" s="102" t="s">
        <v>20</v>
      </c>
    </row>
    <row r="18" spans="2:10" ht="30.95" customHeight="1" thickBot="1" x14ac:dyDescent="0.3">
      <c r="B18" s="101" t="s">
        <v>22</v>
      </c>
      <c r="C18" s="19"/>
      <c r="D18" s="54">
        <f>ROUND(D14+D16,0)</f>
        <v>4638547</v>
      </c>
      <c r="E18" s="54">
        <f>E14+E16</f>
        <v>10186334.228285715</v>
      </c>
      <c r="F18" s="54">
        <f>F14+F16</f>
        <v>10106777.495714284</v>
      </c>
      <c r="G18" s="54">
        <f>G14+G16</f>
        <v>10127827.126885714</v>
      </c>
      <c r="H18" s="54">
        <f>H14+H16</f>
        <v>7192114.2696322864</v>
      </c>
      <c r="I18" s="55"/>
      <c r="J18" s="54">
        <f>J14+J16-1</f>
        <v>42251599.536232293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106"/>
      <c r="F21" s="106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107" t="s">
        <v>27</v>
      </c>
      <c r="F22" s="107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'Measure 1 Budget'!J60</f>
        <v>28444520.262594357</v>
      </c>
      <c r="E23" s="105">
        <f>D23/D$29</f>
        <v>0.67321759589721897</v>
      </c>
      <c r="F23" s="105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2 Budget'!I64</f>
        <v>13807080.273637924</v>
      </c>
      <c r="E24" s="105">
        <f t="shared" ref="E24" si="1">D24/D$29</f>
        <v>0.32678242777052374</v>
      </c>
      <c r="F24" s="105"/>
      <c r="H24"/>
      <c r="I24"/>
    </row>
    <row r="25" spans="2:10" ht="15" hidden="1" customHeight="1" x14ac:dyDescent="0.25">
      <c r="B25" s="51">
        <v>3</v>
      </c>
      <c r="C25" s="52"/>
      <c r="D25" s="58"/>
      <c r="E25" s="105"/>
      <c r="F25" s="105"/>
      <c r="H25"/>
      <c r="I25"/>
    </row>
    <row r="26" spans="2:10" ht="15" hidden="1" customHeight="1" x14ac:dyDescent="0.25">
      <c r="B26" s="51">
        <v>4</v>
      </c>
      <c r="C26" s="52"/>
      <c r="D26" s="58"/>
      <c r="E26" s="105"/>
      <c r="F26" s="105"/>
      <c r="H26"/>
      <c r="I26"/>
    </row>
    <row r="27" spans="2:10" ht="15" hidden="1" customHeight="1" x14ac:dyDescent="0.25">
      <c r="B27" s="51">
        <v>5</v>
      </c>
      <c r="C27" s="52"/>
      <c r="D27" s="58"/>
      <c r="E27" s="105"/>
      <c r="F27" s="105"/>
      <c r="H27"/>
      <c r="I27"/>
    </row>
    <row r="28" spans="2:10" ht="15" hidden="1" customHeight="1" x14ac:dyDescent="0.25">
      <c r="B28" s="51"/>
      <c r="C28" s="52"/>
      <c r="D28" s="58"/>
      <c r="E28" s="105"/>
      <c r="F28" s="105"/>
      <c r="H28"/>
      <c r="I28"/>
    </row>
    <row r="29" spans="2:10" ht="15" customHeight="1" x14ac:dyDescent="0.25">
      <c r="B29" s="51" t="s">
        <v>30</v>
      </c>
      <c r="C29" s="52"/>
      <c r="D29" s="58">
        <f>J18</f>
        <v>42251599.536232293</v>
      </c>
      <c r="E29" s="105">
        <f t="shared" ref="E29" si="2">SUM(E23:E28)</f>
        <v>1.0000000236677427</v>
      </c>
      <c r="F29" s="105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5"/>
  <sheetViews>
    <sheetView showGridLines="0" zoomScale="90" zoomScaleNormal="90" workbookViewId="0">
      <selection activeCell="B2" sqref="B2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60.85546875" customWidth="1"/>
    <col min="4" max="4" width="12.42578125" style="6" customWidth="1"/>
    <col min="5" max="5" width="12.42578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" customWidth="1"/>
    <col min="11" max="11" width="14.7109375" bestFit="1" customWidth="1"/>
    <col min="13" max="17" width="10.42578125" bestFit="1" customWidth="1"/>
  </cols>
  <sheetData>
    <row r="2" spans="2:39" ht="23.25" x14ac:dyDescent="0.35">
      <c r="B2" s="30" t="s">
        <v>31</v>
      </c>
    </row>
    <row r="3" spans="2:39" x14ac:dyDescent="0.25">
      <c r="B3" s="5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68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x14ac:dyDescent="0.25">
      <c r="B8" s="69"/>
      <c r="C8" s="26" t="s">
        <v>35</v>
      </c>
      <c r="D8" s="71">
        <v>32806</v>
      </c>
      <c r="E8" s="71">
        <v>33790</v>
      </c>
      <c r="F8" s="71">
        <v>34803</v>
      </c>
      <c r="G8" s="71">
        <v>35847</v>
      </c>
      <c r="H8" s="71">
        <v>36923</v>
      </c>
      <c r="I8" s="90"/>
      <c r="J8" s="91">
        <f t="shared" ref="J8:J13" si="0">SUM(D8:H8)</f>
        <v>174169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x14ac:dyDescent="0.25">
      <c r="B9" s="69"/>
      <c r="C9" s="26" t="s">
        <v>36</v>
      </c>
      <c r="D9" s="71">
        <v>28840</v>
      </c>
      <c r="E9" s="71">
        <v>59410</v>
      </c>
      <c r="F9" s="71">
        <v>61193</v>
      </c>
      <c r="G9" s="71">
        <v>63028</v>
      </c>
      <c r="H9" s="71">
        <v>32460</v>
      </c>
      <c r="I9" s="90"/>
      <c r="J9" s="91">
        <f t="shared" si="0"/>
        <v>244931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x14ac:dyDescent="0.25">
      <c r="B10" s="69"/>
      <c r="C10" s="26" t="s">
        <v>36</v>
      </c>
      <c r="D10" s="71">
        <v>28840</v>
      </c>
      <c r="E10" s="71">
        <v>59410</v>
      </c>
      <c r="F10" s="71">
        <v>61193</v>
      </c>
      <c r="G10" s="71">
        <v>63028</v>
      </c>
      <c r="H10" s="71">
        <v>32460</v>
      </c>
      <c r="I10" s="90"/>
      <c r="J10" s="91">
        <f t="shared" si="0"/>
        <v>244931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x14ac:dyDescent="0.25">
      <c r="B11" s="23"/>
      <c r="C11" s="26" t="s">
        <v>37</v>
      </c>
      <c r="D11" s="71">
        <v>21702</v>
      </c>
      <c r="E11" s="71">
        <v>44706</v>
      </c>
      <c r="F11" s="71">
        <v>46048</v>
      </c>
      <c r="G11" s="71">
        <v>47429</v>
      </c>
      <c r="H11" s="71">
        <v>24426</v>
      </c>
      <c r="I11" s="90"/>
      <c r="J11" s="91">
        <f t="shared" si="0"/>
        <v>184311</v>
      </c>
    </row>
    <row r="12" spans="2:39" x14ac:dyDescent="0.25">
      <c r="B12" s="23"/>
      <c r="C12" s="26" t="s">
        <v>38</v>
      </c>
      <c r="D12" s="71">
        <v>1050</v>
      </c>
      <c r="E12" s="71">
        <v>1082</v>
      </c>
      <c r="F12" s="71">
        <v>1114</v>
      </c>
      <c r="G12" s="71">
        <v>1147</v>
      </c>
      <c r="H12" s="71">
        <v>1182</v>
      </c>
      <c r="I12" s="90"/>
      <c r="J12" s="91">
        <f t="shared" si="0"/>
        <v>5575</v>
      </c>
    </row>
    <row r="13" spans="2:39" x14ac:dyDescent="0.25">
      <c r="B13" s="23"/>
      <c r="C13" s="26" t="s">
        <v>39</v>
      </c>
      <c r="D13" s="71">
        <v>15159</v>
      </c>
      <c r="E13" s="71">
        <v>15614</v>
      </c>
      <c r="F13" s="71">
        <v>16083</v>
      </c>
      <c r="G13" s="71">
        <v>16565</v>
      </c>
      <c r="H13" s="71">
        <v>17062</v>
      </c>
      <c r="I13" s="90"/>
      <c r="J13" s="91">
        <f t="shared" si="0"/>
        <v>80483</v>
      </c>
    </row>
    <row r="14" spans="2:39" x14ac:dyDescent="0.25">
      <c r="B14" s="23"/>
      <c r="C14" s="26" t="s">
        <v>40</v>
      </c>
      <c r="D14" s="71">
        <v>10010</v>
      </c>
      <c r="E14" s="71">
        <v>10010</v>
      </c>
      <c r="F14" s="71">
        <v>0</v>
      </c>
      <c r="G14" s="71">
        <v>0</v>
      </c>
      <c r="H14" s="71">
        <v>0</v>
      </c>
      <c r="I14" s="90"/>
      <c r="J14" s="91">
        <f>SUM(D14:H14)</f>
        <v>20020</v>
      </c>
    </row>
    <row r="15" spans="2:39" x14ac:dyDescent="0.25">
      <c r="B15" s="23"/>
      <c r="C15" s="25" t="s">
        <v>41</v>
      </c>
      <c r="D15" s="71"/>
      <c r="E15" s="71"/>
      <c r="F15" s="71"/>
      <c r="G15" s="71"/>
      <c r="H15" s="71"/>
      <c r="I15" s="90"/>
      <c r="J15" s="91"/>
    </row>
    <row r="16" spans="2:39" x14ac:dyDescent="0.25">
      <c r="B16" s="23"/>
      <c r="C16" s="25"/>
      <c r="D16" s="71"/>
      <c r="E16" s="71"/>
      <c r="F16" s="71"/>
      <c r="G16" s="71"/>
      <c r="H16" s="71"/>
      <c r="I16" s="90"/>
      <c r="J16" s="91"/>
    </row>
    <row r="17" spans="2:10" x14ac:dyDescent="0.25">
      <c r="B17" s="23"/>
      <c r="C17" s="9" t="s">
        <v>12</v>
      </c>
      <c r="D17" s="82">
        <f>SUM(D8:D14)</f>
        <v>138407</v>
      </c>
      <c r="E17" s="82">
        <f>SUM(E8:E14)</f>
        <v>224022</v>
      </c>
      <c r="F17" s="82">
        <f>SUM(F8:F14)</f>
        <v>220434</v>
      </c>
      <c r="G17" s="82">
        <f>SUM(G8:G14)</f>
        <v>227044</v>
      </c>
      <c r="H17" s="82">
        <f>SUM(H8:H14)</f>
        <v>144513</v>
      </c>
      <c r="I17" s="83"/>
      <c r="J17" s="82">
        <f>SUM(J8:J14)</f>
        <v>954420</v>
      </c>
    </row>
    <row r="18" spans="2:10" x14ac:dyDescent="0.25">
      <c r="B18" s="23"/>
      <c r="C18" s="14" t="s">
        <v>42</v>
      </c>
      <c r="D18" s="70" t="s">
        <v>34</v>
      </c>
      <c r="E18" s="71"/>
      <c r="F18" s="71"/>
      <c r="G18" s="71"/>
      <c r="H18" s="71"/>
      <c r="I18" s="90"/>
      <c r="J18" s="91" t="s">
        <v>34</v>
      </c>
    </row>
    <row r="19" spans="2:10" x14ac:dyDescent="0.25">
      <c r="B19" s="23"/>
      <c r="C19" s="74" t="s">
        <v>43</v>
      </c>
      <c r="D19" s="92">
        <f>D17*0.5</f>
        <v>69203.5</v>
      </c>
      <c r="E19" s="92">
        <f>E17*0.5</f>
        <v>112011</v>
      </c>
      <c r="F19" s="92">
        <f>F17*0.5</f>
        <v>110217</v>
      </c>
      <c r="G19" s="92">
        <f>G17*0.5</f>
        <v>113522</v>
      </c>
      <c r="H19" s="92">
        <f>H17*0.5</f>
        <v>72256.5</v>
      </c>
      <c r="I19" s="83"/>
      <c r="J19" s="92">
        <f>SUM(D19:H19)</f>
        <v>477210</v>
      </c>
    </row>
    <row r="20" spans="2:10" x14ac:dyDescent="0.25">
      <c r="B20" s="23"/>
      <c r="C20" s="25"/>
      <c r="D20" s="70"/>
      <c r="E20" s="70"/>
      <c r="F20" s="70"/>
      <c r="G20" s="70"/>
      <c r="H20" s="70"/>
      <c r="I20" s="90"/>
      <c r="J20" s="70"/>
    </row>
    <row r="21" spans="2:10" x14ac:dyDescent="0.25">
      <c r="B21" s="23"/>
      <c r="C21" s="10"/>
      <c r="D21" s="70"/>
      <c r="E21" s="71"/>
      <c r="F21" s="71"/>
      <c r="G21" s="71"/>
      <c r="H21" s="71"/>
      <c r="I21" s="90"/>
      <c r="J21" s="70"/>
    </row>
    <row r="22" spans="2:10" x14ac:dyDescent="0.25">
      <c r="B22" s="23"/>
      <c r="C22" s="9" t="s">
        <v>13</v>
      </c>
      <c r="D22" s="82">
        <f>SUM(D19:D21)</f>
        <v>69203.5</v>
      </c>
      <c r="E22" s="82">
        <f t="shared" ref="E22:J22" si="1">SUM(E19:E21)</f>
        <v>112011</v>
      </c>
      <c r="F22" s="82">
        <f t="shared" si="1"/>
        <v>110217</v>
      </c>
      <c r="G22" s="82">
        <f t="shared" si="1"/>
        <v>113522</v>
      </c>
      <c r="H22" s="82">
        <f t="shared" si="1"/>
        <v>72256.5</v>
      </c>
      <c r="I22" s="83"/>
      <c r="J22" s="82">
        <f t="shared" si="1"/>
        <v>477210</v>
      </c>
    </row>
    <row r="23" spans="2:10" x14ac:dyDescent="0.25">
      <c r="B23" s="23"/>
      <c r="C23" s="14" t="s">
        <v>44</v>
      </c>
      <c r="D23" s="70" t="s">
        <v>34</v>
      </c>
      <c r="E23" s="71"/>
      <c r="F23" s="71"/>
      <c r="G23" s="71"/>
      <c r="H23" s="71"/>
      <c r="I23" s="90"/>
      <c r="J23" s="91" t="s">
        <v>34</v>
      </c>
    </row>
    <row r="24" spans="2:10" x14ac:dyDescent="0.25">
      <c r="B24" s="23"/>
      <c r="C24" s="75" t="s">
        <v>45</v>
      </c>
      <c r="D24" s="92"/>
      <c r="E24" s="92"/>
      <c r="F24" s="92"/>
      <c r="G24" s="92"/>
      <c r="H24" s="92"/>
      <c r="I24" s="90"/>
      <c r="J24" s="92"/>
    </row>
    <row r="25" spans="2:10" x14ac:dyDescent="0.25">
      <c r="B25" s="23"/>
      <c r="C25" s="75" t="s">
        <v>46</v>
      </c>
      <c r="D25" s="92">
        <v>0</v>
      </c>
      <c r="E25" s="92">
        <v>4750</v>
      </c>
      <c r="F25" s="92">
        <v>4750</v>
      </c>
      <c r="G25" s="92">
        <v>4750</v>
      </c>
      <c r="H25" s="92">
        <v>4750</v>
      </c>
      <c r="I25" s="90"/>
      <c r="J25" s="92">
        <f>SUM(D25:H25)</f>
        <v>19000</v>
      </c>
    </row>
    <row r="26" spans="2:10" ht="30" x14ac:dyDescent="0.25">
      <c r="B26" s="23"/>
      <c r="C26" s="76" t="s">
        <v>47</v>
      </c>
      <c r="D26" s="92">
        <v>2500</v>
      </c>
      <c r="E26" s="92">
        <v>3500</v>
      </c>
      <c r="F26" s="92">
        <v>3500</v>
      </c>
      <c r="G26" s="92">
        <v>3500</v>
      </c>
      <c r="H26" s="92">
        <v>1750</v>
      </c>
      <c r="I26" s="90"/>
      <c r="J26" s="92">
        <f t="shared" ref="J26" si="2">SUM(D26:H26)</f>
        <v>14750</v>
      </c>
    </row>
    <row r="27" spans="2:10" x14ac:dyDescent="0.25">
      <c r="B27" s="23"/>
      <c r="C27" s="76" t="s">
        <v>48</v>
      </c>
      <c r="D27" s="92">
        <v>1400</v>
      </c>
      <c r="E27" s="92">
        <v>2800</v>
      </c>
      <c r="F27" s="92">
        <v>2800</v>
      </c>
      <c r="G27" s="92">
        <v>2800</v>
      </c>
      <c r="H27" s="92">
        <v>2800</v>
      </c>
      <c r="I27" s="90"/>
      <c r="J27" s="92">
        <f>SUM(D27:H27)</f>
        <v>12600</v>
      </c>
    </row>
    <row r="28" spans="2:10" x14ac:dyDescent="0.25">
      <c r="B28" s="23"/>
      <c r="D28" s="70"/>
      <c r="E28" s="70"/>
      <c r="F28" s="70"/>
      <c r="G28" s="70"/>
      <c r="H28" s="70"/>
      <c r="I28" s="90"/>
      <c r="J28" s="70"/>
    </row>
    <row r="29" spans="2:10" x14ac:dyDescent="0.25">
      <c r="B29" s="23"/>
      <c r="C29" s="77" t="s">
        <v>14</v>
      </c>
      <c r="D29" s="82">
        <f>SUM(D24:D28)</f>
        <v>3900</v>
      </c>
      <c r="E29" s="82">
        <f>SUM(E24:E28)</f>
        <v>11050</v>
      </c>
      <c r="F29" s="82">
        <f t="shared" ref="F29:H29" si="3">SUM(F24:F28)</f>
        <v>11050</v>
      </c>
      <c r="G29" s="82">
        <f t="shared" si="3"/>
        <v>11050</v>
      </c>
      <c r="H29" s="82">
        <f t="shared" si="3"/>
        <v>9300</v>
      </c>
      <c r="I29" s="83"/>
      <c r="J29" s="82">
        <f>SUM(J24:J28)</f>
        <v>46350</v>
      </c>
    </row>
    <row r="30" spans="2:10" x14ac:dyDescent="0.25">
      <c r="B30" s="23"/>
      <c r="C30" s="14" t="s">
        <v>49</v>
      </c>
      <c r="D30" s="70"/>
      <c r="E30" s="71"/>
      <c r="F30" s="71"/>
      <c r="G30" s="71"/>
      <c r="H30" s="71"/>
      <c r="I30" s="90"/>
      <c r="J30" s="70" t="s">
        <v>20</v>
      </c>
    </row>
    <row r="31" spans="2:10" x14ac:dyDescent="0.25">
      <c r="B31" s="23" t="s">
        <v>50</v>
      </c>
      <c r="C31" s="25"/>
      <c r="D31" s="70"/>
      <c r="E31" s="70"/>
      <c r="F31" s="70"/>
      <c r="G31" s="70"/>
      <c r="H31" s="70"/>
      <c r="I31" s="90"/>
      <c r="J31" s="70"/>
    </row>
    <row r="32" spans="2:10" x14ac:dyDescent="0.25">
      <c r="B32" s="23"/>
      <c r="C32" s="9" t="s">
        <v>15</v>
      </c>
      <c r="D32" s="93">
        <f>SUM(D31:D31)</f>
        <v>0</v>
      </c>
      <c r="E32" s="93">
        <f>SUM(E31:E31)</f>
        <v>0</v>
      </c>
      <c r="F32" s="93">
        <f>SUM(F31:F31)</f>
        <v>0</v>
      </c>
      <c r="G32" s="93">
        <f>SUM(G31:G31)</f>
        <v>0</v>
      </c>
      <c r="H32" s="93">
        <f>SUM(H31:H31)</f>
        <v>0</v>
      </c>
      <c r="I32" s="83"/>
      <c r="J32" s="82">
        <f>SUM(J31:J31)</f>
        <v>0</v>
      </c>
    </row>
    <row r="33" spans="2:10" x14ac:dyDescent="0.25">
      <c r="B33" s="23"/>
      <c r="C33" s="14" t="s">
        <v>51</v>
      </c>
      <c r="D33" s="70" t="s">
        <v>34</v>
      </c>
      <c r="E33" s="71"/>
      <c r="F33" s="71"/>
      <c r="G33" s="71"/>
      <c r="H33" s="71"/>
      <c r="I33" s="90"/>
      <c r="J33" s="70"/>
    </row>
    <row r="34" spans="2:10" x14ac:dyDescent="0.25">
      <c r="B34" s="23"/>
      <c r="C34" s="74" t="s">
        <v>52</v>
      </c>
      <c r="D34" s="92">
        <f>3500*3+4000</f>
        <v>14500</v>
      </c>
      <c r="E34" s="92">
        <f>4000*1.03</f>
        <v>4120</v>
      </c>
      <c r="F34" s="92">
        <f>E34*1.03</f>
        <v>4243.6000000000004</v>
      </c>
      <c r="G34" s="92">
        <f>F34*1.03</f>
        <v>4370.9080000000004</v>
      </c>
      <c r="H34" s="92">
        <f>G34*1.03</f>
        <v>4502.0352400000002</v>
      </c>
      <c r="I34" s="83"/>
      <c r="J34" s="92">
        <f>SUM(D34:H34)</f>
        <v>31736.543239999999</v>
      </c>
    </row>
    <row r="35" spans="2:10" x14ac:dyDescent="0.25">
      <c r="B35" s="23"/>
      <c r="C35" s="74" t="s">
        <v>53</v>
      </c>
      <c r="D35" s="92">
        <v>4000</v>
      </c>
      <c r="E35" s="92">
        <v>4500</v>
      </c>
      <c r="F35" s="92">
        <f>E35*1.03</f>
        <v>4635</v>
      </c>
      <c r="G35" s="92">
        <f>F35*1.03</f>
        <v>4774.05</v>
      </c>
      <c r="H35" s="92">
        <f>G35*1.03+117</f>
        <v>5034.2715000000007</v>
      </c>
      <c r="I35" s="83"/>
      <c r="J35" s="92">
        <f>SUM(D35:H35)</f>
        <v>22943.321499999998</v>
      </c>
    </row>
    <row r="36" spans="2:10" x14ac:dyDescent="0.25">
      <c r="B36" s="23"/>
      <c r="C36" s="74" t="s">
        <v>54</v>
      </c>
      <c r="D36" s="92">
        <f>120*3*12+2000</f>
        <v>6320</v>
      </c>
      <c r="E36" s="92">
        <f>4320*1.03</f>
        <v>4449.6000000000004</v>
      </c>
      <c r="F36" s="92">
        <f>E36*1.03</f>
        <v>4583.0880000000006</v>
      </c>
      <c r="G36" s="92">
        <f>F36*1.03</f>
        <v>4720.580640000001</v>
      </c>
      <c r="H36" s="92">
        <f>G36*1.03</f>
        <v>4862.1980592000009</v>
      </c>
      <c r="I36" s="83"/>
      <c r="J36" s="92">
        <f>SUM(D36:H36)</f>
        <v>24935.466699200002</v>
      </c>
    </row>
    <row r="37" spans="2:10" x14ac:dyDescent="0.25">
      <c r="B37" s="23"/>
      <c r="C37" s="25"/>
      <c r="D37" s="70"/>
      <c r="E37" s="71"/>
      <c r="F37" s="71"/>
      <c r="G37" s="71"/>
      <c r="H37" s="71"/>
      <c r="I37" s="90"/>
      <c r="J37" s="70"/>
    </row>
    <row r="38" spans="2:10" x14ac:dyDescent="0.25">
      <c r="B38" s="23"/>
      <c r="C38" s="9" t="s">
        <v>16</v>
      </c>
      <c r="D38" s="82">
        <f>SUM(D34:D36)</f>
        <v>24820</v>
      </c>
      <c r="E38" s="82">
        <f>SUM(E34:E36)</f>
        <v>13069.6</v>
      </c>
      <c r="F38" s="82">
        <f>SUM(F34:F36)</f>
        <v>13461.688000000002</v>
      </c>
      <c r="G38" s="82">
        <f>SUM(G34:G36)</f>
        <v>13865.538640000002</v>
      </c>
      <c r="H38" s="82">
        <f>SUM(H34:H36)</f>
        <v>14398.5047992</v>
      </c>
      <c r="I38" s="83"/>
      <c r="J38" s="82">
        <f>SUM(J34:J36)</f>
        <v>79615.331439200003</v>
      </c>
    </row>
    <row r="39" spans="2:10" x14ac:dyDescent="0.25">
      <c r="B39" s="23"/>
      <c r="C39" s="14" t="s">
        <v>55</v>
      </c>
      <c r="D39" s="70" t="s">
        <v>34</v>
      </c>
      <c r="E39" s="71"/>
      <c r="F39" s="71"/>
      <c r="G39" s="71"/>
      <c r="H39" s="71"/>
      <c r="I39" s="90"/>
      <c r="J39" s="70"/>
    </row>
    <row r="40" spans="2:10" x14ac:dyDescent="0.25">
      <c r="B40" s="23"/>
      <c r="C40" s="74" t="s">
        <v>56</v>
      </c>
      <c r="D40" s="92">
        <v>80000</v>
      </c>
      <c r="E40" s="92">
        <v>80000</v>
      </c>
      <c r="F40" s="92">
        <v>0</v>
      </c>
      <c r="G40" s="92">
        <v>0</v>
      </c>
      <c r="H40" s="92">
        <v>0</v>
      </c>
      <c r="I40" s="83"/>
      <c r="J40" s="92">
        <f t="shared" ref="J40:J45" si="4">SUM(D40:H40)</f>
        <v>160000</v>
      </c>
    </row>
    <row r="41" spans="2:10" x14ac:dyDescent="0.25">
      <c r="B41" s="23"/>
      <c r="C41" s="74" t="s">
        <v>57</v>
      </c>
      <c r="D41" s="92">
        <v>315300</v>
      </c>
      <c r="E41" s="92">
        <v>315300</v>
      </c>
      <c r="F41" s="92">
        <v>315300</v>
      </c>
      <c r="G41" s="92">
        <v>315300</v>
      </c>
      <c r="H41" s="92">
        <v>315300</v>
      </c>
      <c r="I41" s="83"/>
      <c r="J41" s="92">
        <f t="shared" si="4"/>
        <v>1576500</v>
      </c>
    </row>
    <row r="42" spans="2:10" ht="30" x14ac:dyDescent="0.25">
      <c r="B42" s="23"/>
      <c r="C42" s="74" t="s">
        <v>58</v>
      </c>
      <c r="D42" s="92">
        <v>200000</v>
      </c>
      <c r="E42" s="92">
        <v>400000</v>
      </c>
      <c r="F42" s="92">
        <v>400000</v>
      </c>
      <c r="G42" s="92">
        <v>400000</v>
      </c>
      <c r="H42" s="92">
        <v>200000</v>
      </c>
      <c r="I42" s="83"/>
      <c r="J42" s="92">
        <f t="shared" si="4"/>
        <v>1600000</v>
      </c>
    </row>
    <row r="43" spans="2:10" x14ac:dyDescent="0.25">
      <c r="B43" s="23"/>
      <c r="C43" s="74" t="s">
        <v>59</v>
      </c>
      <c r="D43" s="92">
        <v>280000</v>
      </c>
      <c r="E43" s="92">
        <v>61249.999999999993</v>
      </c>
      <c r="F43" s="92">
        <v>61249.999999999993</v>
      </c>
      <c r="G43" s="92">
        <v>61249.999999999993</v>
      </c>
      <c r="H43" s="92">
        <v>61249.999999999993</v>
      </c>
      <c r="I43" s="83"/>
      <c r="J43" s="92">
        <f t="shared" si="4"/>
        <v>525000</v>
      </c>
    </row>
    <row r="44" spans="2:10" x14ac:dyDescent="0.25">
      <c r="B44" s="23"/>
      <c r="C44" s="74" t="s">
        <v>60</v>
      </c>
      <c r="D44" s="92">
        <v>70000</v>
      </c>
      <c r="E44" s="92">
        <v>70000</v>
      </c>
      <c r="F44" s="92">
        <v>70000</v>
      </c>
      <c r="G44" s="92">
        <v>70000</v>
      </c>
      <c r="H44" s="92">
        <v>70000</v>
      </c>
      <c r="I44" s="83"/>
      <c r="J44" s="92">
        <f t="shared" si="4"/>
        <v>350000</v>
      </c>
    </row>
    <row r="45" spans="2:10" x14ac:dyDescent="0.25">
      <c r="B45" s="23"/>
      <c r="C45" s="74" t="s">
        <v>61</v>
      </c>
      <c r="D45" s="92">
        <v>399000</v>
      </c>
      <c r="E45" s="92">
        <v>399000</v>
      </c>
      <c r="F45" s="92">
        <v>399000</v>
      </c>
      <c r="G45" s="92">
        <v>399000</v>
      </c>
      <c r="H45" s="92">
        <v>399000</v>
      </c>
      <c r="I45" s="83"/>
      <c r="J45" s="92">
        <f t="shared" si="4"/>
        <v>1995000</v>
      </c>
    </row>
    <row r="46" spans="2:10" x14ac:dyDescent="0.25">
      <c r="B46" s="23"/>
      <c r="C46" s="25"/>
      <c r="D46" s="70"/>
      <c r="E46" s="71"/>
      <c r="F46" s="71"/>
      <c r="G46" s="71"/>
      <c r="H46" s="71"/>
      <c r="I46" s="90"/>
      <c r="J46" s="70"/>
    </row>
    <row r="47" spans="2:10" x14ac:dyDescent="0.25">
      <c r="B47" s="23"/>
      <c r="C47" s="9" t="s">
        <v>17</v>
      </c>
      <c r="D47" s="82">
        <f>SUM(D40:D46)</f>
        <v>1344300</v>
      </c>
      <c r="E47" s="82">
        <f>SUM(E40:E46)</f>
        <v>1325550</v>
      </c>
      <c r="F47" s="82">
        <f>SUM(F40:F46)</f>
        <v>1245550</v>
      </c>
      <c r="G47" s="82">
        <f>SUM(G40:G46)</f>
        <v>1245550</v>
      </c>
      <c r="H47" s="82">
        <f>SUM(H40:H46)</f>
        <v>1045550</v>
      </c>
      <c r="I47" s="83"/>
      <c r="J47" s="82">
        <f>SUM(J40:J46)</f>
        <v>6206500</v>
      </c>
    </row>
    <row r="48" spans="2:10" x14ac:dyDescent="0.25">
      <c r="B48" s="23"/>
      <c r="C48" s="14" t="s">
        <v>62</v>
      </c>
      <c r="D48" s="70" t="s">
        <v>34</v>
      </c>
      <c r="E48" s="71"/>
      <c r="F48" s="71"/>
      <c r="G48" s="71"/>
      <c r="H48" s="71"/>
      <c r="I48" s="90"/>
      <c r="J48" s="70"/>
    </row>
    <row r="49" spans="2:19" x14ac:dyDescent="0.25">
      <c r="B49" s="23"/>
      <c r="C49" s="74" t="s">
        <v>63</v>
      </c>
      <c r="D49" s="92">
        <v>16227.119999999995</v>
      </c>
      <c r="E49" s="92">
        <v>16713.933599999997</v>
      </c>
      <c r="F49" s="92">
        <v>17215.351607999997</v>
      </c>
      <c r="G49" s="92">
        <v>17731.812156239997</v>
      </c>
      <c r="H49" s="92">
        <v>18263.766520927198</v>
      </c>
      <c r="I49" s="83"/>
      <c r="J49" s="92">
        <f>SUM(D49:H49)</f>
        <v>86151.983885167181</v>
      </c>
    </row>
    <row r="50" spans="2:19" x14ac:dyDescent="0.25">
      <c r="B50" s="23"/>
      <c r="C50" s="74" t="s">
        <v>64</v>
      </c>
      <c r="D50" s="92">
        <v>22408.87999999999</v>
      </c>
      <c r="E50" s="92">
        <v>23081.146399999991</v>
      </c>
      <c r="F50" s="92">
        <v>23773.580791999993</v>
      </c>
      <c r="G50" s="92">
        <v>24486.788215759992</v>
      </c>
      <c r="H50" s="92">
        <v>25221.391862232791</v>
      </c>
      <c r="I50" s="83"/>
      <c r="J50" s="92">
        <f>SUM(D50:H50)</f>
        <v>118971.78726999275</v>
      </c>
    </row>
    <row r="51" spans="2:19" x14ac:dyDescent="0.25">
      <c r="B51" s="23"/>
      <c r="C51" s="74" t="s">
        <v>65</v>
      </c>
      <c r="D51" s="92">
        <v>2500000</v>
      </c>
      <c r="E51" s="92">
        <v>5000000</v>
      </c>
      <c r="F51" s="92">
        <v>5000000</v>
      </c>
      <c r="G51" s="92">
        <v>5000000</v>
      </c>
      <c r="H51" s="92">
        <v>2500000</v>
      </c>
      <c r="I51" s="83"/>
      <c r="J51" s="92">
        <f>SUM(D51:H51)</f>
        <v>20000000</v>
      </c>
    </row>
    <row r="52" spans="2:19" x14ac:dyDescent="0.25">
      <c r="B52" s="24"/>
      <c r="C52" s="77" t="s">
        <v>18</v>
      </c>
      <c r="D52" s="82">
        <f>SUM(D49:D51)</f>
        <v>2538636</v>
      </c>
      <c r="E52" s="82">
        <f>SUM(E49:E51)</f>
        <v>5039795.08</v>
      </c>
      <c r="F52" s="82">
        <f>SUM(F49:F51)</f>
        <v>5040988.9324000003</v>
      </c>
      <c r="G52" s="82">
        <f>SUM(G49:G51)</f>
        <v>5042218.6003719997</v>
      </c>
      <c r="H52" s="82">
        <f>SUM(H49:H51)</f>
        <v>2543485.1583831599</v>
      </c>
      <c r="I52" s="83"/>
      <c r="J52" s="82">
        <f>SUM(J49:J51)</f>
        <v>20205123.77115516</v>
      </c>
    </row>
    <row r="53" spans="2:19" x14ac:dyDescent="0.25">
      <c r="B53" s="24"/>
      <c r="C53" s="77" t="s">
        <v>19</v>
      </c>
      <c r="D53" s="82">
        <f>SUM(D52,D47,D38,D32,D29,D22,D17)</f>
        <v>4119266.5</v>
      </c>
      <c r="E53" s="82">
        <f>SUM(E52,E47,E38,E32,E29,E22,E17)</f>
        <v>6725497.6799999997</v>
      </c>
      <c r="F53" s="82">
        <f>SUM(F52,F47,F38,F32,F29,F22,F17)</f>
        <v>6641701.6204000004</v>
      </c>
      <c r="G53" s="82">
        <f>SUM(G52,G47,G38,G32,G29,G22,G17)</f>
        <v>6653250.1390119996</v>
      </c>
      <c r="H53" s="82">
        <f>SUM(H52,H47,H38,H32,H29,H22,H17)</f>
        <v>3829503.1631823601</v>
      </c>
      <c r="I53" s="83"/>
      <c r="J53" s="82">
        <f>SUM(D53:H53)</f>
        <v>27969219.102594357</v>
      </c>
    </row>
    <row r="54" spans="2:19" x14ac:dyDescent="0.25">
      <c r="B54" s="6"/>
      <c r="D54" s="83"/>
      <c r="E54" s="83"/>
      <c r="F54" s="83"/>
      <c r="G54" s="83"/>
      <c r="H54" s="83"/>
      <c r="I54" s="83"/>
      <c r="J54" s="83" t="s">
        <v>20</v>
      </c>
    </row>
    <row r="55" spans="2:19" ht="30" x14ac:dyDescent="0.25">
      <c r="B55" s="68" t="s">
        <v>66</v>
      </c>
      <c r="C55" s="17" t="s">
        <v>66</v>
      </c>
      <c r="D55" s="94"/>
      <c r="E55" s="94"/>
      <c r="F55" s="94"/>
      <c r="G55" s="94"/>
      <c r="H55" s="94"/>
      <c r="I55" s="83"/>
      <c r="J55" s="94" t="s">
        <v>20</v>
      </c>
    </row>
    <row r="56" spans="2:19" x14ac:dyDescent="0.25">
      <c r="B56" s="23"/>
      <c r="C56" s="74" t="s">
        <v>67</v>
      </c>
      <c r="D56" s="92">
        <f>(D17+D19)*0.332</f>
        <v>68926.686000000002</v>
      </c>
      <c r="E56" s="92">
        <f>(E17+E19)*0.332</f>
        <v>111562.95600000001</v>
      </c>
      <c r="F56" s="92">
        <f>(F17+F19)*0.332</f>
        <v>109776.13200000001</v>
      </c>
      <c r="G56" s="92">
        <f>(G17+G19)*0.332</f>
        <v>113067.91200000001</v>
      </c>
      <c r="H56" s="92">
        <f>(H17+H19)*0.332</f>
        <v>71967.474000000002</v>
      </c>
      <c r="I56" s="83"/>
      <c r="J56" s="92">
        <f>SUM(D56:H56)</f>
        <v>475301.16</v>
      </c>
    </row>
    <row r="57" spans="2:19" x14ac:dyDescent="0.25">
      <c r="B57" s="23"/>
      <c r="C57" s="25"/>
      <c r="D57" s="70"/>
      <c r="E57" s="71"/>
      <c r="F57" s="71"/>
      <c r="G57" s="71"/>
      <c r="H57" s="71"/>
      <c r="I57" s="90"/>
      <c r="J57" s="70"/>
    </row>
    <row r="58" spans="2:19" x14ac:dyDescent="0.25">
      <c r="B58" s="24"/>
      <c r="C58" s="9" t="s">
        <v>21</v>
      </c>
      <c r="D58" s="82">
        <f>SUM(D56:D57)</f>
        <v>68926.686000000002</v>
      </c>
      <c r="E58" s="82">
        <f t="shared" ref="E58:H58" si="5">SUM(E56:E57)</f>
        <v>111562.95600000001</v>
      </c>
      <c r="F58" s="82">
        <f t="shared" si="5"/>
        <v>109776.13200000001</v>
      </c>
      <c r="G58" s="82">
        <f t="shared" si="5"/>
        <v>113067.91200000001</v>
      </c>
      <c r="H58" s="82">
        <f t="shared" si="5"/>
        <v>71967.474000000002</v>
      </c>
      <c r="I58" s="83"/>
      <c r="J58" s="82">
        <f>SUM(J56:J57)</f>
        <v>475301.16</v>
      </c>
    </row>
    <row r="59" spans="2:19" ht="15.75" thickBot="1" x14ac:dyDescent="0.3">
      <c r="B59" s="6"/>
      <c r="D59" s="83"/>
      <c r="E59" s="83"/>
      <c r="F59" s="83"/>
      <c r="G59" s="83"/>
      <c r="H59" s="83"/>
      <c r="I59" s="83"/>
      <c r="J59" s="83" t="s">
        <v>20</v>
      </c>
    </row>
    <row r="60" spans="2:19" s="1" customFormat="1" ht="30.75" thickBot="1" x14ac:dyDescent="0.3">
      <c r="B60" s="19" t="s">
        <v>22</v>
      </c>
      <c r="C60" s="19"/>
      <c r="D60" s="95">
        <f>SUM(D58,D53)</f>
        <v>4188193.1860000002</v>
      </c>
      <c r="E60" s="95">
        <f t="shared" ref="E60:G60" si="6">SUM(E58,E53)</f>
        <v>6837060.6359999999</v>
      </c>
      <c r="F60" s="95">
        <f t="shared" si="6"/>
        <v>6751477.7524000006</v>
      </c>
      <c r="G60" s="95">
        <f t="shared" si="6"/>
        <v>6766318.0510120001</v>
      </c>
      <c r="H60" s="95">
        <f>SUM(H58,H53)</f>
        <v>3901470.63718236</v>
      </c>
      <c r="I60" s="83"/>
      <c r="J60" s="95">
        <f>SUM(J58,J53)</f>
        <v>28444520.262594357</v>
      </c>
      <c r="K60"/>
      <c r="L60"/>
      <c r="M60"/>
      <c r="N60"/>
      <c r="O60"/>
      <c r="P60"/>
      <c r="Q60"/>
      <c r="R60"/>
      <c r="S60"/>
    </row>
    <row r="61" spans="2:19" x14ac:dyDescent="0.25">
      <c r="B61" s="6"/>
    </row>
    <row r="62" spans="2:19" x14ac:dyDescent="0.25">
      <c r="B62" s="6"/>
      <c r="H62"/>
      <c r="I62"/>
    </row>
    <row r="63" spans="2:19" x14ac:dyDescent="0.25">
      <c r="B63" s="6"/>
      <c r="H63"/>
      <c r="I63"/>
    </row>
    <row r="64" spans="2:19" x14ac:dyDescent="0.25">
      <c r="B64" s="6"/>
      <c r="H64"/>
      <c r="I64"/>
    </row>
    <row r="65" spans="2:9" x14ac:dyDescent="0.25">
      <c r="B65" s="6"/>
      <c r="H65"/>
      <c r="I65"/>
    </row>
    <row r="66" spans="2:9" x14ac:dyDescent="0.25">
      <c r="B66" s="6"/>
    </row>
    <row r="67" spans="2:9" x14ac:dyDescent="0.25">
      <c r="B67" s="6"/>
    </row>
    <row r="68" spans="2:9" x14ac:dyDescent="0.25">
      <c r="B68" s="6"/>
    </row>
    <row r="69" spans="2:9" x14ac:dyDescent="0.25">
      <c r="B69" s="6"/>
    </row>
    <row r="70" spans="2:9" x14ac:dyDescent="0.25">
      <c r="B70" s="6"/>
    </row>
    <row r="71" spans="2:9" x14ac:dyDescent="0.25">
      <c r="B71" s="6"/>
    </row>
    <row r="72" spans="2:9" x14ac:dyDescent="0.25">
      <c r="B72" s="6"/>
    </row>
    <row r="73" spans="2:9" x14ac:dyDescent="0.25">
      <c r="B73" s="6"/>
    </row>
    <row r="74" spans="2:9" x14ac:dyDescent="0.25">
      <c r="B74" s="6"/>
    </row>
    <row r="75" spans="2:9" x14ac:dyDescent="0.25">
      <c r="B75" s="6"/>
    </row>
  </sheetData>
  <pageMargins left="0.7" right="0.7" top="0.75" bottom="0.75" header="0.3" footer="0.3"/>
  <pageSetup scale="50" fitToHeight="0" orientation="landscape" r:id="rId1"/>
  <ignoredErrors>
    <ignoredError sqref="J26" formulaRange="1"/>
    <ignoredError sqref="J5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A2:AL79"/>
  <sheetViews>
    <sheetView showGridLines="0" zoomScale="90" zoomScaleNormal="90" workbookViewId="0">
      <pane xSplit="2" ySplit="6" topLeftCell="D41" activePane="bottomRight" state="frozen"/>
      <selection pane="topRight" activeCell="G27" sqref="G27"/>
      <selection pane="bottomLeft" activeCell="G27" sqref="G27"/>
      <selection pane="bottomRight" activeCell="A2" sqref="A2"/>
    </sheetView>
  </sheetViews>
  <sheetFormatPr defaultColWidth="9.140625" defaultRowHeight="15" x14ac:dyDescent="0.25"/>
  <cols>
    <col min="1" max="1" width="9.7109375" customWidth="1"/>
    <col min="2" max="2" width="60.85546875" customWidth="1"/>
    <col min="3" max="3" width="12.85546875" style="6" customWidth="1"/>
    <col min="4" max="4" width="12.42578125" style="2" customWidth="1"/>
    <col min="5" max="5" width="12.7109375" customWidth="1"/>
    <col min="6" max="6" width="12.85546875" customWidth="1"/>
    <col min="7" max="7" width="13.42578125" style="2" customWidth="1"/>
    <col min="8" max="8" width="0.85546875" style="7" customWidth="1"/>
    <col min="9" max="9" width="15.7109375" customWidth="1"/>
    <col min="10" max="10" width="13.7109375" bestFit="1" customWidth="1"/>
    <col min="11" max="11" width="13.85546875" customWidth="1"/>
  </cols>
  <sheetData>
    <row r="2" spans="1:38" ht="23.25" x14ac:dyDescent="0.35">
      <c r="A2" s="30" t="s">
        <v>31</v>
      </c>
    </row>
    <row r="3" spans="1:38" x14ac:dyDescent="0.25">
      <c r="A3" s="5" t="s">
        <v>32</v>
      </c>
    </row>
    <row r="4" spans="1:38" x14ac:dyDescent="0.25">
      <c r="A4" s="5"/>
    </row>
    <row r="5" spans="1:38" ht="18.75" x14ac:dyDescent="0.3">
      <c r="A5" s="36" t="s">
        <v>2</v>
      </c>
      <c r="B5" s="37"/>
      <c r="C5" s="37"/>
      <c r="D5" s="37"/>
      <c r="E5" s="37"/>
      <c r="F5" s="37"/>
      <c r="G5" s="37"/>
      <c r="H5" s="37"/>
      <c r="I5" s="38"/>
    </row>
    <row r="6" spans="1:38" ht="30" x14ac:dyDescent="0.25">
      <c r="A6" s="39" t="s">
        <v>3</v>
      </c>
      <c r="B6" s="39" t="s">
        <v>4</v>
      </c>
      <c r="C6" s="39" t="s">
        <v>5</v>
      </c>
      <c r="D6" s="40" t="s">
        <v>6</v>
      </c>
      <c r="E6" s="40" t="s">
        <v>7</v>
      </c>
      <c r="F6" s="40" t="s">
        <v>8</v>
      </c>
      <c r="G6" s="41" t="s">
        <v>9</v>
      </c>
      <c r="H6" s="42"/>
      <c r="I6" s="43" t="s">
        <v>10</v>
      </c>
    </row>
    <row r="7" spans="1:38" s="5" customFormat="1" x14ac:dyDescent="0.25">
      <c r="A7" s="22" t="s">
        <v>11</v>
      </c>
      <c r="B7" s="26" t="s">
        <v>33</v>
      </c>
      <c r="C7" s="10" t="s">
        <v>34</v>
      </c>
      <c r="D7" s="10" t="s">
        <v>34</v>
      </c>
      <c r="E7" s="10" t="s">
        <v>34</v>
      </c>
      <c r="F7" s="10"/>
      <c r="G7" s="10" t="s">
        <v>34</v>
      </c>
      <c r="H7" s="7"/>
      <c r="I7" s="8" t="s">
        <v>34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s="5" customFormat="1" x14ac:dyDescent="0.25">
      <c r="A8" s="72"/>
      <c r="B8" s="26" t="s">
        <v>68</v>
      </c>
      <c r="C8" s="84">
        <v>14060</v>
      </c>
      <c r="D8" s="84">
        <v>14481</v>
      </c>
      <c r="E8" s="84">
        <v>14916</v>
      </c>
      <c r="F8" s="84">
        <v>15363</v>
      </c>
      <c r="G8" s="84">
        <v>15824</v>
      </c>
      <c r="H8" s="85"/>
      <c r="I8" s="86">
        <f t="shared" ref="I8:I13" si="0">SUM(C8:G8)</f>
        <v>74644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s="5" customFormat="1" x14ac:dyDescent="0.25">
      <c r="A9" s="72"/>
      <c r="B9" s="26" t="s">
        <v>69</v>
      </c>
      <c r="C9" s="84">
        <v>12360</v>
      </c>
      <c r="D9" s="84">
        <v>25462</v>
      </c>
      <c r="E9" s="84">
        <v>26225</v>
      </c>
      <c r="F9" s="84">
        <v>27012</v>
      </c>
      <c r="G9" s="84">
        <v>13911</v>
      </c>
      <c r="H9" s="85"/>
      <c r="I9" s="86">
        <f t="shared" si="0"/>
        <v>104970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s="5" customFormat="1" x14ac:dyDescent="0.25">
      <c r="A10" s="72"/>
      <c r="B10" s="26" t="s">
        <v>69</v>
      </c>
      <c r="C10" s="84">
        <v>12360</v>
      </c>
      <c r="D10" s="84">
        <v>25462</v>
      </c>
      <c r="E10" s="84">
        <v>26225</v>
      </c>
      <c r="F10" s="84">
        <v>27012</v>
      </c>
      <c r="G10" s="84">
        <v>13911</v>
      </c>
      <c r="H10" s="85"/>
      <c r="I10" s="86">
        <f t="shared" si="0"/>
        <v>104970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ht="15.95" customHeight="1" x14ac:dyDescent="0.25">
      <c r="A11" s="23"/>
      <c r="B11" s="26" t="s">
        <v>70</v>
      </c>
      <c r="C11" s="84">
        <v>9301</v>
      </c>
      <c r="D11" s="84">
        <v>19160</v>
      </c>
      <c r="E11" s="84">
        <v>19735</v>
      </c>
      <c r="F11" s="84">
        <v>20327</v>
      </c>
      <c r="G11" s="84">
        <v>10468</v>
      </c>
      <c r="H11" s="85">
        <v>450000</v>
      </c>
      <c r="I11" s="86">
        <f t="shared" si="0"/>
        <v>78991</v>
      </c>
    </row>
    <row r="12" spans="1:38" x14ac:dyDescent="0.25">
      <c r="A12" s="23"/>
      <c r="B12" s="26" t="s">
        <v>71</v>
      </c>
      <c r="C12" s="84">
        <v>450</v>
      </c>
      <c r="D12" s="84">
        <v>464</v>
      </c>
      <c r="E12" s="84">
        <v>477</v>
      </c>
      <c r="F12" s="84">
        <v>492</v>
      </c>
      <c r="G12" s="84">
        <v>506</v>
      </c>
      <c r="H12" s="85"/>
      <c r="I12" s="86">
        <f t="shared" si="0"/>
        <v>2389</v>
      </c>
    </row>
    <row r="13" spans="1:38" x14ac:dyDescent="0.25">
      <c r="A13" s="23"/>
      <c r="B13" s="26" t="s">
        <v>72</v>
      </c>
      <c r="C13" s="84">
        <v>6497</v>
      </c>
      <c r="D13" s="84">
        <v>6692</v>
      </c>
      <c r="E13" s="84">
        <v>6893</v>
      </c>
      <c r="F13" s="84">
        <v>7099</v>
      </c>
      <c r="G13" s="84">
        <v>7312</v>
      </c>
      <c r="H13" s="85"/>
      <c r="I13" s="86">
        <f t="shared" si="0"/>
        <v>34493</v>
      </c>
    </row>
    <row r="14" spans="1:38" x14ac:dyDescent="0.25">
      <c r="A14" s="23"/>
      <c r="B14" s="25" t="s">
        <v>73</v>
      </c>
      <c r="C14" s="84"/>
      <c r="D14" s="84"/>
      <c r="E14" s="84"/>
      <c r="F14" s="84"/>
      <c r="G14" s="84"/>
      <c r="H14" s="85"/>
      <c r="I14" s="86"/>
    </row>
    <row r="15" spans="1:38" x14ac:dyDescent="0.25">
      <c r="A15" s="23"/>
      <c r="B15" s="25"/>
      <c r="C15" s="84"/>
      <c r="D15" s="84"/>
      <c r="E15" s="84"/>
      <c r="F15" s="84"/>
      <c r="G15" s="84"/>
      <c r="H15" s="85"/>
      <c r="I15" s="86"/>
    </row>
    <row r="16" spans="1:38" x14ac:dyDescent="0.25">
      <c r="A16" s="23"/>
      <c r="B16" s="77" t="s">
        <v>12</v>
      </c>
      <c r="C16" s="73">
        <f>SUM(C8:C13)</f>
        <v>55028</v>
      </c>
      <c r="D16" s="73">
        <f>SUM(D8:D13)</f>
        <v>91721</v>
      </c>
      <c r="E16" s="73">
        <f>SUM(E8:E13)</f>
        <v>94471</v>
      </c>
      <c r="F16" s="73">
        <f>SUM(F8:F13)</f>
        <v>97305</v>
      </c>
      <c r="G16" s="73">
        <f>SUM(G8:G13)</f>
        <v>61932</v>
      </c>
      <c r="H16" s="85">
        <f t="shared" ref="H16" si="1">SUM(H11:H13)</f>
        <v>450000</v>
      </c>
      <c r="I16" s="73">
        <f>SUM(I8:I13)</f>
        <v>400457</v>
      </c>
    </row>
    <row r="17" spans="1:9" x14ac:dyDescent="0.25">
      <c r="A17" s="23"/>
      <c r="B17" s="96" t="s">
        <v>42</v>
      </c>
      <c r="C17" s="81" t="s">
        <v>34</v>
      </c>
      <c r="D17" s="87"/>
      <c r="E17" s="87"/>
      <c r="F17" s="87"/>
      <c r="G17" s="87"/>
      <c r="H17" s="85"/>
      <c r="I17" s="86" t="s">
        <v>34</v>
      </c>
    </row>
    <row r="18" spans="1:9" x14ac:dyDescent="0.25">
      <c r="A18" s="23"/>
      <c r="B18" s="74" t="s">
        <v>43</v>
      </c>
      <c r="C18" s="81">
        <f>C16*0.5</f>
        <v>27514</v>
      </c>
      <c r="D18" s="81">
        <f>D16*0.5</f>
        <v>45860.5</v>
      </c>
      <c r="E18" s="81">
        <f>E16*0.5</f>
        <v>47235.5</v>
      </c>
      <c r="F18" s="81">
        <f>F16*0.5</f>
        <v>48652.5</v>
      </c>
      <c r="G18" s="81">
        <f>G16*0.5</f>
        <v>30966</v>
      </c>
      <c r="H18" s="85"/>
      <c r="I18" s="81">
        <f>SUM(C18:G18)</f>
        <v>200228.5</v>
      </c>
    </row>
    <row r="19" spans="1:9" x14ac:dyDescent="0.25">
      <c r="A19" s="23"/>
      <c r="B19" s="74"/>
      <c r="C19" s="81"/>
      <c r="D19" s="81"/>
      <c r="E19" s="81"/>
      <c r="F19" s="81"/>
      <c r="G19" s="81"/>
      <c r="H19" s="85"/>
      <c r="I19" s="81"/>
    </row>
    <row r="20" spans="1:9" x14ac:dyDescent="0.25">
      <c r="A20" s="23"/>
      <c r="B20" s="97"/>
      <c r="C20" s="81"/>
      <c r="D20" s="87"/>
      <c r="E20" s="87"/>
      <c r="F20" s="87"/>
      <c r="G20" s="87"/>
      <c r="H20" s="85"/>
      <c r="I20" s="81">
        <f t="shared" ref="I20" si="2">SUM(C20:G20)</f>
        <v>0</v>
      </c>
    </row>
    <row r="21" spans="1:9" x14ac:dyDescent="0.25">
      <c r="A21" s="23"/>
      <c r="B21" s="77" t="s">
        <v>13</v>
      </c>
      <c r="C21" s="73">
        <f>SUM(C18:C20)</f>
        <v>27514</v>
      </c>
      <c r="D21" s="73">
        <f t="shared" ref="D21:I21" si="3">SUM(D18:D20)</f>
        <v>45860.5</v>
      </c>
      <c r="E21" s="73">
        <f t="shared" si="3"/>
        <v>47235.5</v>
      </c>
      <c r="F21" s="73">
        <f t="shared" si="3"/>
        <v>48652.5</v>
      </c>
      <c r="G21" s="73">
        <f t="shared" si="3"/>
        <v>30966</v>
      </c>
      <c r="H21" s="85">
        <f t="shared" si="3"/>
        <v>0</v>
      </c>
      <c r="I21" s="73">
        <f t="shared" si="3"/>
        <v>200228.5</v>
      </c>
    </row>
    <row r="22" spans="1:9" x14ac:dyDescent="0.25">
      <c r="A22" s="23"/>
      <c r="B22" s="96" t="s">
        <v>74</v>
      </c>
      <c r="C22" s="81" t="s">
        <v>34</v>
      </c>
      <c r="D22" s="87"/>
      <c r="E22" s="87"/>
      <c r="F22" s="87"/>
      <c r="G22" s="87"/>
      <c r="H22" s="85"/>
      <c r="I22" s="86" t="s">
        <v>34</v>
      </c>
    </row>
    <row r="23" spans="1:9" x14ac:dyDescent="0.25">
      <c r="A23" s="23"/>
      <c r="B23" s="75" t="s">
        <v>45</v>
      </c>
      <c r="C23" s="81"/>
      <c r="D23" s="81"/>
      <c r="E23" s="81"/>
      <c r="F23" s="81"/>
      <c r="G23" s="81"/>
      <c r="H23" s="85"/>
      <c r="I23" s="81"/>
    </row>
    <row r="24" spans="1:9" x14ac:dyDescent="0.25">
      <c r="A24" s="23"/>
      <c r="B24" s="75" t="s">
        <v>46</v>
      </c>
      <c r="C24" s="81">
        <v>0</v>
      </c>
      <c r="D24" s="81">
        <v>2250</v>
      </c>
      <c r="E24" s="81">
        <v>2250</v>
      </c>
      <c r="F24" s="81">
        <v>2250</v>
      </c>
      <c r="G24" s="81">
        <v>2250</v>
      </c>
      <c r="H24" s="85"/>
      <c r="I24" s="81">
        <f>SUM(C24:G24)</f>
        <v>9000</v>
      </c>
    </row>
    <row r="25" spans="1:9" ht="30.75" customHeight="1" x14ac:dyDescent="0.25">
      <c r="A25" s="23"/>
      <c r="B25" s="76" t="s">
        <v>47</v>
      </c>
      <c r="C25" s="81">
        <v>1500</v>
      </c>
      <c r="D25" s="81">
        <v>1500</v>
      </c>
      <c r="E25" s="81">
        <v>1500</v>
      </c>
      <c r="F25" s="81">
        <v>1500</v>
      </c>
      <c r="G25" s="81">
        <v>750</v>
      </c>
      <c r="H25" s="81">
        <v>5000</v>
      </c>
      <c r="I25" s="81">
        <f>SUM(C25:G25)</f>
        <v>6750</v>
      </c>
    </row>
    <row r="26" spans="1:9" x14ac:dyDescent="0.25">
      <c r="A26" s="23"/>
      <c r="B26" s="76" t="s">
        <v>48</v>
      </c>
      <c r="C26" s="81">
        <v>600</v>
      </c>
      <c r="D26" s="81">
        <v>1200</v>
      </c>
      <c r="E26" s="81">
        <v>1200</v>
      </c>
      <c r="F26" s="81">
        <v>1200</v>
      </c>
      <c r="G26" s="81">
        <v>1200</v>
      </c>
      <c r="H26" s="85">
        <v>250</v>
      </c>
      <c r="I26" s="81">
        <f>SUM(C26:G26)</f>
        <v>5400</v>
      </c>
    </row>
    <row r="27" spans="1:9" x14ac:dyDescent="0.25">
      <c r="A27" s="23"/>
      <c r="B27" s="74"/>
      <c r="C27" s="81"/>
      <c r="D27" s="81"/>
      <c r="E27" s="81"/>
      <c r="F27" s="81"/>
      <c r="G27" s="81"/>
      <c r="H27" s="85">
        <v>2250</v>
      </c>
      <c r="I27" s="81">
        <f t="shared" ref="I27:I31" si="4">SUM(C27:G27)</f>
        <v>0</v>
      </c>
    </row>
    <row r="28" spans="1:9" hidden="1" x14ac:dyDescent="0.25">
      <c r="A28" s="23"/>
      <c r="B28" s="98"/>
      <c r="C28" s="81"/>
      <c r="D28" s="81"/>
      <c r="E28" s="81"/>
      <c r="F28" s="81"/>
      <c r="G28" s="81"/>
      <c r="H28" s="85">
        <v>1243</v>
      </c>
      <c r="I28" s="81">
        <f t="shared" si="4"/>
        <v>0</v>
      </c>
    </row>
    <row r="29" spans="1:9" hidden="1" x14ac:dyDescent="0.25">
      <c r="A29" s="23"/>
      <c r="B29" s="98"/>
      <c r="C29" s="81"/>
      <c r="D29" s="81"/>
      <c r="E29" s="81"/>
      <c r="F29" s="81"/>
      <c r="G29" s="81"/>
      <c r="H29" s="85">
        <v>225</v>
      </c>
      <c r="I29" s="81">
        <f t="shared" si="4"/>
        <v>0</v>
      </c>
    </row>
    <row r="30" spans="1:9" hidden="1" x14ac:dyDescent="0.25">
      <c r="A30" s="23"/>
      <c r="B30" s="98"/>
      <c r="C30" s="81"/>
      <c r="D30" s="81"/>
      <c r="E30" s="81"/>
      <c r="F30" s="81"/>
      <c r="G30" s="81"/>
      <c r="H30" s="85">
        <v>400</v>
      </c>
      <c r="I30" s="81">
        <f t="shared" si="4"/>
        <v>0</v>
      </c>
    </row>
    <row r="31" spans="1:9" hidden="1" x14ac:dyDescent="0.25">
      <c r="A31" s="23"/>
      <c r="B31" s="74"/>
      <c r="C31" s="81"/>
      <c r="D31" s="81"/>
      <c r="E31" s="81"/>
      <c r="F31" s="81"/>
      <c r="G31" s="81"/>
      <c r="H31" s="85">
        <v>1638</v>
      </c>
      <c r="I31" s="81">
        <f t="shared" si="4"/>
        <v>0</v>
      </c>
    </row>
    <row r="32" spans="1:9" x14ac:dyDescent="0.25">
      <c r="A32" s="23"/>
      <c r="B32" s="77" t="s">
        <v>14</v>
      </c>
      <c r="C32" s="73">
        <f>SUM(C24:C31)</f>
        <v>2100</v>
      </c>
      <c r="D32" s="73">
        <f t="shared" ref="D32:G32" si="5">SUM(D24:D31)</f>
        <v>4950</v>
      </c>
      <c r="E32" s="73">
        <f t="shared" si="5"/>
        <v>4950</v>
      </c>
      <c r="F32" s="73">
        <f t="shared" si="5"/>
        <v>4950</v>
      </c>
      <c r="G32" s="73">
        <f t="shared" si="5"/>
        <v>4200</v>
      </c>
      <c r="H32" s="85"/>
      <c r="I32" s="73">
        <f>SUM(I23:I31)</f>
        <v>21150</v>
      </c>
    </row>
    <row r="33" spans="1:9" x14ac:dyDescent="0.25">
      <c r="A33" s="23"/>
      <c r="B33" s="96" t="s">
        <v>49</v>
      </c>
      <c r="C33" s="81"/>
      <c r="D33" s="87"/>
      <c r="E33" s="87"/>
      <c r="F33" s="87"/>
      <c r="G33" s="87"/>
      <c r="H33" s="85"/>
      <c r="I33" s="81" t="s">
        <v>20</v>
      </c>
    </row>
    <row r="34" spans="1:9" hidden="1" x14ac:dyDescent="0.25">
      <c r="A34" s="23"/>
      <c r="B34" s="74"/>
      <c r="C34" s="81"/>
      <c r="D34" s="81"/>
      <c r="E34" s="81"/>
      <c r="F34" s="81"/>
      <c r="G34" s="81"/>
      <c r="H34" s="85"/>
      <c r="I34" s="81">
        <f>SUM(C34:G34)</f>
        <v>0</v>
      </c>
    </row>
    <row r="35" spans="1:9" x14ac:dyDescent="0.25">
      <c r="A35" s="23" t="s">
        <v>50</v>
      </c>
      <c r="B35" s="74"/>
      <c r="C35" s="81" t="s">
        <v>34</v>
      </c>
      <c r="D35" s="87"/>
      <c r="E35" s="87"/>
      <c r="F35" s="87"/>
      <c r="G35" s="87"/>
      <c r="H35" s="85"/>
      <c r="I35" s="81">
        <f t="shared" ref="I35:I55" si="6">SUM(C35:G35)</f>
        <v>0</v>
      </c>
    </row>
    <row r="36" spans="1:9" x14ac:dyDescent="0.25">
      <c r="A36" s="23"/>
      <c r="B36" s="77" t="s">
        <v>15</v>
      </c>
      <c r="C36" s="88">
        <f>SUM(C34:C35)</f>
        <v>0</v>
      </c>
      <c r="D36" s="88">
        <f t="shared" ref="D36:G36" si="7">SUM(D34:D35)</f>
        <v>0</v>
      </c>
      <c r="E36" s="88">
        <f t="shared" si="7"/>
        <v>0</v>
      </c>
      <c r="F36" s="88">
        <f t="shared" si="7"/>
        <v>0</v>
      </c>
      <c r="G36" s="88">
        <f t="shared" si="7"/>
        <v>0</v>
      </c>
      <c r="H36" s="85"/>
      <c r="I36" s="73">
        <f>SUM(I34:I35)</f>
        <v>0</v>
      </c>
    </row>
    <row r="37" spans="1:9" x14ac:dyDescent="0.25">
      <c r="A37" s="23"/>
      <c r="B37" s="96" t="s">
        <v>51</v>
      </c>
      <c r="C37" s="81" t="s">
        <v>34</v>
      </c>
      <c r="D37" s="87"/>
      <c r="E37" s="87"/>
      <c r="F37" s="87"/>
      <c r="G37" s="87"/>
      <c r="H37" s="85"/>
      <c r="I37" s="81"/>
    </row>
    <row r="38" spans="1:9" hidden="1" x14ac:dyDescent="0.25">
      <c r="A38" s="23"/>
      <c r="B38" s="74"/>
      <c r="C38" s="81"/>
      <c r="D38" s="81"/>
      <c r="E38" s="81"/>
      <c r="F38" s="81"/>
      <c r="G38" s="81"/>
      <c r="H38" s="85"/>
      <c r="I38" s="81"/>
    </row>
    <row r="39" spans="1:9" x14ac:dyDescent="0.25">
      <c r="A39" s="23"/>
      <c r="B39" s="74" t="s">
        <v>53</v>
      </c>
      <c r="C39" s="81">
        <v>750</v>
      </c>
      <c r="D39" s="81">
        <f>C39+10</f>
        <v>760</v>
      </c>
      <c r="E39" s="81">
        <f>D39+20</f>
        <v>780</v>
      </c>
      <c r="F39" s="81">
        <f>E39+20</f>
        <v>800</v>
      </c>
      <c r="G39" s="81">
        <v>817</v>
      </c>
      <c r="H39" s="85"/>
      <c r="I39" s="81">
        <f>SUM(C39:G39)</f>
        <v>3907</v>
      </c>
    </row>
    <row r="40" spans="1:9" x14ac:dyDescent="0.25">
      <c r="A40" s="23"/>
      <c r="B40" s="74"/>
      <c r="C40" s="81"/>
      <c r="D40" s="87"/>
      <c r="E40" s="87"/>
      <c r="F40" s="87"/>
      <c r="G40" s="87"/>
      <c r="H40" s="85"/>
      <c r="I40" s="81">
        <f t="shared" si="6"/>
        <v>0</v>
      </c>
    </row>
    <row r="41" spans="1:9" x14ac:dyDescent="0.25">
      <c r="A41" s="23"/>
      <c r="B41" s="77" t="s">
        <v>16</v>
      </c>
      <c r="C41" s="73">
        <f>SUM(C38:C40)</f>
        <v>750</v>
      </c>
      <c r="D41" s="73">
        <f t="shared" ref="D41:G41" si="8">SUM(D38:D40)</f>
        <v>760</v>
      </c>
      <c r="E41" s="73">
        <f t="shared" si="8"/>
        <v>780</v>
      </c>
      <c r="F41" s="73">
        <f t="shared" si="8"/>
        <v>800</v>
      </c>
      <c r="G41" s="73">
        <f t="shared" si="8"/>
        <v>817</v>
      </c>
      <c r="H41" s="85"/>
      <c r="I41" s="73">
        <f>SUM(I38:I40)</f>
        <v>3907</v>
      </c>
    </row>
    <row r="42" spans="1:9" x14ac:dyDescent="0.25">
      <c r="A42" s="23"/>
      <c r="B42" s="96" t="s">
        <v>55</v>
      </c>
      <c r="C42" s="81" t="s">
        <v>34</v>
      </c>
      <c r="D42" s="87"/>
      <c r="E42" s="87"/>
      <c r="F42" s="87"/>
      <c r="G42" s="87"/>
      <c r="H42" s="85"/>
      <c r="I42" s="81"/>
    </row>
    <row r="43" spans="1:9" x14ac:dyDescent="0.25">
      <c r="A43" s="23"/>
      <c r="B43" s="74"/>
      <c r="C43" s="81"/>
      <c r="D43" s="87"/>
      <c r="E43" s="87"/>
      <c r="F43" s="87"/>
      <c r="G43" s="87"/>
      <c r="H43" s="85"/>
      <c r="I43" s="81"/>
    </row>
    <row r="44" spans="1:9" x14ac:dyDescent="0.25">
      <c r="A44" s="23"/>
      <c r="B44" s="78" t="s">
        <v>75</v>
      </c>
      <c r="C44" s="81">
        <v>0</v>
      </c>
      <c r="D44" s="81">
        <v>216000</v>
      </c>
      <c r="E44" s="81">
        <v>216000</v>
      </c>
      <c r="F44" s="81">
        <v>216000</v>
      </c>
      <c r="G44" s="81">
        <v>216000</v>
      </c>
      <c r="H44" s="85"/>
      <c r="I44" s="81">
        <f>SUM(C44:G44)</f>
        <v>864000</v>
      </c>
    </row>
    <row r="45" spans="1:9" x14ac:dyDescent="0.25">
      <c r="A45" s="23"/>
      <c r="B45" s="78" t="s">
        <v>59</v>
      </c>
      <c r="C45" s="81">
        <v>120000</v>
      </c>
      <c r="D45" s="81">
        <v>26250</v>
      </c>
      <c r="E45" s="81">
        <v>26250</v>
      </c>
      <c r="F45" s="81">
        <v>26250</v>
      </c>
      <c r="G45" s="81">
        <v>26250</v>
      </c>
      <c r="H45" s="85"/>
      <c r="I45" s="81">
        <f>SUM(C45:G45)</f>
        <v>225000</v>
      </c>
    </row>
    <row r="46" spans="1:9" x14ac:dyDescent="0.25">
      <c r="A46" s="23"/>
      <c r="B46" s="79" t="s">
        <v>76</v>
      </c>
      <c r="C46" s="81">
        <v>30000</v>
      </c>
      <c r="D46" s="81">
        <v>30000</v>
      </c>
      <c r="E46" s="81">
        <v>30000</v>
      </c>
      <c r="F46" s="81">
        <v>30000</v>
      </c>
      <c r="G46" s="81">
        <v>30000</v>
      </c>
      <c r="H46" s="85"/>
      <c r="I46" s="81">
        <f t="shared" si="6"/>
        <v>150000</v>
      </c>
    </row>
    <row r="47" spans="1:9" x14ac:dyDescent="0.25">
      <c r="A47" s="23"/>
      <c r="B47" s="79" t="s">
        <v>61</v>
      </c>
      <c r="C47" s="81">
        <v>171000</v>
      </c>
      <c r="D47" s="81">
        <v>171000</v>
      </c>
      <c r="E47" s="81">
        <v>171000</v>
      </c>
      <c r="F47" s="81">
        <v>171000</v>
      </c>
      <c r="G47" s="81">
        <v>171000</v>
      </c>
      <c r="H47" s="85"/>
      <c r="I47" s="81">
        <f t="shared" si="6"/>
        <v>855000</v>
      </c>
    </row>
    <row r="48" spans="1:9" x14ac:dyDescent="0.25">
      <c r="A48" s="23"/>
      <c r="B48" s="80" t="s">
        <v>50</v>
      </c>
      <c r="C48" s="81"/>
      <c r="D48" s="87"/>
      <c r="E48" s="87"/>
      <c r="F48" s="87"/>
      <c r="G48" s="87"/>
      <c r="H48" s="85"/>
      <c r="I48" s="81"/>
    </row>
    <row r="49" spans="1:11" x14ac:dyDescent="0.25">
      <c r="A49" s="23"/>
      <c r="B49" s="77" t="s">
        <v>17</v>
      </c>
      <c r="C49" s="73">
        <f>SUM(C44:C47)</f>
        <v>321000</v>
      </c>
      <c r="D49" s="73">
        <f>SUM(D44:D47)</f>
        <v>443250</v>
      </c>
      <c r="E49" s="73">
        <f>SUM(E44:E47)</f>
        <v>443250</v>
      </c>
      <c r="F49" s="73">
        <f>SUM(F44:F47)</f>
        <v>443250</v>
      </c>
      <c r="G49" s="73">
        <f>SUM(G44:G47)</f>
        <v>443250</v>
      </c>
      <c r="H49" s="85"/>
      <c r="I49" s="73">
        <f>SUM(I44:I47)</f>
        <v>2094000</v>
      </c>
    </row>
    <row r="50" spans="1:11" x14ac:dyDescent="0.25">
      <c r="A50" s="23"/>
      <c r="B50" s="96" t="s">
        <v>62</v>
      </c>
      <c r="C50" s="81" t="s">
        <v>34</v>
      </c>
      <c r="D50" s="87"/>
      <c r="E50" s="87"/>
      <c r="F50" s="87"/>
      <c r="G50" s="87"/>
      <c r="H50" s="85"/>
      <c r="I50" s="81"/>
    </row>
    <row r="51" spans="1:11" x14ac:dyDescent="0.25">
      <c r="A51" s="23"/>
      <c r="B51" s="74" t="s">
        <v>63</v>
      </c>
      <c r="C51" s="81">
        <v>6954.4799999999987</v>
      </c>
      <c r="D51" s="81">
        <v>7163.1143999999986</v>
      </c>
      <c r="E51" s="81">
        <v>7378.0078319999984</v>
      </c>
      <c r="F51" s="81">
        <v>7599.3480669599985</v>
      </c>
      <c r="G51" s="81">
        <v>7827.3285089687988</v>
      </c>
      <c r="H51" s="85">
        <v>375000</v>
      </c>
      <c r="I51" s="81">
        <f>SUM(C51:G51)</f>
        <v>36922.278807928793</v>
      </c>
    </row>
    <row r="52" spans="1:11" x14ac:dyDescent="0.25">
      <c r="A52" s="23"/>
      <c r="B52" s="74" t="s">
        <v>64</v>
      </c>
      <c r="C52" s="81">
        <v>9603.8057142857106</v>
      </c>
      <c r="D52" s="81">
        <v>9891.9198857142819</v>
      </c>
      <c r="E52" s="81">
        <v>10188.677482285711</v>
      </c>
      <c r="F52" s="81">
        <v>10494.337806754282</v>
      </c>
      <c r="G52" s="81">
        <v>10809.16794095691</v>
      </c>
      <c r="H52" s="85">
        <v>781250</v>
      </c>
      <c r="I52" s="81">
        <f>SUM(C52:G52)</f>
        <v>50987.908829996893</v>
      </c>
    </row>
    <row r="53" spans="1:11" x14ac:dyDescent="0.25">
      <c r="A53" s="23"/>
      <c r="B53" s="74" t="s">
        <v>29</v>
      </c>
      <c r="C53" s="81">
        <v>0</v>
      </c>
      <c r="D53" s="81">
        <v>2700000</v>
      </c>
      <c r="E53" s="81">
        <v>2700000</v>
      </c>
      <c r="F53" s="81">
        <v>2700000</v>
      </c>
      <c r="G53" s="81">
        <v>2700000</v>
      </c>
      <c r="H53" s="85"/>
      <c r="I53" s="81">
        <f>SUM(C53:G53)</f>
        <v>10800000</v>
      </c>
    </row>
    <row r="54" spans="1:11" x14ac:dyDescent="0.25">
      <c r="A54" s="23"/>
      <c r="B54" s="74"/>
      <c r="C54" s="81"/>
      <c r="D54" s="87"/>
      <c r="E54" s="87"/>
      <c r="F54" s="87"/>
      <c r="G54" s="87"/>
      <c r="H54" s="85"/>
      <c r="I54" s="81">
        <f t="shared" si="6"/>
        <v>0</v>
      </c>
    </row>
    <row r="55" spans="1:11" x14ac:dyDescent="0.25">
      <c r="A55" s="23"/>
      <c r="B55" s="97"/>
      <c r="C55" s="81"/>
      <c r="D55" s="87"/>
      <c r="E55" s="87"/>
      <c r="F55" s="87"/>
      <c r="G55" s="87"/>
      <c r="H55" s="85"/>
      <c r="I55" s="81">
        <f t="shared" si="6"/>
        <v>0</v>
      </c>
    </row>
    <row r="56" spans="1:11" x14ac:dyDescent="0.25">
      <c r="A56" s="24"/>
      <c r="B56" s="77" t="s">
        <v>18</v>
      </c>
      <c r="C56" s="73">
        <f>SUM(C51:C54)</f>
        <v>16558.28571428571</v>
      </c>
      <c r="D56" s="73">
        <f>SUM(D51:D55)</f>
        <v>2717055.0342857144</v>
      </c>
      <c r="E56" s="73">
        <f>SUM(E51:E55)</f>
        <v>2717566.6853142856</v>
      </c>
      <c r="F56" s="73">
        <f>SUM(F51:F55)</f>
        <v>2718093.6858737143</v>
      </c>
      <c r="G56" s="73">
        <f>SUM(G51:G55)</f>
        <v>2718636.4964499259</v>
      </c>
      <c r="H56" s="85"/>
      <c r="I56" s="73">
        <f>SUM(I51:I55)</f>
        <v>10887910.187637925</v>
      </c>
    </row>
    <row r="57" spans="1:11" x14ac:dyDescent="0.25">
      <c r="A57" s="24"/>
      <c r="B57" s="77" t="s">
        <v>19</v>
      </c>
      <c r="C57" s="73">
        <f>SUM(C56,C49,C41,C36,C32,C21,C16)</f>
        <v>422950.28571428568</v>
      </c>
      <c r="D57" s="73">
        <f>SUM(D56,D49,D41,D36,D32,D21,D16)</f>
        <v>3303596.5342857144</v>
      </c>
      <c r="E57" s="73">
        <f>SUM(E56,E49,E41,E36,E32,E21,E16)</f>
        <v>3308253.1853142856</v>
      </c>
      <c r="F57" s="73">
        <f>SUM(F56,F49,F41,F36,F32,F21,F16)</f>
        <v>3313051.1858737143</v>
      </c>
      <c r="G57" s="73">
        <f>SUM(G56,G49,G41,G36,G32,G21,G16)</f>
        <v>3259801.4964499259</v>
      </c>
      <c r="H57" s="85"/>
      <c r="I57" s="73">
        <f>SUM(C57:G57)</f>
        <v>13607652.687637925</v>
      </c>
    </row>
    <row r="58" spans="1:11" x14ac:dyDescent="0.25">
      <c r="A58" s="6"/>
      <c r="C58" s="85"/>
      <c r="D58" s="85"/>
      <c r="E58" s="85"/>
      <c r="F58" s="85"/>
      <c r="G58" s="85"/>
      <c r="H58" s="85"/>
      <c r="I58" s="85" t="s">
        <v>20</v>
      </c>
    </row>
    <row r="59" spans="1:11" x14ac:dyDescent="0.25">
      <c r="A59" s="22" t="s">
        <v>66</v>
      </c>
      <c r="B59" s="17" t="s">
        <v>66</v>
      </c>
      <c r="C59" s="86"/>
      <c r="D59" s="86"/>
      <c r="E59" s="86"/>
      <c r="F59" s="86"/>
      <c r="G59" s="86"/>
      <c r="H59" s="85"/>
      <c r="I59" s="86" t="s">
        <v>20</v>
      </c>
    </row>
    <row r="60" spans="1:11" x14ac:dyDescent="0.25">
      <c r="A60" s="23"/>
      <c r="B60" s="74" t="s">
        <v>67</v>
      </c>
      <c r="C60" s="81">
        <f>(C16+C21)*0.332</f>
        <v>27403.944000000003</v>
      </c>
      <c r="D60" s="81">
        <f>(D16+D21)*0.332</f>
        <v>45677.058000000005</v>
      </c>
      <c r="E60" s="81">
        <f>(E16+E21)*0.332</f>
        <v>47046.558000000005</v>
      </c>
      <c r="F60" s="81">
        <f>(F16+F21)*0.332</f>
        <v>48457.89</v>
      </c>
      <c r="G60" s="81">
        <f>(G16+G21)*0.332</f>
        <v>30842.136000000002</v>
      </c>
      <c r="H60" s="85"/>
      <c r="I60" s="81">
        <f>SUM(C60:G60)</f>
        <v>199427.58600000001</v>
      </c>
    </row>
    <row r="61" spans="1:11" x14ac:dyDescent="0.25">
      <c r="A61" s="23"/>
      <c r="B61" s="74"/>
      <c r="C61" s="81"/>
      <c r="D61" s="87"/>
      <c r="E61" s="87"/>
      <c r="F61" s="87"/>
      <c r="G61" s="87"/>
      <c r="H61" s="85"/>
      <c r="I61" s="81">
        <f t="shared" ref="I61:I62" si="9">SUM(C61:G61)</f>
        <v>0</v>
      </c>
    </row>
    <row r="62" spans="1:11" x14ac:dyDescent="0.25">
      <c r="A62" s="24"/>
      <c r="B62" s="77" t="s">
        <v>21</v>
      </c>
      <c r="C62" s="73">
        <f>SUM(C60:C61)</f>
        <v>27403.944000000003</v>
      </c>
      <c r="D62" s="73">
        <f t="shared" ref="D62:G62" si="10">SUM(D60:D61)</f>
        <v>45677.058000000005</v>
      </c>
      <c r="E62" s="73">
        <f t="shared" si="10"/>
        <v>47046.558000000005</v>
      </c>
      <c r="F62" s="73">
        <f t="shared" si="10"/>
        <v>48457.89</v>
      </c>
      <c r="G62" s="73">
        <f t="shared" si="10"/>
        <v>30842.136000000002</v>
      </c>
      <c r="H62" s="85"/>
      <c r="I62" s="73">
        <f t="shared" si="9"/>
        <v>199427.58600000001</v>
      </c>
    </row>
    <row r="63" spans="1:11" ht="15.75" thickBot="1" x14ac:dyDescent="0.3">
      <c r="A63" s="6"/>
      <c r="C63" s="85"/>
      <c r="D63" s="85"/>
      <c r="E63" s="85"/>
      <c r="F63" s="85"/>
      <c r="G63" s="85"/>
      <c r="H63" s="85"/>
      <c r="I63" s="85" t="s">
        <v>20</v>
      </c>
    </row>
    <row r="64" spans="1:11" s="1" customFormat="1" ht="30.75" thickBot="1" x14ac:dyDescent="0.3">
      <c r="A64" s="19" t="s">
        <v>22</v>
      </c>
      <c r="B64" s="99"/>
      <c r="C64" s="89">
        <f>SUM(C62,C57)</f>
        <v>450354.2297142857</v>
      </c>
      <c r="D64" s="89">
        <f t="shared" ref="D64:G64" si="11">SUM(D62,D57)</f>
        <v>3349273.5922857146</v>
      </c>
      <c r="E64" s="89">
        <f t="shared" si="11"/>
        <v>3355299.7433142858</v>
      </c>
      <c r="F64" s="89">
        <f t="shared" si="11"/>
        <v>3361509.0758737144</v>
      </c>
      <c r="G64" s="89">
        <f t="shared" si="11"/>
        <v>3290643.6324499259</v>
      </c>
      <c r="H64" s="85">
        <f>SUM(H62,H57)</f>
        <v>0</v>
      </c>
      <c r="I64" s="89">
        <f>SUM(I62,I57)</f>
        <v>13807080.273637924</v>
      </c>
      <c r="J64"/>
      <c r="K64"/>
    </row>
    <row r="65" spans="1:14" x14ac:dyDescent="0.25">
      <c r="A65" s="6"/>
      <c r="H65" s="2"/>
      <c r="I65" s="2"/>
      <c r="J65" s="2"/>
      <c r="K65" s="2"/>
      <c r="L65" s="2"/>
      <c r="M65" s="2"/>
      <c r="N65" s="2"/>
    </row>
    <row r="66" spans="1:14" x14ac:dyDescent="0.25">
      <c r="A66" s="6"/>
      <c r="H66" s="2"/>
      <c r="I66" s="2"/>
      <c r="J66" s="2"/>
      <c r="K66" s="2"/>
      <c r="L66" s="2"/>
      <c r="M66" s="2"/>
      <c r="N66" s="2"/>
    </row>
    <row r="67" spans="1:14" x14ac:dyDescent="0.25">
      <c r="A67" s="6"/>
      <c r="H67" s="2"/>
      <c r="I67" s="2"/>
      <c r="J67" s="2"/>
      <c r="K67" s="2"/>
      <c r="L67" s="2"/>
      <c r="M67" s="2"/>
      <c r="N67" s="2"/>
    </row>
    <row r="68" spans="1:14" x14ac:dyDescent="0.25">
      <c r="A68" s="6"/>
      <c r="H68" s="2"/>
      <c r="I68" s="2"/>
      <c r="J68" s="2"/>
      <c r="K68" s="2"/>
      <c r="L68" s="2"/>
      <c r="M68" s="2"/>
      <c r="N68" s="2"/>
    </row>
    <row r="69" spans="1:14" x14ac:dyDescent="0.25">
      <c r="A69" s="6"/>
    </row>
    <row r="70" spans="1:14" x14ac:dyDescent="0.25">
      <c r="A70" s="6"/>
    </row>
    <row r="71" spans="1:14" x14ac:dyDescent="0.25">
      <c r="A71" s="6"/>
    </row>
    <row r="72" spans="1:14" x14ac:dyDescent="0.25">
      <c r="A72" s="6"/>
    </row>
    <row r="73" spans="1:14" x14ac:dyDescent="0.25">
      <c r="A73" s="6"/>
    </row>
    <row r="74" spans="1:14" x14ac:dyDescent="0.25">
      <c r="A74" s="6"/>
    </row>
    <row r="75" spans="1:14" x14ac:dyDescent="0.25">
      <c r="A75" s="6"/>
    </row>
    <row r="76" spans="1:14" x14ac:dyDescent="0.25">
      <c r="A76" s="6"/>
    </row>
    <row r="77" spans="1:14" x14ac:dyDescent="0.25">
      <c r="A77" s="6"/>
    </row>
    <row r="78" spans="1:14" x14ac:dyDescent="0.25">
      <c r="A78" s="6"/>
    </row>
    <row r="79" spans="1:14" x14ac:dyDescent="0.25">
      <c r="A79" s="6"/>
    </row>
  </sheetData>
  <pageMargins left="0.7" right="0.7" top="0.75" bottom="0.75" header="0.3" footer="0.3"/>
  <pageSetup scale="89" fitToHeight="0" orientation="landscape" r:id="rId1"/>
  <ignoredErrors>
    <ignoredError sqref="I27:I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42578125" customWidth="1"/>
    <col min="4" max="4" width="12.7109375" style="6" customWidth="1"/>
    <col min="5" max="5" width="12.42578125" style="2" customWidth="1"/>
    <col min="6" max="7" width="12.42578125" customWidth="1"/>
    <col min="8" max="8" width="12.42578125" style="2" customWidth="1"/>
    <col min="9" max="9" width="0.85546875" style="7" customWidth="1"/>
    <col min="10" max="10" width="13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4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51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55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60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34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68" t="s">
        <v>66</v>
      </c>
      <c r="C53" s="17" t="s">
        <v>66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4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50</v>
      </c>
      <c r="E19" s="11" t="s">
        <v>50</v>
      </c>
      <c r="F19" s="11" t="s">
        <v>50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51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55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77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78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68" t="s">
        <v>66</v>
      </c>
      <c r="C52" s="17" t="s">
        <v>66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4" t="s">
        <v>32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51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55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62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68" t="s">
        <v>66</v>
      </c>
      <c r="C52" s="17" t="s">
        <v>66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B1" zoomScale="193" zoomScaleNormal="85" workbookViewId="0">
      <selection activeCell="C36" sqref="C36:C3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42578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80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81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 t="s">
        <v>82</v>
      </c>
      <c r="D18" s="15" t="s">
        <v>50</v>
      </c>
      <c r="E18" s="11" t="s">
        <v>50</v>
      </c>
      <c r="F18" s="11" t="s">
        <v>50</v>
      </c>
      <c r="G18" s="11"/>
      <c r="H18" s="11"/>
      <c r="J18" s="15"/>
    </row>
    <row r="19" spans="2:10" x14ac:dyDescent="0.25">
      <c r="B19" s="23"/>
      <c r="C19" s="29" t="s">
        <v>83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84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85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86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87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88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89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49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90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50</v>
      </c>
      <c r="C29" s="28" t="s">
        <v>50</v>
      </c>
      <c r="D29" s="13" t="s">
        <v>34</v>
      </c>
      <c r="E29" s="10"/>
      <c r="F29" s="10"/>
      <c r="G29" s="10"/>
      <c r="H29" s="10"/>
      <c r="J29" s="15">
        <f t="shared" ref="J29:J45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51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25" t="s">
        <v>91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55</v>
      </c>
      <c r="D35" s="13" t="s">
        <v>34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92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93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94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62</v>
      </c>
      <c r="D41" s="13" t="s">
        <v>34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95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96</v>
      </c>
      <c r="D43" s="15">
        <v>10000000</v>
      </c>
      <c r="E43" s="59">
        <v>10000000</v>
      </c>
      <c r="F43" s="59">
        <v>10000000</v>
      </c>
      <c r="G43" s="59">
        <v>10000000</v>
      </c>
      <c r="H43" s="59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>SUM(D46:H46)</f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66</v>
      </c>
      <c r="C48" s="17" t="s">
        <v>66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H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>SUM(J51,J46)</f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51" activePane="bottomRight" state="frozen"/>
      <selection pane="topRight" activeCell="R20" sqref="R20:W20"/>
      <selection pane="bottomLeft" activeCell="R20" sqref="R20:W20"/>
      <selection pane="bottomRight" activeCell="M49" sqref="M49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42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81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74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97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82</v>
      </c>
      <c r="D19" s="15" t="s">
        <v>50</v>
      </c>
      <c r="E19" s="11" t="s">
        <v>50</v>
      </c>
      <c r="F19" s="11" t="s">
        <v>50</v>
      </c>
      <c r="G19" s="11"/>
      <c r="H19" s="11"/>
      <c r="J19" s="15"/>
    </row>
    <row r="20" spans="2:10" x14ac:dyDescent="0.25">
      <c r="B20" s="23"/>
      <c r="C20" s="29" t="s">
        <v>83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84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85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86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87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88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89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51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98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55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1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34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99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100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101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66</v>
      </c>
      <c r="C53" s="17" t="s">
        <v>66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H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>SUM(J56,J51)</f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2B6DFC59E70A4995EB4104F195C5DE" ma:contentTypeVersion="14" ma:contentTypeDescription="Create a new document." ma:contentTypeScope="" ma:versionID="db589c8c4f0f6694bb5b9b569107803e">
  <xsd:schema xmlns:xsd="http://www.w3.org/2001/XMLSchema" xmlns:xs="http://www.w3.org/2001/XMLSchema" xmlns:p="http://schemas.microsoft.com/office/2006/metadata/properties" xmlns:ns2="6a1a6bf2-e67c-4edf-9548-9bbf55765aa4" xmlns:ns3="e3c7870e-bfd2-4368-97d2-6a4ea7d4e2bf" targetNamespace="http://schemas.microsoft.com/office/2006/metadata/properties" ma:root="true" ma:fieldsID="6dfdeec9a05d56fe7c0adb20e68b3704" ns2:_="" ns3:_="">
    <xsd:import namespace="6a1a6bf2-e67c-4edf-9548-9bbf55765aa4"/>
    <xsd:import namespace="e3c7870e-bfd2-4368-97d2-6a4ea7d4e2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a6bf2-e67c-4edf-9548-9bbf55765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928028b-1cc5-45ee-9164-1a2f8d0dcd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7870e-bfd2-4368-97d2-6a4ea7d4e2b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4e924ef-df11-42cf-aaef-7ed3344c5647}" ma:internalName="TaxCatchAll" ma:showField="CatchAllData" ma:web="e3c7870e-bfd2-4368-97d2-6a4ea7d4e2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3c7870e-bfd2-4368-97d2-6a4ea7d4e2bf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6a1a6bf2-e67c-4edf-9548-9bbf55765aa4">
      <Terms xmlns="http://schemas.microsoft.com/office/infopath/2007/PartnerControls"/>
    </lcf76f155ced4ddcb4097134ff3c332f>
    <TaxCatchAll xmlns="e3c7870e-bfd2-4368-97d2-6a4ea7d4e2bf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22E89D2-EA63-4390-BC5F-5A2F608CE0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a6bf2-e67c-4edf-9548-9bbf55765aa4"/>
    <ds:schemaRef ds:uri="e3c7870e-bfd2-4368-97d2-6a4ea7d4e2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e3c7870e-bfd2-4368-97d2-6a4ea7d4e2bf"/>
    <ds:schemaRef ds:uri="6a1a6bf2-e67c-4edf-9548-9bbf55765a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2024-04-01T17:05:40Z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0x010100C02B6DFC59E70A4995EB4104F195C5DE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